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235.xml" ContentType="application/vnd.openxmlformats-officedocument.spreadsheetml.worksheet+xml"/>
  <Override PartName="/xl/worksheets/sheet271.xml" ContentType="application/vnd.openxmlformats-officedocument.spreadsheetml.worksheet+xml"/>
  <Override PartName="/xl/worksheets/sheet2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worksheets/sheet260.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worksheets/sheet325.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298.xml" ContentType="application/vnd.openxmlformats-officedocument.spreadsheetml.worksheet+xml"/>
  <Override PartName="/xl/worksheets/sheet31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87.xml" ContentType="application/vnd.openxmlformats-officedocument.spreadsheetml.worksheet+xml"/>
  <Override PartName="/xl/worksheets/sheet30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229.xml" ContentType="application/vnd.openxmlformats-officedocument.spreadsheetml.worksheet+xml"/>
  <Override PartName="/xl/worksheets/sheet276.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254.xml" ContentType="application/vnd.openxmlformats-officedocument.spreadsheetml.worksheet+xml"/>
  <Override PartName="/xl/worksheets/sheet265.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290.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319.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Override PartName="/xl/worksheets/sheet308.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charts/chart1.xml" ContentType="application/vnd.openxmlformats-officedocument.drawingml.chart+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worksheets/sheet322.xml" ContentType="application/vnd.openxmlformats-officedocument.spreadsheetml.worksheet+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259.xml" ContentType="application/vnd.openxmlformats-officedocument.spreadsheetml.worksheet+xml"/>
  <Override PartName="/xl/worksheets/sheet311.xml" ContentType="application/vnd.openxmlformats-officedocument.spreadsheetml.worksheet+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worksheets/sheet248.xml" ContentType="application/vnd.openxmlformats-officedocument.spreadsheetml.worksheet+xml"/>
  <Override PartName="/xl/worksheets/sheet295.xml" ContentType="application/vnd.openxmlformats-officedocument.spreadsheetml.worksheet+xml"/>
  <Override PartName="/xl/worksheets/sheet300.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xl/worksheets/sheet273.xml" ContentType="application/vnd.openxmlformats-officedocument.spreadsheetml.worksheet+xml"/>
  <Override PartName="/xl/worksheets/sheet284.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worksheets/sheet215.xml" ContentType="application/vnd.openxmlformats-officedocument.spreadsheetml.worksheet+xml"/>
  <Override PartName="/xl/worksheets/sheet262.xml" ContentType="application/vnd.openxmlformats-officedocument.spreadsheetml.worksheet+xml"/>
  <Override PartName="/xl/worksheets/sheet51.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51.xml" ContentType="application/vnd.openxmlformats-officedocument.spreadsheetml.worksheet+xml"/>
  <Override PartName="/xl/worksheets/sheet40.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40.xml" ContentType="application/vnd.openxmlformats-officedocument.spreadsheetml.worksheet+xml"/>
  <Override PartName="/xl/worksheets/sheet327.xml" ContentType="application/vnd.openxmlformats-officedocument.spreadsheetml.worksheet+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worksheets/sheet316.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55.xml" ContentType="application/vnd.openxmlformats-officedocument.spreadsheetml.worksheet+xml"/>
  <Override PartName="/xl/worksheets/sheet289.xml" ContentType="application/vnd.openxmlformats-officedocument.spreadsheetml.worksheet+xml"/>
  <Override PartName="/xl/worksheets/sheet305.xml" ContentType="application/vnd.openxmlformats-officedocument.spreadsheetml.worksheet+xml"/>
  <Override PartName="/xl/worksheets/sheet78.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278.xml" ContentType="application/vnd.openxmlformats-officedocument.spreadsheetml.worksheet+xml"/>
  <Override PartName="/xl/worksheets/sheet330.xml" ContentType="application/vnd.openxmlformats-officedocument.spreadsheetml.worksheet+xml"/>
  <Override PartName="/xl/worksheets/sheet67.xml" ContentType="application/vnd.openxmlformats-officedocument.spreadsheetml.worksheet+xml"/>
  <Override PartName="/xl/worksheets/sheet122.xml" ContentType="application/vnd.openxmlformats-officedocument.spreadsheetml.worksheet+xml"/>
  <Override PartName="/xl/worksheets/sheet26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209.xml" ContentType="application/vnd.openxmlformats-officedocument.spreadsheetml.worksheet+xml"/>
  <Override PartName="/xl/worksheets/sheet245.xml" ContentType="application/vnd.openxmlformats-officedocument.spreadsheetml.worksheet+xml"/>
  <Override PartName="/xl/worksheets/sheet256.xml" ContentType="application/vnd.openxmlformats-officedocument.spreadsheetml.worksheet+xml"/>
  <Override PartName="/xl/worksheets/sheet292.xml" ContentType="application/vnd.openxmlformats-officedocument.spreadsheetml.worksheet+xml"/>
  <Override PartName="/xl/worksheets/sheet34.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4.xml" ContentType="application/vnd.openxmlformats-officedocument.spreadsheetml.worksheet+xml"/>
  <Override PartName="/xl/worksheets/sheet281.xml" ContentType="application/vnd.openxmlformats-officedocument.spreadsheetml.worksheet+xml"/>
  <Override PartName="/xl/worksheets/sheet23.xml" ContentType="application/vnd.openxmlformats-officedocument.spreadsheetml.worksheet+xml"/>
  <Override PartName="/xl/worksheets/sheet70.xml" ContentType="application/vnd.openxmlformats-officedocument.spreadsheetml.worksheet+xml"/>
  <Override PartName="/xl/worksheets/sheet223.xml" ContentType="application/vnd.openxmlformats-officedocument.spreadsheetml.worksheet+xml"/>
  <Override PartName="/xl/worksheets/sheet270.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230.xml" ContentType="application/vnd.openxmlformats-officedocument.spreadsheetml.worksheet+xml"/>
  <Override PartName="/xl/worksheets/sheet317.xml" ContentType="application/vnd.openxmlformats-officedocument.spreadsheetml.worksheet+xml"/>
  <Override PartName="/xl/worksheets/sheet328.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306.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worksheets/sheet313.xml" ContentType="application/vnd.openxmlformats-officedocument.spreadsheetml.worksheet+xml"/>
  <Override PartName="/xl/worksheets/sheet324.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68.xml" ContentType="application/vnd.openxmlformats-officedocument.spreadsheetml.worksheet+xml"/>
  <Override PartName="/xl/worksheets/sheet279.xml" ContentType="application/vnd.openxmlformats-officedocument.spreadsheetml.worksheet+xml"/>
  <Override PartName="/xl/worksheets/sheet297.xml" ContentType="application/vnd.openxmlformats-officedocument.spreadsheetml.worksheet+xml"/>
  <Override PartName="/xl/worksheets/sheet302.xml" ContentType="application/vnd.openxmlformats-officedocument.spreadsheetml.worksheet+xml"/>
  <Override PartName="/xl/worksheets/sheet320.xml" ContentType="application/vnd.openxmlformats-officedocument.spreadsheetml.worksheet+xml"/>
  <Override PartName="/xl/worksheets/sheet331.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257.xml" ContentType="application/vnd.openxmlformats-officedocument.spreadsheetml.worksheet+xml"/>
  <Override PartName="/xl/worksheets/sheet275.xml" ContentType="application/vnd.openxmlformats-officedocument.spreadsheetml.worksheet+xml"/>
  <Override PartName="/xl/worksheets/sheet286.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46.xml" ContentType="application/vnd.openxmlformats-officedocument.spreadsheetml.worksheet+xml"/>
  <Override PartName="/xl/worksheets/sheet264.xml" ContentType="application/vnd.openxmlformats-officedocument.spreadsheetml.worksheet+xml"/>
  <Override PartName="/xl/worksheets/sheet293.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253.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329.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318.xml" ContentType="application/vnd.openxmlformats-officedocument.spreadsheetml.worksheet+xml"/>
  <Override PartName="/xl/worksheets/sheet157.xml" ContentType="application/vnd.openxmlformats-officedocument.spreadsheetml.worksheet+xml"/>
  <Override PartName="/xl/worksheets/sheet30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269.xml" ContentType="application/vnd.openxmlformats-officedocument.spreadsheetml.worksheet+xml"/>
  <Override PartName="/xl/worksheets/sheet321.xml" ContentType="application/vnd.openxmlformats-officedocument.spreadsheetml.worksheet+xml"/>
  <Override PartName="/xl/externalLinks/externalLink1.xml" ContentType="application/vnd.openxmlformats-officedocument.spreadsheetml.externalLink+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worksheets/sheet258.xml" ContentType="application/vnd.openxmlformats-officedocument.spreadsheetml.worksheet+xml"/>
  <Override PartName="/xl/worksheets/sheet294.xml" ContentType="application/vnd.openxmlformats-officedocument.spreadsheetml.worksheet+xml"/>
  <Override PartName="/xl/worksheets/sheet31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83.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Override PartName="/xl/worksheets/sheet2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250.xml" ContentType="application/vnd.openxmlformats-officedocument.spreadsheetml.worksheet+xml"/>
  <Override PartName="/xl/worksheets/sheet261.xml" ContentType="application/vnd.openxmlformats-officedocument.spreadsheetml.worksheet+xml"/>
  <Override PartName="/xl/worksheets/sheet187.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worksheets/sheet315.xml" ContentType="application/vnd.openxmlformats-officedocument.spreadsheetml.worksheet+xml"/>
  <Override PartName="/xl/worksheets/sheet326.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299.xml" ContentType="application/vnd.openxmlformats-officedocument.spreadsheetml.worksheet+xml"/>
  <Override PartName="/xl/worksheets/sheet304.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Override PartName="/xl/worksheets/sheet277.xml" ContentType="application/vnd.openxmlformats-officedocument.spreadsheetml.worksheet+xml"/>
  <Override PartName="/xl/worksheets/sheet288.xml" ContentType="application/vnd.openxmlformats-officedocument.spreadsheetml.worksheet+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worksheets/sheet219.xml" ContentType="application/vnd.openxmlformats-officedocument.spreadsheetml.worksheet+xml"/>
  <Override PartName="/xl/worksheets/sheet266.xml" ContentType="application/vnd.openxmlformats-officedocument.spreadsheetml.workshee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55.xml" ContentType="application/vnd.openxmlformats-officedocument.spreadsheetml.workshee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worksheets/sheet244.xml" ContentType="application/vnd.openxmlformats-officedocument.spreadsheetml.worksheet+xml"/>
  <Override PartName="/xl/worksheets/sheet2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worksheets/sheet2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159.xml" ContentType="application/vnd.openxmlformats-officedocument.spreadsheetml.worksheet+xml"/>
  <Override PartName="/xl/worksheets/sheet211.xml" ContentType="application/vnd.openxmlformats-officedocument.spreadsheetml.worksheet+xml"/>
  <Override PartName="/xl/worksheets/sheet309.xml" ContentType="application/vnd.openxmlformats-officedocument.spreadsheetml.worksheet+xml"/>
  <Default Extension="rels" ContentType="application/vnd.openxmlformats-package.relationships+xml"/>
  <Override PartName="/xl/worksheets/sheet137.xml" ContentType="application/vnd.openxmlformats-officedocument.spreadsheetml.worksheet+xml"/>
  <Override PartName="/xl/worksheets/sheet148.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126.xml" ContentType="application/vnd.openxmlformats-officedocument.spreadsheetml.worksheet+xml"/>
  <Override PartName="/xl/worksheets/sheet173.xml" ContentType="application/vnd.openxmlformats-officedocument.spreadsheetml.worksheet+xml"/>
  <Override PartName="/xl/worksheets/sheet32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worksheets/sheet249.xml" ContentType="application/vnd.openxmlformats-officedocument.spreadsheetml.worksheet+xml"/>
  <Override PartName="/xl/worksheets/sheet296.xml" ContentType="application/vnd.openxmlformats-officedocument.spreadsheetml.worksheet+xml"/>
  <Override PartName="/xl/worksheets/sheet312.xml" ContentType="application/vnd.openxmlformats-officedocument.spreadsheetml.worksheet+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85.xml" ContentType="application/vnd.openxmlformats-officedocument.spreadsheetml.worksheet+xml"/>
  <Override PartName="/xl/worksheets/sheet301.xml" ContentType="application/vnd.openxmlformats-officedocument.spreadsheetml.worksheet+xml"/>
  <Override PartName="/xl/worksheets/sheet27.xml" ContentType="application/vnd.openxmlformats-officedocument.spreadsheetml.worksheet+xml"/>
  <Override PartName="/xl/worksheets/sheet74.xml" ContentType="application/vnd.openxmlformats-officedocument.spreadsheetml.worksheet+xml"/>
  <Override PartName="/xl/worksheets/sheet140.xml" ContentType="application/vnd.openxmlformats-officedocument.spreadsheetml.worksheet+xml"/>
  <Override PartName="/xl/worksheets/sheet227.xml" ContentType="application/vnd.openxmlformats-officedocument.spreadsheetml.worksheet+xml"/>
  <Override PartName="/xl/worksheets/sheet274.xml" ContentType="application/vnd.openxmlformats-officedocument.spreadsheetml.worksheet+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52.xml" ContentType="application/vnd.openxmlformats-officedocument.spreadsheetml.worksheet+xml"/>
  <Override PartName="/xl/worksheets/sheet263.xml" ContentType="application/vnd.openxmlformats-officedocument.spreadsheetml.worksheet+xml"/>
  <Override PartName="/xl/worksheets/sheet41.xml" ContentType="application/vnd.openxmlformats-officedocument.spreadsheetml.worksheet+xml"/>
  <Override PartName="/xl/worksheets/sheet189.xml" ContentType="application/vnd.openxmlformats-officedocument.spreadsheetml.worksheet+xml"/>
  <Override PartName="/xl/worksheets/sheet2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60" windowWidth="19320" windowHeight="7695" tabRatio="903"/>
  </bookViews>
  <sheets>
    <sheet name="ÍNDICE" sheetId="348" r:id="rId1"/>
    <sheet name="10.1" sheetId="48" r:id="rId2"/>
    <sheet name="10.2" sheetId="49" r:id="rId3"/>
    <sheet name="10.3" sheetId="50" r:id="rId4"/>
    <sheet name="10.4" sheetId="75" r:id="rId5"/>
    <sheet name="10.5" sheetId="52" r:id="rId6"/>
    <sheet name="10.6" sheetId="51" r:id="rId7"/>
    <sheet name="10.7" sheetId="59" r:id="rId8"/>
    <sheet name="10.8" sheetId="60" r:id="rId9"/>
    <sheet name="10.9" sheetId="77" r:id="rId10"/>
    <sheet name="10.10" sheetId="78" r:id="rId11"/>
    <sheet name="10.11" sheetId="53" r:id="rId12"/>
    <sheet name="10.12" sheetId="54" r:id="rId13"/>
    <sheet name="10.13" sheetId="55" r:id="rId14"/>
    <sheet name="10.14" sheetId="56" r:id="rId15"/>
    <sheet name="10.15" sheetId="57" r:id="rId16"/>
    <sheet name="10.16" sheetId="58" r:id="rId17"/>
    <sheet name="10.17" sheetId="61" r:id="rId18"/>
    <sheet name="10.18" sheetId="62" r:id="rId19"/>
    <sheet name="10.19" sheetId="9" r:id="rId20"/>
    <sheet name="10.20" sheetId="10" r:id="rId21"/>
    <sheet name="10.21" sheetId="79" r:id="rId22"/>
    <sheet name="10.22" sheetId="1" r:id="rId23"/>
    <sheet name="10.23" sheetId="2" r:id="rId24"/>
    <sheet name="10.24" sheetId="3" r:id="rId25"/>
    <sheet name="10.25" sheetId="80" r:id="rId26"/>
    <sheet name="10.26" sheetId="69" r:id="rId27"/>
    <sheet name="10.27" sheetId="70" r:id="rId28"/>
    <sheet name="10.28" sheetId="64" r:id="rId29"/>
    <sheet name="10.29" sheetId="65" r:id="rId30"/>
    <sheet name="10.30" sheetId="66" r:id="rId31"/>
    <sheet name="10.31" sheetId="67" r:id="rId32"/>
    <sheet name="10.32" sheetId="68" r:id="rId33"/>
    <sheet name="10.33" sheetId="71" r:id="rId34"/>
    <sheet name="10.34" sheetId="72" r:id="rId35"/>
    <sheet name="10.35" sheetId="73" r:id="rId36"/>
    <sheet name="10.36" sheetId="20" r:id="rId37"/>
    <sheet name="10.37" sheetId="81" r:id="rId38"/>
    <sheet name="10.38" sheetId="26" r:id="rId39"/>
    <sheet name="10.39" sheetId="29" r:id="rId40"/>
    <sheet name="10.40" sheetId="28" r:id="rId41"/>
    <sheet name="10.41" sheetId="30" r:id="rId42"/>
    <sheet name="10.42" sheetId="31" r:id="rId43"/>
    <sheet name="10.43" sheetId="32" r:id="rId44"/>
    <sheet name="10.44" sheetId="33" r:id="rId45"/>
    <sheet name="10.45" sheetId="34" r:id="rId46"/>
    <sheet name="10.46" sheetId="35" r:id="rId47"/>
    <sheet name="10.47" sheetId="37" r:id="rId48"/>
    <sheet name="10.48" sheetId="36" r:id="rId49"/>
    <sheet name="10.49" sheetId="38" r:id="rId50"/>
    <sheet name="10.50" sheetId="39" r:id="rId51"/>
    <sheet name="10.51" sheetId="40" r:id="rId52"/>
    <sheet name="10.52" sheetId="41" r:id="rId53"/>
    <sheet name="10.53" sheetId="42" r:id="rId54"/>
    <sheet name="10.54" sheetId="43" r:id="rId55"/>
    <sheet name="10.55" sheetId="44" r:id="rId56"/>
    <sheet name="10.56" sheetId="23" r:id="rId57"/>
    <sheet name="10.57" sheetId="24" r:id="rId58"/>
    <sheet name="10.58" sheetId="4" r:id="rId59"/>
    <sheet name="10.59" sheetId="5" r:id="rId60"/>
    <sheet name="10.60" sheetId="6" r:id="rId61"/>
    <sheet name="10.61" sheetId="7" r:id="rId62"/>
    <sheet name="10.62" sheetId="8" r:id="rId63"/>
    <sheet name="10.63" sheetId="21" r:id="rId64"/>
    <sheet name="10.64" sheetId="22" r:id="rId65"/>
    <sheet name="10.65" sheetId="45" r:id="rId66"/>
    <sheet name="10.66" sheetId="46" r:id="rId67"/>
    <sheet name="10.67" sheetId="47" r:id="rId68"/>
    <sheet name="11.1" sheetId="82" r:id="rId69"/>
    <sheet name="11.2" sheetId="83" r:id="rId70"/>
    <sheet name="11.3" sheetId="84" r:id="rId71"/>
    <sheet name="11.4" sheetId="85" r:id="rId72"/>
    <sheet name="11.5" sheetId="86" r:id="rId73"/>
    <sheet name="12.1" sheetId="87" r:id="rId74"/>
    <sheet name="12.2" sheetId="88" r:id="rId75"/>
    <sheet name="12.3" sheetId="89" r:id="rId76"/>
    <sheet name="12.4" sheetId="90" r:id="rId77"/>
    <sheet name="12.5" sheetId="91" r:id="rId78"/>
    <sheet name="12.6" sheetId="92" r:id="rId79"/>
    <sheet name="12.7" sheetId="93" r:id="rId80"/>
    <sheet name="12.8" sheetId="94" r:id="rId81"/>
    <sheet name="13.1" sheetId="95" r:id="rId82"/>
    <sheet name="13.2" sheetId="96" r:id="rId83"/>
    <sheet name="13.3" sheetId="97" r:id="rId84"/>
    <sheet name="13.4" sheetId="98" r:id="rId85"/>
    <sheet name="13.5" sheetId="99" r:id="rId86"/>
    <sheet name="13.6" sheetId="100" r:id="rId87"/>
    <sheet name="13.7" sheetId="101" r:id="rId88"/>
    <sheet name="13.8" sheetId="102" r:id="rId89"/>
    <sheet name="13.9" sheetId="103" r:id="rId90"/>
    <sheet name="13.10" sheetId="104" r:id="rId91"/>
    <sheet name="13.11" sheetId="105" r:id="rId92"/>
    <sheet name="13.12" sheetId="106" r:id="rId93"/>
    <sheet name="13.13" sheetId="107" r:id="rId94"/>
    <sheet name="13.14" sheetId="108" r:id="rId95"/>
    <sheet name="13.15" sheetId="109" r:id="rId96"/>
    <sheet name="13.16" sheetId="110" r:id="rId97"/>
    <sheet name="13.17" sheetId="111" r:id="rId98"/>
    <sheet name="13.18" sheetId="112" r:id="rId99"/>
    <sheet name="13.19" sheetId="113" r:id="rId100"/>
    <sheet name="14.1" sheetId="114" r:id="rId101"/>
    <sheet name="14.2" sheetId="115" r:id="rId102"/>
    <sheet name="14.3" sheetId="116" r:id="rId103"/>
    <sheet name="14.4" sheetId="117" r:id="rId104"/>
    <sheet name="14.5" sheetId="118" r:id="rId105"/>
    <sheet name="14.6" sheetId="119" r:id="rId106"/>
    <sheet name="14.7" sheetId="120" r:id="rId107"/>
    <sheet name="14.8" sheetId="121" r:id="rId108"/>
    <sheet name="14.9" sheetId="122" r:id="rId109"/>
    <sheet name="14.10" sheetId="123" r:id="rId110"/>
    <sheet name="14.11" sheetId="124" r:id="rId111"/>
    <sheet name="14.12" sheetId="125" r:id="rId112"/>
    <sheet name="14.13" sheetId="126" r:id="rId113"/>
    <sheet name="14.14" sheetId="127" r:id="rId114"/>
    <sheet name="14.15" sheetId="128" r:id="rId115"/>
    <sheet name="14.16" sheetId="129" r:id="rId116"/>
    <sheet name="14.17" sheetId="130" r:id="rId117"/>
    <sheet name="14.18" sheetId="131" r:id="rId118"/>
    <sheet name="14.19" sheetId="132" r:id="rId119"/>
    <sheet name="14.20" sheetId="133" r:id="rId120"/>
    <sheet name="14.21" sheetId="134" r:id="rId121"/>
    <sheet name="14.22" sheetId="135" r:id="rId122"/>
    <sheet name="14.23" sheetId="136" r:id="rId123"/>
    <sheet name="14.24" sheetId="137" r:id="rId124"/>
    <sheet name="14.25" sheetId="138" r:id="rId125"/>
    <sheet name="14.26" sheetId="139" r:id="rId126"/>
    <sheet name="14.27" sheetId="140" r:id="rId127"/>
    <sheet name="14.28" sheetId="141" r:id="rId128"/>
    <sheet name="14.29" sheetId="142" r:id="rId129"/>
    <sheet name="14.30" sheetId="143" r:id="rId130"/>
    <sheet name="14.31" sheetId="144" r:id="rId131"/>
    <sheet name="14.32" sheetId="145" r:id="rId132"/>
    <sheet name="14.33" sheetId="146" r:id="rId133"/>
    <sheet name="14.34" sheetId="147" r:id="rId134"/>
    <sheet name="14.35" sheetId="148" r:id="rId135"/>
    <sheet name="15.1" sheetId="149" r:id="rId136"/>
    <sheet name="15.2" sheetId="150" r:id="rId137"/>
    <sheet name="15.3" sheetId="151" r:id="rId138"/>
    <sheet name="15.4" sheetId="152" r:id="rId139"/>
    <sheet name="15.5" sheetId="153" r:id="rId140"/>
    <sheet name="15.6" sheetId="154" r:id="rId141"/>
    <sheet name="15.7" sheetId="155" r:id="rId142"/>
    <sheet name="15.8" sheetId="156" r:id="rId143"/>
    <sheet name="15.9" sheetId="157" r:id="rId144"/>
    <sheet name="15.10" sheetId="158" r:id="rId145"/>
    <sheet name="15.11" sheetId="159" r:id="rId146"/>
    <sheet name="15.12" sheetId="160" r:id="rId147"/>
    <sheet name="15.13" sheetId="161" r:id="rId148"/>
    <sheet name="15.14" sheetId="162" r:id="rId149"/>
    <sheet name="15.15" sheetId="163" r:id="rId150"/>
    <sheet name="15.16" sheetId="164" r:id="rId151"/>
    <sheet name="15.17" sheetId="165" r:id="rId152"/>
    <sheet name="15.18" sheetId="166" r:id="rId153"/>
    <sheet name="15.19" sheetId="167" r:id="rId154"/>
    <sheet name="15.20" sheetId="168" r:id="rId155"/>
    <sheet name="15-21" sheetId="169" r:id="rId156"/>
    <sheet name="15-22" sheetId="170" r:id="rId157"/>
    <sheet name="15-23" sheetId="171" r:id="rId158"/>
    <sheet name="15-24" sheetId="172" r:id="rId159"/>
    <sheet name="15-25" sheetId="173" r:id="rId160"/>
    <sheet name="15-26" sheetId="174" r:id="rId161"/>
    <sheet name="15-27" sheetId="175" r:id="rId162"/>
    <sheet name="15-28" sheetId="176" r:id="rId163"/>
    <sheet name="15-29" sheetId="177" r:id="rId164"/>
    <sheet name="15-30" sheetId="178" r:id="rId165"/>
    <sheet name="15.31" sheetId="179" r:id="rId166"/>
    <sheet name="15.32" sheetId="180" r:id="rId167"/>
    <sheet name="15.33" sheetId="181" r:id="rId168"/>
    <sheet name="15.34" sheetId="182" r:id="rId169"/>
    <sheet name="15.35" sheetId="183" r:id="rId170"/>
    <sheet name="15.36" sheetId="184" r:id="rId171"/>
    <sheet name="15.37" sheetId="185" r:id="rId172"/>
    <sheet name="15.38" sheetId="186" r:id="rId173"/>
    <sheet name="15.39" sheetId="187" r:id="rId174"/>
    <sheet name="15.40" sheetId="188" r:id="rId175"/>
    <sheet name="15.41" sheetId="189" r:id="rId176"/>
    <sheet name="15.42" sheetId="190" r:id="rId177"/>
    <sheet name="15.43" sheetId="191" r:id="rId178"/>
    <sheet name="15.44" sheetId="192" r:id="rId179"/>
    <sheet name="16.1" sheetId="193" r:id="rId180"/>
    <sheet name="16.2" sheetId="194" r:id="rId181"/>
    <sheet name="16.3" sheetId="195" r:id="rId182"/>
    <sheet name="16.4" sheetId="196" r:id="rId183"/>
    <sheet name="16.5" sheetId="197" r:id="rId184"/>
    <sheet name="16.6" sheetId="198" r:id="rId185"/>
    <sheet name="16.7" sheetId="199" r:id="rId186"/>
    <sheet name="16.8" sheetId="200" r:id="rId187"/>
    <sheet name="16.9" sheetId="201" r:id="rId188"/>
    <sheet name="16.10" sheetId="202" r:id="rId189"/>
    <sheet name="16.11" sheetId="203" r:id="rId190"/>
    <sheet name="16.12" sheetId="204" r:id="rId191"/>
    <sheet name="16.13" sheetId="205" r:id="rId192"/>
    <sheet name="16.14" sheetId="206" r:id="rId193"/>
    <sheet name="16.15" sheetId="207" r:id="rId194"/>
    <sheet name="16.16" sheetId="208" r:id="rId195"/>
    <sheet name="16.17" sheetId="209" r:id="rId196"/>
    <sheet name="16.18" sheetId="210" r:id="rId197"/>
    <sheet name="16.19" sheetId="211" r:id="rId198"/>
    <sheet name="16.20" sheetId="212" r:id="rId199"/>
    <sheet name="16.21" sheetId="213" r:id="rId200"/>
    <sheet name="16.22" sheetId="214" r:id="rId201"/>
    <sheet name="16.23" sheetId="215" r:id="rId202"/>
    <sheet name="16.24" sheetId="216" r:id="rId203"/>
    <sheet name="16.25" sheetId="217" r:id="rId204"/>
    <sheet name="16.26" sheetId="218" r:id="rId205"/>
    <sheet name="16.27" sheetId="219" r:id="rId206"/>
    <sheet name="16.28" sheetId="220" r:id="rId207"/>
    <sheet name="16.29" sheetId="221" r:id="rId208"/>
    <sheet name="16.30" sheetId="222" r:id="rId209"/>
    <sheet name="16.31" sheetId="223" r:id="rId210"/>
    <sheet name="16.32" sheetId="224" r:id="rId211"/>
    <sheet name="16.33" sheetId="225" r:id="rId212"/>
    <sheet name="16.34" sheetId="226" r:id="rId213"/>
    <sheet name="16.35" sheetId="227" r:id="rId214"/>
    <sheet name="16.36" sheetId="228" r:id="rId215"/>
    <sheet name="16.37" sheetId="229" r:id="rId216"/>
    <sheet name="16.38" sheetId="230" r:id="rId217"/>
    <sheet name="16.39" sheetId="231" r:id="rId218"/>
    <sheet name="16.40" sheetId="232" r:id="rId219"/>
    <sheet name="16.41" sheetId="233" r:id="rId220"/>
    <sheet name="16.42" sheetId="234" r:id="rId221"/>
    <sheet name="16.43" sheetId="235" r:id="rId222"/>
    <sheet name="16.44" sheetId="236" r:id="rId223"/>
    <sheet name="16.45" sheetId="237" r:id="rId224"/>
    <sheet name="16.46" sheetId="238" r:id="rId225"/>
    <sheet name="16.47" sheetId="239" r:id="rId226"/>
    <sheet name="16.48" sheetId="240" r:id="rId227"/>
    <sheet name="17.1" sheetId="241" r:id="rId228"/>
    <sheet name="17.2" sheetId="242" r:id="rId229"/>
    <sheet name="17.3" sheetId="243" r:id="rId230"/>
    <sheet name="17.4" sheetId="244" r:id="rId231"/>
    <sheet name="17.5" sheetId="245" r:id="rId232"/>
    <sheet name="17.6" sheetId="246" r:id="rId233"/>
    <sheet name="17.7" sheetId="247" r:id="rId234"/>
    <sheet name="17.8" sheetId="248" r:id="rId235"/>
    <sheet name="17.9" sheetId="249" r:id="rId236"/>
    <sheet name="18.1" sheetId="250" r:id="rId237"/>
    <sheet name="18.2" sheetId="251" r:id="rId238"/>
    <sheet name="18.3" sheetId="252" r:id="rId239"/>
    <sheet name="18.4" sheetId="253" r:id="rId240"/>
    <sheet name="18.5" sheetId="254" r:id="rId241"/>
    <sheet name="18.6" sheetId="255" r:id="rId242"/>
    <sheet name="18.7" sheetId="256" r:id="rId243"/>
    <sheet name="19.1" sheetId="257" r:id="rId244"/>
    <sheet name="19.2" sheetId="258" r:id="rId245"/>
    <sheet name="19.3" sheetId="259" r:id="rId246"/>
    <sheet name="19.4" sheetId="260" r:id="rId247"/>
    <sheet name="19.5" sheetId="261" r:id="rId248"/>
    <sheet name="19.6" sheetId="262" r:id="rId249"/>
    <sheet name="19.7" sheetId="263" r:id="rId250"/>
    <sheet name="19.8" sheetId="264" r:id="rId251"/>
    <sheet name="19.9" sheetId="265" r:id="rId252"/>
    <sheet name="19.10" sheetId="266" r:id="rId253"/>
    <sheet name="19.11" sheetId="267" r:id="rId254"/>
    <sheet name="20.1" sheetId="268" r:id="rId255"/>
    <sheet name="20.2" sheetId="269" r:id="rId256"/>
    <sheet name="20.3" sheetId="270" r:id="rId257"/>
    <sheet name="20.4" sheetId="271" r:id="rId258"/>
    <sheet name="20.5" sheetId="272" r:id="rId259"/>
    <sheet name="20.6" sheetId="273" r:id="rId260"/>
    <sheet name="20.7" sheetId="274" r:id="rId261"/>
    <sheet name="20.8" sheetId="275" r:id="rId262"/>
    <sheet name="20.9" sheetId="276" r:id="rId263"/>
    <sheet name="20.10" sheetId="277" r:id="rId264"/>
    <sheet name="20.11" sheetId="278" r:id="rId265"/>
    <sheet name="20.12" sheetId="279" r:id="rId266"/>
    <sheet name="20.13" sheetId="280" r:id="rId267"/>
    <sheet name="20.14" sheetId="281" r:id="rId268"/>
    <sheet name="20.15" sheetId="282" r:id="rId269"/>
    <sheet name="20.16" sheetId="283" r:id="rId270"/>
    <sheet name="20.17" sheetId="284" r:id="rId271"/>
    <sheet name="21.1" sheetId="285" r:id="rId272"/>
    <sheet name="21.2" sheetId="286" r:id="rId273"/>
    <sheet name="21.3" sheetId="287" r:id="rId274"/>
    <sheet name="21.4" sheetId="288" r:id="rId275"/>
    <sheet name="22.1" sheetId="289" r:id="rId276"/>
    <sheet name="22.2" sheetId="290" r:id="rId277"/>
    <sheet name="22.3" sheetId="291" r:id="rId278"/>
    <sheet name="22.4" sheetId="292" r:id="rId279"/>
    <sheet name="22.5" sheetId="293" r:id="rId280"/>
    <sheet name="23.1" sheetId="294" r:id="rId281"/>
    <sheet name="23.2" sheetId="295" r:id="rId282"/>
    <sheet name="23.3" sheetId="296" r:id="rId283"/>
    <sheet name="23.4" sheetId="297" r:id="rId284"/>
    <sheet name="23.5" sheetId="345" r:id="rId285"/>
    <sheet name="23.6" sheetId="346" r:id="rId286"/>
    <sheet name="24.1" sheetId="300" r:id="rId287"/>
    <sheet name="24.2" sheetId="301" r:id="rId288"/>
    <sheet name="24.3" sheetId="302" r:id="rId289"/>
    <sheet name="24.4" sheetId="303" r:id="rId290"/>
    <sheet name="24.5" sheetId="304" r:id="rId291"/>
    <sheet name="24.6" sheetId="305" r:id="rId292"/>
    <sheet name="24.7" sheetId="306" r:id="rId293"/>
    <sheet name="24.8" sheetId="307" r:id="rId294"/>
    <sheet name="24.9" sheetId="308" r:id="rId295"/>
    <sheet name="24.10" sheetId="309" r:id="rId296"/>
    <sheet name="24.11" sheetId="310" r:id="rId297"/>
    <sheet name="24.12" sheetId="311" r:id="rId298"/>
    <sheet name="24.13" sheetId="312" r:id="rId299"/>
    <sheet name="24.14" sheetId="313" r:id="rId300"/>
    <sheet name="24.15" sheetId="314" r:id="rId301"/>
    <sheet name="24.16" sheetId="315" r:id="rId302"/>
    <sheet name="24.17" sheetId="316" r:id="rId303"/>
    <sheet name="24.18" sheetId="317" r:id="rId304"/>
    <sheet name="25.1" sheetId="318" r:id="rId305"/>
    <sheet name="25.2" sheetId="319" r:id="rId306"/>
    <sheet name="25.3" sheetId="320" r:id="rId307"/>
    <sheet name="25.4" sheetId="321" r:id="rId308"/>
    <sheet name="25.5" sheetId="322" r:id="rId309"/>
    <sheet name="26.1" sheetId="323" r:id="rId310"/>
    <sheet name="26.2" sheetId="324" r:id="rId311"/>
    <sheet name="26.3" sheetId="325" r:id="rId312"/>
    <sheet name="26.4" sheetId="326" r:id="rId313"/>
    <sheet name="26.5" sheetId="327" r:id="rId314"/>
    <sheet name="26.6" sheetId="328" r:id="rId315"/>
    <sheet name="26.7" sheetId="329" r:id="rId316"/>
    <sheet name="26.8" sheetId="330" r:id="rId317"/>
    <sheet name="26.9" sheetId="331" r:id="rId318"/>
    <sheet name="26.10" sheetId="332" r:id="rId319"/>
    <sheet name="26.11" sheetId="333" r:id="rId320"/>
    <sheet name="26.12" sheetId="334" r:id="rId321"/>
    <sheet name="26.13" sheetId="335" r:id="rId322"/>
    <sheet name="26.14" sheetId="336" r:id="rId323"/>
    <sheet name="26.15" sheetId="337" r:id="rId324"/>
    <sheet name="26.16" sheetId="338" r:id="rId325"/>
    <sheet name="26.17" sheetId="339" r:id="rId326"/>
    <sheet name="26.18" sheetId="340" r:id="rId327"/>
    <sheet name="26.19" sheetId="341" r:id="rId328"/>
    <sheet name="26.20" sheetId="342" r:id="rId329"/>
    <sheet name="26.21" sheetId="343" r:id="rId330"/>
    <sheet name="26.22" sheetId="344" r:id="rId331"/>
  </sheets>
  <externalReferences>
    <externalReference r:id="rId332"/>
  </externalReferences>
  <definedNames>
    <definedName name="_xlnm._FilterDatabase" localSheetId="53" hidden="1">'10.53'!$A$5:$U$5</definedName>
    <definedName name="_xlnm._FilterDatabase" localSheetId="319" hidden="1">'26.11'!#REF!</definedName>
    <definedName name="_xlnm._FilterDatabase" localSheetId="315" hidden="1">'26.7'!#REF!</definedName>
    <definedName name="_GoBack" localSheetId="78">'12.6'!#REF!</definedName>
    <definedName name="_Key1" localSheetId="68" hidden="1">#REF!</definedName>
    <definedName name="_Key1" localSheetId="69" hidden="1">#REF!</definedName>
    <definedName name="_Key1" localSheetId="70" hidden="1">#REF!</definedName>
    <definedName name="_Key1" localSheetId="71" hidden="1">#REF!</definedName>
    <definedName name="_Key1" localSheetId="73" hidden="1">#REF!</definedName>
    <definedName name="_Key1" localSheetId="74" hidden="1">#REF!</definedName>
    <definedName name="_Key1" localSheetId="75" hidden="1">#REF!</definedName>
    <definedName name="_Key1" localSheetId="84" hidden="1">#REF!</definedName>
    <definedName name="_Key1" localSheetId="110" hidden="1">#REF!</definedName>
    <definedName name="_Key1" localSheetId="111" hidden="1">#REF!</definedName>
    <definedName name="_Key1" localSheetId="112" hidden="1">#REF!</definedName>
    <definedName name="_Key1" localSheetId="113" hidden="1">#REF!</definedName>
    <definedName name="_Key1" localSheetId="114" hidden="1">#REF!</definedName>
    <definedName name="_Key1" localSheetId="115" hidden="1">#REF!</definedName>
    <definedName name="_Key1" localSheetId="116" hidden="1">#REF!</definedName>
    <definedName name="_Key1" localSheetId="117" hidden="1">#REF!</definedName>
    <definedName name="_Key1" localSheetId="118" hidden="1">#REF!</definedName>
    <definedName name="_Key1" localSheetId="119" hidden="1">#REF!</definedName>
    <definedName name="_Key1" localSheetId="120" hidden="1">#REF!</definedName>
    <definedName name="_Key1" localSheetId="121" hidden="1">#REF!</definedName>
    <definedName name="_Key1" localSheetId="122" hidden="1">#REF!</definedName>
    <definedName name="_Key1" localSheetId="123" hidden="1">#REF!</definedName>
    <definedName name="_Key1" localSheetId="124" hidden="1">#REF!</definedName>
    <definedName name="_Key1" localSheetId="125" hidden="1">#REF!</definedName>
    <definedName name="_Key1" localSheetId="126" hidden="1">#REF!</definedName>
    <definedName name="_Key1" localSheetId="127" hidden="1">#REF!</definedName>
    <definedName name="_Key1" localSheetId="128" hidden="1">#REF!</definedName>
    <definedName name="_Key1" localSheetId="129" hidden="1">#REF!</definedName>
    <definedName name="_Key1" localSheetId="106" hidden="1">#REF!</definedName>
    <definedName name="_Key1" localSheetId="107" hidden="1">#REF!</definedName>
    <definedName name="_Key1" localSheetId="108" hidden="1">#REF!</definedName>
    <definedName name="_Key1" localSheetId="195" hidden="1">#REF!</definedName>
    <definedName name="_Key1" localSheetId="197" hidden="1">#REF!</definedName>
    <definedName name="_Key1" localSheetId="198" hidden="1">#REF!</definedName>
    <definedName name="_Key1" localSheetId="199" hidden="1">#REF!</definedName>
    <definedName name="_Key1" localSheetId="200" hidden="1">#REF!</definedName>
    <definedName name="_Key1" localSheetId="201" hidden="1">#REF!</definedName>
    <definedName name="_Key1" localSheetId="202" hidden="1">#REF!</definedName>
    <definedName name="_Key1" localSheetId="203" hidden="1">#REF!</definedName>
    <definedName name="_Key1" localSheetId="181" hidden="1">#REF!</definedName>
    <definedName name="_Key1" localSheetId="209" hidden="1">#REF!</definedName>
    <definedName name="_Key1" localSheetId="210" hidden="1">#REF!</definedName>
    <definedName name="_Key1" localSheetId="211" hidden="1">#REF!</definedName>
    <definedName name="_Key1" localSheetId="212" hidden="1">#REF!</definedName>
    <definedName name="_Key1" localSheetId="218" hidden="1">#REF!</definedName>
    <definedName name="_Key1" localSheetId="236" hidden="1">#REF!</definedName>
    <definedName name="_Key1" localSheetId="237" hidden="1">#REF!</definedName>
    <definedName name="_Key1" localSheetId="238" hidden="1">#REF!</definedName>
    <definedName name="_Key1" localSheetId="239" hidden="1">#REF!</definedName>
    <definedName name="_Key1" localSheetId="240" hidden="1">#REF!</definedName>
    <definedName name="_Key1" localSheetId="252" hidden="1">#REF!</definedName>
    <definedName name="_Key1" localSheetId="253" hidden="1">#REF!</definedName>
    <definedName name="_Key1" localSheetId="249" hidden="1">#REF!</definedName>
    <definedName name="_Key1" localSheetId="0" hidden="1">#REF!</definedName>
    <definedName name="_Key1" hidden="1">#REF!</definedName>
    <definedName name="_Key2" localSheetId="68" hidden="1">#REF!</definedName>
    <definedName name="_Key2" localSheetId="69" hidden="1">#REF!</definedName>
    <definedName name="_Key2" localSheetId="70" hidden="1">#REF!</definedName>
    <definedName name="_Key2" localSheetId="71" hidden="1">#REF!</definedName>
    <definedName name="_Key2" localSheetId="73" hidden="1">#REF!</definedName>
    <definedName name="_Key2" localSheetId="74" hidden="1">#REF!</definedName>
    <definedName name="_Key2" localSheetId="75" hidden="1">#REF!</definedName>
    <definedName name="_Key2" localSheetId="84" hidden="1">#REF!</definedName>
    <definedName name="_Key2" localSheetId="110" hidden="1">#REF!</definedName>
    <definedName name="_Key2" localSheetId="116" hidden="1">#REF!</definedName>
    <definedName name="_Key2" localSheetId="117" hidden="1">#REF!</definedName>
    <definedName name="_Key2" localSheetId="118" hidden="1">#REF!</definedName>
    <definedName name="_Key2" localSheetId="119" hidden="1">#REF!</definedName>
    <definedName name="_Key2" localSheetId="120" hidden="1">#REF!</definedName>
    <definedName name="_Key2" localSheetId="121" hidden="1">#REF!</definedName>
    <definedName name="_Key2" localSheetId="122" hidden="1">#REF!</definedName>
    <definedName name="_Key2" localSheetId="123" hidden="1">#REF!</definedName>
    <definedName name="_Key2" localSheetId="124" hidden="1">#REF!</definedName>
    <definedName name="_Key2" localSheetId="125" hidden="1">#REF!</definedName>
    <definedName name="_Key2" localSheetId="126" hidden="1">#REF!</definedName>
    <definedName name="_Key2" localSheetId="127" hidden="1">#REF!</definedName>
    <definedName name="_Key2" localSheetId="128" hidden="1">#REF!</definedName>
    <definedName name="_Key2" localSheetId="129" hidden="1">#REF!</definedName>
    <definedName name="_Key2" localSheetId="106" hidden="1">#REF!</definedName>
    <definedName name="_Key2" localSheetId="107" hidden="1">#REF!</definedName>
    <definedName name="_Key2" localSheetId="108" hidden="1">#REF!</definedName>
    <definedName name="_Key2" localSheetId="195" hidden="1">#REF!</definedName>
    <definedName name="_Key2" localSheetId="197" hidden="1">#REF!</definedName>
    <definedName name="_Key2" localSheetId="198" hidden="1">#REF!</definedName>
    <definedName name="_Key2" localSheetId="199" hidden="1">#REF!</definedName>
    <definedName name="_Key2" localSheetId="200" hidden="1">#REF!</definedName>
    <definedName name="_Key2" localSheetId="201" hidden="1">#REF!</definedName>
    <definedName name="_Key2" localSheetId="202" hidden="1">#REF!</definedName>
    <definedName name="_Key2" localSheetId="203" hidden="1">#REF!</definedName>
    <definedName name="_Key2" localSheetId="181" hidden="1">#REF!</definedName>
    <definedName name="_Key2" localSheetId="209" hidden="1">#REF!</definedName>
    <definedName name="_Key2" localSheetId="210" hidden="1">#REF!</definedName>
    <definedName name="_Key2" localSheetId="211" hidden="1">#REF!</definedName>
    <definedName name="_Key2" localSheetId="212" hidden="1">#REF!</definedName>
    <definedName name="_Key2" localSheetId="218" hidden="1">#REF!</definedName>
    <definedName name="_Key2" localSheetId="236" hidden="1">#REF!</definedName>
    <definedName name="_Key2" localSheetId="237" hidden="1">#REF!</definedName>
    <definedName name="_Key2" localSheetId="238" hidden="1">#REF!</definedName>
    <definedName name="_Key2" localSheetId="239" hidden="1">#REF!</definedName>
    <definedName name="_Key2" localSheetId="240" hidden="1">#REF!</definedName>
    <definedName name="_Key2" localSheetId="252" hidden="1">#REF!</definedName>
    <definedName name="_Key2" localSheetId="253" hidden="1">#REF!</definedName>
    <definedName name="_Key2" localSheetId="249" hidden="1">#REF!</definedName>
    <definedName name="_Key2" localSheetId="0" hidden="1">#REF!</definedName>
    <definedName name="_Key2" hidden="1">#REF!</definedName>
    <definedName name="_Order1" hidden="1">255</definedName>
    <definedName name="_Order2" hidden="1">255</definedName>
    <definedName name="_xlnm.Print_Area" localSheetId="71">'11.4'!$A$1:$K$30</definedName>
    <definedName name="_xlnm.Print_Area" localSheetId="72">'11.5'!$A$1:$G$21</definedName>
    <definedName name="_xlnm.Print_Area" localSheetId="74">'12.2'!$A$1:$D$25</definedName>
    <definedName name="_xlnm.Print_Area" localSheetId="82">'13.2'!$A$1:$G$26</definedName>
    <definedName name="_xlnm.Print_Area" localSheetId="83">'13.3'!$A$1:$G$29</definedName>
    <definedName name="_xlnm.Print_Area" localSheetId="88">'13.8'!$A$1:$G$26</definedName>
    <definedName name="_xlnm.Print_Area" localSheetId="112">'14.13'!$A$1:$G$14</definedName>
    <definedName name="_xlnm.Print_Area" localSheetId="116">'14.17'!$A$1:$C$27</definedName>
    <definedName name="_xlnm.Print_Area" localSheetId="106">'14.7'!$A$1:$F$8</definedName>
    <definedName name="_xlnm.Print_Area" localSheetId="107">'14.8'!$A$1:$F$8</definedName>
    <definedName name="_xlnm.Print_Area" localSheetId="108">'14.9'!#REF!</definedName>
    <definedName name="_xlnm.Print_Area" localSheetId="200">'16.22'!$A$1:$E$25</definedName>
    <definedName name="_xlnm.Print_Area" localSheetId="201">'16.23'!$A$1:$E$26</definedName>
    <definedName name="_xlnm.Print_Area" localSheetId="216">'16.38'!$A$1:$D$25</definedName>
    <definedName name="_xlnm.Print_Area" localSheetId="219">'16.41'!$A$1:$C$23</definedName>
    <definedName name="_xlnm.Print_Area" localSheetId="222">'16.44'!$A$2:$F$27</definedName>
    <definedName name="_xlnm.Print_Area" localSheetId="223">'16.45'!$A$2:$N$26</definedName>
    <definedName name="_xlnm.Print_Area" localSheetId="226">'16.48'!$A$1:$H$11</definedName>
    <definedName name="_xlnm.Print_Area" localSheetId="230">'17.4'!$A$2:$E$54</definedName>
    <definedName name="_xlnm.Print_Area" localSheetId="232">'17.6'!$A$1:$AG$57</definedName>
    <definedName name="_xlnm.Print_Area" localSheetId="252">'19.10'!$A$2:$N$21</definedName>
    <definedName name="_xlnm.Print_Area" localSheetId="253">'19.11'!$A$2:$S$26</definedName>
    <definedName name="_xlnm.Print_Area" localSheetId="244">'19.2'!$A$2:$G$18</definedName>
    <definedName name="_xlnm.Print_Area" localSheetId="245">'19.3'!$A$2:$U$76</definedName>
    <definedName name="_xlnm.Print_Area" localSheetId="246">'19.4'!$A$2:$J$48</definedName>
    <definedName name="_xlnm.Print_Area" localSheetId="247">'19.5'!$A$2:$J$36</definedName>
    <definedName name="_xlnm.Print_Area" localSheetId="248">'19.6'!$A$2:$I$27</definedName>
    <definedName name="_xlnm.Print_Area" localSheetId="249">'19.7'!$A$2:$R$59</definedName>
    <definedName name="_xlnm.Print_Area" localSheetId="250">'19.8'!$A$2:$N$58</definedName>
    <definedName name="_xlnm.Print_Area" localSheetId="251">'19.9'!$A$2:$Q$26</definedName>
    <definedName name="_xlnm.Print_Area" localSheetId="263">'20.10'!$A$1:$E$93</definedName>
    <definedName name="_xlnm.Print_Area" localSheetId="265">'20.12'!$A$1:$K$3</definedName>
    <definedName name="_xlnm.Print_Area" localSheetId="275">'22.1'!$A$1:$G$14</definedName>
    <definedName name="_xlnm.Print_Area" localSheetId="304">'25.1'!$A$2:$C$63</definedName>
    <definedName name="_xlnm.Print_Area" localSheetId="305">'25.2'!$A$2:$C$22</definedName>
    <definedName name="_xlnm.Print_Area" localSheetId="306">'25.3'!$A$2:$C$51</definedName>
    <definedName name="_xlnm.Print_Area" localSheetId="307">'25.4'!$A$2:$C$43</definedName>
    <definedName name="_xlnm.Print_Area" localSheetId="327">'26.19'!$A$1:$M$26</definedName>
    <definedName name="cConcDesde" localSheetId="68">#REF!</definedName>
    <definedName name="cConcDesde" localSheetId="69">#REF!</definedName>
    <definedName name="cConcDesde" localSheetId="70">#REF!</definedName>
    <definedName name="cConcDesde" localSheetId="71">#REF!</definedName>
    <definedName name="cConcDesde" localSheetId="73">#REF!</definedName>
    <definedName name="cConcDesde" localSheetId="74">#REF!</definedName>
    <definedName name="cConcDesde" localSheetId="75">#REF!</definedName>
    <definedName name="cConcDesde" localSheetId="110">#REF!</definedName>
    <definedName name="cConcDesde" localSheetId="111">#REF!</definedName>
    <definedName name="cConcDesde" localSheetId="112">#REF!</definedName>
    <definedName name="cConcDesde" localSheetId="113">#REF!</definedName>
    <definedName name="cConcDesde" localSheetId="114">#REF!</definedName>
    <definedName name="cConcDesde" localSheetId="115">#REF!</definedName>
    <definedName name="cConcDesde" localSheetId="116">#REF!</definedName>
    <definedName name="cConcDesde" localSheetId="117">#REF!</definedName>
    <definedName name="cConcDesde" localSheetId="118">#REF!</definedName>
    <definedName name="cConcDesde" localSheetId="119">#REF!</definedName>
    <definedName name="cConcDesde" localSheetId="120">#REF!</definedName>
    <definedName name="cConcDesde" localSheetId="121">#REF!</definedName>
    <definedName name="cConcDesde" localSheetId="122">#REF!</definedName>
    <definedName name="cConcDesde" localSheetId="123">#REF!</definedName>
    <definedName name="cConcDesde" localSheetId="124">#REF!</definedName>
    <definedName name="cConcDesde" localSheetId="125">#REF!</definedName>
    <definedName name="cConcDesde" localSheetId="126">#REF!</definedName>
    <definedName name="cConcDesde" localSheetId="127">#REF!</definedName>
    <definedName name="cConcDesde" localSheetId="128">#REF!</definedName>
    <definedName name="cConcDesde" localSheetId="129">#REF!</definedName>
    <definedName name="cConcDesde" localSheetId="106">#REF!</definedName>
    <definedName name="cConcDesde" localSheetId="107">#REF!</definedName>
    <definedName name="cConcDesde" localSheetId="108">#REF!</definedName>
    <definedName name="cConcDesde" localSheetId="195">#REF!</definedName>
    <definedName name="cConcDesde" localSheetId="196">#REF!</definedName>
    <definedName name="cConcDesde" localSheetId="197">#REF!</definedName>
    <definedName name="cConcDesde" localSheetId="198">#REF!</definedName>
    <definedName name="cConcDesde" localSheetId="199">#REF!</definedName>
    <definedName name="cConcDesde" localSheetId="200">#REF!</definedName>
    <definedName name="cConcDesde" localSheetId="201">#REF!</definedName>
    <definedName name="cConcDesde" localSheetId="202">#REF!</definedName>
    <definedName name="cConcDesde" localSheetId="203">#REF!</definedName>
    <definedName name="cConcDesde" localSheetId="204">#REF!</definedName>
    <definedName name="cConcDesde" localSheetId="205">#REF!</definedName>
    <definedName name="cConcDesde" localSheetId="206">#REF!</definedName>
    <definedName name="cConcDesde" localSheetId="207">#REF!</definedName>
    <definedName name="cConcDesde" localSheetId="181">#REF!</definedName>
    <definedName name="cConcDesde" localSheetId="208">#REF!</definedName>
    <definedName name="cConcDesde" localSheetId="209">#REF!</definedName>
    <definedName name="cConcDesde" localSheetId="210">#REF!</definedName>
    <definedName name="cConcDesde" localSheetId="211">#REF!</definedName>
    <definedName name="cConcDesde" localSheetId="212">#REF!</definedName>
    <definedName name="cConcDesde" localSheetId="213">#REF!</definedName>
    <definedName name="cConcDesde" localSheetId="214">#REF!</definedName>
    <definedName name="cConcDesde" localSheetId="215">#REF!</definedName>
    <definedName name="cConcDesde" localSheetId="216">#REF!</definedName>
    <definedName name="cConcDesde" localSheetId="217">#REF!</definedName>
    <definedName name="cConcDesde" localSheetId="218">#REF!</definedName>
    <definedName name="cConcDesde" localSheetId="219">#REF!</definedName>
    <definedName name="cConcDesde" localSheetId="220">#REF!</definedName>
    <definedName name="cConcDesde" localSheetId="221">#REF!</definedName>
    <definedName name="cConcDesde" localSheetId="222">#REF!</definedName>
    <definedName name="cConcDesde" localSheetId="223">#REF!</definedName>
    <definedName name="cConcDesde" localSheetId="224">#REF!</definedName>
    <definedName name="cConcDesde" localSheetId="225">#REF!</definedName>
    <definedName name="cConcDesde" localSheetId="226">#REF!</definedName>
    <definedName name="cConcDesde" localSheetId="236">#REF!</definedName>
    <definedName name="cConcDesde" localSheetId="237">#REF!</definedName>
    <definedName name="cConcDesde" localSheetId="238">#REF!</definedName>
    <definedName name="cConcDesde" localSheetId="239">#REF!</definedName>
    <definedName name="cConcDesde" localSheetId="240">#REF!</definedName>
    <definedName name="cConcDesde" localSheetId="252">#REF!</definedName>
    <definedName name="cConcDesde" localSheetId="253">#REF!</definedName>
    <definedName name="cConcDesde" localSheetId="249">#REF!</definedName>
    <definedName name="cConcDesde" localSheetId="0">#REF!</definedName>
    <definedName name="cConcDesde">#REF!</definedName>
    <definedName name="cConcHasta" localSheetId="68">#REF!</definedName>
    <definedName name="cConcHasta" localSheetId="69">#REF!</definedName>
    <definedName name="cConcHasta" localSheetId="70">#REF!</definedName>
    <definedName name="cConcHasta" localSheetId="71">#REF!</definedName>
    <definedName name="cConcHasta" localSheetId="73">#REF!</definedName>
    <definedName name="cConcHasta" localSheetId="74">#REF!</definedName>
    <definedName name="cConcHasta" localSheetId="75">#REF!</definedName>
    <definedName name="cConcHasta" localSheetId="110">#REF!</definedName>
    <definedName name="cConcHasta" localSheetId="116">#REF!</definedName>
    <definedName name="cConcHasta" localSheetId="117">#REF!</definedName>
    <definedName name="cConcHasta" localSheetId="118">#REF!</definedName>
    <definedName name="cConcHasta" localSheetId="119">#REF!</definedName>
    <definedName name="cConcHasta" localSheetId="120">#REF!</definedName>
    <definedName name="cConcHasta" localSheetId="121">#REF!</definedName>
    <definedName name="cConcHasta" localSheetId="122">#REF!</definedName>
    <definedName name="cConcHasta" localSheetId="123">#REF!</definedName>
    <definedName name="cConcHasta" localSheetId="124">#REF!</definedName>
    <definedName name="cConcHasta" localSheetId="125">#REF!</definedName>
    <definedName name="cConcHasta" localSheetId="126">#REF!</definedName>
    <definedName name="cConcHasta" localSheetId="127">#REF!</definedName>
    <definedName name="cConcHasta" localSheetId="128">#REF!</definedName>
    <definedName name="cConcHasta" localSheetId="129">#REF!</definedName>
    <definedName name="cConcHasta" localSheetId="106">#REF!</definedName>
    <definedName name="cConcHasta" localSheetId="107">#REF!</definedName>
    <definedName name="cConcHasta" localSheetId="108">#REF!</definedName>
    <definedName name="cConcHasta" localSheetId="195">#REF!</definedName>
    <definedName name="cConcHasta" localSheetId="197">#REF!</definedName>
    <definedName name="cConcHasta" localSheetId="198">#REF!</definedName>
    <definedName name="cConcHasta" localSheetId="199">#REF!</definedName>
    <definedName name="cConcHasta" localSheetId="200">#REF!</definedName>
    <definedName name="cConcHasta" localSheetId="201">#REF!</definedName>
    <definedName name="cConcHasta" localSheetId="202">#REF!</definedName>
    <definedName name="cConcHasta" localSheetId="203">#REF!</definedName>
    <definedName name="cConcHasta" localSheetId="207">#REF!</definedName>
    <definedName name="cConcHasta" localSheetId="181">#REF!</definedName>
    <definedName name="cConcHasta" localSheetId="209">#REF!</definedName>
    <definedName name="cConcHasta" localSheetId="210">#REF!</definedName>
    <definedName name="cConcHasta" localSheetId="211">#REF!</definedName>
    <definedName name="cConcHasta" localSheetId="212">#REF!</definedName>
    <definedName name="cConcHasta" localSheetId="213">#REF!</definedName>
    <definedName name="cConcHasta" localSheetId="214">#REF!</definedName>
    <definedName name="cConcHasta" localSheetId="215">#REF!</definedName>
    <definedName name="cConcHasta" localSheetId="216">#REF!</definedName>
    <definedName name="cConcHasta" localSheetId="217">#REF!</definedName>
    <definedName name="cConcHasta" localSheetId="218">#REF!</definedName>
    <definedName name="cConcHasta" localSheetId="219">#REF!</definedName>
    <definedName name="cConcHasta" localSheetId="220">#REF!</definedName>
    <definedName name="cConcHasta" localSheetId="221">#REF!</definedName>
    <definedName name="cConcHasta" localSheetId="222">#REF!</definedName>
    <definedName name="cConcHasta" localSheetId="223">#REF!</definedName>
    <definedName name="cConcHasta" localSheetId="224">#REF!</definedName>
    <definedName name="cConcHasta" localSheetId="225">#REF!</definedName>
    <definedName name="cConcHasta" localSheetId="226">#REF!</definedName>
    <definedName name="cConcHasta" localSheetId="236">#REF!</definedName>
    <definedName name="cConcHasta" localSheetId="237">#REF!</definedName>
    <definedName name="cConcHasta" localSheetId="238">#REF!</definedName>
    <definedName name="cConcHasta" localSheetId="239">#REF!</definedName>
    <definedName name="cConcHasta" localSheetId="240">#REF!</definedName>
    <definedName name="cConcHasta" localSheetId="252">#REF!</definedName>
    <definedName name="cConcHasta" localSheetId="253">#REF!</definedName>
    <definedName name="cConcHasta" localSheetId="249">#REF!</definedName>
    <definedName name="cConcHasta" localSheetId="0">#REF!</definedName>
    <definedName name="cConcHasta">#REF!</definedName>
    <definedName name="cFecha" localSheetId="68">#REF!</definedName>
    <definedName name="cFecha" localSheetId="69">#REF!</definedName>
    <definedName name="cFecha" localSheetId="70">#REF!</definedName>
    <definedName name="cFecha" localSheetId="71">#REF!</definedName>
    <definedName name="cFecha" localSheetId="73">#REF!</definedName>
    <definedName name="cFecha" localSheetId="74">#REF!</definedName>
    <definedName name="cFecha" localSheetId="75">#REF!</definedName>
    <definedName name="cFecha" localSheetId="110">#REF!</definedName>
    <definedName name="cFecha" localSheetId="116">#REF!</definedName>
    <definedName name="cFecha" localSheetId="117">#REF!</definedName>
    <definedName name="cFecha" localSheetId="118">#REF!</definedName>
    <definedName name="cFecha" localSheetId="119">#REF!</definedName>
    <definedName name="cFecha" localSheetId="120">#REF!</definedName>
    <definedName name="cFecha" localSheetId="121">#REF!</definedName>
    <definedName name="cFecha" localSheetId="122">#REF!</definedName>
    <definedName name="cFecha" localSheetId="123">#REF!</definedName>
    <definedName name="cFecha" localSheetId="124">#REF!</definedName>
    <definedName name="cFecha" localSheetId="125">#REF!</definedName>
    <definedName name="cFecha" localSheetId="126">#REF!</definedName>
    <definedName name="cFecha" localSheetId="127">#REF!</definedName>
    <definedName name="cFecha" localSheetId="128">#REF!</definedName>
    <definedName name="cFecha" localSheetId="129">#REF!</definedName>
    <definedName name="cFecha" localSheetId="106">#REF!</definedName>
    <definedName name="cFecha" localSheetId="107">#REF!</definedName>
    <definedName name="cFecha" localSheetId="108">#REF!</definedName>
    <definedName name="cFecha" localSheetId="195">#REF!</definedName>
    <definedName name="cFecha" localSheetId="197">#REF!</definedName>
    <definedName name="cFecha" localSheetId="198">#REF!</definedName>
    <definedName name="cFecha" localSheetId="199">#REF!</definedName>
    <definedName name="cFecha" localSheetId="200">#REF!</definedName>
    <definedName name="cFecha" localSheetId="201">#REF!</definedName>
    <definedName name="cFecha" localSheetId="202">#REF!</definedName>
    <definedName name="cFecha" localSheetId="203">#REF!</definedName>
    <definedName name="cFecha" localSheetId="207">#REF!</definedName>
    <definedName name="cFecha" localSheetId="181">#REF!</definedName>
    <definedName name="cFecha" localSheetId="209">#REF!</definedName>
    <definedName name="cFecha" localSheetId="210">#REF!</definedName>
    <definedName name="cFecha" localSheetId="211">#REF!</definedName>
    <definedName name="cFecha" localSheetId="212">#REF!</definedName>
    <definedName name="cFecha" localSheetId="213">#REF!</definedName>
    <definedName name="cFecha" localSheetId="214">#REF!</definedName>
    <definedName name="cFecha" localSheetId="215">#REF!</definedName>
    <definedName name="cFecha" localSheetId="216">#REF!</definedName>
    <definedName name="cFecha" localSheetId="217">#REF!</definedName>
    <definedName name="cFecha" localSheetId="218">#REF!</definedName>
    <definedName name="cFecha" localSheetId="219">#REF!</definedName>
    <definedName name="cFecha" localSheetId="220">#REF!</definedName>
    <definedName name="cFecha" localSheetId="221">#REF!</definedName>
    <definedName name="cFecha" localSheetId="222">#REF!</definedName>
    <definedName name="cFecha" localSheetId="223">#REF!</definedName>
    <definedName name="cFecha" localSheetId="224">#REF!</definedName>
    <definedName name="cFecha" localSheetId="225">#REF!</definedName>
    <definedName name="cFecha" localSheetId="226">#REF!</definedName>
    <definedName name="cFecha" localSheetId="236">#REF!</definedName>
    <definedName name="cFecha" localSheetId="237">#REF!</definedName>
    <definedName name="cFecha" localSheetId="238">#REF!</definedName>
    <definedName name="cFecha" localSheetId="239">#REF!</definedName>
    <definedName name="cFecha" localSheetId="240">#REF!</definedName>
    <definedName name="cFecha" localSheetId="252">#REF!</definedName>
    <definedName name="cFecha" localSheetId="253">#REF!</definedName>
    <definedName name="cFecha" localSheetId="249">#REF!</definedName>
    <definedName name="cFecha" localSheetId="0">#REF!</definedName>
    <definedName name="cFecha">#REF!</definedName>
    <definedName name="CONAF" localSheetId="321" hidden="1">#REF!</definedName>
    <definedName name="CONAF" localSheetId="0" hidden="1">#REF!</definedName>
    <definedName name="CONAF" hidden="1">#REF!</definedName>
    <definedName name="CONAF_2" localSheetId="321" hidden="1">#REF!</definedName>
    <definedName name="CONAF_2" localSheetId="0" hidden="1">#REF!</definedName>
    <definedName name="CONAF_2" hidden="1">#REF!</definedName>
    <definedName name="CONAF_3" localSheetId="321">#REF!</definedName>
    <definedName name="CONAF_3" localSheetId="0">#REF!</definedName>
    <definedName name="CONAF_3">#REF!</definedName>
    <definedName name="coni" localSheetId="68">#REF!</definedName>
    <definedName name="coni" localSheetId="69">#REF!</definedName>
    <definedName name="coni" localSheetId="70">#REF!</definedName>
    <definedName name="coni" localSheetId="71">#REF!</definedName>
    <definedName name="coni" localSheetId="73">#REF!</definedName>
    <definedName name="coni" localSheetId="74">#REF!</definedName>
    <definedName name="coni" localSheetId="75">#REF!</definedName>
    <definedName name="coni" localSheetId="110">#REF!</definedName>
    <definedName name="coni" localSheetId="120">#REF!</definedName>
    <definedName name="coni" localSheetId="123">#REF!</definedName>
    <definedName name="coni" localSheetId="129">#REF!</definedName>
    <definedName name="coni" localSheetId="106">#REF!</definedName>
    <definedName name="coni" localSheetId="107">#REF!</definedName>
    <definedName name="coni" localSheetId="108">#REF!</definedName>
    <definedName name="coni" localSheetId="181">#REF!</definedName>
    <definedName name="coni" localSheetId="236">#REF!</definedName>
    <definedName name="coni" localSheetId="237">#REF!</definedName>
    <definedName name="coni" localSheetId="238">#REF!</definedName>
    <definedName name="coni" localSheetId="239">#REF!</definedName>
    <definedName name="coni" localSheetId="240">#REF!</definedName>
    <definedName name="coni" localSheetId="0">#REF!</definedName>
    <definedName name="coni">#REF!</definedName>
    <definedName name="cURL" localSheetId="68">#REF!</definedName>
    <definedName name="cURL" localSheetId="69">#REF!</definedName>
    <definedName name="cURL" localSheetId="70">#REF!</definedName>
    <definedName name="cURL" localSheetId="71">#REF!</definedName>
    <definedName name="cURL" localSheetId="73">#REF!</definedName>
    <definedName name="cURL" localSheetId="74">#REF!</definedName>
    <definedName name="cURL" localSheetId="75">#REF!</definedName>
    <definedName name="cURL" localSheetId="110">#REF!</definedName>
    <definedName name="cURL" localSheetId="120">#REF!</definedName>
    <definedName name="cURL" localSheetId="123">#REF!</definedName>
    <definedName name="cURL" localSheetId="129">#REF!</definedName>
    <definedName name="cURL" localSheetId="106">#REF!</definedName>
    <definedName name="cURL" localSheetId="107">#REF!</definedName>
    <definedName name="cURL" localSheetId="108">#REF!</definedName>
    <definedName name="cURL" localSheetId="181">#REF!</definedName>
    <definedName name="cURL" localSheetId="236">#REF!</definedName>
    <definedName name="cURL" localSheetId="237">#REF!</definedName>
    <definedName name="cURL" localSheetId="238">#REF!</definedName>
    <definedName name="cURL" localSheetId="239">#REF!</definedName>
    <definedName name="cURL" localSheetId="240">#REF!</definedName>
    <definedName name="cURL" localSheetId="252">#REF!</definedName>
    <definedName name="cURL" localSheetId="253">#REF!</definedName>
    <definedName name="cURL" localSheetId="249">#REF!</definedName>
    <definedName name="cURL" localSheetId="0">#REF!</definedName>
    <definedName name="cURL">#REF!</definedName>
    <definedName name="GT_mercancia_nacional" localSheetId="302">'24.17'!#REF!</definedName>
    <definedName name="GT_mercancia_nacionalizada" localSheetId="302">'24.17'!#REF!</definedName>
    <definedName name="MO" localSheetId="68">#REF!</definedName>
    <definedName name="MO" localSheetId="69">#REF!</definedName>
    <definedName name="MO" localSheetId="70">#REF!</definedName>
    <definedName name="MO" localSheetId="71">#REF!</definedName>
    <definedName name="MO" localSheetId="73">#REF!</definedName>
    <definedName name="MO" localSheetId="74">#REF!</definedName>
    <definedName name="MO" localSheetId="75">#REF!</definedName>
    <definedName name="MO" localSheetId="110">#REF!</definedName>
    <definedName name="MO" localSheetId="120">#REF!</definedName>
    <definedName name="MO" localSheetId="123">#REF!</definedName>
    <definedName name="MO" localSheetId="129">#REF!</definedName>
    <definedName name="MO" localSheetId="106">#REF!</definedName>
    <definedName name="MO" localSheetId="107">#REF!</definedName>
    <definedName name="MO" localSheetId="108">#REF!</definedName>
    <definedName name="MO" localSheetId="181">#REF!</definedName>
    <definedName name="MO" localSheetId="236">#REF!</definedName>
    <definedName name="MO" localSheetId="237">#REF!</definedName>
    <definedName name="MO" localSheetId="238">#REF!</definedName>
    <definedName name="MO" localSheetId="239">#REF!</definedName>
    <definedName name="MO" localSheetId="240">#REF!</definedName>
    <definedName name="MO" localSheetId="0">#REF!</definedName>
    <definedName name="MO">#REF!</definedName>
    <definedName name="rApO" localSheetId="68">#REF!</definedName>
    <definedName name="rApO" localSheetId="69">#REF!</definedName>
    <definedName name="rApO" localSheetId="70">#REF!</definedName>
    <definedName name="rApO" localSheetId="71">#REF!</definedName>
    <definedName name="rApO" localSheetId="73">#REF!</definedName>
    <definedName name="rApO" localSheetId="74">#REF!</definedName>
    <definedName name="rApO" localSheetId="75">#REF!</definedName>
    <definedName name="rApO" localSheetId="110">#REF!</definedName>
    <definedName name="rApO" localSheetId="120">#REF!</definedName>
    <definedName name="rApO" localSheetId="123">#REF!</definedName>
    <definedName name="rApO" localSheetId="129">#REF!</definedName>
    <definedName name="rApO" localSheetId="106">#REF!</definedName>
    <definedName name="rApO" localSheetId="107">#REF!</definedName>
    <definedName name="rApO" localSheetId="108">#REF!</definedName>
    <definedName name="rApO" localSheetId="181">#REF!</definedName>
    <definedName name="rApO" localSheetId="236">#REF!</definedName>
    <definedName name="rApO" localSheetId="237">#REF!</definedName>
    <definedName name="rApO" localSheetId="238">#REF!</definedName>
    <definedName name="rApO" localSheetId="239">#REF!</definedName>
    <definedName name="rApO" localSheetId="240">#REF!</definedName>
    <definedName name="rApO" localSheetId="252">#REF!</definedName>
    <definedName name="rApO" localSheetId="253">#REF!</definedName>
    <definedName name="rApO" localSheetId="249">#REF!</definedName>
    <definedName name="rApO" localSheetId="0">#REF!</definedName>
    <definedName name="rApO">#REF!</definedName>
    <definedName name="rApP" localSheetId="68">#REF!</definedName>
    <definedName name="rApP" localSheetId="69">#REF!</definedName>
    <definedName name="rApP" localSheetId="70">#REF!</definedName>
    <definedName name="rApP" localSheetId="71">#REF!</definedName>
    <definedName name="rApP" localSheetId="73">#REF!</definedName>
    <definedName name="rApP" localSheetId="74">#REF!</definedName>
    <definedName name="rApP" localSheetId="75">#REF!</definedName>
    <definedName name="rApP" localSheetId="110">#REF!</definedName>
    <definedName name="rApP" localSheetId="120">#REF!</definedName>
    <definedName name="rApP" localSheetId="123">#REF!</definedName>
    <definedName name="rApP" localSheetId="129">#REF!</definedName>
    <definedName name="rApP" localSheetId="106">#REF!</definedName>
    <definedName name="rApP" localSheetId="107">#REF!</definedName>
    <definedName name="rApP" localSheetId="108">#REF!</definedName>
    <definedName name="rApP" localSheetId="181">#REF!</definedName>
    <definedName name="rApP" localSheetId="236">#REF!</definedName>
    <definedName name="rApP" localSheetId="237">#REF!</definedName>
    <definedName name="rApP" localSheetId="238">#REF!</definedName>
    <definedName name="rApP" localSheetId="239">#REF!</definedName>
    <definedName name="rApP" localSheetId="240">#REF!</definedName>
    <definedName name="rApP" localSheetId="252">#REF!</definedName>
    <definedName name="rApP" localSheetId="253">#REF!</definedName>
    <definedName name="rApP" localSheetId="249">#REF!</definedName>
    <definedName name="rApP" localSheetId="0">#REF!</definedName>
    <definedName name="rApP">#REF!</definedName>
    <definedName name="rDif" localSheetId="68">#REF!</definedName>
    <definedName name="rDif" localSheetId="69">#REF!</definedName>
    <definedName name="rDif" localSheetId="70">#REF!</definedName>
    <definedName name="rDif" localSheetId="71">#REF!</definedName>
    <definedName name="rDif" localSheetId="73">#REF!</definedName>
    <definedName name="rDif" localSheetId="74">#REF!</definedName>
    <definedName name="rDif" localSheetId="75">#REF!</definedName>
    <definedName name="rDif" localSheetId="110">#REF!</definedName>
    <definedName name="rDif" localSheetId="120">#REF!</definedName>
    <definedName name="rDif" localSheetId="123">#REF!</definedName>
    <definedName name="rDif" localSheetId="129">#REF!</definedName>
    <definedName name="rDif" localSheetId="106">#REF!</definedName>
    <definedName name="rDif" localSheetId="107">#REF!</definedName>
    <definedName name="rDif" localSheetId="108">#REF!</definedName>
    <definedName name="rDif" localSheetId="181">#REF!</definedName>
    <definedName name="rDif" localSheetId="236">#REF!</definedName>
    <definedName name="rDif" localSheetId="237">#REF!</definedName>
    <definedName name="rDif" localSheetId="238">#REF!</definedName>
    <definedName name="rDif" localSheetId="239">#REF!</definedName>
    <definedName name="rDif" localSheetId="240">#REF!</definedName>
    <definedName name="rDif" localSheetId="252">#REF!</definedName>
    <definedName name="rDif" localSheetId="253">#REF!</definedName>
    <definedName name="rDif" localSheetId="249">#REF!</definedName>
    <definedName name="rDif" localSheetId="0">#REF!</definedName>
    <definedName name="rDif">#REF!</definedName>
    <definedName name="rHon" localSheetId="68">#REF!</definedName>
    <definedName name="rHon" localSheetId="69">#REF!</definedName>
    <definedName name="rHon" localSheetId="70">#REF!</definedName>
    <definedName name="rHon" localSheetId="71">#REF!</definedName>
    <definedName name="rHon" localSheetId="73">#REF!</definedName>
    <definedName name="rHon" localSheetId="74">#REF!</definedName>
    <definedName name="rHon" localSheetId="75">#REF!</definedName>
    <definedName name="rHon" localSheetId="110">#REF!</definedName>
    <definedName name="rHon" localSheetId="120">#REF!</definedName>
    <definedName name="rHon" localSheetId="123">#REF!</definedName>
    <definedName name="rHon" localSheetId="129">#REF!</definedName>
    <definedName name="rHon" localSheetId="106">#REF!</definedName>
    <definedName name="rHon" localSheetId="107">#REF!</definedName>
    <definedName name="rHon" localSheetId="108">#REF!</definedName>
    <definedName name="rHon" localSheetId="181">#REF!</definedName>
    <definedName name="rHon" localSheetId="236">#REF!</definedName>
    <definedName name="rHon" localSheetId="237">#REF!</definedName>
    <definedName name="rHon" localSheetId="238">#REF!</definedName>
    <definedName name="rHon" localSheetId="239">#REF!</definedName>
    <definedName name="rHon" localSheetId="240">#REF!</definedName>
    <definedName name="rHon" localSheetId="252">#REF!</definedName>
    <definedName name="rHon" localSheetId="253">#REF!</definedName>
    <definedName name="rHon" localSheetId="249">#REF!</definedName>
    <definedName name="rHon" localSheetId="0">#REF!</definedName>
    <definedName name="rHon">#REF!</definedName>
    <definedName name="rInv" localSheetId="68">#REF!</definedName>
    <definedName name="rInv" localSheetId="69">#REF!</definedName>
    <definedName name="rInv" localSheetId="70">#REF!</definedName>
    <definedName name="rInv" localSheetId="71">#REF!</definedName>
    <definedName name="rInv" localSheetId="73">#REF!</definedName>
    <definedName name="rInv" localSheetId="74">#REF!</definedName>
    <definedName name="rInv" localSheetId="75">#REF!</definedName>
    <definedName name="rInv" localSheetId="110">#REF!</definedName>
    <definedName name="rInv" localSheetId="120">#REF!</definedName>
    <definedName name="rInv" localSheetId="123">#REF!</definedName>
    <definedName name="rInv" localSheetId="129">#REF!</definedName>
    <definedName name="rInv" localSheetId="106">#REF!</definedName>
    <definedName name="rInv" localSheetId="107">#REF!</definedName>
    <definedName name="rInv" localSheetId="108">#REF!</definedName>
    <definedName name="rInv" localSheetId="181">#REF!</definedName>
    <definedName name="rInv" localSheetId="236">#REF!</definedName>
    <definedName name="rInv" localSheetId="237">#REF!</definedName>
    <definedName name="rInv" localSheetId="238">#REF!</definedName>
    <definedName name="rInv" localSheetId="239">#REF!</definedName>
    <definedName name="rInv" localSheetId="240">#REF!</definedName>
    <definedName name="rInv" localSheetId="252">#REF!</definedName>
    <definedName name="rInv" localSheetId="253">#REF!</definedName>
    <definedName name="rInv" localSheetId="249">#REF!</definedName>
    <definedName name="rInv" localSheetId="0">#REF!</definedName>
    <definedName name="rInv">#REF!</definedName>
    <definedName name="rOpe" localSheetId="68">#REF!</definedName>
    <definedName name="rOpe" localSheetId="69">#REF!</definedName>
    <definedName name="rOpe" localSheetId="70">#REF!</definedName>
    <definedName name="rOpe" localSheetId="71">#REF!</definedName>
    <definedName name="rOpe" localSheetId="73">#REF!</definedName>
    <definedName name="rOpe" localSheetId="74">#REF!</definedName>
    <definedName name="rOpe" localSheetId="75">#REF!</definedName>
    <definedName name="rOpe" localSheetId="110">#REF!</definedName>
    <definedName name="rOpe" localSheetId="120">#REF!</definedName>
    <definedName name="rOpe" localSheetId="123">#REF!</definedName>
    <definedName name="rOpe" localSheetId="129">#REF!</definedName>
    <definedName name="rOpe" localSheetId="106">#REF!</definedName>
    <definedName name="rOpe" localSheetId="107">#REF!</definedName>
    <definedName name="rOpe" localSheetId="108">#REF!</definedName>
    <definedName name="rOpe" localSheetId="181">#REF!</definedName>
    <definedName name="rOpe" localSheetId="236">#REF!</definedName>
    <definedName name="rOpe" localSheetId="237">#REF!</definedName>
    <definedName name="rOpe" localSheetId="238">#REF!</definedName>
    <definedName name="rOpe" localSheetId="239">#REF!</definedName>
    <definedName name="rOpe" localSheetId="240">#REF!</definedName>
    <definedName name="rOpe" localSheetId="252">#REF!</definedName>
    <definedName name="rOpe" localSheetId="253">#REF!</definedName>
    <definedName name="rOpe" localSheetId="249">#REF!</definedName>
    <definedName name="rOpe" localSheetId="0">#REF!</definedName>
    <definedName name="rOpe">#REF!</definedName>
    <definedName name="_xlnm.Print_Titles" localSheetId="223">'16.45'!$A:$A,'16.45'!$2:$5</definedName>
    <definedName name="_xlnm.Print_Titles" localSheetId="245">'19.3'!$A:$K</definedName>
    <definedName name="_xlnm.Print_Titles" localSheetId="319">'26.11'!$2:$5</definedName>
    <definedName name="_xlnm.Print_Titles" localSheetId="315">'26.7'!$3:$5</definedName>
    <definedName name="yyy" localSheetId="68" hidden="1">#REF!</definedName>
    <definedName name="yyy" localSheetId="69" hidden="1">#REF!</definedName>
    <definedName name="yyy" localSheetId="70" hidden="1">#REF!</definedName>
    <definedName name="yyy" localSheetId="71" hidden="1">#REF!</definedName>
    <definedName name="yyy" localSheetId="0" hidden="1">#REF!</definedName>
    <definedName name="yyy" hidden="1">#REF!</definedName>
    <definedName name="Z_51FBA572_2699_42A1_9123_1A6459BBB26F_.wvu.FilterData" localSheetId="319" hidden="1">'26.11'!#REF!</definedName>
    <definedName name="Z_51FBA572_2699_42A1_9123_1A6459BBB26F_.wvu.FilterData" localSheetId="315" hidden="1">'26.7'!#REF!</definedName>
    <definedName name="Z_51FBA572_2699_42A1_9123_1A6459BBB26F_.wvu.PrintArea" localSheetId="112" hidden="1">'14.13'!$A$2:$D$14</definedName>
    <definedName name="Z_51FBA572_2699_42A1_9123_1A6459BBB26F_.wvu.PrintArea" localSheetId="222" hidden="1">'16.44'!$A$2:$G$23</definedName>
    <definedName name="Z_51FBA572_2699_42A1_9123_1A6459BBB26F_.wvu.PrintArea" localSheetId="223" hidden="1">'16.45'!$A$2:$N$24</definedName>
    <definedName name="Z_51FBA572_2699_42A1_9123_1A6459BBB26F_.wvu.PrintArea" localSheetId="238" hidden="1">'18.3'!$A$1:$F$37</definedName>
    <definedName name="Z_51FBA572_2699_42A1_9123_1A6459BBB26F_.wvu.PrintArea" localSheetId="239" hidden="1">'18.4'!$A$1:$H$30</definedName>
    <definedName name="Z_51FBA572_2699_42A1_9123_1A6459BBB26F_.wvu.PrintArea" localSheetId="319" hidden="1">'26.11'!#REF!</definedName>
    <definedName name="Z_51FBA572_2699_42A1_9123_1A6459BBB26F_.wvu.PrintArea" localSheetId="315" hidden="1">'26.7'!#REF!</definedName>
    <definedName name="Z_51FBA572_2699_42A1_9123_1A6459BBB26F_.wvu.PrintTitles" localSheetId="223" hidden="1">'16.45'!$A:$A,'16.45'!$2:$5</definedName>
    <definedName name="Z_51FBA572_2699_42A1_9123_1A6459BBB26F_.wvu.PrintTitles" localSheetId="319" hidden="1">'26.11'!$2:$5</definedName>
    <definedName name="Z_51FBA572_2699_42A1_9123_1A6459BBB26F_.wvu.PrintTitles" localSheetId="315" hidden="1">'26.7'!$3:$5</definedName>
    <definedName name="Z_BE7EB97C_E11C_4B62_A8D0_356ED063A064_.wvu.FilterData" localSheetId="319" hidden="1">'26.11'!#REF!</definedName>
    <definedName name="Z_BE7EB97C_E11C_4B62_A8D0_356ED063A064_.wvu.FilterData" localSheetId="315" hidden="1">'26.7'!#REF!</definedName>
    <definedName name="Z_BE7EB97C_E11C_4B62_A8D0_356ED063A064_.wvu.PrintArea" localSheetId="112" hidden="1">'14.13'!$A$2:$D$14</definedName>
    <definedName name="Z_BE7EB97C_E11C_4B62_A8D0_356ED063A064_.wvu.PrintArea" localSheetId="222" hidden="1">'16.44'!$A$2:$G$23</definedName>
    <definedName name="Z_BE7EB97C_E11C_4B62_A8D0_356ED063A064_.wvu.PrintArea" localSheetId="223" hidden="1">'16.45'!$A$2:$N$24</definedName>
    <definedName name="Z_BE7EB97C_E11C_4B62_A8D0_356ED063A064_.wvu.PrintArea" localSheetId="238" hidden="1">'18.3'!$A$1:$F$37</definedName>
    <definedName name="Z_BE7EB97C_E11C_4B62_A8D0_356ED063A064_.wvu.PrintArea" localSheetId="239" hidden="1">'18.4'!$A$1:$H$30</definedName>
    <definedName name="Z_BE7EB97C_E11C_4B62_A8D0_356ED063A064_.wvu.PrintArea" localSheetId="319" hidden="1">'26.11'!#REF!</definedName>
    <definedName name="Z_BE7EB97C_E11C_4B62_A8D0_356ED063A064_.wvu.PrintArea" localSheetId="315" hidden="1">'26.7'!#REF!</definedName>
    <definedName name="Z_BE7EB97C_E11C_4B62_A8D0_356ED063A064_.wvu.PrintTitles" localSheetId="223" hidden="1">'16.45'!$A:$A,'16.45'!$2:$5</definedName>
    <definedName name="Z_BE7EB97C_E11C_4B62_A8D0_356ED063A064_.wvu.PrintTitles" localSheetId="319" hidden="1">'26.11'!$2:$5</definedName>
    <definedName name="Z_BE7EB97C_E11C_4B62_A8D0_356ED063A064_.wvu.PrintTitles" localSheetId="315" hidden="1">'26.7'!$3:$5</definedName>
    <definedName name="Z_C24E30C0_020A_4E2D_954B_FCF38865B0E1_.wvu.FilterData" localSheetId="319" hidden="1">'26.11'!#REF!</definedName>
    <definedName name="Z_C24E30C0_020A_4E2D_954B_FCF38865B0E1_.wvu.FilterData" localSheetId="315" hidden="1">'26.7'!#REF!</definedName>
    <definedName name="Z_C24E30C0_020A_4E2D_954B_FCF38865B0E1_.wvu.PrintArea" localSheetId="112" hidden="1">'14.13'!$A$2:$D$14</definedName>
    <definedName name="Z_C24E30C0_020A_4E2D_954B_FCF38865B0E1_.wvu.PrintArea" localSheetId="222" hidden="1">'16.44'!$A$2:$G$23</definedName>
    <definedName name="Z_C24E30C0_020A_4E2D_954B_FCF38865B0E1_.wvu.PrintArea" localSheetId="223" hidden="1">'16.45'!$A$2:$N$24</definedName>
    <definedName name="Z_C24E30C0_020A_4E2D_954B_FCF38865B0E1_.wvu.PrintArea" localSheetId="238" hidden="1">'18.3'!$A$1:$F$37</definedName>
    <definedName name="Z_C24E30C0_020A_4E2D_954B_FCF38865B0E1_.wvu.PrintArea" localSheetId="239" hidden="1">'18.4'!$A$1:$H$30</definedName>
    <definedName name="Z_C24E30C0_020A_4E2D_954B_FCF38865B0E1_.wvu.PrintArea" localSheetId="319" hidden="1">'26.11'!#REF!</definedName>
    <definedName name="Z_C24E30C0_020A_4E2D_954B_FCF38865B0E1_.wvu.PrintArea" localSheetId="315" hidden="1">'26.7'!#REF!</definedName>
    <definedName name="Z_C24E30C0_020A_4E2D_954B_FCF38865B0E1_.wvu.PrintTitles" localSheetId="223" hidden="1">'16.45'!$A:$A,'16.45'!$2:$5</definedName>
    <definedName name="Z_C24E30C0_020A_4E2D_954B_FCF38865B0E1_.wvu.PrintTitles" localSheetId="319" hidden="1">'26.11'!$2:$5</definedName>
    <definedName name="Z_C24E30C0_020A_4E2D_954B_FCF38865B0E1_.wvu.PrintTitles" localSheetId="315" hidden="1">'26.7'!$3:$5</definedName>
  </definedNames>
  <calcPr calcId="125725"/>
</workbook>
</file>

<file path=xl/calcChain.xml><?xml version="1.0" encoding="utf-8"?>
<calcChain xmlns="http://schemas.openxmlformats.org/spreadsheetml/2006/main">
  <c r="F6" i="340"/>
  <c r="K9" i="159" l="1"/>
  <c r="D5" i="115"/>
  <c r="B6" i="60" l="1"/>
  <c r="C6" i="204" l="1"/>
  <c r="B6"/>
  <c r="B8" i="201" l="1"/>
  <c r="B9" i="202" l="1"/>
  <c r="B10"/>
  <c r="B11"/>
  <c r="B12"/>
  <c r="B13"/>
  <c r="B14"/>
  <c r="B15"/>
  <c r="B16"/>
  <c r="B17"/>
  <c r="B18"/>
  <c r="B8"/>
  <c r="G6" i="344" l="1"/>
  <c r="F6"/>
  <c r="E6"/>
  <c r="D6"/>
  <c r="C6"/>
  <c r="B6"/>
  <c r="G5" i="343"/>
  <c r="F5"/>
  <c r="E5"/>
  <c r="D5"/>
  <c r="C5"/>
  <c r="B5"/>
  <c r="M6" i="341"/>
  <c r="L6"/>
  <c r="K6"/>
  <c r="J6"/>
  <c r="I6"/>
  <c r="H6"/>
  <c r="G6"/>
  <c r="F6"/>
  <c r="E6"/>
  <c r="D6"/>
  <c r="C6"/>
  <c r="B6"/>
  <c r="B23" i="340"/>
  <c r="B22"/>
  <c r="B21"/>
  <c r="B20"/>
  <c r="B19"/>
  <c r="B18"/>
  <c r="B17"/>
  <c r="B16"/>
  <c r="B15"/>
  <c r="B14"/>
  <c r="B13"/>
  <c r="B12"/>
  <c r="B11"/>
  <c r="B10"/>
  <c r="B9"/>
  <c r="B8"/>
  <c r="B6" s="1"/>
  <c r="B7"/>
  <c r="G6"/>
  <c r="E6"/>
  <c r="D6"/>
  <c r="C6"/>
  <c r="B23" i="339"/>
  <c r="B22"/>
  <c r="B21"/>
  <c r="B20"/>
  <c r="B19"/>
  <c r="B18"/>
  <c r="B17"/>
  <c r="B16"/>
  <c r="B15"/>
  <c r="B14"/>
  <c r="B13"/>
  <c r="B12"/>
  <c r="B11"/>
  <c r="B10"/>
  <c r="B9"/>
  <c r="B8"/>
  <c r="B7"/>
  <c r="H6"/>
  <c r="G6"/>
  <c r="F6"/>
  <c r="E6"/>
  <c r="D6"/>
  <c r="C6"/>
  <c r="B44" i="338"/>
  <c r="B43"/>
  <c r="B42"/>
  <c r="B41"/>
  <c r="B40"/>
  <c r="B39"/>
  <c r="B38"/>
  <c r="B37"/>
  <c r="B36"/>
  <c r="B35"/>
  <c r="B34"/>
  <c r="B33"/>
  <c r="B32"/>
  <c r="B31"/>
  <c r="B30"/>
  <c r="B29"/>
  <c r="B28"/>
  <c r="B27"/>
  <c r="B26"/>
  <c r="B25"/>
  <c r="B24"/>
  <c r="B23"/>
  <c r="B22"/>
  <c r="B21"/>
  <c r="B20"/>
  <c r="B19"/>
  <c r="B18"/>
  <c r="B17"/>
  <c r="B16"/>
  <c r="B15"/>
  <c r="B14"/>
  <c r="B13"/>
  <c r="B12"/>
  <c r="B11"/>
  <c r="B10"/>
  <c r="B9"/>
  <c r="B6" s="1"/>
  <c r="B8"/>
  <c r="B7"/>
  <c r="F6"/>
  <c r="E6"/>
  <c r="D6"/>
  <c r="C6"/>
  <c r="B19" i="337"/>
  <c r="B18"/>
  <c r="B17"/>
  <c r="B16"/>
  <c r="B15"/>
  <c r="B14"/>
  <c r="B13"/>
  <c r="B12"/>
  <c r="B11"/>
  <c r="B10"/>
  <c r="B9"/>
  <c r="B7" s="1"/>
  <c r="B8"/>
  <c r="F7"/>
  <c r="E7"/>
  <c r="D7"/>
  <c r="C7"/>
  <c r="B22" i="336"/>
  <c r="B21"/>
  <c r="B20"/>
  <c r="B19"/>
  <c r="B18"/>
  <c r="B17"/>
  <c r="B16"/>
  <c r="B15"/>
  <c r="B14"/>
  <c r="B13"/>
  <c r="B12"/>
  <c r="B11"/>
  <c r="B10"/>
  <c r="B9"/>
  <c r="B7" s="1"/>
  <c r="B8"/>
  <c r="F7"/>
  <c r="E7"/>
  <c r="D7"/>
  <c r="C7"/>
  <c r="B192" i="335"/>
  <c r="B191"/>
  <c r="H190"/>
  <c r="G190"/>
  <c r="F190"/>
  <c r="E190"/>
  <c r="B190" s="1"/>
  <c r="D190"/>
  <c r="C190"/>
  <c r="B189"/>
  <c r="H188"/>
  <c r="G188"/>
  <c r="F188"/>
  <c r="E188"/>
  <c r="D188"/>
  <c r="C188"/>
  <c r="B187"/>
  <c r="B186"/>
  <c r="B185"/>
  <c r="B184"/>
  <c r="B183"/>
  <c r="B182"/>
  <c r="B181"/>
  <c r="H180"/>
  <c r="G180"/>
  <c r="F180"/>
  <c r="E180"/>
  <c r="D180"/>
  <c r="C180"/>
  <c r="B180" s="1"/>
  <c r="B179"/>
  <c r="B178"/>
  <c r="B177"/>
  <c r="B176"/>
  <c r="B175"/>
  <c r="H174"/>
  <c r="G174"/>
  <c r="F174"/>
  <c r="E174"/>
  <c r="D174"/>
  <c r="C174"/>
  <c r="B173"/>
  <c r="B172"/>
  <c r="B171"/>
  <c r="B170"/>
  <c r="B169"/>
  <c r="B168"/>
  <c r="B167"/>
  <c r="B166"/>
  <c r="H165"/>
  <c r="G165"/>
  <c r="F165"/>
  <c r="E165"/>
  <c r="D165"/>
  <c r="C165"/>
  <c r="B165"/>
  <c r="B164"/>
  <c r="B163"/>
  <c r="B162"/>
  <c r="B161"/>
  <c r="B160"/>
  <c r="B159"/>
  <c r="B158"/>
  <c r="B157"/>
  <c r="B156"/>
  <c r="B155"/>
  <c r="B154"/>
  <c r="B153"/>
  <c r="B152"/>
  <c r="B151"/>
  <c r="B150"/>
  <c r="H149"/>
  <c r="G149"/>
  <c r="F149"/>
  <c r="E149"/>
  <c r="D149"/>
  <c r="B149" s="1"/>
  <c r="C149"/>
  <c r="B148"/>
  <c r="B147"/>
  <c r="B146"/>
  <c r="B145"/>
  <c r="B144"/>
  <c r="B143"/>
  <c r="B142"/>
  <c r="B141"/>
  <c r="B140"/>
  <c r="B139"/>
  <c r="B138"/>
  <c r="B137"/>
  <c r="B136"/>
  <c r="B135"/>
  <c r="B134"/>
  <c r="B133"/>
  <c r="H132"/>
  <c r="G132"/>
  <c r="F132"/>
  <c r="E132"/>
  <c r="D132"/>
  <c r="C132"/>
  <c r="B131"/>
  <c r="B130"/>
  <c r="B129"/>
  <c r="B128"/>
  <c r="B127"/>
  <c r="B126"/>
  <c r="B125"/>
  <c r="H124"/>
  <c r="G124"/>
  <c r="F124"/>
  <c r="E124"/>
  <c r="D124"/>
  <c r="C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H73"/>
  <c r="G73"/>
  <c r="F73"/>
  <c r="E73"/>
  <c r="D73"/>
  <c r="C73"/>
  <c r="B73" s="1"/>
  <c r="B72"/>
  <c r="B71"/>
  <c r="B70"/>
  <c r="B69"/>
  <c r="B68"/>
  <c r="B67"/>
  <c r="B66"/>
  <c r="B65"/>
  <c r="B64"/>
  <c r="B63"/>
  <c r="B62"/>
  <c r="B61"/>
  <c r="B60"/>
  <c r="B59"/>
  <c r="B58"/>
  <c r="B57"/>
  <c r="B56"/>
  <c r="B55"/>
  <c r="B54"/>
  <c r="B53"/>
  <c r="B52"/>
  <c r="B51"/>
  <c r="B50"/>
  <c r="B49"/>
  <c r="B48"/>
  <c r="B47"/>
  <c r="B46"/>
  <c r="B45"/>
  <c r="B44"/>
  <c r="H43"/>
  <c r="G43"/>
  <c r="F43"/>
  <c r="E43"/>
  <c r="D43"/>
  <c r="C43"/>
  <c r="B43" s="1"/>
  <c r="B42"/>
  <c r="B41"/>
  <c r="B40"/>
  <c r="B39"/>
  <c r="B38"/>
  <c r="B37"/>
  <c r="H36"/>
  <c r="G36"/>
  <c r="F36"/>
  <c r="E36"/>
  <c r="D36"/>
  <c r="C36"/>
  <c r="B35"/>
  <c r="B34"/>
  <c r="B33"/>
  <c r="B32"/>
  <c r="B31"/>
  <c r="B30"/>
  <c r="B29"/>
  <c r="H28"/>
  <c r="G28"/>
  <c r="F28"/>
  <c r="E28"/>
  <c r="B28" s="1"/>
  <c r="D28"/>
  <c r="C28"/>
  <c r="B27"/>
  <c r="B26"/>
  <c r="B25"/>
  <c r="B24"/>
  <c r="H23"/>
  <c r="G23"/>
  <c r="F23"/>
  <c r="E23"/>
  <c r="D23"/>
  <c r="C23"/>
  <c r="B22"/>
  <c r="B21"/>
  <c r="B20"/>
  <c r="B19"/>
  <c r="B18"/>
  <c r="B17"/>
  <c r="H16"/>
  <c r="G16"/>
  <c r="F16"/>
  <c r="E16"/>
  <c r="D16"/>
  <c r="C16"/>
  <c r="B15"/>
  <c r="B14"/>
  <c r="B13"/>
  <c r="B12"/>
  <c r="B11"/>
  <c r="B10"/>
  <c r="B9"/>
  <c r="H8"/>
  <c r="H7" s="1"/>
  <c r="G8"/>
  <c r="F8"/>
  <c r="E8"/>
  <c r="D8"/>
  <c r="D7" s="1"/>
  <c r="C8"/>
  <c r="B33" i="334"/>
  <c r="B32"/>
  <c r="B31"/>
  <c r="B30"/>
  <c r="B29"/>
  <c r="B28"/>
  <c r="B27"/>
  <c r="B26"/>
  <c r="B25"/>
  <c r="B24"/>
  <c r="B23"/>
  <c r="B22"/>
  <c r="B21"/>
  <c r="B20"/>
  <c r="B19"/>
  <c r="B18"/>
  <c r="B17"/>
  <c r="B16"/>
  <c r="B15"/>
  <c r="B14"/>
  <c r="B13"/>
  <c r="B12"/>
  <c r="B11"/>
  <c r="B10"/>
  <c r="B9"/>
  <c r="B8"/>
  <c r="B7"/>
  <c r="L6"/>
  <c r="K6"/>
  <c r="J6"/>
  <c r="I6"/>
  <c r="H6"/>
  <c r="G6"/>
  <c r="F6"/>
  <c r="E6"/>
  <c r="D6"/>
  <c r="C6"/>
  <c r="B133" i="333"/>
  <c r="B132"/>
  <c r="B131"/>
  <c r="B130"/>
  <c r="B129"/>
  <c r="B128"/>
  <c r="B127"/>
  <c r="H126"/>
  <c r="G126"/>
  <c r="F126"/>
  <c r="E126"/>
  <c r="D126"/>
  <c r="C126"/>
  <c r="B126"/>
  <c r="B125"/>
  <c r="B124"/>
  <c r="B123"/>
  <c r="B122"/>
  <c r="B121"/>
  <c r="B120"/>
  <c r="B119"/>
  <c r="H118"/>
  <c r="G118"/>
  <c r="F118"/>
  <c r="E118"/>
  <c r="D118"/>
  <c r="C118"/>
  <c r="B118" s="1"/>
  <c r="B117"/>
  <c r="B116"/>
  <c r="B115"/>
  <c r="B114"/>
  <c r="B113"/>
  <c r="B112"/>
  <c r="B111"/>
  <c r="H110"/>
  <c r="G110"/>
  <c r="F110"/>
  <c r="E110"/>
  <c r="D110"/>
  <c r="C110"/>
  <c r="B110"/>
  <c r="B109"/>
  <c r="B108"/>
  <c r="B107"/>
  <c r="B106"/>
  <c r="B105"/>
  <c r="B104"/>
  <c r="B103"/>
  <c r="H102"/>
  <c r="G102"/>
  <c r="F102"/>
  <c r="E102"/>
  <c r="D102"/>
  <c r="B102" s="1"/>
  <c r="C102"/>
  <c r="B101"/>
  <c r="B100"/>
  <c r="B99"/>
  <c r="B98"/>
  <c r="B97"/>
  <c r="B96"/>
  <c r="B95"/>
  <c r="H94"/>
  <c r="G94"/>
  <c r="F94"/>
  <c r="E94"/>
  <c r="D94"/>
  <c r="C94"/>
  <c r="B94"/>
  <c r="B93"/>
  <c r="B92"/>
  <c r="B91"/>
  <c r="B90"/>
  <c r="B89"/>
  <c r="B88"/>
  <c r="B87"/>
  <c r="H86"/>
  <c r="G86"/>
  <c r="F86"/>
  <c r="E86"/>
  <c r="D86"/>
  <c r="B86" s="1"/>
  <c r="C86"/>
  <c r="B85"/>
  <c r="B84"/>
  <c r="B83"/>
  <c r="B82"/>
  <c r="B81"/>
  <c r="B80"/>
  <c r="B79"/>
  <c r="H78"/>
  <c r="G78"/>
  <c r="F78"/>
  <c r="E78"/>
  <c r="D78"/>
  <c r="C78"/>
  <c r="B78"/>
  <c r="B77"/>
  <c r="B76"/>
  <c r="B75"/>
  <c r="B74"/>
  <c r="B73"/>
  <c r="B72"/>
  <c r="B71"/>
  <c r="H70"/>
  <c r="G70"/>
  <c r="F70"/>
  <c r="E70"/>
  <c r="D70"/>
  <c r="B70" s="1"/>
  <c r="C70"/>
  <c r="B69"/>
  <c r="B68"/>
  <c r="B67"/>
  <c r="B66"/>
  <c r="B65"/>
  <c r="B64"/>
  <c r="B63"/>
  <c r="H62"/>
  <c r="G62"/>
  <c r="F62"/>
  <c r="E62"/>
  <c r="D62"/>
  <c r="C62"/>
  <c r="B62"/>
  <c r="B61"/>
  <c r="B60"/>
  <c r="B59"/>
  <c r="B58"/>
  <c r="B57"/>
  <c r="B56"/>
  <c r="B55"/>
  <c r="H54"/>
  <c r="G54"/>
  <c r="F54"/>
  <c r="E54"/>
  <c r="D54"/>
  <c r="B54" s="1"/>
  <c r="C54"/>
  <c r="B53"/>
  <c r="B52"/>
  <c r="B51"/>
  <c r="B50"/>
  <c r="B49"/>
  <c r="B48"/>
  <c r="B47"/>
  <c r="H46"/>
  <c r="G46"/>
  <c r="F46"/>
  <c r="E46"/>
  <c r="D46"/>
  <c r="C46"/>
  <c r="B46"/>
  <c r="B45"/>
  <c r="B44"/>
  <c r="B43"/>
  <c r="B42"/>
  <c r="B41"/>
  <c r="B40"/>
  <c r="B39"/>
  <c r="B38" s="1"/>
  <c r="H38"/>
  <c r="G38"/>
  <c r="F38"/>
  <c r="E38"/>
  <c r="D38"/>
  <c r="C38"/>
  <c r="B37"/>
  <c r="B36"/>
  <c r="B35"/>
  <c r="B34"/>
  <c r="B33"/>
  <c r="B32"/>
  <c r="B31"/>
  <c r="H30"/>
  <c r="G30"/>
  <c r="F30"/>
  <c r="E30"/>
  <c r="D30"/>
  <c r="C30"/>
  <c r="B30"/>
  <c r="B29"/>
  <c r="B28"/>
  <c r="B27"/>
  <c r="B11" s="1"/>
  <c r="B26"/>
  <c r="B10" s="1"/>
  <c r="B25"/>
  <c r="B24"/>
  <c r="B23"/>
  <c r="B7" s="1"/>
  <c r="H22"/>
  <c r="G22"/>
  <c r="F22"/>
  <c r="E22"/>
  <c r="D22"/>
  <c r="B22" s="1"/>
  <c r="C22"/>
  <c r="B21"/>
  <c r="B20"/>
  <c r="B19"/>
  <c r="B18"/>
  <c r="B17"/>
  <c r="B16"/>
  <c r="B15"/>
  <c r="H14"/>
  <c r="G14"/>
  <c r="F14"/>
  <c r="E14"/>
  <c r="D14"/>
  <c r="C14"/>
  <c r="B14"/>
  <c r="H13"/>
  <c r="G13"/>
  <c r="F13"/>
  <c r="E13"/>
  <c r="D13"/>
  <c r="C13"/>
  <c r="B13"/>
  <c r="H12"/>
  <c r="G12"/>
  <c r="F12"/>
  <c r="E12"/>
  <c r="D12"/>
  <c r="C12"/>
  <c r="H11"/>
  <c r="G11"/>
  <c r="F11"/>
  <c r="E11"/>
  <c r="D11"/>
  <c r="C11"/>
  <c r="H10"/>
  <c r="G10"/>
  <c r="F10"/>
  <c r="E10"/>
  <c r="D10"/>
  <c r="C10"/>
  <c r="H9"/>
  <c r="G9"/>
  <c r="F9"/>
  <c r="E9"/>
  <c r="D9"/>
  <c r="C9"/>
  <c r="B9"/>
  <c r="H8"/>
  <c r="G8"/>
  <c r="F8"/>
  <c r="E8"/>
  <c r="E6" s="1"/>
  <c r="D8"/>
  <c r="C8"/>
  <c r="H7"/>
  <c r="G7"/>
  <c r="G6" s="1"/>
  <c r="F7"/>
  <c r="E7"/>
  <c r="D7"/>
  <c r="C7"/>
  <c r="C6" s="1"/>
  <c r="F6"/>
  <c r="B53" i="332"/>
  <c r="B52"/>
  <c r="H51"/>
  <c r="G51"/>
  <c r="F51"/>
  <c r="E51"/>
  <c r="D51"/>
  <c r="C51"/>
  <c r="B51"/>
  <c r="B50"/>
  <c r="B49"/>
  <c r="B48" s="1"/>
  <c r="H48"/>
  <c r="G48"/>
  <c r="F48"/>
  <c r="E48"/>
  <c r="D48"/>
  <c r="C48"/>
  <c r="B47"/>
  <c r="B46"/>
  <c r="H45"/>
  <c r="G45"/>
  <c r="F45"/>
  <c r="E45"/>
  <c r="B45" s="1"/>
  <c r="D45"/>
  <c r="C45"/>
  <c r="B44"/>
  <c r="B43"/>
  <c r="H42"/>
  <c r="G42"/>
  <c r="F42"/>
  <c r="E42"/>
  <c r="D42"/>
  <c r="C42"/>
  <c r="B42"/>
  <c r="B41"/>
  <c r="B40"/>
  <c r="H39"/>
  <c r="G39"/>
  <c r="F39"/>
  <c r="E39"/>
  <c r="D39"/>
  <c r="C39"/>
  <c r="B39"/>
  <c r="B38"/>
  <c r="B37"/>
  <c r="B36" s="1"/>
  <c r="H36"/>
  <c r="G36"/>
  <c r="F36"/>
  <c r="E36"/>
  <c r="D36"/>
  <c r="C36"/>
  <c r="B35"/>
  <c r="B34"/>
  <c r="B33" s="1"/>
  <c r="H33"/>
  <c r="G33"/>
  <c r="F33"/>
  <c r="E33"/>
  <c r="D33"/>
  <c r="C33"/>
  <c r="B32"/>
  <c r="B31"/>
  <c r="H30"/>
  <c r="G30"/>
  <c r="F30"/>
  <c r="E30"/>
  <c r="D30"/>
  <c r="C30"/>
  <c r="B30"/>
  <c r="B29"/>
  <c r="B28"/>
  <c r="H27"/>
  <c r="G27"/>
  <c r="F27"/>
  <c r="E27"/>
  <c r="D27"/>
  <c r="C27"/>
  <c r="B27"/>
  <c r="B26"/>
  <c r="B25"/>
  <c r="B24" s="1"/>
  <c r="H24"/>
  <c r="G24"/>
  <c r="F24"/>
  <c r="E24"/>
  <c r="D24"/>
  <c r="C24"/>
  <c r="B23"/>
  <c r="B22"/>
  <c r="B21" s="1"/>
  <c r="H21"/>
  <c r="G21"/>
  <c r="F21"/>
  <c r="E21"/>
  <c r="D21"/>
  <c r="C21"/>
  <c r="B20"/>
  <c r="B19"/>
  <c r="H18"/>
  <c r="G18"/>
  <c r="F18"/>
  <c r="F6" s="1"/>
  <c r="E18"/>
  <c r="D18"/>
  <c r="C18"/>
  <c r="B18"/>
  <c r="B17"/>
  <c r="B16"/>
  <c r="H15"/>
  <c r="G15"/>
  <c r="G6" s="1"/>
  <c r="F15"/>
  <c r="E15"/>
  <c r="D15"/>
  <c r="C15"/>
  <c r="C6" s="1"/>
  <c r="B15"/>
  <c r="B14"/>
  <c r="B13"/>
  <c r="B12" s="1"/>
  <c r="H12"/>
  <c r="H6" s="1"/>
  <c r="G12"/>
  <c r="F12"/>
  <c r="E12"/>
  <c r="D12"/>
  <c r="D6" s="1"/>
  <c r="C12"/>
  <c r="B11"/>
  <c r="B10"/>
  <c r="H9"/>
  <c r="G9"/>
  <c r="F9"/>
  <c r="E9"/>
  <c r="D9"/>
  <c r="C9"/>
  <c r="H8"/>
  <c r="G8"/>
  <c r="F8"/>
  <c r="E8"/>
  <c r="D8"/>
  <c r="C8"/>
  <c r="H7"/>
  <c r="G7"/>
  <c r="F7"/>
  <c r="E7"/>
  <c r="D7"/>
  <c r="C7"/>
  <c r="B53" i="331"/>
  <c r="B52"/>
  <c r="H51"/>
  <c r="G51"/>
  <c r="F51"/>
  <c r="E51"/>
  <c r="D51"/>
  <c r="C51"/>
  <c r="B51" s="1"/>
  <c r="B50"/>
  <c r="B49"/>
  <c r="H48"/>
  <c r="G48"/>
  <c r="F48"/>
  <c r="E48"/>
  <c r="D48"/>
  <c r="B48" s="1"/>
  <c r="C48"/>
  <c r="B47"/>
  <c r="B46"/>
  <c r="H45"/>
  <c r="G45"/>
  <c r="F45"/>
  <c r="E45"/>
  <c r="B45" s="1"/>
  <c r="D45"/>
  <c r="C45"/>
  <c r="B44"/>
  <c r="B43"/>
  <c r="H42"/>
  <c r="G42"/>
  <c r="F42"/>
  <c r="E42"/>
  <c r="D42"/>
  <c r="C42"/>
  <c r="B42"/>
  <c r="B41"/>
  <c r="B40"/>
  <c r="H39"/>
  <c r="G39"/>
  <c r="F39"/>
  <c r="E39"/>
  <c r="D39"/>
  <c r="C39"/>
  <c r="B39" s="1"/>
  <c r="B38"/>
  <c r="B37"/>
  <c r="H36"/>
  <c r="G36"/>
  <c r="F36"/>
  <c r="E36"/>
  <c r="D36"/>
  <c r="B36" s="1"/>
  <c r="C36"/>
  <c r="B35"/>
  <c r="B34"/>
  <c r="H33"/>
  <c r="G33"/>
  <c r="F33"/>
  <c r="E33"/>
  <c r="B33" s="1"/>
  <c r="D33"/>
  <c r="C33"/>
  <c r="B32"/>
  <c r="B31"/>
  <c r="H30"/>
  <c r="G30"/>
  <c r="F30"/>
  <c r="E30"/>
  <c r="D30"/>
  <c r="C30"/>
  <c r="B30"/>
  <c r="B29"/>
  <c r="B28"/>
  <c r="H27"/>
  <c r="G27"/>
  <c r="F27"/>
  <c r="E27"/>
  <c r="D27"/>
  <c r="C27"/>
  <c r="B27" s="1"/>
  <c r="B26"/>
  <c r="B25"/>
  <c r="H24"/>
  <c r="G24"/>
  <c r="F24"/>
  <c r="E24"/>
  <c r="D24"/>
  <c r="B24" s="1"/>
  <c r="C24"/>
  <c r="B23"/>
  <c r="B22"/>
  <c r="H21"/>
  <c r="G21"/>
  <c r="F21"/>
  <c r="E21"/>
  <c r="B21" s="1"/>
  <c r="D21"/>
  <c r="C21"/>
  <c r="B20"/>
  <c r="B19"/>
  <c r="H18"/>
  <c r="G18"/>
  <c r="F18"/>
  <c r="E18"/>
  <c r="D18"/>
  <c r="C18"/>
  <c r="B18"/>
  <c r="B17"/>
  <c r="B16"/>
  <c r="H15"/>
  <c r="G15"/>
  <c r="F15"/>
  <c r="E15"/>
  <c r="D15"/>
  <c r="C15"/>
  <c r="B15" s="1"/>
  <c r="B14"/>
  <c r="B13"/>
  <c r="H12"/>
  <c r="G12"/>
  <c r="F12"/>
  <c r="E12"/>
  <c r="D12"/>
  <c r="B12" s="1"/>
  <c r="C12"/>
  <c r="B11"/>
  <c r="B10"/>
  <c r="H9"/>
  <c r="G9"/>
  <c r="F9"/>
  <c r="E9"/>
  <c r="B9" s="1"/>
  <c r="D9"/>
  <c r="C9"/>
  <c r="H8"/>
  <c r="G8"/>
  <c r="F8"/>
  <c r="E8"/>
  <c r="E6" s="1"/>
  <c r="D8"/>
  <c r="C8"/>
  <c r="B8" s="1"/>
  <c r="H7"/>
  <c r="H6" s="1"/>
  <c r="G7"/>
  <c r="G6" s="1"/>
  <c r="F7"/>
  <c r="E7"/>
  <c r="D7"/>
  <c r="D6" s="1"/>
  <c r="C7"/>
  <c r="F6"/>
  <c r="B21" i="330"/>
  <c r="B20"/>
  <c r="B19"/>
  <c r="B18"/>
  <c r="B17"/>
  <c r="B16"/>
  <c r="B15"/>
  <c r="B14"/>
  <c r="B13"/>
  <c r="B12"/>
  <c r="B11"/>
  <c r="B10"/>
  <c r="B9"/>
  <c r="B8"/>
  <c r="B7"/>
  <c r="H6"/>
  <c r="G6"/>
  <c r="F6"/>
  <c r="E6"/>
  <c r="D6"/>
  <c r="C6"/>
  <c r="B108" i="329"/>
  <c r="B107"/>
  <c r="B106"/>
  <c r="B105"/>
  <c r="H104"/>
  <c r="G104"/>
  <c r="F104"/>
  <c r="E104"/>
  <c r="D104"/>
  <c r="C104"/>
  <c r="B104" s="1"/>
  <c r="B103"/>
  <c r="B102"/>
  <c r="B101"/>
  <c r="H100"/>
  <c r="G100"/>
  <c r="F100"/>
  <c r="E100"/>
  <c r="B100" s="1"/>
  <c r="D100"/>
  <c r="C100"/>
  <c r="B99"/>
  <c r="H98"/>
  <c r="G98"/>
  <c r="F98"/>
  <c r="E98"/>
  <c r="B98" s="1"/>
  <c r="D98"/>
  <c r="C98"/>
  <c r="B97"/>
  <c r="B96"/>
  <c r="B95"/>
  <c r="H94"/>
  <c r="G94"/>
  <c r="F94"/>
  <c r="E94"/>
  <c r="D94"/>
  <c r="C94"/>
  <c r="B94" s="1"/>
  <c r="B93"/>
  <c r="B92"/>
  <c r="B91"/>
  <c r="B90"/>
  <c r="H89"/>
  <c r="G89"/>
  <c r="F89"/>
  <c r="F6" s="1"/>
  <c r="E89"/>
  <c r="D89"/>
  <c r="C89"/>
  <c r="B89"/>
  <c r="B88"/>
  <c r="B87"/>
  <c r="B86"/>
  <c r="B85"/>
  <c r="B84"/>
  <c r="B83"/>
  <c r="B82"/>
  <c r="B81"/>
  <c r="B80"/>
  <c r="B79"/>
  <c r="H78"/>
  <c r="G78"/>
  <c r="F78"/>
  <c r="E78"/>
  <c r="D78"/>
  <c r="C78"/>
  <c r="B78" s="1"/>
  <c r="B77"/>
  <c r="B76"/>
  <c r="H75"/>
  <c r="G75"/>
  <c r="F75"/>
  <c r="E75"/>
  <c r="D75"/>
  <c r="B75" s="1"/>
  <c r="C75"/>
  <c r="B74"/>
  <c r="B73"/>
  <c r="B72"/>
  <c r="B71"/>
  <c r="H70"/>
  <c r="G70"/>
  <c r="F70"/>
  <c r="E70"/>
  <c r="D70"/>
  <c r="C70"/>
  <c r="B70" s="1"/>
  <c r="B69"/>
  <c r="B68"/>
  <c r="B67"/>
  <c r="B66"/>
  <c r="B65"/>
  <c r="B64"/>
  <c r="B63"/>
  <c r="B62"/>
  <c r="B61"/>
  <c r="B60"/>
  <c r="B59"/>
  <c r="B58"/>
  <c r="B57"/>
  <c r="B56"/>
  <c r="B55"/>
  <c r="B54"/>
  <c r="B53"/>
  <c r="B52"/>
  <c r="B51"/>
  <c r="B50"/>
  <c r="B49"/>
  <c r="H48"/>
  <c r="G48"/>
  <c r="F48"/>
  <c r="E48"/>
  <c r="D48"/>
  <c r="C48"/>
  <c r="B48" s="1"/>
  <c r="B47"/>
  <c r="B46"/>
  <c r="B45"/>
  <c r="B44"/>
  <c r="B43"/>
  <c r="B42"/>
  <c r="B41"/>
  <c r="H40"/>
  <c r="G40"/>
  <c r="F40"/>
  <c r="E40"/>
  <c r="B40" s="1"/>
  <c r="D40"/>
  <c r="C40"/>
  <c r="B39"/>
  <c r="B38"/>
  <c r="B37"/>
  <c r="H36"/>
  <c r="G36"/>
  <c r="F36"/>
  <c r="E36"/>
  <c r="D36"/>
  <c r="C36"/>
  <c r="B36" s="1"/>
  <c r="B35"/>
  <c r="H34"/>
  <c r="G34"/>
  <c r="F34"/>
  <c r="E34"/>
  <c r="D34"/>
  <c r="C34"/>
  <c r="B34" s="1"/>
  <c r="B33"/>
  <c r="B32"/>
  <c r="B31"/>
  <c r="B30"/>
  <c r="B29"/>
  <c r="B28"/>
  <c r="B27"/>
  <c r="B26"/>
  <c r="B25"/>
  <c r="H24"/>
  <c r="G24"/>
  <c r="F24"/>
  <c r="E24"/>
  <c r="D24"/>
  <c r="C24"/>
  <c r="B23"/>
  <c r="B22"/>
  <c r="B21"/>
  <c r="B20"/>
  <c r="B19"/>
  <c r="B18"/>
  <c r="B17"/>
  <c r="B16"/>
  <c r="B15"/>
  <c r="B14"/>
  <c r="H13"/>
  <c r="G13"/>
  <c r="F13"/>
  <c r="E13"/>
  <c r="D13"/>
  <c r="C13"/>
  <c r="B13" s="1"/>
  <c r="B12"/>
  <c r="B11"/>
  <c r="B10"/>
  <c r="B9"/>
  <c r="B8"/>
  <c r="H7"/>
  <c r="G7"/>
  <c r="F7"/>
  <c r="E7"/>
  <c r="D7"/>
  <c r="C7"/>
  <c r="B7" s="1"/>
  <c r="G6"/>
  <c r="B116" i="328"/>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H6"/>
  <c r="G6"/>
  <c r="F6"/>
  <c r="E6"/>
  <c r="D6"/>
  <c r="C6"/>
  <c r="B21" i="327"/>
  <c r="B20"/>
  <c r="B19"/>
  <c r="B18"/>
  <c r="B17"/>
  <c r="B16"/>
  <c r="B15"/>
  <c r="B14"/>
  <c r="B13"/>
  <c r="B12"/>
  <c r="B11"/>
  <c r="B10"/>
  <c r="B9"/>
  <c r="B8"/>
  <c r="B7"/>
  <c r="H6"/>
  <c r="G6"/>
  <c r="F6"/>
  <c r="E6"/>
  <c r="D6"/>
  <c r="C6"/>
  <c r="B6"/>
  <c r="H21" i="326"/>
  <c r="E21"/>
  <c r="D21"/>
  <c r="C21"/>
  <c r="B21" s="1"/>
  <c r="H20"/>
  <c r="E20"/>
  <c r="D20"/>
  <c r="C20"/>
  <c r="B20" s="1"/>
  <c r="H19"/>
  <c r="E19"/>
  <c r="D19"/>
  <c r="B19" s="1"/>
  <c r="C19"/>
  <c r="H18"/>
  <c r="E18"/>
  <c r="D18"/>
  <c r="C18"/>
  <c r="B18"/>
  <c r="H17"/>
  <c r="E17"/>
  <c r="D17"/>
  <c r="C17"/>
  <c r="B17" s="1"/>
  <c r="H16"/>
  <c r="E16"/>
  <c r="D16"/>
  <c r="C16"/>
  <c r="B16" s="1"/>
  <c r="H15"/>
  <c r="E15"/>
  <c r="D15"/>
  <c r="B15" s="1"/>
  <c r="C15"/>
  <c r="H14"/>
  <c r="E14"/>
  <c r="D14"/>
  <c r="C14"/>
  <c r="B14"/>
  <c r="H13"/>
  <c r="E13"/>
  <c r="D13"/>
  <c r="C13"/>
  <c r="B13" s="1"/>
  <c r="H12"/>
  <c r="E12"/>
  <c r="D12"/>
  <c r="C12"/>
  <c r="H11"/>
  <c r="E11"/>
  <c r="D11"/>
  <c r="C11"/>
  <c r="B11" s="1"/>
  <c r="H10"/>
  <c r="E10"/>
  <c r="D10"/>
  <c r="C10"/>
  <c r="B10"/>
  <c r="H9"/>
  <c r="E9"/>
  <c r="D9"/>
  <c r="C9"/>
  <c r="B9" s="1"/>
  <c r="H8"/>
  <c r="E8"/>
  <c r="D8"/>
  <c r="C8"/>
  <c r="H7"/>
  <c r="E7"/>
  <c r="E6" s="1"/>
  <c r="D7"/>
  <c r="B7" s="1"/>
  <c r="C7"/>
  <c r="J6"/>
  <c r="D6" s="1"/>
  <c r="I6"/>
  <c r="G6"/>
  <c r="F6"/>
  <c r="C6" s="1"/>
  <c r="B6"/>
  <c r="G22" i="324"/>
  <c r="C22"/>
  <c r="B22" s="1"/>
  <c r="G21"/>
  <c r="C21"/>
  <c r="B21" s="1"/>
  <c r="G20"/>
  <c r="C20"/>
  <c r="B20" s="1"/>
  <c r="G19"/>
  <c r="C19"/>
  <c r="B19"/>
  <c r="G18"/>
  <c r="C18"/>
  <c r="B18" s="1"/>
  <c r="G17"/>
  <c r="C17"/>
  <c r="B17" s="1"/>
  <c r="G16"/>
  <c r="C16"/>
  <c r="B16" s="1"/>
  <c r="G15"/>
  <c r="C15"/>
  <c r="B15"/>
  <c r="G14"/>
  <c r="C14"/>
  <c r="B14" s="1"/>
  <c r="G13"/>
  <c r="C13"/>
  <c r="G12"/>
  <c r="C12"/>
  <c r="B12" s="1"/>
  <c r="G11"/>
  <c r="C11"/>
  <c r="B11"/>
  <c r="G10"/>
  <c r="C10"/>
  <c r="B10" s="1"/>
  <c r="G9"/>
  <c r="C9"/>
  <c r="G8"/>
  <c r="C8"/>
  <c r="J7"/>
  <c r="I7"/>
  <c r="H7"/>
  <c r="F7"/>
  <c r="E7"/>
  <c r="D7"/>
  <c r="B21" i="323"/>
  <c r="B20"/>
  <c r="B19"/>
  <c r="B18"/>
  <c r="B17"/>
  <c r="B16"/>
  <c r="B15"/>
  <c r="B14"/>
  <c r="B13"/>
  <c r="B12"/>
  <c r="B11"/>
  <c r="B10"/>
  <c r="B9"/>
  <c r="B8"/>
  <c r="B6" s="1"/>
  <c r="B7"/>
  <c r="E6"/>
  <c r="D6"/>
  <c r="C6"/>
  <c r="B5" i="322"/>
  <c r="C33" i="321"/>
  <c r="C30"/>
  <c r="C26"/>
  <c r="C21"/>
  <c r="C18"/>
  <c r="C11"/>
  <c r="C42" i="320"/>
  <c r="C40"/>
  <c r="C29"/>
  <c r="C27"/>
  <c r="C25"/>
  <c r="C22"/>
  <c r="C20"/>
  <c r="C16"/>
  <c r="C10" s="1"/>
  <c r="C11"/>
  <c r="C6"/>
  <c r="C7" s="1"/>
  <c r="C18" i="319"/>
  <c r="C13"/>
  <c r="C10" s="1"/>
  <c r="C6" s="1"/>
  <c r="C7" s="1"/>
  <c r="C43" i="318"/>
  <c r="C37"/>
  <c r="C11"/>
  <c r="K49" i="317"/>
  <c r="J49"/>
  <c r="I49"/>
  <c r="H49"/>
  <c r="G49"/>
  <c r="F49"/>
  <c r="E49"/>
  <c r="D49"/>
  <c r="C49"/>
  <c r="B49"/>
  <c r="K47"/>
  <c r="J47"/>
  <c r="J46" s="1"/>
  <c r="I47"/>
  <c r="I46" s="1"/>
  <c r="H47"/>
  <c r="G47"/>
  <c r="F47"/>
  <c r="F46" s="1"/>
  <c r="E47"/>
  <c r="E46" s="1"/>
  <c r="D47"/>
  <c r="C47"/>
  <c r="B47"/>
  <c r="B46" s="1"/>
  <c r="K46"/>
  <c r="H46"/>
  <c r="G46"/>
  <c r="D46"/>
  <c r="C46"/>
  <c r="K44"/>
  <c r="J44"/>
  <c r="I44"/>
  <c r="H44"/>
  <c r="G44"/>
  <c r="F44"/>
  <c r="E44"/>
  <c r="D44"/>
  <c r="C44"/>
  <c r="B44"/>
  <c r="K38"/>
  <c r="J38"/>
  <c r="I38"/>
  <c r="H38"/>
  <c r="G38"/>
  <c r="F38"/>
  <c r="E38"/>
  <c r="D38"/>
  <c r="C38"/>
  <c r="B38"/>
  <c r="K35"/>
  <c r="J35"/>
  <c r="I35"/>
  <c r="H35"/>
  <c r="G35"/>
  <c r="F35"/>
  <c r="E35"/>
  <c r="D35"/>
  <c r="C35"/>
  <c r="B35"/>
  <c r="K30"/>
  <c r="K29" s="1"/>
  <c r="J30"/>
  <c r="I30"/>
  <c r="H30"/>
  <c r="H29" s="1"/>
  <c r="G30"/>
  <c r="G29" s="1"/>
  <c r="F30"/>
  <c r="E30"/>
  <c r="D30"/>
  <c r="D29" s="1"/>
  <c r="C30"/>
  <c r="C29" s="1"/>
  <c r="B30"/>
  <c r="J29"/>
  <c r="I29"/>
  <c r="F29"/>
  <c r="B29"/>
  <c r="K24"/>
  <c r="J24"/>
  <c r="I24"/>
  <c r="H24"/>
  <c r="G24"/>
  <c r="F24"/>
  <c r="E24"/>
  <c r="D24"/>
  <c r="C24"/>
  <c r="B24"/>
  <c r="K21"/>
  <c r="J21"/>
  <c r="I21"/>
  <c r="H21"/>
  <c r="G21"/>
  <c r="F21"/>
  <c r="E21"/>
  <c r="D21"/>
  <c r="C21"/>
  <c r="B21"/>
  <c r="K19"/>
  <c r="K18" s="1"/>
  <c r="J19"/>
  <c r="I19"/>
  <c r="H19"/>
  <c r="H18" s="1"/>
  <c r="G19"/>
  <c r="G18" s="1"/>
  <c r="F19"/>
  <c r="E19"/>
  <c r="D19"/>
  <c r="D18" s="1"/>
  <c r="C19"/>
  <c r="C18" s="1"/>
  <c r="B19"/>
  <c r="F18"/>
  <c r="K16"/>
  <c r="J16"/>
  <c r="I16"/>
  <c r="H16"/>
  <c r="G16"/>
  <c r="F16"/>
  <c r="E16"/>
  <c r="D16"/>
  <c r="C16"/>
  <c r="B16"/>
  <c r="K11"/>
  <c r="J11"/>
  <c r="J10" s="1"/>
  <c r="I11"/>
  <c r="I10" s="1"/>
  <c r="H11"/>
  <c r="G11"/>
  <c r="F11"/>
  <c r="F10" s="1"/>
  <c r="E11"/>
  <c r="E10" s="1"/>
  <c r="D11"/>
  <c r="C11"/>
  <c r="B11"/>
  <c r="B10" s="1"/>
  <c r="K10"/>
  <c r="H10"/>
  <c r="G10"/>
  <c r="D10"/>
  <c r="C10"/>
  <c r="K8"/>
  <c r="J8"/>
  <c r="J7" s="1"/>
  <c r="I8"/>
  <c r="I7" s="1"/>
  <c r="H8"/>
  <c r="G8"/>
  <c r="F8"/>
  <c r="F7" s="1"/>
  <c r="E8"/>
  <c r="E7" s="1"/>
  <c r="D8"/>
  <c r="C8"/>
  <c r="B8"/>
  <c r="B7" s="1"/>
  <c r="K7"/>
  <c r="H7"/>
  <c r="G7"/>
  <c r="D7"/>
  <c r="C7"/>
  <c r="K22" i="316"/>
  <c r="K6" s="1"/>
  <c r="J22"/>
  <c r="I22"/>
  <c r="H22"/>
  <c r="G22"/>
  <c r="F22"/>
  <c r="E22"/>
  <c r="D22"/>
  <c r="C22"/>
  <c r="C6" s="1"/>
  <c r="B22"/>
  <c r="K17"/>
  <c r="J17"/>
  <c r="I17"/>
  <c r="H17"/>
  <c r="G17"/>
  <c r="F17"/>
  <c r="E17"/>
  <c r="D17"/>
  <c r="C17"/>
  <c r="B17"/>
  <c r="K13"/>
  <c r="G13"/>
  <c r="C13"/>
  <c r="K12"/>
  <c r="J12"/>
  <c r="J13" s="1"/>
  <c r="I12"/>
  <c r="I13" s="1"/>
  <c r="H12"/>
  <c r="H13" s="1"/>
  <c r="G12"/>
  <c r="F12"/>
  <c r="F13" s="1"/>
  <c r="E12"/>
  <c r="E13" s="1"/>
  <c r="D12"/>
  <c r="D13" s="1"/>
  <c r="C12"/>
  <c r="B12"/>
  <c r="K9"/>
  <c r="J9"/>
  <c r="J6" s="1"/>
  <c r="I9"/>
  <c r="H9"/>
  <c r="G9"/>
  <c r="F9"/>
  <c r="F6" s="1"/>
  <c r="E9"/>
  <c r="D9"/>
  <c r="C9"/>
  <c r="B9"/>
  <c r="B6" s="1"/>
  <c r="K7"/>
  <c r="J7"/>
  <c r="I7"/>
  <c r="H7"/>
  <c r="H6" s="1"/>
  <c r="G7"/>
  <c r="F7"/>
  <c r="E7"/>
  <c r="D7"/>
  <c r="D6" s="1"/>
  <c r="C7"/>
  <c r="B7"/>
  <c r="N21" i="315"/>
  <c r="M21"/>
  <c r="L21"/>
  <c r="K21"/>
  <c r="J21"/>
  <c r="I21"/>
  <c r="H21"/>
  <c r="G21"/>
  <c r="F21"/>
  <c r="E21"/>
  <c r="D21"/>
  <c r="C21"/>
  <c r="B21"/>
  <c r="N16"/>
  <c r="M16"/>
  <c r="L16"/>
  <c r="K16"/>
  <c r="J16"/>
  <c r="I16"/>
  <c r="H16"/>
  <c r="G16"/>
  <c r="F16"/>
  <c r="E16"/>
  <c r="D16"/>
  <c r="C16"/>
  <c r="B16"/>
  <c r="N12"/>
  <c r="M12"/>
  <c r="L12"/>
  <c r="K12"/>
  <c r="J12"/>
  <c r="I12"/>
  <c r="H12"/>
  <c r="G12"/>
  <c r="F12"/>
  <c r="E12"/>
  <c r="D12"/>
  <c r="C12"/>
  <c r="B12"/>
  <c r="N9"/>
  <c r="M9"/>
  <c r="L9"/>
  <c r="K9"/>
  <c r="J9"/>
  <c r="I9"/>
  <c r="H9"/>
  <c r="G9"/>
  <c r="F9"/>
  <c r="E9"/>
  <c r="D9"/>
  <c r="C9"/>
  <c r="B9"/>
  <c r="B7"/>
  <c r="B60" i="314"/>
  <c r="B58"/>
  <c r="B55"/>
  <c r="B49"/>
  <c r="B44"/>
  <c r="B36"/>
  <c r="B29"/>
  <c r="B24"/>
  <c r="B22"/>
  <c r="B16"/>
  <c r="B11"/>
  <c r="B6"/>
  <c r="B22" i="313"/>
  <c r="B17"/>
  <c r="B12"/>
  <c r="B8"/>
  <c r="B6"/>
  <c r="G5"/>
  <c r="F5"/>
  <c r="E5"/>
  <c r="D5"/>
  <c r="C5"/>
  <c r="G22" i="312"/>
  <c r="F22"/>
  <c r="E22"/>
  <c r="D22"/>
  <c r="C22"/>
  <c r="B22"/>
  <c r="G17"/>
  <c r="F17"/>
  <c r="E17"/>
  <c r="D17"/>
  <c r="C17"/>
  <c r="B17"/>
  <c r="G12"/>
  <c r="F12"/>
  <c r="E12"/>
  <c r="D12"/>
  <c r="C12"/>
  <c r="B12"/>
  <c r="G8"/>
  <c r="F8"/>
  <c r="E8"/>
  <c r="D8"/>
  <c r="C8"/>
  <c r="B8"/>
  <c r="G6"/>
  <c r="F6"/>
  <c r="F5" s="1"/>
  <c r="E6"/>
  <c r="D6"/>
  <c r="C6"/>
  <c r="B6"/>
  <c r="B5" s="1"/>
  <c r="G22" i="311"/>
  <c r="F22"/>
  <c r="E22"/>
  <c r="D22"/>
  <c r="C22"/>
  <c r="B22"/>
  <c r="G17"/>
  <c r="F17"/>
  <c r="E17"/>
  <c r="D17"/>
  <c r="C17"/>
  <c r="B17"/>
  <c r="G12"/>
  <c r="F12"/>
  <c r="E12"/>
  <c r="D12"/>
  <c r="C12"/>
  <c r="B12"/>
  <c r="G8"/>
  <c r="F8"/>
  <c r="E8"/>
  <c r="D8"/>
  <c r="C8"/>
  <c r="B8"/>
  <c r="G6"/>
  <c r="G5" s="1"/>
  <c r="F6"/>
  <c r="F5" s="1"/>
  <c r="E6"/>
  <c r="D6"/>
  <c r="C6"/>
  <c r="C5" s="1"/>
  <c r="B6"/>
  <c r="B5" s="1"/>
  <c r="R113" i="310"/>
  <c r="R112" s="1"/>
  <c r="Q113"/>
  <c r="Q112" s="1"/>
  <c r="P113"/>
  <c r="O113"/>
  <c r="O112" s="1"/>
  <c r="N113"/>
  <c r="M113"/>
  <c r="M112" s="1"/>
  <c r="L113"/>
  <c r="L112" s="1"/>
  <c r="K113"/>
  <c r="K112" s="1"/>
  <c r="J113"/>
  <c r="J112" s="1"/>
  <c r="I113"/>
  <c r="I112" s="1"/>
  <c r="H113"/>
  <c r="H112" s="1"/>
  <c r="G113"/>
  <c r="F113"/>
  <c r="F112" s="1"/>
  <c r="E113"/>
  <c r="E112" s="1"/>
  <c r="D113"/>
  <c r="D112" s="1"/>
  <c r="C113"/>
  <c r="C112" s="1"/>
  <c r="B113"/>
  <c r="B112" s="1"/>
  <c r="P112"/>
  <c r="N112"/>
  <c r="G112"/>
  <c r="R108"/>
  <c r="Q108"/>
  <c r="P108"/>
  <c r="O108"/>
  <c r="N108"/>
  <c r="M108"/>
  <c r="L108"/>
  <c r="K108"/>
  <c r="J108"/>
  <c r="I108"/>
  <c r="H108"/>
  <c r="G108"/>
  <c r="F108"/>
  <c r="E108"/>
  <c r="D108"/>
  <c r="C108"/>
  <c r="B108"/>
  <c r="R106"/>
  <c r="Q106"/>
  <c r="P106"/>
  <c r="O106"/>
  <c r="N106"/>
  <c r="M106"/>
  <c r="L106"/>
  <c r="K106"/>
  <c r="K103" s="1"/>
  <c r="J106"/>
  <c r="I106"/>
  <c r="H106"/>
  <c r="G106"/>
  <c r="F106"/>
  <c r="E106"/>
  <c r="D106"/>
  <c r="C106"/>
  <c r="B106"/>
  <c r="R104"/>
  <c r="R103" s="1"/>
  <c r="Q104"/>
  <c r="P104"/>
  <c r="O104"/>
  <c r="N104"/>
  <c r="N103" s="1"/>
  <c r="M104"/>
  <c r="L104"/>
  <c r="K104"/>
  <c r="J104"/>
  <c r="J103" s="1"/>
  <c r="I104"/>
  <c r="H104"/>
  <c r="G104"/>
  <c r="F104"/>
  <c r="F103" s="1"/>
  <c r="E104"/>
  <c r="D104"/>
  <c r="C104"/>
  <c r="B104"/>
  <c r="B103"/>
  <c r="R101"/>
  <c r="Q101"/>
  <c r="P101"/>
  <c r="O101"/>
  <c r="N101"/>
  <c r="M101"/>
  <c r="L101"/>
  <c r="K101"/>
  <c r="J101"/>
  <c r="I101"/>
  <c r="H101"/>
  <c r="G101"/>
  <c r="F101"/>
  <c r="E101"/>
  <c r="D101"/>
  <c r="C101"/>
  <c r="B101"/>
  <c r="R99"/>
  <c r="Q99"/>
  <c r="P99"/>
  <c r="O99"/>
  <c r="N99"/>
  <c r="N93" s="1"/>
  <c r="M99"/>
  <c r="L99"/>
  <c r="K99"/>
  <c r="J99"/>
  <c r="J93" s="1"/>
  <c r="I99"/>
  <c r="H99"/>
  <c r="G99"/>
  <c r="F99"/>
  <c r="F93" s="1"/>
  <c r="E99"/>
  <c r="D99"/>
  <c r="C99"/>
  <c r="B99"/>
  <c r="R94"/>
  <c r="Q94"/>
  <c r="Q93" s="1"/>
  <c r="P94"/>
  <c r="O94"/>
  <c r="N94"/>
  <c r="M94"/>
  <c r="M93" s="1"/>
  <c r="L94"/>
  <c r="K94"/>
  <c r="J94"/>
  <c r="I94"/>
  <c r="I93" s="1"/>
  <c r="H94"/>
  <c r="G94"/>
  <c r="F94"/>
  <c r="E94"/>
  <c r="E93" s="1"/>
  <c r="D94"/>
  <c r="C94"/>
  <c r="B94"/>
  <c r="R93"/>
  <c r="B93"/>
  <c r="R76"/>
  <c r="Q76"/>
  <c r="Q72" s="1"/>
  <c r="P76"/>
  <c r="O76"/>
  <c r="N76"/>
  <c r="M76"/>
  <c r="L76"/>
  <c r="K76"/>
  <c r="J76"/>
  <c r="I76"/>
  <c r="I72" s="1"/>
  <c r="H76"/>
  <c r="G76"/>
  <c r="F76"/>
  <c r="E76"/>
  <c r="D76"/>
  <c r="C76"/>
  <c r="B76"/>
  <c r="R73"/>
  <c r="R72" s="1"/>
  <c r="Q73"/>
  <c r="P73"/>
  <c r="P72" s="1"/>
  <c r="O73"/>
  <c r="N73"/>
  <c r="N72" s="1"/>
  <c r="M73"/>
  <c r="L73"/>
  <c r="L72" s="1"/>
  <c r="K73"/>
  <c r="J73"/>
  <c r="J72" s="1"/>
  <c r="I73"/>
  <c r="H73"/>
  <c r="H72" s="1"/>
  <c r="G73"/>
  <c r="F73"/>
  <c r="F72" s="1"/>
  <c r="E73"/>
  <c r="D73"/>
  <c r="D72" s="1"/>
  <c r="C73"/>
  <c r="B73"/>
  <c r="B72" s="1"/>
  <c r="M72"/>
  <c r="E72"/>
  <c r="R66"/>
  <c r="R65" s="1"/>
  <c r="Q66"/>
  <c r="Q65" s="1"/>
  <c r="P66"/>
  <c r="P65" s="1"/>
  <c r="O66"/>
  <c r="N66"/>
  <c r="N65" s="1"/>
  <c r="M66"/>
  <c r="M65" s="1"/>
  <c r="L66"/>
  <c r="L65" s="1"/>
  <c r="K66"/>
  <c r="J66"/>
  <c r="J65" s="1"/>
  <c r="I66"/>
  <c r="I65" s="1"/>
  <c r="H66"/>
  <c r="H65" s="1"/>
  <c r="G66"/>
  <c r="F66"/>
  <c r="F65" s="1"/>
  <c r="E66"/>
  <c r="E65" s="1"/>
  <c r="D66"/>
  <c r="D65" s="1"/>
  <c r="C66"/>
  <c r="B66"/>
  <c r="B65" s="1"/>
  <c r="O65"/>
  <c r="K65"/>
  <c r="G65"/>
  <c r="C65"/>
  <c r="N54"/>
  <c r="M54"/>
  <c r="L54"/>
  <c r="K54"/>
  <c r="J54"/>
  <c r="I54"/>
  <c r="H54"/>
  <c r="G54"/>
  <c r="F54"/>
  <c r="E54"/>
  <c r="D54"/>
  <c r="C54"/>
  <c r="B54"/>
  <c r="B47"/>
  <c r="B46" s="1"/>
  <c r="R12"/>
  <c r="R11" s="1"/>
  <c r="Q12"/>
  <c r="P12"/>
  <c r="O12"/>
  <c r="O11" s="1"/>
  <c r="N12"/>
  <c r="N11" s="1"/>
  <c r="M12"/>
  <c r="L12"/>
  <c r="K12"/>
  <c r="K11" s="1"/>
  <c r="J12"/>
  <c r="J11" s="1"/>
  <c r="I12"/>
  <c r="H12"/>
  <c r="G12"/>
  <c r="G11" s="1"/>
  <c r="F12"/>
  <c r="F11" s="1"/>
  <c r="E12"/>
  <c r="E11" s="1"/>
  <c r="D12"/>
  <c r="C12"/>
  <c r="C11" s="1"/>
  <c r="B12"/>
  <c r="B11" s="1"/>
  <c r="Q11"/>
  <c r="P11"/>
  <c r="M11"/>
  <c r="L11"/>
  <c r="I11"/>
  <c r="H11"/>
  <c r="D11"/>
  <c r="R8"/>
  <c r="Q8"/>
  <c r="Q7" s="1"/>
  <c r="P8"/>
  <c r="P7" s="1"/>
  <c r="O8"/>
  <c r="O7" s="1"/>
  <c r="N8"/>
  <c r="M8"/>
  <c r="M7" s="1"/>
  <c r="L8"/>
  <c r="L7" s="1"/>
  <c r="K8"/>
  <c r="K7" s="1"/>
  <c r="J8"/>
  <c r="I8"/>
  <c r="I7" s="1"/>
  <c r="H8"/>
  <c r="H7" s="1"/>
  <c r="G8"/>
  <c r="G7" s="1"/>
  <c r="F8"/>
  <c r="E8"/>
  <c r="E7" s="1"/>
  <c r="D8"/>
  <c r="D7" s="1"/>
  <c r="C8"/>
  <c r="C7" s="1"/>
  <c r="B8"/>
  <c r="R7"/>
  <c r="N7"/>
  <c r="J7"/>
  <c r="F7"/>
  <c r="B7"/>
  <c r="R27" i="309"/>
  <c r="Q27"/>
  <c r="P27"/>
  <c r="O27"/>
  <c r="N27"/>
  <c r="M27"/>
  <c r="L27"/>
  <c r="K27"/>
  <c r="J27"/>
  <c r="I27"/>
  <c r="H27"/>
  <c r="G27"/>
  <c r="F27"/>
  <c r="E27"/>
  <c r="D27"/>
  <c r="C27"/>
  <c r="B27"/>
  <c r="R23"/>
  <c r="Q23"/>
  <c r="P23"/>
  <c r="O23"/>
  <c r="N23"/>
  <c r="M23"/>
  <c r="L23"/>
  <c r="K23"/>
  <c r="J23"/>
  <c r="I23"/>
  <c r="H23"/>
  <c r="G23"/>
  <c r="F23"/>
  <c r="E23"/>
  <c r="D23"/>
  <c r="C23"/>
  <c r="B23"/>
  <c r="R19"/>
  <c r="Q19"/>
  <c r="P19"/>
  <c r="O19"/>
  <c r="N19"/>
  <c r="M19"/>
  <c r="L19"/>
  <c r="K19"/>
  <c r="J19"/>
  <c r="I19"/>
  <c r="H19"/>
  <c r="G19"/>
  <c r="F19"/>
  <c r="E19"/>
  <c r="D19"/>
  <c r="C19"/>
  <c r="B19"/>
  <c r="R16"/>
  <c r="Q16"/>
  <c r="P16"/>
  <c r="O16"/>
  <c r="N16"/>
  <c r="M16"/>
  <c r="L16"/>
  <c r="K16"/>
  <c r="J16"/>
  <c r="I16"/>
  <c r="H16"/>
  <c r="G16"/>
  <c r="F16"/>
  <c r="E16"/>
  <c r="D16"/>
  <c r="C16"/>
  <c r="B16"/>
  <c r="R14"/>
  <c r="Q14"/>
  <c r="P14"/>
  <c r="O14"/>
  <c r="N14"/>
  <c r="M14"/>
  <c r="L14"/>
  <c r="K14"/>
  <c r="J14"/>
  <c r="I14"/>
  <c r="H14"/>
  <c r="G14"/>
  <c r="F14"/>
  <c r="E14"/>
  <c r="D14"/>
  <c r="C14"/>
  <c r="B14"/>
  <c r="R11"/>
  <c r="Q11"/>
  <c r="P11"/>
  <c r="O11"/>
  <c r="N11"/>
  <c r="M11"/>
  <c r="L11"/>
  <c r="K11"/>
  <c r="J11"/>
  <c r="I11"/>
  <c r="H11"/>
  <c r="G11"/>
  <c r="F11"/>
  <c r="E11"/>
  <c r="D11"/>
  <c r="C11"/>
  <c r="B11"/>
  <c r="R9"/>
  <c r="Q9"/>
  <c r="P9"/>
  <c r="O9"/>
  <c r="N9"/>
  <c r="M9"/>
  <c r="L9"/>
  <c r="K9"/>
  <c r="J9"/>
  <c r="I9"/>
  <c r="H9"/>
  <c r="G9"/>
  <c r="F9"/>
  <c r="E9"/>
  <c r="D9"/>
  <c r="C9"/>
  <c r="B9"/>
  <c r="R7"/>
  <c r="Q7"/>
  <c r="P7"/>
  <c r="O7"/>
  <c r="N7"/>
  <c r="M7"/>
  <c r="L7"/>
  <c r="K7"/>
  <c r="J7"/>
  <c r="I7"/>
  <c r="H7"/>
  <c r="G7"/>
  <c r="F7"/>
  <c r="E7"/>
  <c r="D7"/>
  <c r="C7"/>
  <c r="B7"/>
  <c r="C75" i="308"/>
  <c r="B75"/>
  <c r="B74" s="1"/>
  <c r="C71"/>
  <c r="B71"/>
  <c r="C69"/>
  <c r="C68" s="1"/>
  <c r="B69"/>
  <c r="B68"/>
  <c r="C66"/>
  <c r="C65" s="1"/>
  <c r="B66"/>
  <c r="B65" s="1"/>
  <c r="C53"/>
  <c r="B53"/>
  <c r="C51"/>
  <c r="C50" s="1"/>
  <c r="B51"/>
  <c r="B50" s="1"/>
  <c r="C47"/>
  <c r="C46" s="1"/>
  <c r="B47"/>
  <c r="B46" s="1"/>
  <c r="C44"/>
  <c r="C43" s="1"/>
  <c r="B44"/>
  <c r="B43" s="1"/>
  <c r="C40"/>
  <c r="B40"/>
  <c r="C36"/>
  <c r="B36"/>
  <c r="C35"/>
  <c r="B35"/>
  <c r="C12"/>
  <c r="B12"/>
  <c r="C11"/>
  <c r="B11"/>
  <c r="C7"/>
  <c r="B7"/>
  <c r="C6"/>
  <c r="B6"/>
  <c r="C21" i="307"/>
  <c r="B21"/>
  <c r="C20"/>
  <c r="B20"/>
  <c r="C18"/>
  <c r="B18"/>
  <c r="C16"/>
  <c r="B16"/>
  <c r="C13"/>
  <c r="B13"/>
  <c r="C12"/>
  <c r="B12"/>
  <c r="C10"/>
  <c r="B10"/>
  <c r="C9"/>
  <c r="B9"/>
  <c r="C7"/>
  <c r="B7"/>
  <c r="C6"/>
  <c r="C5" s="1"/>
  <c r="B6"/>
  <c r="B5" s="1"/>
  <c r="C67" i="306"/>
  <c r="C66" s="1"/>
  <c r="B67"/>
  <c r="B66" s="1"/>
  <c r="C64"/>
  <c r="B64"/>
  <c r="C62"/>
  <c r="B62"/>
  <c r="C61"/>
  <c r="B61"/>
  <c r="C57"/>
  <c r="B57"/>
  <c r="C56"/>
  <c r="B56"/>
  <c r="C49"/>
  <c r="B49"/>
  <c r="C47"/>
  <c r="C46" s="1"/>
  <c r="B47"/>
  <c r="B46" s="1"/>
  <c r="C41"/>
  <c r="C40" s="1"/>
  <c r="B41"/>
  <c r="B40" s="1"/>
  <c r="C31"/>
  <c r="B31"/>
  <c r="C25"/>
  <c r="B25"/>
  <c r="C24"/>
  <c r="B24"/>
  <c r="C7"/>
  <c r="B7"/>
  <c r="C6"/>
  <c r="C5" s="1"/>
  <c r="B6"/>
  <c r="O29" i="305"/>
  <c r="N29"/>
  <c r="M29"/>
  <c r="L29"/>
  <c r="K29"/>
  <c r="J29"/>
  <c r="I29"/>
  <c r="H29"/>
  <c r="G29"/>
  <c r="F29"/>
  <c r="E29"/>
  <c r="D29"/>
  <c r="C29"/>
  <c r="B29"/>
  <c r="O25"/>
  <c r="N25"/>
  <c r="M25"/>
  <c r="L25"/>
  <c r="K25"/>
  <c r="J25"/>
  <c r="I25"/>
  <c r="H25"/>
  <c r="G25"/>
  <c r="F25"/>
  <c r="E25"/>
  <c r="D25"/>
  <c r="C25"/>
  <c r="B25"/>
  <c r="O21"/>
  <c r="N21"/>
  <c r="M21"/>
  <c r="L21"/>
  <c r="K21"/>
  <c r="J21"/>
  <c r="I21"/>
  <c r="H21"/>
  <c r="G21"/>
  <c r="F21"/>
  <c r="E21"/>
  <c r="D21"/>
  <c r="C21"/>
  <c r="B21"/>
  <c r="O18"/>
  <c r="N18"/>
  <c r="M18"/>
  <c r="L18"/>
  <c r="K18"/>
  <c r="J18"/>
  <c r="I18"/>
  <c r="H18"/>
  <c r="G18"/>
  <c r="F18"/>
  <c r="E18"/>
  <c r="D18"/>
  <c r="C18"/>
  <c r="B18"/>
  <c r="O16"/>
  <c r="N16"/>
  <c r="M16"/>
  <c r="L16"/>
  <c r="K16"/>
  <c r="J16"/>
  <c r="I16"/>
  <c r="H16"/>
  <c r="G16"/>
  <c r="F16"/>
  <c r="E16"/>
  <c r="D16"/>
  <c r="C16"/>
  <c r="B16"/>
  <c r="O14"/>
  <c r="N14"/>
  <c r="M14"/>
  <c r="L14"/>
  <c r="K14"/>
  <c r="J14"/>
  <c r="I14"/>
  <c r="H14"/>
  <c r="G14"/>
  <c r="F14"/>
  <c r="E14"/>
  <c r="D14"/>
  <c r="C14"/>
  <c r="B14"/>
  <c r="O11"/>
  <c r="N11"/>
  <c r="M11"/>
  <c r="L11"/>
  <c r="K11"/>
  <c r="J11"/>
  <c r="I11"/>
  <c r="H11"/>
  <c r="G11"/>
  <c r="F11"/>
  <c r="E11"/>
  <c r="D11"/>
  <c r="C11"/>
  <c r="B11"/>
  <c r="O9"/>
  <c r="N9"/>
  <c r="M9"/>
  <c r="L9"/>
  <c r="K9"/>
  <c r="J9"/>
  <c r="I9"/>
  <c r="H9"/>
  <c r="G9"/>
  <c r="F9"/>
  <c r="E9"/>
  <c r="D9"/>
  <c r="C9"/>
  <c r="B9"/>
  <c r="O7"/>
  <c r="O6" s="1"/>
  <c r="N7"/>
  <c r="N6" s="1"/>
  <c r="M7"/>
  <c r="L7"/>
  <c r="K7"/>
  <c r="K6" s="1"/>
  <c r="J7"/>
  <c r="J6" s="1"/>
  <c r="I7"/>
  <c r="H7"/>
  <c r="G7"/>
  <c r="G6" s="1"/>
  <c r="F7"/>
  <c r="F6" s="1"/>
  <c r="E7"/>
  <c r="D7"/>
  <c r="C7"/>
  <c r="C6" s="1"/>
  <c r="B7"/>
  <c r="B6" s="1"/>
  <c r="M6"/>
  <c r="L6"/>
  <c r="I6"/>
  <c r="H6"/>
  <c r="E6"/>
  <c r="D6"/>
  <c r="N27" i="304"/>
  <c r="M27"/>
  <c r="L27"/>
  <c r="K27"/>
  <c r="J27"/>
  <c r="I27"/>
  <c r="H27"/>
  <c r="G27"/>
  <c r="F27"/>
  <c r="E27"/>
  <c r="D27"/>
  <c r="C27"/>
  <c r="B27"/>
  <c r="N23"/>
  <c r="M23"/>
  <c r="L23"/>
  <c r="K23"/>
  <c r="J23"/>
  <c r="I23"/>
  <c r="H23"/>
  <c r="G23"/>
  <c r="F23"/>
  <c r="E23"/>
  <c r="D23"/>
  <c r="C23"/>
  <c r="B23"/>
  <c r="N19"/>
  <c r="M19"/>
  <c r="L19"/>
  <c r="K19"/>
  <c r="J19"/>
  <c r="I19"/>
  <c r="H19"/>
  <c r="G19"/>
  <c r="F19"/>
  <c r="E19"/>
  <c r="D19"/>
  <c r="C19"/>
  <c r="B19"/>
  <c r="N16"/>
  <c r="M16"/>
  <c r="L16"/>
  <c r="K16"/>
  <c r="J16"/>
  <c r="I16"/>
  <c r="H16"/>
  <c r="G16"/>
  <c r="F16"/>
  <c r="E16"/>
  <c r="D16"/>
  <c r="C16"/>
  <c r="B16"/>
  <c r="N14"/>
  <c r="M14"/>
  <c r="L14"/>
  <c r="K14"/>
  <c r="J14"/>
  <c r="I14"/>
  <c r="H14"/>
  <c r="G14"/>
  <c r="F14"/>
  <c r="E14"/>
  <c r="D14"/>
  <c r="C14"/>
  <c r="B14"/>
  <c r="B6" s="1"/>
  <c r="N11"/>
  <c r="M11"/>
  <c r="L11"/>
  <c r="K11"/>
  <c r="J11"/>
  <c r="I11"/>
  <c r="H11"/>
  <c r="G11"/>
  <c r="F11"/>
  <c r="E11"/>
  <c r="D11"/>
  <c r="C11"/>
  <c r="B11"/>
  <c r="N9"/>
  <c r="M9"/>
  <c r="L9"/>
  <c r="L6" s="1"/>
  <c r="K9"/>
  <c r="J9"/>
  <c r="I9"/>
  <c r="H9"/>
  <c r="H6" s="1"/>
  <c r="G9"/>
  <c r="F9"/>
  <c r="E9"/>
  <c r="D9"/>
  <c r="D6" s="1"/>
  <c r="C9"/>
  <c r="B9"/>
  <c r="N7"/>
  <c r="M7"/>
  <c r="M6" s="1"/>
  <c r="L7"/>
  <c r="K7"/>
  <c r="K6" s="1"/>
  <c r="J7"/>
  <c r="I7"/>
  <c r="I6" s="1"/>
  <c r="H7"/>
  <c r="G7"/>
  <c r="G6" s="1"/>
  <c r="F7"/>
  <c r="E7"/>
  <c r="E6" s="1"/>
  <c r="D7"/>
  <c r="C7"/>
  <c r="C6" s="1"/>
  <c r="B7"/>
  <c r="N6"/>
  <c r="J6"/>
  <c r="F6"/>
  <c r="E28" i="303"/>
  <c r="D28"/>
  <c r="C28"/>
  <c r="B28"/>
  <c r="E24"/>
  <c r="D24"/>
  <c r="C24"/>
  <c r="B24"/>
  <c r="E20"/>
  <c r="D20"/>
  <c r="C20"/>
  <c r="B20"/>
  <c r="E17"/>
  <c r="D17"/>
  <c r="C17"/>
  <c r="B17"/>
  <c r="E15"/>
  <c r="D15"/>
  <c r="C15"/>
  <c r="B15"/>
  <c r="E12"/>
  <c r="D12"/>
  <c r="D5" s="1"/>
  <c r="C12"/>
  <c r="B12"/>
  <c r="B5" s="1"/>
  <c r="B10"/>
  <c r="E8"/>
  <c r="D8"/>
  <c r="C8"/>
  <c r="B8"/>
  <c r="E6"/>
  <c r="D6"/>
  <c r="C6"/>
  <c r="C5" s="1"/>
  <c r="B6"/>
  <c r="E5"/>
  <c r="E28" i="302"/>
  <c r="D28"/>
  <c r="C28"/>
  <c r="B28"/>
  <c r="E24"/>
  <c r="D24"/>
  <c r="C24"/>
  <c r="B24"/>
  <c r="E20"/>
  <c r="D20"/>
  <c r="C20"/>
  <c r="B20"/>
  <c r="E17"/>
  <c r="D17"/>
  <c r="C17"/>
  <c r="B17"/>
  <c r="E15"/>
  <c r="D15"/>
  <c r="C15"/>
  <c r="B15"/>
  <c r="E12"/>
  <c r="D12"/>
  <c r="C12"/>
  <c r="B12"/>
  <c r="E10"/>
  <c r="D10"/>
  <c r="C10"/>
  <c r="B10"/>
  <c r="E8"/>
  <c r="D8"/>
  <c r="C8"/>
  <c r="B8"/>
  <c r="E6"/>
  <c r="D6"/>
  <c r="C6"/>
  <c r="B6"/>
  <c r="E5"/>
  <c r="D5"/>
  <c r="C5"/>
  <c r="B5"/>
  <c r="E28" i="301"/>
  <c r="D28"/>
  <c r="C28"/>
  <c r="B28"/>
  <c r="E24"/>
  <c r="D24"/>
  <c r="C24"/>
  <c r="B24"/>
  <c r="E20"/>
  <c r="D20"/>
  <c r="C20"/>
  <c r="B20"/>
  <c r="E17"/>
  <c r="D17"/>
  <c r="C17"/>
  <c r="B17"/>
  <c r="E15"/>
  <c r="D15"/>
  <c r="C15"/>
  <c r="B15"/>
  <c r="E12"/>
  <c r="D12"/>
  <c r="C12"/>
  <c r="B12"/>
  <c r="E10"/>
  <c r="D10"/>
  <c r="C10"/>
  <c r="B10"/>
  <c r="E8"/>
  <c r="D8"/>
  <c r="C8"/>
  <c r="B8"/>
  <c r="B6"/>
  <c r="D5"/>
  <c r="B5"/>
  <c r="C23" i="300"/>
  <c r="C22"/>
  <c r="C21"/>
  <c r="C20"/>
  <c r="C19"/>
  <c r="B18"/>
  <c r="C18" s="1"/>
  <c r="C17"/>
  <c r="D6"/>
  <c r="B6"/>
  <c r="D5"/>
  <c r="E14" s="1"/>
  <c r="B5"/>
  <c r="D20" i="346"/>
  <c r="D19"/>
  <c r="D18"/>
  <c r="D17"/>
  <c r="D16"/>
  <c r="D15"/>
  <c r="D14"/>
  <c r="D13"/>
  <c r="D12"/>
  <c r="D11"/>
  <c r="D10"/>
  <c r="D9"/>
  <c r="D8"/>
  <c r="D7"/>
  <c r="D6"/>
  <c r="D5"/>
  <c r="C5"/>
  <c r="B5"/>
  <c r="D38" i="345"/>
  <c r="D37"/>
  <c r="C37"/>
  <c r="B37"/>
  <c r="D36"/>
  <c r="D35"/>
  <c r="C35"/>
  <c r="B35"/>
  <c r="D34"/>
  <c r="D33"/>
  <c r="D32"/>
  <c r="C31"/>
  <c r="B31"/>
  <c r="D31" s="1"/>
  <c r="D30"/>
  <c r="D29"/>
  <c r="D28"/>
  <c r="D27"/>
  <c r="D26"/>
  <c r="C25"/>
  <c r="B25"/>
  <c r="D24"/>
  <c r="D23"/>
  <c r="D22"/>
  <c r="D21"/>
  <c r="C21"/>
  <c r="B21"/>
  <c r="D20"/>
  <c r="D19"/>
  <c r="C18"/>
  <c r="D18" s="1"/>
  <c r="B18"/>
  <c r="D17"/>
  <c r="D16"/>
  <c r="D15"/>
  <c r="C14"/>
  <c r="D14" s="1"/>
  <c r="B14"/>
  <c r="D13"/>
  <c r="D12"/>
  <c r="D11"/>
  <c r="C10"/>
  <c r="D10" s="1"/>
  <c r="B10"/>
  <c r="D9"/>
  <c r="C8"/>
  <c r="D8" s="1"/>
  <c r="B8"/>
  <c r="D7"/>
  <c r="C6"/>
  <c r="D6" s="1"/>
  <c r="B6"/>
  <c r="F38" i="297"/>
  <c r="E38"/>
  <c r="H37"/>
  <c r="G37"/>
  <c r="F37"/>
  <c r="E37"/>
  <c r="D37"/>
  <c r="C37"/>
  <c r="B37"/>
  <c r="F36"/>
  <c r="F35" s="1"/>
  <c r="E36"/>
  <c r="E35" s="1"/>
  <c r="H35"/>
  <c r="G35"/>
  <c r="D35"/>
  <c r="C35"/>
  <c r="B35"/>
  <c r="F34"/>
  <c r="E34"/>
  <c r="F33"/>
  <c r="E33"/>
  <c r="F32"/>
  <c r="E32"/>
  <c r="D31"/>
  <c r="C31"/>
  <c r="E31" s="1"/>
  <c r="B31"/>
  <c r="F30"/>
  <c r="E30"/>
  <c r="F29"/>
  <c r="E29"/>
  <c r="F28"/>
  <c r="E28"/>
  <c r="F27"/>
  <c r="E27"/>
  <c r="F26"/>
  <c r="E26"/>
  <c r="D25"/>
  <c r="C25"/>
  <c r="B25"/>
  <c r="F24"/>
  <c r="E24"/>
  <c r="F23"/>
  <c r="E23"/>
  <c r="F22"/>
  <c r="E22"/>
  <c r="D21"/>
  <c r="C21"/>
  <c r="E21" s="1"/>
  <c r="B21"/>
  <c r="F20"/>
  <c r="E20"/>
  <c r="F19"/>
  <c r="E19"/>
  <c r="D18"/>
  <c r="F18" s="1"/>
  <c r="C18"/>
  <c r="B18"/>
  <c r="E18" s="1"/>
  <c r="F17"/>
  <c r="E17"/>
  <c r="F16"/>
  <c r="E16"/>
  <c r="F15"/>
  <c r="E15"/>
  <c r="D14"/>
  <c r="C14"/>
  <c r="E14" s="1"/>
  <c r="B14"/>
  <c r="F13"/>
  <c r="E13"/>
  <c r="F12"/>
  <c r="E12"/>
  <c r="F11"/>
  <c r="E11"/>
  <c r="D10"/>
  <c r="C10"/>
  <c r="B10"/>
  <c r="F9"/>
  <c r="E9"/>
  <c r="D8"/>
  <c r="C8"/>
  <c r="B8"/>
  <c r="F8" s="1"/>
  <c r="F7"/>
  <c r="E7"/>
  <c r="D6"/>
  <c r="C6"/>
  <c r="B6"/>
  <c r="D17" i="296"/>
  <c r="D12"/>
  <c r="D20"/>
  <c r="D19"/>
  <c r="D18"/>
  <c r="D16"/>
  <c r="D15"/>
  <c r="D14"/>
  <c r="D13"/>
  <c r="D11"/>
  <c r="D10"/>
  <c r="D9"/>
  <c r="D8"/>
  <c r="D7"/>
  <c r="D6"/>
  <c r="C5"/>
  <c r="B5"/>
  <c r="D38" i="295"/>
  <c r="E37"/>
  <c r="C37"/>
  <c r="D37" s="1"/>
  <c r="B37"/>
  <c r="D36"/>
  <c r="E35"/>
  <c r="D35"/>
  <c r="C35"/>
  <c r="B35"/>
  <c r="D34"/>
  <c r="D33"/>
  <c r="D32"/>
  <c r="C31"/>
  <c r="B31"/>
  <c r="D31" s="1"/>
  <c r="D30"/>
  <c r="D29"/>
  <c r="D28"/>
  <c r="D27"/>
  <c r="D26"/>
  <c r="C25"/>
  <c r="B25"/>
  <c r="D24"/>
  <c r="D23"/>
  <c r="D22"/>
  <c r="D21"/>
  <c r="C21"/>
  <c r="B21"/>
  <c r="D20"/>
  <c r="D19"/>
  <c r="C18"/>
  <c r="D18" s="1"/>
  <c r="B18"/>
  <c r="D17"/>
  <c r="D16"/>
  <c r="D15"/>
  <c r="C14"/>
  <c r="D14" s="1"/>
  <c r="B14"/>
  <c r="D13"/>
  <c r="D12"/>
  <c r="D11"/>
  <c r="C10"/>
  <c r="D10" s="1"/>
  <c r="B10"/>
  <c r="D9"/>
  <c r="C8"/>
  <c r="D8" s="1"/>
  <c r="B8"/>
  <c r="D7"/>
  <c r="C6"/>
  <c r="D6" s="1"/>
  <c r="B6"/>
  <c r="E16" i="294"/>
  <c r="C16"/>
  <c r="E15"/>
  <c r="C15"/>
  <c r="E14"/>
  <c r="C14"/>
  <c r="E13"/>
  <c r="C13"/>
  <c r="E12"/>
  <c r="C12"/>
  <c r="E11"/>
  <c r="C11"/>
  <c r="E10"/>
  <c r="C10"/>
  <c r="E9"/>
  <c r="C9"/>
  <c r="E8"/>
  <c r="C8"/>
  <c r="E7"/>
  <c r="C7"/>
  <c r="D6"/>
  <c r="E6" s="1"/>
  <c r="B6"/>
  <c r="E5"/>
  <c r="C5"/>
  <c r="E48" i="293"/>
  <c r="D48"/>
  <c r="C48"/>
  <c r="B48"/>
  <c r="E47"/>
  <c r="D47"/>
  <c r="C47"/>
  <c r="B47"/>
  <c r="E46"/>
  <c r="D46"/>
  <c r="C46"/>
  <c r="B46"/>
  <c r="E45"/>
  <c r="D45"/>
  <c r="C45"/>
  <c r="B45"/>
  <c r="E44"/>
  <c r="D44"/>
  <c r="C44"/>
  <c r="B44"/>
  <c r="E43"/>
  <c r="D43"/>
  <c r="C43"/>
  <c r="B43"/>
  <c r="M42"/>
  <c r="L42"/>
  <c r="K42"/>
  <c r="J42"/>
  <c r="I42"/>
  <c r="H42"/>
  <c r="G42"/>
  <c r="F42"/>
  <c r="E42"/>
  <c r="D42"/>
  <c r="C42"/>
  <c r="B42"/>
  <c r="E41"/>
  <c r="D41"/>
  <c r="C41"/>
  <c r="B41"/>
  <c r="E40"/>
  <c r="D40"/>
  <c r="C40"/>
  <c r="B40"/>
  <c r="E39"/>
  <c r="D39"/>
  <c r="C39"/>
  <c r="B39"/>
  <c r="E38"/>
  <c r="D38"/>
  <c r="C38"/>
  <c r="B38"/>
  <c r="E37"/>
  <c r="D37"/>
  <c r="C37"/>
  <c r="B37"/>
  <c r="E36"/>
  <c r="D36"/>
  <c r="C36"/>
  <c r="B36"/>
  <c r="M35"/>
  <c r="L35"/>
  <c r="K35"/>
  <c r="J35"/>
  <c r="I35"/>
  <c r="H35"/>
  <c r="G35"/>
  <c r="F35"/>
  <c r="E35"/>
  <c r="D35"/>
  <c r="C35"/>
  <c r="B35"/>
  <c r="E34"/>
  <c r="D34"/>
  <c r="C34"/>
  <c r="B34"/>
  <c r="E33"/>
  <c r="D33"/>
  <c r="C33"/>
  <c r="B33"/>
  <c r="E32"/>
  <c r="D32"/>
  <c r="C32"/>
  <c r="B32"/>
  <c r="E31"/>
  <c r="D31"/>
  <c r="C31"/>
  <c r="B31"/>
  <c r="E30"/>
  <c r="D30"/>
  <c r="C30"/>
  <c r="B30"/>
  <c r="E29"/>
  <c r="D29"/>
  <c r="C29"/>
  <c r="B29"/>
  <c r="M28"/>
  <c r="L28"/>
  <c r="K28"/>
  <c r="J28"/>
  <c r="I28"/>
  <c r="H28"/>
  <c r="G28"/>
  <c r="F28"/>
  <c r="E28"/>
  <c r="D28"/>
  <c r="C28"/>
  <c r="B28"/>
  <c r="E27"/>
  <c r="D27"/>
  <c r="C27"/>
  <c r="B27"/>
  <c r="E26"/>
  <c r="D26"/>
  <c r="C26"/>
  <c r="B26"/>
  <c r="E25"/>
  <c r="D25"/>
  <c r="C25"/>
  <c r="B25"/>
  <c r="E24"/>
  <c r="D24"/>
  <c r="C24"/>
  <c r="B24"/>
  <c r="E23"/>
  <c r="D23"/>
  <c r="C23"/>
  <c r="B23"/>
  <c r="E22"/>
  <c r="D22"/>
  <c r="C22"/>
  <c r="B22"/>
  <c r="M21"/>
  <c r="L21"/>
  <c r="K21"/>
  <c r="J21"/>
  <c r="I21"/>
  <c r="H21"/>
  <c r="G21"/>
  <c r="F21"/>
  <c r="E21"/>
  <c r="D21"/>
  <c r="C21"/>
  <c r="B21"/>
  <c r="E20"/>
  <c r="D20"/>
  <c r="C20"/>
  <c r="B20"/>
  <c r="E19"/>
  <c r="D19"/>
  <c r="C19"/>
  <c r="B19"/>
  <c r="E18"/>
  <c r="D18"/>
  <c r="C18"/>
  <c r="B18"/>
  <c r="E17"/>
  <c r="D17"/>
  <c r="C17"/>
  <c r="B17"/>
  <c r="E16"/>
  <c r="D16"/>
  <c r="C16"/>
  <c r="B16"/>
  <c r="E15"/>
  <c r="D15"/>
  <c r="C15"/>
  <c r="B15"/>
  <c r="M14"/>
  <c r="L14"/>
  <c r="K14"/>
  <c r="J14"/>
  <c r="I14"/>
  <c r="H14"/>
  <c r="G14"/>
  <c r="F14"/>
  <c r="E14"/>
  <c r="D14"/>
  <c r="C14"/>
  <c r="B14"/>
  <c r="M13"/>
  <c r="L13"/>
  <c r="K13"/>
  <c r="J13"/>
  <c r="I13"/>
  <c r="H13"/>
  <c r="G13"/>
  <c r="F13"/>
  <c r="E13"/>
  <c r="D13"/>
  <c r="C13"/>
  <c r="B13"/>
  <c r="M12"/>
  <c r="L12"/>
  <c r="K12"/>
  <c r="J12"/>
  <c r="I12"/>
  <c r="H12"/>
  <c r="G12"/>
  <c r="F12"/>
  <c r="E12"/>
  <c r="D12"/>
  <c r="C12"/>
  <c r="B12"/>
  <c r="M11"/>
  <c r="L11"/>
  <c r="K11"/>
  <c r="J11"/>
  <c r="I11"/>
  <c r="H11"/>
  <c r="G11"/>
  <c r="F11"/>
  <c r="E11"/>
  <c r="D11"/>
  <c r="C11"/>
  <c r="B11"/>
  <c r="M10"/>
  <c r="L10"/>
  <c r="K10"/>
  <c r="J10"/>
  <c r="I10"/>
  <c r="H10"/>
  <c r="G10"/>
  <c r="F10"/>
  <c r="E10"/>
  <c r="D10"/>
  <c r="C10"/>
  <c r="B10"/>
  <c r="M9"/>
  <c r="L9"/>
  <c r="K9"/>
  <c r="J9"/>
  <c r="I9"/>
  <c r="H9"/>
  <c r="G9"/>
  <c r="F9"/>
  <c r="E9"/>
  <c r="D9"/>
  <c r="C9"/>
  <c r="B9"/>
  <c r="M8"/>
  <c r="L8"/>
  <c r="K8"/>
  <c r="J8"/>
  <c r="I8"/>
  <c r="H8"/>
  <c r="G8"/>
  <c r="F8"/>
  <c r="E8"/>
  <c r="D8"/>
  <c r="C8"/>
  <c r="B8"/>
  <c r="M7"/>
  <c r="L7"/>
  <c r="K7"/>
  <c r="J7"/>
  <c r="I7"/>
  <c r="H7"/>
  <c r="G7"/>
  <c r="F7"/>
  <c r="E7"/>
  <c r="D7"/>
  <c r="C7"/>
  <c r="B7"/>
  <c r="E48" i="292"/>
  <c r="D48"/>
  <c r="C48"/>
  <c r="B48"/>
  <c r="E47"/>
  <c r="D47"/>
  <c r="C47"/>
  <c r="B47"/>
  <c r="E46"/>
  <c r="D46"/>
  <c r="C46"/>
  <c r="B46"/>
  <c r="E45"/>
  <c r="D45"/>
  <c r="C45"/>
  <c r="B45"/>
  <c r="E44"/>
  <c r="D44"/>
  <c r="C44"/>
  <c r="B44"/>
  <c r="E43"/>
  <c r="D43"/>
  <c r="C43"/>
  <c r="B43"/>
  <c r="M42"/>
  <c r="L42"/>
  <c r="K42"/>
  <c r="J42"/>
  <c r="I42"/>
  <c r="H42"/>
  <c r="G42"/>
  <c r="F42"/>
  <c r="E42"/>
  <c r="D42"/>
  <c r="C42"/>
  <c r="B42"/>
  <c r="E41"/>
  <c r="D41"/>
  <c r="C41"/>
  <c r="B41"/>
  <c r="E40"/>
  <c r="D40"/>
  <c r="C40"/>
  <c r="B40"/>
  <c r="E39"/>
  <c r="D39"/>
  <c r="C39"/>
  <c r="B39"/>
  <c r="E38"/>
  <c r="D38"/>
  <c r="C38"/>
  <c r="B38"/>
  <c r="E37"/>
  <c r="D37"/>
  <c r="C37"/>
  <c r="B37"/>
  <c r="E36"/>
  <c r="D36"/>
  <c r="C36"/>
  <c r="B36"/>
  <c r="M35"/>
  <c r="L35"/>
  <c r="K35"/>
  <c r="J35"/>
  <c r="I35"/>
  <c r="H35"/>
  <c r="G35"/>
  <c r="F35"/>
  <c r="E35"/>
  <c r="D35"/>
  <c r="C35"/>
  <c r="B35"/>
  <c r="E34"/>
  <c r="D34"/>
  <c r="C34"/>
  <c r="B34"/>
  <c r="E33"/>
  <c r="D33"/>
  <c r="C33"/>
  <c r="B33"/>
  <c r="E32"/>
  <c r="D32"/>
  <c r="C32"/>
  <c r="B32"/>
  <c r="E31"/>
  <c r="D31"/>
  <c r="C31"/>
  <c r="B31"/>
  <c r="E30"/>
  <c r="D30"/>
  <c r="C30"/>
  <c r="B30"/>
  <c r="E29"/>
  <c r="D29"/>
  <c r="C29"/>
  <c r="B29"/>
  <c r="M28"/>
  <c r="L28"/>
  <c r="K28"/>
  <c r="J28"/>
  <c r="I28"/>
  <c r="H28"/>
  <c r="G28"/>
  <c r="F28"/>
  <c r="E28"/>
  <c r="D28"/>
  <c r="C28"/>
  <c r="B28"/>
  <c r="E27"/>
  <c r="D27"/>
  <c r="C27"/>
  <c r="B27"/>
  <c r="E26"/>
  <c r="D26"/>
  <c r="C26"/>
  <c r="B26"/>
  <c r="E25"/>
  <c r="D25"/>
  <c r="C25"/>
  <c r="B25"/>
  <c r="E24"/>
  <c r="D24"/>
  <c r="C24"/>
  <c r="B24"/>
  <c r="E23"/>
  <c r="D23"/>
  <c r="C23"/>
  <c r="B23"/>
  <c r="E22"/>
  <c r="D22"/>
  <c r="C22"/>
  <c r="B22"/>
  <c r="M21"/>
  <c r="L21"/>
  <c r="K21"/>
  <c r="J21"/>
  <c r="I21"/>
  <c r="H21"/>
  <c r="G21"/>
  <c r="F21"/>
  <c r="E21"/>
  <c r="D21"/>
  <c r="C21"/>
  <c r="B21"/>
  <c r="E20"/>
  <c r="D20"/>
  <c r="C20"/>
  <c r="B20"/>
  <c r="E19"/>
  <c r="D19"/>
  <c r="C19"/>
  <c r="B19"/>
  <c r="E18"/>
  <c r="D18"/>
  <c r="C18"/>
  <c r="B18"/>
  <c r="E17"/>
  <c r="D17"/>
  <c r="C17"/>
  <c r="B17"/>
  <c r="E16"/>
  <c r="D16"/>
  <c r="C16"/>
  <c r="B16"/>
  <c r="E15"/>
  <c r="D15"/>
  <c r="C15"/>
  <c r="B15"/>
  <c r="M14"/>
  <c r="L14"/>
  <c r="K14"/>
  <c r="J14"/>
  <c r="I14"/>
  <c r="H14"/>
  <c r="G14"/>
  <c r="F14"/>
  <c r="E14"/>
  <c r="D14"/>
  <c r="C14"/>
  <c r="B14"/>
  <c r="M13"/>
  <c r="L13"/>
  <c r="K13"/>
  <c r="J13"/>
  <c r="I13"/>
  <c r="H13"/>
  <c r="G13"/>
  <c r="F13"/>
  <c r="E13"/>
  <c r="D13"/>
  <c r="C13"/>
  <c r="B13"/>
  <c r="M12"/>
  <c r="L12"/>
  <c r="K12"/>
  <c r="J12"/>
  <c r="I12"/>
  <c r="H12"/>
  <c r="G12"/>
  <c r="F12"/>
  <c r="E12"/>
  <c r="D12"/>
  <c r="C12"/>
  <c r="B12"/>
  <c r="M11"/>
  <c r="L11"/>
  <c r="K11"/>
  <c r="J11"/>
  <c r="I11"/>
  <c r="H11"/>
  <c r="G11"/>
  <c r="F11"/>
  <c r="E11"/>
  <c r="D11"/>
  <c r="C11"/>
  <c r="B11"/>
  <c r="M10"/>
  <c r="L10"/>
  <c r="K10"/>
  <c r="J10"/>
  <c r="I10"/>
  <c r="H10"/>
  <c r="G10"/>
  <c r="F10"/>
  <c r="E10"/>
  <c r="D10"/>
  <c r="C10"/>
  <c r="B10"/>
  <c r="M9"/>
  <c r="L9"/>
  <c r="K9"/>
  <c r="J9"/>
  <c r="I9"/>
  <c r="H9"/>
  <c r="G9"/>
  <c r="F9"/>
  <c r="E9"/>
  <c r="D9"/>
  <c r="C9"/>
  <c r="B9"/>
  <c r="M8"/>
  <c r="L8"/>
  <c r="K8"/>
  <c r="J8"/>
  <c r="I8"/>
  <c r="H8"/>
  <c r="G8"/>
  <c r="F8"/>
  <c r="E8"/>
  <c r="D8"/>
  <c r="C8"/>
  <c r="B8"/>
  <c r="M7"/>
  <c r="L7"/>
  <c r="K7"/>
  <c r="J7"/>
  <c r="I7"/>
  <c r="H7"/>
  <c r="G7"/>
  <c r="F7"/>
  <c r="E7"/>
  <c r="D7"/>
  <c r="C7"/>
  <c r="B7"/>
  <c r="C21" i="291"/>
  <c r="B21"/>
  <c r="C20"/>
  <c r="B20"/>
  <c r="C19"/>
  <c r="B19"/>
  <c r="C18"/>
  <c r="B18"/>
  <c r="C17"/>
  <c r="B17"/>
  <c r="C16"/>
  <c r="B16"/>
  <c r="C15"/>
  <c r="B15"/>
  <c r="C14"/>
  <c r="B14"/>
  <c r="C13"/>
  <c r="B13"/>
  <c r="C12"/>
  <c r="B12"/>
  <c r="C11"/>
  <c r="B11"/>
  <c r="C10"/>
  <c r="B10"/>
  <c r="C9"/>
  <c r="B9"/>
  <c r="C8"/>
  <c r="B8"/>
  <c r="C7"/>
  <c r="B7"/>
  <c r="S6"/>
  <c r="R6"/>
  <c r="Q6"/>
  <c r="P6"/>
  <c r="O6"/>
  <c r="N6"/>
  <c r="M6"/>
  <c r="L6"/>
  <c r="K6"/>
  <c r="J6"/>
  <c r="I6"/>
  <c r="H6"/>
  <c r="G6"/>
  <c r="F6"/>
  <c r="E6"/>
  <c r="D6"/>
  <c r="B6" s="1"/>
  <c r="C6"/>
  <c r="C22" i="290"/>
  <c r="B22"/>
  <c r="C21"/>
  <c r="B21"/>
  <c r="C20"/>
  <c r="B20"/>
  <c r="C19"/>
  <c r="B19"/>
  <c r="C18"/>
  <c r="B18"/>
  <c r="C17"/>
  <c r="B17"/>
  <c r="C16"/>
  <c r="B16"/>
  <c r="C15"/>
  <c r="B15"/>
  <c r="C14"/>
  <c r="B14"/>
  <c r="C13"/>
  <c r="B13"/>
  <c r="C12"/>
  <c r="B12"/>
  <c r="C11"/>
  <c r="B11"/>
  <c r="C10"/>
  <c r="B10"/>
  <c r="C9"/>
  <c r="B9"/>
  <c r="C8"/>
  <c r="B8"/>
  <c r="C7"/>
  <c r="B7"/>
  <c r="Q6"/>
  <c r="P6"/>
  <c r="O6"/>
  <c r="N6"/>
  <c r="M6"/>
  <c r="L6"/>
  <c r="K6"/>
  <c r="J6"/>
  <c r="I6"/>
  <c r="H6"/>
  <c r="G6"/>
  <c r="F6"/>
  <c r="E6"/>
  <c r="D6"/>
  <c r="B6" s="1"/>
  <c r="C6"/>
  <c r="G6" i="289"/>
  <c r="F6"/>
  <c r="E6"/>
  <c r="D6"/>
  <c r="C6"/>
  <c r="B6"/>
  <c r="G24" i="288"/>
  <c r="F24"/>
  <c r="E24"/>
  <c r="D24"/>
  <c r="C24"/>
  <c r="C7" s="1"/>
  <c r="B24"/>
  <c r="G8"/>
  <c r="F8"/>
  <c r="E8"/>
  <c r="E7" s="1"/>
  <c r="D8"/>
  <c r="D7" s="1"/>
  <c r="C8"/>
  <c r="B8"/>
  <c r="G7"/>
  <c r="F7"/>
  <c r="B7"/>
  <c r="G6" i="287"/>
  <c r="F6"/>
  <c r="E6"/>
  <c r="D6"/>
  <c r="C6"/>
  <c r="B6"/>
  <c r="G6" i="286"/>
  <c r="F6"/>
  <c r="E6"/>
  <c r="D6"/>
  <c r="C6"/>
  <c r="B6"/>
  <c r="B21" i="284"/>
  <c r="B20"/>
  <c r="B19"/>
  <c r="B18"/>
  <c r="B17"/>
  <c r="B16"/>
  <c r="B15"/>
  <c r="B14"/>
  <c r="B13"/>
  <c r="B12"/>
  <c r="B11"/>
  <c r="B10"/>
  <c r="B9"/>
  <c r="B8"/>
  <c r="B7"/>
  <c r="N6"/>
  <c r="M6"/>
  <c r="L6"/>
  <c r="K6"/>
  <c r="J6"/>
  <c r="I6"/>
  <c r="H6"/>
  <c r="G6"/>
  <c r="F6"/>
  <c r="E6"/>
  <c r="D6"/>
  <c r="C6"/>
  <c r="B12" i="283"/>
  <c r="B11"/>
  <c r="B10"/>
  <c r="B9"/>
  <c r="B8"/>
  <c r="B7"/>
  <c r="B12" i="282"/>
  <c r="B11"/>
  <c r="B10"/>
  <c r="B9"/>
  <c r="B8"/>
  <c r="B7"/>
  <c r="B22" i="281"/>
  <c r="B21"/>
  <c r="B20"/>
  <c r="B19"/>
  <c r="B18"/>
  <c r="B17"/>
  <c r="B16"/>
  <c r="B15"/>
  <c r="B14"/>
  <c r="B13"/>
  <c r="B12"/>
  <c r="B11"/>
  <c r="B10"/>
  <c r="B9"/>
  <c r="B8"/>
  <c r="L7"/>
  <c r="K7"/>
  <c r="J7"/>
  <c r="I7"/>
  <c r="H7"/>
  <c r="G7"/>
  <c r="F7"/>
  <c r="E7"/>
  <c r="D7"/>
  <c r="C7"/>
  <c r="B22" i="280"/>
  <c r="B21"/>
  <c r="B20"/>
  <c r="B19"/>
  <c r="B18"/>
  <c r="B17"/>
  <c r="B16"/>
  <c r="B15"/>
  <c r="B14"/>
  <c r="B13"/>
  <c r="B12"/>
  <c r="B11"/>
  <c r="B10"/>
  <c r="B9"/>
  <c r="B8"/>
  <c r="B7" s="1"/>
  <c r="L7"/>
  <c r="K7"/>
  <c r="J7"/>
  <c r="I7"/>
  <c r="H7"/>
  <c r="G7"/>
  <c r="F7"/>
  <c r="E7"/>
  <c r="D7"/>
  <c r="C7"/>
  <c r="B22" i="279"/>
  <c r="B21"/>
  <c r="B20"/>
  <c r="B19"/>
  <c r="B18"/>
  <c r="B17"/>
  <c r="B16"/>
  <c r="B15"/>
  <c r="B14"/>
  <c r="B13"/>
  <c r="B12"/>
  <c r="B11"/>
  <c r="B10"/>
  <c r="B9"/>
  <c r="B8"/>
  <c r="L7"/>
  <c r="K7"/>
  <c r="J7"/>
  <c r="I7"/>
  <c r="H7"/>
  <c r="G7"/>
  <c r="F7"/>
  <c r="E7"/>
  <c r="D7"/>
  <c r="C7"/>
  <c r="B12" i="278"/>
  <c r="B11"/>
  <c r="B10"/>
  <c r="B9"/>
  <c r="B8"/>
  <c r="B7"/>
  <c r="B90" i="277"/>
  <c r="B89"/>
  <c r="D88"/>
  <c r="C88"/>
  <c r="B88" s="1"/>
  <c r="B87"/>
  <c r="D86"/>
  <c r="C86"/>
  <c r="B85"/>
  <c r="B84"/>
  <c r="D83"/>
  <c r="C83"/>
  <c r="B82"/>
  <c r="D81"/>
  <c r="C81"/>
  <c r="B80"/>
  <c r="B79"/>
  <c r="B78"/>
  <c r="D77"/>
  <c r="C77"/>
  <c r="B76"/>
  <c r="B75"/>
  <c r="B74"/>
  <c r="B73"/>
  <c r="B72"/>
  <c r="D71"/>
  <c r="C71"/>
  <c r="B71" s="1"/>
  <c r="B70"/>
  <c r="B69"/>
  <c r="B68"/>
  <c r="B67"/>
  <c r="B66"/>
  <c r="D65"/>
  <c r="B65" s="1"/>
  <c r="C65"/>
  <c r="B64"/>
  <c r="B63"/>
  <c r="B62"/>
  <c r="B61"/>
  <c r="D60"/>
  <c r="C60"/>
  <c r="B59"/>
  <c r="B58"/>
  <c r="B57"/>
  <c r="B56"/>
  <c r="B55"/>
  <c r="B54"/>
  <c r="B53"/>
  <c r="B52"/>
  <c r="B51"/>
  <c r="B50"/>
  <c r="B49"/>
  <c r="B48"/>
  <c r="B47"/>
  <c r="B46"/>
  <c r="B45"/>
  <c r="B44"/>
  <c r="B43"/>
  <c r="B42"/>
  <c r="B41"/>
  <c r="B40"/>
  <c r="B39"/>
  <c r="B38"/>
  <c r="B37"/>
  <c r="B36"/>
  <c r="B35"/>
  <c r="B34"/>
  <c r="B33"/>
  <c r="B32"/>
  <c r="B31"/>
  <c r="B30"/>
  <c r="B29"/>
  <c r="D27"/>
  <c r="C27"/>
  <c r="B27" s="1"/>
  <c r="B26"/>
  <c r="B25"/>
  <c r="B24"/>
  <c r="B23"/>
  <c r="B22"/>
  <c r="D21"/>
  <c r="C21"/>
  <c r="B21" s="1"/>
  <c r="B20"/>
  <c r="B19"/>
  <c r="B18"/>
  <c r="B17"/>
  <c r="D16"/>
  <c r="B16" s="1"/>
  <c r="C16"/>
  <c r="B15"/>
  <c r="D14"/>
  <c r="C14"/>
  <c r="B13"/>
  <c r="D12"/>
  <c r="C12"/>
  <c r="B11"/>
  <c r="B10"/>
  <c r="D9"/>
  <c r="C9"/>
  <c r="B9" s="1"/>
  <c r="B8"/>
  <c r="D7"/>
  <c r="C7"/>
  <c r="B7" s="1"/>
  <c r="E6" i="276"/>
  <c r="D6"/>
  <c r="C6"/>
  <c r="B6"/>
  <c r="D7" i="275"/>
  <c r="D6"/>
  <c r="C6"/>
  <c r="B6"/>
  <c r="F6" i="274"/>
  <c r="E6"/>
  <c r="D6"/>
  <c r="C6"/>
  <c r="B6"/>
  <c r="B9" i="273"/>
  <c r="B6" s="1"/>
  <c r="B8"/>
  <c r="B7"/>
  <c r="D6"/>
  <c r="C6"/>
  <c r="G6" i="272"/>
  <c r="F6"/>
  <c r="E6"/>
  <c r="D6"/>
  <c r="C6"/>
  <c r="B6"/>
  <c r="C5" i="270"/>
  <c r="B5"/>
  <c r="C6" i="269"/>
  <c r="B6"/>
  <c r="D5" i="268"/>
  <c r="C5"/>
  <c r="B5"/>
  <c r="Q20" i="267"/>
  <c r="N20"/>
  <c r="K20"/>
  <c r="H20"/>
  <c r="H19" s="1"/>
  <c r="E20"/>
  <c r="B20"/>
  <c r="S19"/>
  <c r="R19"/>
  <c r="Q19" s="1"/>
  <c r="P19"/>
  <c r="O19"/>
  <c r="N19"/>
  <c r="M19"/>
  <c r="L19"/>
  <c r="K19"/>
  <c r="J19"/>
  <c r="I19"/>
  <c r="G19"/>
  <c r="F19"/>
  <c r="E19"/>
  <c r="D19"/>
  <c r="C19"/>
  <c r="B19"/>
  <c r="E18"/>
  <c r="E17" s="1"/>
  <c r="S12"/>
  <c r="R12"/>
  <c r="Q12"/>
  <c r="P12"/>
  <c r="O12"/>
  <c r="M12"/>
  <c r="L12"/>
  <c r="J12"/>
  <c r="I12"/>
  <c r="G12"/>
  <c r="F12"/>
  <c r="D12"/>
  <c r="C12"/>
  <c r="Q11"/>
  <c r="N11"/>
  <c r="K11"/>
  <c r="H11"/>
  <c r="E11"/>
  <c r="B11"/>
  <c r="Q10"/>
  <c r="N10"/>
  <c r="K10"/>
  <c r="H10"/>
  <c r="E10"/>
  <c r="B10"/>
  <c r="Q9"/>
  <c r="N9"/>
  <c r="K9"/>
  <c r="H9"/>
  <c r="E9"/>
  <c r="E7" s="1"/>
  <c r="E6" s="1"/>
  <c r="B9"/>
  <c r="Q8"/>
  <c r="N8"/>
  <c r="K8"/>
  <c r="K7" s="1"/>
  <c r="K6" s="1"/>
  <c r="H8"/>
  <c r="H7" s="1"/>
  <c r="H6" s="1"/>
  <c r="E8"/>
  <c r="B8"/>
  <c r="S7"/>
  <c r="R7"/>
  <c r="P7"/>
  <c r="O7"/>
  <c r="N7"/>
  <c r="N6" s="1"/>
  <c r="M7"/>
  <c r="L7"/>
  <c r="J7"/>
  <c r="I7"/>
  <c r="G7"/>
  <c r="F7"/>
  <c r="D7"/>
  <c r="C7"/>
  <c r="B7"/>
  <c r="B6" s="1"/>
  <c r="N7" i="266"/>
  <c r="M7"/>
  <c r="L7"/>
  <c r="K7"/>
  <c r="J7"/>
  <c r="I7"/>
  <c r="H7"/>
  <c r="G7"/>
  <c r="F7"/>
  <c r="E7"/>
  <c r="D7"/>
  <c r="C7"/>
  <c r="V21" i="265"/>
  <c r="R21"/>
  <c r="N21"/>
  <c r="J21"/>
  <c r="F21"/>
  <c r="B21"/>
  <c r="V20"/>
  <c r="R20"/>
  <c r="N20"/>
  <c r="J20"/>
  <c r="F20"/>
  <c r="B20"/>
  <c r="V19"/>
  <c r="R19"/>
  <c r="N19"/>
  <c r="J19"/>
  <c r="F19"/>
  <c r="B19"/>
  <c r="V18"/>
  <c r="R18"/>
  <c r="N18"/>
  <c r="J18"/>
  <c r="F18"/>
  <c r="B18"/>
  <c r="V17"/>
  <c r="R17"/>
  <c r="N17"/>
  <c r="J17"/>
  <c r="F17"/>
  <c r="B17"/>
  <c r="V16"/>
  <c r="R16"/>
  <c r="N16"/>
  <c r="J16"/>
  <c r="F16"/>
  <c r="B16"/>
  <c r="V15"/>
  <c r="R15"/>
  <c r="N15"/>
  <c r="J15"/>
  <c r="F15"/>
  <c r="B15"/>
  <c r="V14"/>
  <c r="R14"/>
  <c r="N14"/>
  <c r="J14"/>
  <c r="F14"/>
  <c r="B14"/>
  <c r="V13"/>
  <c r="R13"/>
  <c r="N13"/>
  <c r="J13"/>
  <c r="F13"/>
  <c r="B13"/>
  <c r="V12"/>
  <c r="R12"/>
  <c r="N12"/>
  <c r="J12"/>
  <c r="F12"/>
  <c r="B12"/>
  <c r="V11"/>
  <c r="R11"/>
  <c r="N11"/>
  <c r="J11"/>
  <c r="F11"/>
  <c r="B11"/>
  <c r="V10"/>
  <c r="R10"/>
  <c r="N10"/>
  <c r="J10"/>
  <c r="F10"/>
  <c r="B10"/>
  <c r="V9"/>
  <c r="R9"/>
  <c r="N9"/>
  <c r="J9"/>
  <c r="F9"/>
  <c r="B9"/>
  <c r="V8"/>
  <c r="R8"/>
  <c r="N8"/>
  <c r="J8"/>
  <c r="F8"/>
  <c r="B8"/>
  <c r="V7"/>
  <c r="V6" s="1"/>
  <c r="R7"/>
  <c r="N7"/>
  <c r="J7"/>
  <c r="F7"/>
  <c r="B7"/>
  <c r="Y6"/>
  <c r="X6"/>
  <c r="W6"/>
  <c r="U6"/>
  <c r="T6"/>
  <c r="S6"/>
  <c r="R6" s="1"/>
  <c r="Q6"/>
  <c r="P6"/>
  <c r="O6"/>
  <c r="N6" s="1"/>
  <c r="M6"/>
  <c r="L6"/>
  <c r="K6"/>
  <c r="J6"/>
  <c r="I6"/>
  <c r="H6"/>
  <c r="G6"/>
  <c r="F6" s="1"/>
  <c r="E6"/>
  <c r="D6"/>
  <c r="C6"/>
  <c r="B6" s="1"/>
  <c r="N52" i="264"/>
  <c r="M52"/>
  <c r="H52"/>
  <c r="G52"/>
  <c r="N51"/>
  <c r="M51"/>
  <c r="H51"/>
  <c r="G51"/>
  <c r="N50"/>
  <c r="M50"/>
  <c r="H50"/>
  <c r="G50"/>
  <c r="N49"/>
  <c r="M49"/>
  <c r="H49"/>
  <c r="G49"/>
  <c r="N48"/>
  <c r="M48"/>
  <c r="H48"/>
  <c r="G48"/>
  <c r="N47"/>
  <c r="M47"/>
  <c r="H47"/>
  <c r="G47"/>
  <c r="N46"/>
  <c r="M46"/>
  <c r="H46"/>
  <c r="G46"/>
  <c r="N45"/>
  <c r="M45"/>
  <c r="H45"/>
  <c r="G45"/>
  <c r="N44"/>
  <c r="M44"/>
  <c r="H44"/>
  <c r="G44"/>
  <c r="N43"/>
  <c r="M43"/>
  <c r="H43"/>
  <c r="G43"/>
  <c r="N42"/>
  <c r="M42"/>
  <c r="H42"/>
  <c r="G42"/>
  <c r="L41"/>
  <c r="K41"/>
  <c r="J41"/>
  <c r="I41"/>
  <c r="H41"/>
  <c r="E41"/>
  <c r="D41"/>
  <c r="C41"/>
  <c r="N35"/>
  <c r="M35"/>
  <c r="H35"/>
  <c r="G35"/>
  <c r="N34"/>
  <c r="M34"/>
  <c r="H34"/>
  <c r="G34"/>
  <c r="N33"/>
  <c r="M33"/>
  <c r="H33"/>
  <c r="G33"/>
  <c r="N32"/>
  <c r="M32"/>
  <c r="H32"/>
  <c r="G32"/>
  <c r="N31"/>
  <c r="M31"/>
  <c r="H31"/>
  <c r="G31"/>
  <c r="N30"/>
  <c r="M30"/>
  <c r="H30"/>
  <c r="G30"/>
  <c r="N29"/>
  <c r="M29"/>
  <c r="H29"/>
  <c r="G29"/>
  <c r="N28"/>
  <c r="M28"/>
  <c r="H28"/>
  <c r="G28"/>
  <c r="N27"/>
  <c r="M27"/>
  <c r="H27"/>
  <c r="G27"/>
  <c r="N26"/>
  <c r="N24" s="1"/>
  <c r="M26"/>
  <c r="H26"/>
  <c r="G26"/>
  <c r="N25"/>
  <c r="M25"/>
  <c r="H25"/>
  <c r="G25"/>
  <c r="M24"/>
  <c r="L24"/>
  <c r="K24"/>
  <c r="J24"/>
  <c r="I24"/>
  <c r="H24"/>
  <c r="G24"/>
  <c r="F24"/>
  <c r="E24"/>
  <c r="D24"/>
  <c r="C24"/>
  <c r="N17"/>
  <c r="M17"/>
  <c r="H17"/>
  <c r="G17"/>
  <c r="N16"/>
  <c r="M16"/>
  <c r="H16"/>
  <c r="G16"/>
  <c r="N15"/>
  <c r="M15"/>
  <c r="H15"/>
  <c r="G15"/>
  <c r="N14"/>
  <c r="M14"/>
  <c r="H14"/>
  <c r="G14"/>
  <c r="N13"/>
  <c r="M13"/>
  <c r="H13"/>
  <c r="G13"/>
  <c r="N12"/>
  <c r="M12"/>
  <c r="H12"/>
  <c r="G12"/>
  <c r="N11"/>
  <c r="M11"/>
  <c r="H11"/>
  <c r="G11"/>
  <c r="N10"/>
  <c r="M10"/>
  <c r="H10"/>
  <c r="G10"/>
  <c r="N9"/>
  <c r="M9"/>
  <c r="H9"/>
  <c r="G9"/>
  <c r="N8"/>
  <c r="M8"/>
  <c r="H8"/>
  <c r="G8"/>
  <c r="N7"/>
  <c r="M7"/>
  <c r="H7"/>
  <c r="G7"/>
  <c r="N6"/>
  <c r="M6"/>
  <c r="L6"/>
  <c r="K6"/>
  <c r="J6"/>
  <c r="I6"/>
  <c r="H6"/>
  <c r="G6"/>
  <c r="F6"/>
  <c r="E6"/>
  <c r="D6"/>
  <c r="C6"/>
  <c r="R52" i="263"/>
  <c r="Q52"/>
  <c r="J52"/>
  <c r="I52"/>
  <c r="R51"/>
  <c r="Q51"/>
  <c r="J51"/>
  <c r="I51"/>
  <c r="R50"/>
  <c r="Q50"/>
  <c r="J50"/>
  <c r="I50"/>
  <c r="R49"/>
  <c r="Q49"/>
  <c r="J49"/>
  <c r="I49"/>
  <c r="R48"/>
  <c r="Q48"/>
  <c r="J48"/>
  <c r="I48"/>
  <c r="R47"/>
  <c r="Q47"/>
  <c r="J47"/>
  <c r="I47"/>
  <c r="R46"/>
  <c r="Q46"/>
  <c r="J46"/>
  <c r="I46"/>
  <c r="R45"/>
  <c r="Q45"/>
  <c r="J45"/>
  <c r="I45"/>
  <c r="R44"/>
  <c r="Q44"/>
  <c r="J44"/>
  <c r="I44"/>
  <c r="R43"/>
  <c r="Q43"/>
  <c r="J43"/>
  <c r="I43"/>
  <c r="R42"/>
  <c r="Q42"/>
  <c r="J42"/>
  <c r="I42"/>
  <c r="P41"/>
  <c r="O41"/>
  <c r="N41"/>
  <c r="R41" s="1"/>
  <c r="M41"/>
  <c r="L41"/>
  <c r="K41"/>
  <c r="Q41" s="1"/>
  <c r="H41"/>
  <c r="G41"/>
  <c r="F41"/>
  <c r="E41"/>
  <c r="D41"/>
  <c r="R34"/>
  <c r="Q34"/>
  <c r="J34"/>
  <c r="I34"/>
  <c r="R33"/>
  <c r="Q33"/>
  <c r="J33"/>
  <c r="I33"/>
  <c r="R32"/>
  <c r="Q32"/>
  <c r="J32"/>
  <c r="I32"/>
  <c r="R31"/>
  <c r="Q31"/>
  <c r="J31"/>
  <c r="I31"/>
  <c r="R30"/>
  <c r="Q30"/>
  <c r="J30"/>
  <c r="I30"/>
  <c r="R29"/>
  <c r="Q29"/>
  <c r="J29"/>
  <c r="I29"/>
  <c r="R28"/>
  <c r="Q28"/>
  <c r="J28"/>
  <c r="I28"/>
  <c r="R27"/>
  <c r="Q27"/>
  <c r="J27"/>
  <c r="I27"/>
  <c r="R26"/>
  <c r="Q26"/>
  <c r="J26"/>
  <c r="I26"/>
  <c r="R25"/>
  <c r="Q25"/>
  <c r="J25"/>
  <c r="I25"/>
  <c r="R24"/>
  <c r="Q24"/>
  <c r="J24"/>
  <c r="I24"/>
  <c r="P23"/>
  <c r="O23"/>
  <c r="N23"/>
  <c r="M23"/>
  <c r="L23"/>
  <c r="K23"/>
  <c r="H23"/>
  <c r="G23"/>
  <c r="F23"/>
  <c r="E23"/>
  <c r="D23"/>
  <c r="C23"/>
  <c r="R17"/>
  <c r="Q17"/>
  <c r="J17"/>
  <c r="I17"/>
  <c r="R16"/>
  <c r="Q16"/>
  <c r="J16"/>
  <c r="I16"/>
  <c r="R15"/>
  <c r="Q15"/>
  <c r="J15"/>
  <c r="I15"/>
  <c r="R14"/>
  <c r="Q14"/>
  <c r="J14"/>
  <c r="I14"/>
  <c r="R13"/>
  <c r="Q13"/>
  <c r="J13"/>
  <c r="I13"/>
  <c r="R12"/>
  <c r="Q12"/>
  <c r="J12"/>
  <c r="I12"/>
  <c r="R11"/>
  <c r="Q11"/>
  <c r="J11"/>
  <c r="I11"/>
  <c r="R10"/>
  <c r="Q10"/>
  <c r="J10"/>
  <c r="I10"/>
  <c r="R9"/>
  <c r="Q9"/>
  <c r="J9"/>
  <c r="I9"/>
  <c r="R8"/>
  <c r="Q8"/>
  <c r="J8"/>
  <c r="I8"/>
  <c r="R7"/>
  <c r="Q7"/>
  <c r="J7"/>
  <c r="J6" s="1"/>
  <c r="I7"/>
  <c r="I6" s="1"/>
  <c r="R6"/>
  <c r="Q6"/>
  <c r="P6"/>
  <c r="O6"/>
  <c r="N6"/>
  <c r="M6"/>
  <c r="L6"/>
  <c r="K6"/>
  <c r="H6"/>
  <c r="G6"/>
  <c r="F6"/>
  <c r="E6"/>
  <c r="D6"/>
  <c r="C6"/>
  <c r="M21" i="262"/>
  <c r="J21"/>
  <c r="G21"/>
  <c r="D21"/>
  <c r="M20"/>
  <c r="J20"/>
  <c r="G20"/>
  <c r="D20"/>
  <c r="M19"/>
  <c r="J19"/>
  <c r="G19"/>
  <c r="D19"/>
  <c r="M18"/>
  <c r="J18"/>
  <c r="G18"/>
  <c r="D18"/>
  <c r="M17"/>
  <c r="J17"/>
  <c r="G17"/>
  <c r="D17"/>
  <c r="M16"/>
  <c r="J16"/>
  <c r="G16"/>
  <c r="D16"/>
  <c r="M15"/>
  <c r="J15"/>
  <c r="G15"/>
  <c r="D15"/>
  <c r="M14"/>
  <c r="J14"/>
  <c r="G14"/>
  <c r="D14"/>
  <c r="M13"/>
  <c r="J13"/>
  <c r="G13"/>
  <c r="D13"/>
  <c r="M12"/>
  <c r="J12"/>
  <c r="G12"/>
  <c r="D12"/>
  <c r="M11"/>
  <c r="J11"/>
  <c r="G11"/>
  <c r="D11"/>
  <c r="M10"/>
  <c r="J10"/>
  <c r="G10"/>
  <c r="D10"/>
  <c r="M9"/>
  <c r="J9"/>
  <c r="G9"/>
  <c r="D9"/>
  <c r="M8"/>
  <c r="J8"/>
  <c r="G8"/>
  <c r="D8"/>
  <c r="M7"/>
  <c r="M6" s="1"/>
  <c r="J7"/>
  <c r="J6" s="1"/>
  <c r="G7"/>
  <c r="D7"/>
  <c r="D6" s="1"/>
  <c r="O6"/>
  <c r="N6"/>
  <c r="L6"/>
  <c r="K6"/>
  <c r="I6"/>
  <c r="H6"/>
  <c r="G6"/>
  <c r="F6"/>
  <c r="E6"/>
  <c r="C6"/>
  <c r="B6"/>
  <c r="J24" i="261"/>
  <c r="I24"/>
  <c r="H24"/>
  <c r="G24"/>
  <c r="F24"/>
  <c r="E24"/>
  <c r="D24"/>
  <c r="C24"/>
  <c r="B24"/>
  <c r="J6"/>
  <c r="I6"/>
  <c r="H6"/>
  <c r="G6"/>
  <c r="F6"/>
  <c r="E6"/>
  <c r="D6"/>
  <c r="C6"/>
  <c r="B6"/>
  <c r="J31" i="260"/>
  <c r="I31"/>
  <c r="H31"/>
  <c r="G31"/>
  <c r="F31"/>
  <c r="E31"/>
  <c r="D31"/>
  <c r="C31"/>
  <c r="B31"/>
  <c r="J7"/>
  <c r="I7"/>
  <c r="H7"/>
  <c r="G7"/>
  <c r="F7"/>
  <c r="E7"/>
  <c r="D7"/>
  <c r="C7"/>
  <c r="B7"/>
  <c r="S73" i="259"/>
  <c r="P73"/>
  <c r="M73"/>
  <c r="L73" s="1"/>
  <c r="I73"/>
  <c r="F73"/>
  <c r="C73"/>
  <c r="B73" s="1"/>
  <c r="S72"/>
  <c r="P72"/>
  <c r="M72"/>
  <c r="L72" s="1"/>
  <c r="I72"/>
  <c r="F72"/>
  <c r="C72"/>
  <c r="B72" s="1"/>
  <c r="S71"/>
  <c r="P71"/>
  <c r="M71"/>
  <c r="L71" s="1"/>
  <c r="I71"/>
  <c r="F71"/>
  <c r="C71"/>
  <c r="B71" s="1"/>
  <c r="S70"/>
  <c r="P70"/>
  <c r="M70"/>
  <c r="L70" s="1"/>
  <c r="I70"/>
  <c r="F70"/>
  <c r="C70"/>
  <c r="B70" s="1"/>
  <c r="S69"/>
  <c r="P69"/>
  <c r="M69"/>
  <c r="L69" s="1"/>
  <c r="I69"/>
  <c r="F69"/>
  <c r="C69"/>
  <c r="B69" s="1"/>
  <c r="S68"/>
  <c r="P68"/>
  <c r="M68"/>
  <c r="L68" s="1"/>
  <c r="I68"/>
  <c r="F68"/>
  <c r="C68"/>
  <c r="B68" s="1"/>
  <c r="S67"/>
  <c r="P67"/>
  <c r="M67"/>
  <c r="L67" s="1"/>
  <c r="I67"/>
  <c r="F67"/>
  <c r="C67"/>
  <c r="B67" s="1"/>
  <c r="S66"/>
  <c r="P66"/>
  <c r="M66"/>
  <c r="L66" s="1"/>
  <c r="I66"/>
  <c r="F66"/>
  <c r="C66"/>
  <c r="B66" s="1"/>
  <c r="S65"/>
  <c r="P65"/>
  <c r="M65"/>
  <c r="L65" s="1"/>
  <c r="I65"/>
  <c r="F65"/>
  <c r="C65"/>
  <c r="B65" s="1"/>
  <c r="S64"/>
  <c r="P64"/>
  <c r="M64"/>
  <c r="L64" s="1"/>
  <c r="I64"/>
  <c r="F64"/>
  <c r="C64"/>
  <c r="B64" s="1"/>
  <c r="S63"/>
  <c r="P63"/>
  <c r="M63"/>
  <c r="L63" s="1"/>
  <c r="I63"/>
  <c r="F63"/>
  <c r="C63"/>
  <c r="B63" s="1"/>
  <c r="S62"/>
  <c r="P62"/>
  <c r="M62"/>
  <c r="L62" s="1"/>
  <c r="I62"/>
  <c r="F62"/>
  <c r="C62"/>
  <c r="B62" s="1"/>
  <c r="S61"/>
  <c r="P61"/>
  <c r="M61"/>
  <c r="L61" s="1"/>
  <c r="I61"/>
  <c r="F61"/>
  <c r="C61"/>
  <c r="B61" s="1"/>
  <c r="S60"/>
  <c r="P60"/>
  <c r="M60"/>
  <c r="L60" s="1"/>
  <c r="I60"/>
  <c r="F60"/>
  <c r="C60"/>
  <c r="B60" s="1"/>
  <c r="S59"/>
  <c r="P59"/>
  <c r="M59"/>
  <c r="L59" s="1"/>
  <c r="I59"/>
  <c r="F59"/>
  <c r="C59"/>
  <c r="B59" s="1"/>
  <c r="U58"/>
  <c r="T58"/>
  <c r="S58"/>
  <c r="R58"/>
  <c r="P58" s="1"/>
  <c r="Q58"/>
  <c r="O58"/>
  <c r="N58"/>
  <c r="K58"/>
  <c r="I58" s="1"/>
  <c r="B58" s="1"/>
  <c r="J58"/>
  <c r="H58"/>
  <c r="G58"/>
  <c r="F58" s="1"/>
  <c r="E58"/>
  <c r="D58"/>
  <c r="C58"/>
  <c r="S48"/>
  <c r="P48"/>
  <c r="M48"/>
  <c r="L48" s="1"/>
  <c r="I48"/>
  <c r="F48"/>
  <c r="C48"/>
  <c r="B48" s="1"/>
  <c r="S47"/>
  <c r="P47"/>
  <c r="M47"/>
  <c r="L47" s="1"/>
  <c r="I47"/>
  <c r="F47"/>
  <c r="C47"/>
  <c r="B47" s="1"/>
  <c r="S46"/>
  <c r="P46"/>
  <c r="M46"/>
  <c r="L46" s="1"/>
  <c r="I46"/>
  <c r="F46"/>
  <c r="C46"/>
  <c r="B46" s="1"/>
  <c r="S45"/>
  <c r="P45"/>
  <c r="M45"/>
  <c r="L45" s="1"/>
  <c r="I45"/>
  <c r="F45"/>
  <c r="C45"/>
  <c r="B45" s="1"/>
  <c r="S44"/>
  <c r="P44"/>
  <c r="M44"/>
  <c r="L44" s="1"/>
  <c r="I44"/>
  <c r="F44"/>
  <c r="C44"/>
  <c r="B44" s="1"/>
  <c r="S43"/>
  <c r="P43"/>
  <c r="M43"/>
  <c r="L43" s="1"/>
  <c r="I43"/>
  <c r="F43"/>
  <c r="C43"/>
  <c r="B43" s="1"/>
  <c r="S42"/>
  <c r="P42"/>
  <c r="M42"/>
  <c r="L42" s="1"/>
  <c r="I42"/>
  <c r="F42"/>
  <c r="C42"/>
  <c r="B42" s="1"/>
  <c r="S41"/>
  <c r="P41"/>
  <c r="M41"/>
  <c r="L41" s="1"/>
  <c r="I41"/>
  <c r="F41"/>
  <c r="C41"/>
  <c r="B41" s="1"/>
  <c r="S40"/>
  <c r="P40"/>
  <c r="M40"/>
  <c r="L40" s="1"/>
  <c r="I40"/>
  <c r="F40"/>
  <c r="C40"/>
  <c r="B40" s="1"/>
  <c r="S39"/>
  <c r="P39"/>
  <c r="M39"/>
  <c r="L39" s="1"/>
  <c r="I39"/>
  <c r="F39"/>
  <c r="C39"/>
  <c r="B39" s="1"/>
  <c r="S38"/>
  <c r="P38"/>
  <c r="M38"/>
  <c r="L38" s="1"/>
  <c r="I38"/>
  <c r="F38"/>
  <c r="C38"/>
  <c r="B38" s="1"/>
  <c r="S37"/>
  <c r="P37"/>
  <c r="M37"/>
  <c r="L37" s="1"/>
  <c r="I37"/>
  <c r="F37"/>
  <c r="C37"/>
  <c r="B37" s="1"/>
  <c r="S36"/>
  <c r="P36"/>
  <c r="M36"/>
  <c r="L36" s="1"/>
  <c r="I36"/>
  <c r="F36"/>
  <c r="C36"/>
  <c r="B36" s="1"/>
  <c r="S35"/>
  <c r="P35"/>
  <c r="M35"/>
  <c r="L35" s="1"/>
  <c r="I35"/>
  <c r="F35"/>
  <c r="C35"/>
  <c r="B35" s="1"/>
  <c r="S34"/>
  <c r="P34"/>
  <c r="M34"/>
  <c r="L34" s="1"/>
  <c r="I34"/>
  <c r="F34"/>
  <c r="C34"/>
  <c r="B34" s="1"/>
  <c r="U33"/>
  <c r="T33"/>
  <c r="S33"/>
  <c r="R33"/>
  <c r="P33" s="1"/>
  <c r="Q33"/>
  <c r="O33"/>
  <c r="N33"/>
  <c r="K33"/>
  <c r="J33"/>
  <c r="H33"/>
  <c r="G33"/>
  <c r="F33" s="1"/>
  <c r="E33"/>
  <c r="D33"/>
  <c r="C33"/>
  <c r="S23"/>
  <c r="P23"/>
  <c r="M23"/>
  <c r="L23" s="1"/>
  <c r="I23"/>
  <c r="F23"/>
  <c r="C23"/>
  <c r="B23" s="1"/>
  <c r="S22"/>
  <c r="P22"/>
  <c r="M22"/>
  <c r="L22" s="1"/>
  <c r="I22"/>
  <c r="F22"/>
  <c r="C22"/>
  <c r="B22" s="1"/>
  <c r="S21"/>
  <c r="P21"/>
  <c r="M21"/>
  <c r="L21" s="1"/>
  <c r="I21"/>
  <c r="F21"/>
  <c r="C21"/>
  <c r="B21" s="1"/>
  <c r="S20"/>
  <c r="P20"/>
  <c r="M20"/>
  <c r="L20" s="1"/>
  <c r="I20"/>
  <c r="F20"/>
  <c r="C20"/>
  <c r="B20" s="1"/>
  <c r="S19"/>
  <c r="P19"/>
  <c r="M19"/>
  <c r="L19" s="1"/>
  <c r="I19"/>
  <c r="F19"/>
  <c r="C19"/>
  <c r="B19" s="1"/>
  <c r="S18"/>
  <c r="P18"/>
  <c r="M18"/>
  <c r="L18" s="1"/>
  <c r="I18"/>
  <c r="F18"/>
  <c r="C18"/>
  <c r="B18" s="1"/>
  <c r="S17"/>
  <c r="P17"/>
  <c r="M17"/>
  <c r="L17" s="1"/>
  <c r="I17"/>
  <c r="F17"/>
  <c r="C17"/>
  <c r="B17" s="1"/>
  <c r="S16"/>
  <c r="P16"/>
  <c r="M16"/>
  <c r="L16" s="1"/>
  <c r="I16"/>
  <c r="F16"/>
  <c r="C16"/>
  <c r="B16" s="1"/>
  <c r="S15"/>
  <c r="P15"/>
  <c r="M15"/>
  <c r="L15" s="1"/>
  <c r="I15"/>
  <c r="F15"/>
  <c r="C15"/>
  <c r="B15" s="1"/>
  <c r="S14"/>
  <c r="P14"/>
  <c r="M14"/>
  <c r="L14" s="1"/>
  <c r="I14"/>
  <c r="F14"/>
  <c r="C14"/>
  <c r="B14" s="1"/>
  <c r="S13"/>
  <c r="P13"/>
  <c r="M13"/>
  <c r="L13" s="1"/>
  <c r="I13"/>
  <c r="F13"/>
  <c r="C13"/>
  <c r="B13" s="1"/>
  <c r="S12"/>
  <c r="P12"/>
  <c r="M12"/>
  <c r="L12" s="1"/>
  <c r="I12"/>
  <c r="F12"/>
  <c r="C12"/>
  <c r="B12" s="1"/>
  <c r="S11"/>
  <c r="P11"/>
  <c r="M11"/>
  <c r="L11" s="1"/>
  <c r="I11"/>
  <c r="F11"/>
  <c r="C11"/>
  <c r="B11" s="1"/>
  <c r="S10"/>
  <c r="P10"/>
  <c r="M10"/>
  <c r="L10" s="1"/>
  <c r="I10"/>
  <c r="F10"/>
  <c r="C10"/>
  <c r="B10" s="1"/>
  <c r="S9"/>
  <c r="P9"/>
  <c r="M9"/>
  <c r="L9" s="1"/>
  <c r="I9"/>
  <c r="F9"/>
  <c r="C9"/>
  <c r="B9" s="1"/>
  <c r="U8"/>
  <c r="T8"/>
  <c r="S8"/>
  <c r="R8"/>
  <c r="Q8"/>
  <c r="P8"/>
  <c r="O8"/>
  <c r="N8"/>
  <c r="M8" s="1"/>
  <c r="L8" s="1"/>
  <c r="K8"/>
  <c r="J8"/>
  <c r="I8" s="1"/>
  <c r="H8"/>
  <c r="G8"/>
  <c r="F8" s="1"/>
  <c r="E8"/>
  <c r="D8"/>
  <c r="C8"/>
  <c r="C15" i="258"/>
  <c r="G14"/>
  <c r="C14"/>
  <c r="G13"/>
  <c r="G12"/>
  <c r="C12"/>
  <c r="C11"/>
  <c r="G10"/>
  <c r="C10"/>
  <c r="G9"/>
  <c r="G8"/>
  <c r="C8"/>
  <c r="C7"/>
  <c r="F6"/>
  <c r="G15" s="1"/>
  <c r="D6"/>
  <c r="E12" s="1"/>
  <c r="B6"/>
  <c r="C13" s="1"/>
  <c r="E23" i="257"/>
  <c r="B23"/>
  <c r="E22"/>
  <c r="B22"/>
  <c r="E21"/>
  <c r="B21"/>
  <c r="E20"/>
  <c r="B20"/>
  <c r="E19"/>
  <c r="B19"/>
  <c r="E18"/>
  <c r="B18"/>
  <c r="E17"/>
  <c r="B17"/>
  <c r="E16"/>
  <c r="B16"/>
  <c r="E15"/>
  <c r="B15"/>
  <c r="E14"/>
  <c r="B14"/>
  <c r="E13"/>
  <c r="B13"/>
  <c r="E12"/>
  <c r="B12"/>
  <c r="E11"/>
  <c r="B11"/>
  <c r="E10"/>
  <c r="B10"/>
  <c r="E9"/>
  <c r="B9"/>
  <c r="E8"/>
  <c r="B8"/>
  <c r="G7"/>
  <c r="F7"/>
  <c r="E7" s="1"/>
  <c r="D7"/>
  <c r="C7"/>
  <c r="B7"/>
  <c r="G6" i="252"/>
  <c r="F6"/>
  <c r="E6"/>
  <c r="D6"/>
  <c r="C6"/>
  <c r="B6"/>
  <c r="B22" i="251"/>
  <c r="B21"/>
  <c r="B20"/>
  <c r="B19"/>
  <c r="B18"/>
  <c r="B17"/>
  <c r="B16"/>
  <c r="B15"/>
  <c r="B14"/>
  <c r="B13"/>
  <c r="B12"/>
  <c r="B11"/>
  <c r="B10"/>
  <c r="B9"/>
  <c r="B8"/>
  <c r="C7"/>
  <c r="C57" i="249"/>
  <c r="B57"/>
  <c r="C31"/>
  <c r="B31"/>
  <c r="C6"/>
  <c r="B6"/>
  <c r="B111" i="248"/>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M5"/>
  <c r="L5"/>
  <c r="K5"/>
  <c r="J5"/>
  <c r="I5"/>
  <c r="H5"/>
  <c r="G5"/>
  <c r="F5"/>
  <c r="E5"/>
  <c r="D5"/>
  <c r="C5"/>
  <c r="B51" i="247"/>
  <c r="B50"/>
  <c r="B49"/>
  <c r="E48"/>
  <c r="D48"/>
  <c r="C48"/>
  <c r="B48"/>
  <c r="B47"/>
  <c r="B46"/>
  <c r="B45"/>
  <c r="B44"/>
  <c r="B43"/>
  <c r="B42"/>
  <c r="E41"/>
  <c r="D41"/>
  <c r="C41"/>
  <c r="B40"/>
  <c r="B39"/>
  <c r="E38"/>
  <c r="D38"/>
  <c r="C38"/>
  <c r="B38"/>
  <c r="B37"/>
  <c r="B36"/>
  <c r="B35"/>
  <c r="B34"/>
  <c r="B32" s="1"/>
  <c r="B33"/>
  <c r="E32"/>
  <c r="D32"/>
  <c r="C32"/>
  <c r="B31"/>
  <c r="B30"/>
  <c r="B29"/>
  <c r="B28"/>
  <c r="B27"/>
  <c r="E26"/>
  <c r="D26"/>
  <c r="C26"/>
  <c r="B25"/>
  <c r="B24"/>
  <c r="E23"/>
  <c r="D23"/>
  <c r="C23"/>
  <c r="B23"/>
  <c r="B22"/>
  <c r="B21"/>
  <c r="B20"/>
  <c r="B19"/>
  <c r="E18"/>
  <c r="D18"/>
  <c r="C18"/>
  <c r="B18"/>
  <c r="B17"/>
  <c r="B15" s="1"/>
  <c r="B16"/>
  <c r="E15"/>
  <c r="D15"/>
  <c r="C15"/>
  <c r="B14"/>
  <c r="B13"/>
  <c r="E12"/>
  <c r="D12"/>
  <c r="C12"/>
  <c r="B12"/>
  <c r="B11"/>
  <c r="E10"/>
  <c r="D10"/>
  <c r="C10"/>
  <c r="C5" s="1"/>
  <c r="B10"/>
  <c r="B9"/>
  <c r="B8"/>
  <c r="B7"/>
  <c r="E6"/>
  <c r="D6"/>
  <c r="C6"/>
  <c r="B6"/>
  <c r="E5"/>
  <c r="C52" i="246"/>
  <c r="B52"/>
  <c r="C51"/>
  <c r="B51"/>
  <c r="C50"/>
  <c r="C49" s="1"/>
  <c r="B50"/>
  <c r="AG49"/>
  <c r="AF49"/>
  <c r="AE49"/>
  <c r="AD49"/>
  <c r="AC49"/>
  <c r="AB49"/>
  <c r="AA49"/>
  <c r="Z49"/>
  <c r="Y49"/>
  <c r="X49"/>
  <c r="W49"/>
  <c r="V49"/>
  <c r="U49"/>
  <c r="T49"/>
  <c r="S49"/>
  <c r="R49"/>
  <c r="Q49"/>
  <c r="P49"/>
  <c r="O49"/>
  <c r="N49"/>
  <c r="M49"/>
  <c r="L49"/>
  <c r="K49"/>
  <c r="J49"/>
  <c r="I49"/>
  <c r="H49"/>
  <c r="G49"/>
  <c r="F49"/>
  <c r="E49"/>
  <c r="D49"/>
  <c r="C48"/>
  <c r="B48"/>
  <c r="C47"/>
  <c r="B47"/>
  <c r="C46"/>
  <c r="B46"/>
  <c r="C45"/>
  <c r="B45"/>
  <c r="C44"/>
  <c r="B44"/>
  <c r="C43"/>
  <c r="B43"/>
  <c r="AG42"/>
  <c r="AF42"/>
  <c r="AE42"/>
  <c r="AD42"/>
  <c r="AC42"/>
  <c r="AB42"/>
  <c r="AA42"/>
  <c r="Z42"/>
  <c r="Y42"/>
  <c r="X42"/>
  <c r="W42"/>
  <c r="V42"/>
  <c r="U42"/>
  <c r="T42"/>
  <c r="S42"/>
  <c r="R42"/>
  <c r="Q42"/>
  <c r="P42"/>
  <c r="O42"/>
  <c r="N42"/>
  <c r="M42"/>
  <c r="L42"/>
  <c r="K42"/>
  <c r="J42"/>
  <c r="I42"/>
  <c r="H42"/>
  <c r="G42"/>
  <c r="F42"/>
  <c r="E42"/>
  <c r="D42"/>
  <c r="C41"/>
  <c r="B41"/>
  <c r="C40"/>
  <c r="B40"/>
  <c r="AG39"/>
  <c r="AF39"/>
  <c r="AE39"/>
  <c r="AD39"/>
  <c r="AC39"/>
  <c r="AB39"/>
  <c r="AA39"/>
  <c r="Z39"/>
  <c r="Y39"/>
  <c r="X39"/>
  <c r="W39"/>
  <c r="V39"/>
  <c r="U39"/>
  <c r="T39"/>
  <c r="S39"/>
  <c r="R39"/>
  <c r="Q39"/>
  <c r="P39"/>
  <c r="O39"/>
  <c r="N39"/>
  <c r="M39"/>
  <c r="L39"/>
  <c r="K39"/>
  <c r="J39"/>
  <c r="I39"/>
  <c r="H39"/>
  <c r="G39"/>
  <c r="F39"/>
  <c r="E39"/>
  <c r="D39"/>
  <c r="C38"/>
  <c r="B38"/>
  <c r="C37"/>
  <c r="B37"/>
  <c r="C36"/>
  <c r="B36"/>
  <c r="C35"/>
  <c r="B35"/>
  <c r="C34"/>
  <c r="B34"/>
  <c r="AG33"/>
  <c r="AF33"/>
  <c r="AE33"/>
  <c r="AD33"/>
  <c r="AC33"/>
  <c r="AB33"/>
  <c r="AA33"/>
  <c r="Z33"/>
  <c r="Y33"/>
  <c r="X33"/>
  <c r="W33"/>
  <c r="V33"/>
  <c r="U33"/>
  <c r="T33"/>
  <c r="S33"/>
  <c r="R33"/>
  <c r="Q33"/>
  <c r="P33"/>
  <c r="O33"/>
  <c r="N33"/>
  <c r="M33"/>
  <c r="L33"/>
  <c r="K33"/>
  <c r="J33"/>
  <c r="I33"/>
  <c r="H33"/>
  <c r="G33"/>
  <c r="F33"/>
  <c r="E33"/>
  <c r="D33"/>
  <c r="C32"/>
  <c r="B32"/>
  <c r="C31"/>
  <c r="B31"/>
  <c r="C30"/>
  <c r="B30"/>
  <c r="C29"/>
  <c r="B29"/>
  <c r="C28"/>
  <c r="B28"/>
  <c r="AG27"/>
  <c r="AF27"/>
  <c r="AE27"/>
  <c r="AD27"/>
  <c r="AC27"/>
  <c r="AB27"/>
  <c r="AA27"/>
  <c r="Z27"/>
  <c r="Y27"/>
  <c r="X27"/>
  <c r="W27"/>
  <c r="V27"/>
  <c r="U27"/>
  <c r="T27"/>
  <c r="S27"/>
  <c r="R27"/>
  <c r="Q27"/>
  <c r="P27"/>
  <c r="O27"/>
  <c r="N27"/>
  <c r="M27"/>
  <c r="L27"/>
  <c r="K27"/>
  <c r="J27"/>
  <c r="I27"/>
  <c r="H27"/>
  <c r="G27"/>
  <c r="F27"/>
  <c r="E27"/>
  <c r="D27"/>
  <c r="B27"/>
  <c r="C26"/>
  <c r="C24" s="1"/>
  <c r="B26"/>
  <c r="C25"/>
  <c r="B25"/>
  <c r="B24" s="1"/>
  <c r="AG24"/>
  <c r="AF24"/>
  <c r="AE24"/>
  <c r="AD24"/>
  <c r="AC24"/>
  <c r="AB24"/>
  <c r="AA24"/>
  <c r="Z24"/>
  <c r="Y24"/>
  <c r="X24"/>
  <c r="W24"/>
  <c r="V24"/>
  <c r="U24"/>
  <c r="T24"/>
  <c r="S24"/>
  <c r="R24"/>
  <c r="Q24"/>
  <c r="P24"/>
  <c r="O24"/>
  <c r="N24"/>
  <c r="M24"/>
  <c r="L24"/>
  <c r="K24"/>
  <c r="J24"/>
  <c r="I24"/>
  <c r="H24"/>
  <c r="G24"/>
  <c r="F24"/>
  <c r="E24"/>
  <c r="D24"/>
  <c r="C23"/>
  <c r="B23"/>
  <c r="C22"/>
  <c r="B22"/>
  <c r="C21"/>
  <c r="B21"/>
  <c r="C20"/>
  <c r="B20"/>
  <c r="AG19"/>
  <c r="AF19"/>
  <c r="AE19"/>
  <c r="AD19"/>
  <c r="AC19"/>
  <c r="AB19"/>
  <c r="AA19"/>
  <c r="Z19"/>
  <c r="Y19"/>
  <c r="X19"/>
  <c r="W19"/>
  <c r="V19"/>
  <c r="U19"/>
  <c r="T19"/>
  <c r="S19"/>
  <c r="R19"/>
  <c r="Q19"/>
  <c r="P19"/>
  <c r="O19"/>
  <c r="N19"/>
  <c r="M19"/>
  <c r="L19"/>
  <c r="K19"/>
  <c r="J19"/>
  <c r="I19"/>
  <c r="H19"/>
  <c r="G19"/>
  <c r="F19"/>
  <c r="E19"/>
  <c r="D19"/>
  <c r="C18"/>
  <c r="B18"/>
  <c r="C17"/>
  <c r="B17"/>
  <c r="AG16"/>
  <c r="AF16"/>
  <c r="AE16"/>
  <c r="AD16"/>
  <c r="AC16"/>
  <c r="AB16"/>
  <c r="AA16"/>
  <c r="Z16"/>
  <c r="Y16"/>
  <c r="X16"/>
  <c r="W16"/>
  <c r="V16"/>
  <c r="U16"/>
  <c r="T16"/>
  <c r="S16"/>
  <c r="R16"/>
  <c r="Q16"/>
  <c r="P16"/>
  <c r="O16"/>
  <c r="N16"/>
  <c r="M16"/>
  <c r="L16"/>
  <c r="K16"/>
  <c r="J16"/>
  <c r="I16"/>
  <c r="H16"/>
  <c r="G16"/>
  <c r="F16"/>
  <c r="E16"/>
  <c r="D16"/>
  <c r="C15"/>
  <c r="C13" s="1"/>
  <c r="B15"/>
  <c r="C14"/>
  <c r="B14"/>
  <c r="AG13"/>
  <c r="AF13"/>
  <c r="AE13"/>
  <c r="AD13"/>
  <c r="AC13"/>
  <c r="AB13"/>
  <c r="AA13"/>
  <c r="Z13"/>
  <c r="Y13"/>
  <c r="X13"/>
  <c r="W13"/>
  <c r="V13"/>
  <c r="U13"/>
  <c r="T13"/>
  <c r="S13"/>
  <c r="R13"/>
  <c r="Q13"/>
  <c r="P13"/>
  <c r="O13"/>
  <c r="N13"/>
  <c r="M13"/>
  <c r="L13"/>
  <c r="K13"/>
  <c r="J13"/>
  <c r="I13"/>
  <c r="H13"/>
  <c r="G13"/>
  <c r="F13"/>
  <c r="E13"/>
  <c r="D13"/>
  <c r="C12"/>
  <c r="C11" s="1"/>
  <c r="B12"/>
  <c r="B11" s="1"/>
  <c r="AG11"/>
  <c r="AF11"/>
  <c r="AE11"/>
  <c r="AD11"/>
  <c r="AC11"/>
  <c r="AB11"/>
  <c r="AA11"/>
  <c r="Z11"/>
  <c r="Y11"/>
  <c r="X11"/>
  <c r="W11"/>
  <c r="V11"/>
  <c r="U11"/>
  <c r="T11"/>
  <c r="S11"/>
  <c r="R11"/>
  <c r="Q11"/>
  <c r="P11"/>
  <c r="O11"/>
  <c r="N11"/>
  <c r="M11"/>
  <c r="L11"/>
  <c r="K11"/>
  <c r="J11"/>
  <c r="I11"/>
  <c r="H11"/>
  <c r="G11"/>
  <c r="F11"/>
  <c r="E11"/>
  <c r="D11"/>
  <c r="C10"/>
  <c r="B10"/>
  <c r="C9"/>
  <c r="B9"/>
  <c r="C8"/>
  <c r="B8"/>
  <c r="AG7"/>
  <c r="AF7"/>
  <c r="AE7"/>
  <c r="AD7"/>
  <c r="AC7"/>
  <c r="AB7"/>
  <c r="AA7"/>
  <c r="Z7"/>
  <c r="Y7"/>
  <c r="X7"/>
  <c r="W7"/>
  <c r="V7"/>
  <c r="U7"/>
  <c r="T7"/>
  <c r="S7"/>
  <c r="R7"/>
  <c r="Q7"/>
  <c r="P7"/>
  <c r="O7"/>
  <c r="N7"/>
  <c r="M7"/>
  <c r="L7"/>
  <c r="K7"/>
  <c r="J7"/>
  <c r="I7"/>
  <c r="H7"/>
  <c r="G7"/>
  <c r="F7"/>
  <c r="E7"/>
  <c r="D7"/>
  <c r="B7"/>
  <c r="B51" i="245"/>
  <c r="B50"/>
  <c r="B49"/>
  <c r="B48" s="1"/>
  <c r="D48"/>
  <c r="C48"/>
  <c r="B47"/>
  <c r="B46"/>
  <c r="B45"/>
  <c r="B44"/>
  <c r="B43"/>
  <c r="B42"/>
  <c r="D41"/>
  <c r="C41"/>
  <c r="B40"/>
  <c r="B39"/>
  <c r="D38"/>
  <c r="C38"/>
  <c r="B37"/>
  <c r="B36"/>
  <c r="B35"/>
  <c r="B34"/>
  <c r="B33"/>
  <c r="D32"/>
  <c r="C32"/>
  <c r="B31"/>
  <c r="B30"/>
  <c r="B29"/>
  <c r="B28"/>
  <c r="B27"/>
  <c r="D26"/>
  <c r="C26"/>
  <c r="B25"/>
  <c r="B24"/>
  <c r="D23"/>
  <c r="C23"/>
  <c r="B22"/>
  <c r="B21"/>
  <c r="B20"/>
  <c r="B19"/>
  <c r="D18"/>
  <c r="C18"/>
  <c r="B17"/>
  <c r="B16"/>
  <c r="B15" s="1"/>
  <c r="D15"/>
  <c r="C15"/>
  <c r="B14"/>
  <c r="B13"/>
  <c r="B12" s="1"/>
  <c r="D12"/>
  <c r="C12"/>
  <c r="B11"/>
  <c r="B10" s="1"/>
  <c r="D10"/>
  <c r="C10"/>
  <c r="B9"/>
  <c r="B8"/>
  <c r="B7"/>
  <c r="D6"/>
  <c r="C6"/>
  <c r="B53" i="244"/>
  <c r="B52"/>
  <c r="B51"/>
  <c r="E50"/>
  <c r="D50"/>
  <c r="C50"/>
  <c r="B49"/>
  <c r="B48"/>
  <c r="B47"/>
  <c r="B46"/>
  <c r="B45"/>
  <c r="B44"/>
  <c r="E43"/>
  <c r="D43"/>
  <c r="C43"/>
  <c r="B42"/>
  <c r="B41"/>
  <c r="E40"/>
  <c r="D40"/>
  <c r="C40"/>
  <c r="B39"/>
  <c r="B38"/>
  <c r="B37"/>
  <c r="B36"/>
  <c r="B35"/>
  <c r="E34"/>
  <c r="D34"/>
  <c r="C34"/>
  <c r="B34"/>
  <c r="B33"/>
  <c r="B32"/>
  <c r="B31"/>
  <c r="B30"/>
  <c r="B28" s="1"/>
  <c r="B29"/>
  <c r="E28"/>
  <c r="D28"/>
  <c r="C28"/>
  <c r="B27"/>
  <c r="B26"/>
  <c r="E25"/>
  <c r="D25"/>
  <c r="C25"/>
  <c r="B24"/>
  <c r="B23"/>
  <c r="B22"/>
  <c r="B20" s="1"/>
  <c r="B21"/>
  <c r="E20"/>
  <c r="D20"/>
  <c r="C20"/>
  <c r="B19"/>
  <c r="B18"/>
  <c r="E17"/>
  <c r="D17"/>
  <c r="C17"/>
  <c r="B16"/>
  <c r="B15"/>
  <c r="E14"/>
  <c r="D14"/>
  <c r="C14"/>
  <c r="B13"/>
  <c r="E12"/>
  <c r="D12"/>
  <c r="C12"/>
  <c r="B12"/>
  <c r="B11"/>
  <c r="B10"/>
  <c r="B9"/>
  <c r="E8"/>
  <c r="E7" s="1"/>
  <c r="D8"/>
  <c r="D7" s="1"/>
  <c r="C8"/>
  <c r="B5" i="243"/>
  <c r="C7" s="1"/>
  <c r="B5" i="242"/>
  <c r="C10" s="1"/>
  <c r="E5" i="241"/>
  <c r="D5"/>
  <c r="C5"/>
  <c r="B5"/>
  <c r="E6" i="240"/>
  <c r="E19" i="239"/>
  <c r="E16"/>
  <c r="E17" s="1"/>
  <c r="E20" s="1"/>
  <c r="E21" s="1"/>
  <c r="E22" s="1"/>
  <c r="E23" s="1"/>
  <c r="E24" s="1"/>
  <c r="E15"/>
  <c r="E14"/>
  <c r="F12"/>
  <c r="F21" s="1"/>
  <c r="F10"/>
  <c r="F11" s="1"/>
  <c r="F14" s="1"/>
  <c r="F15" s="1"/>
  <c r="F16" s="1"/>
  <c r="F17" s="1"/>
  <c r="F18" s="1"/>
  <c r="F19" s="1"/>
  <c r="F20" s="1"/>
  <c r="F22" s="1"/>
  <c r="F23" s="1"/>
  <c r="F24" s="1"/>
  <c r="F8"/>
  <c r="F13" s="1"/>
  <c r="F7"/>
  <c r="E7"/>
  <c r="E8" s="1"/>
  <c r="H22" i="238"/>
  <c r="G22"/>
  <c r="B22" s="1"/>
  <c r="B21"/>
  <c r="H20"/>
  <c r="G20"/>
  <c r="C20"/>
  <c r="B20"/>
  <c r="G19"/>
  <c r="B19" s="1"/>
  <c r="I18"/>
  <c r="H18"/>
  <c r="G18"/>
  <c r="C18"/>
  <c r="B18" s="1"/>
  <c r="H17"/>
  <c r="G17"/>
  <c r="F17"/>
  <c r="C17"/>
  <c r="B17"/>
  <c r="H16"/>
  <c r="G16"/>
  <c r="C16"/>
  <c r="B16"/>
  <c r="H15"/>
  <c r="G15"/>
  <c r="E15"/>
  <c r="C15"/>
  <c r="B15" s="1"/>
  <c r="H14"/>
  <c r="G14"/>
  <c r="F14"/>
  <c r="B14" s="1"/>
  <c r="C14"/>
  <c r="J13"/>
  <c r="H13"/>
  <c r="G13"/>
  <c r="C13"/>
  <c r="B13" s="1"/>
  <c r="H12"/>
  <c r="G12"/>
  <c r="E12"/>
  <c r="C12"/>
  <c r="B12"/>
  <c r="G11"/>
  <c r="C11"/>
  <c r="B11" s="1"/>
  <c r="H10"/>
  <c r="H6" s="1"/>
  <c r="G10"/>
  <c r="E10"/>
  <c r="C10"/>
  <c r="B10"/>
  <c r="K9"/>
  <c r="K6" s="1"/>
  <c r="H9"/>
  <c r="G9"/>
  <c r="B9"/>
  <c r="H8"/>
  <c r="G8"/>
  <c r="B8" s="1"/>
  <c r="L6"/>
  <c r="J6"/>
  <c r="I6"/>
  <c r="F6"/>
  <c r="E6"/>
  <c r="D6"/>
  <c r="N21" i="237"/>
  <c r="M21"/>
  <c r="L21"/>
  <c r="K21"/>
  <c r="J21"/>
  <c r="I21"/>
  <c r="H21"/>
  <c r="G21"/>
  <c r="F21"/>
  <c r="E21"/>
  <c r="D21"/>
  <c r="C21"/>
  <c r="B21" s="1"/>
  <c r="B20"/>
  <c r="N19"/>
  <c r="M19"/>
  <c r="L19"/>
  <c r="K19"/>
  <c r="J19"/>
  <c r="I19"/>
  <c r="H19"/>
  <c r="G19"/>
  <c r="F19"/>
  <c r="E19"/>
  <c r="D19"/>
  <c r="C19"/>
  <c r="B19" s="1"/>
  <c r="H18"/>
  <c r="B18" s="1"/>
  <c r="N17"/>
  <c r="M17"/>
  <c r="L17"/>
  <c r="K17"/>
  <c r="J17"/>
  <c r="I17"/>
  <c r="H17"/>
  <c r="G17"/>
  <c r="F17"/>
  <c r="E17"/>
  <c r="D17"/>
  <c r="B17" s="1"/>
  <c r="C17"/>
  <c r="N16"/>
  <c r="M16"/>
  <c r="L16"/>
  <c r="K16"/>
  <c r="J16"/>
  <c r="I16"/>
  <c r="H16"/>
  <c r="G16"/>
  <c r="F16"/>
  <c r="E16"/>
  <c r="D16"/>
  <c r="C16"/>
  <c r="B16" s="1"/>
  <c r="N15"/>
  <c r="M15"/>
  <c r="L15"/>
  <c r="K15"/>
  <c r="J15"/>
  <c r="I15"/>
  <c r="H15"/>
  <c r="G15"/>
  <c r="F15"/>
  <c r="E15"/>
  <c r="D15"/>
  <c r="C15"/>
  <c r="B15"/>
  <c r="N14"/>
  <c r="M14"/>
  <c r="L14"/>
  <c r="K14"/>
  <c r="J14"/>
  <c r="I14"/>
  <c r="H14"/>
  <c r="G14"/>
  <c r="F14"/>
  <c r="E14"/>
  <c r="D14"/>
  <c r="B14"/>
  <c r="N13"/>
  <c r="M13"/>
  <c r="L13"/>
  <c r="K13"/>
  <c r="K6" s="1"/>
  <c r="J13"/>
  <c r="I13"/>
  <c r="H13"/>
  <c r="G13"/>
  <c r="G6" s="1"/>
  <c r="F13"/>
  <c r="E13"/>
  <c r="D13"/>
  <c r="C13"/>
  <c r="C6" s="1"/>
  <c r="N12"/>
  <c r="N6" s="1"/>
  <c r="M12"/>
  <c r="L12"/>
  <c r="L6" s="1"/>
  <c r="K12"/>
  <c r="J12"/>
  <c r="J6" s="1"/>
  <c r="I12"/>
  <c r="H12"/>
  <c r="H6" s="1"/>
  <c r="G12"/>
  <c r="F12"/>
  <c r="F6" s="1"/>
  <c r="E12"/>
  <c r="D12"/>
  <c r="B12" s="1"/>
  <c r="C12"/>
  <c r="N11"/>
  <c r="M11"/>
  <c r="L11"/>
  <c r="K11"/>
  <c r="J11"/>
  <c r="I11"/>
  <c r="H11"/>
  <c r="G11"/>
  <c r="F11"/>
  <c r="E11"/>
  <c r="B11" s="1"/>
  <c r="B10"/>
  <c r="N9"/>
  <c r="M9"/>
  <c r="L9"/>
  <c r="K9"/>
  <c r="J9"/>
  <c r="I9"/>
  <c r="H9"/>
  <c r="G9"/>
  <c r="F9"/>
  <c r="E9"/>
  <c r="D9"/>
  <c r="C9"/>
  <c r="B9" s="1"/>
  <c r="B8"/>
  <c r="L7"/>
  <c r="B7"/>
  <c r="M6"/>
  <c r="I6"/>
  <c r="E6"/>
  <c r="B22" i="236"/>
  <c r="B21"/>
  <c r="B20"/>
  <c r="B19"/>
  <c r="B18"/>
  <c r="B17"/>
  <c r="B16"/>
  <c r="B15"/>
  <c r="C14"/>
  <c r="C7" s="1"/>
  <c r="B7" s="1"/>
  <c r="B13"/>
  <c r="B12"/>
  <c r="B11"/>
  <c r="B10"/>
  <c r="B9"/>
  <c r="B8"/>
  <c r="F7"/>
  <c r="E7"/>
  <c r="D7"/>
  <c r="H22" i="235"/>
  <c r="B22" s="1"/>
  <c r="B21"/>
  <c r="H20"/>
  <c r="F20"/>
  <c r="E20"/>
  <c r="H19"/>
  <c r="E19"/>
  <c r="B19" s="1"/>
  <c r="H18"/>
  <c r="F18"/>
  <c r="E18"/>
  <c r="H17"/>
  <c r="F17"/>
  <c r="E17"/>
  <c r="B17" s="1"/>
  <c r="H16"/>
  <c r="F16"/>
  <c r="E16"/>
  <c r="C16"/>
  <c r="H15"/>
  <c r="F15"/>
  <c r="E15"/>
  <c r="C15"/>
  <c r="B15" s="1"/>
  <c r="H14"/>
  <c r="E14"/>
  <c r="C14"/>
  <c r="H13"/>
  <c r="F13"/>
  <c r="E13"/>
  <c r="H12"/>
  <c r="E12"/>
  <c r="B12" s="1"/>
  <c r="H11"/>
  <c r="E11"/>
  <c r="H10"/>
  <c r="F10"/>
  <c r="E10"/>
  <c r="B10" s="1"/>
  <c r="H9"/>
  <c r="F9"/>
  <c r="E9"/>
  <c r="H8"/>
  <c r="E8"/>
  <c r="B8" s="1"/>
  <c r="D7"/>
  <c r="B12" i="234"/>
  <c r="B11"/>
  <c r="B10"/>
  <c r="B9"/>
  <c r="B8"/>
  <c r="B7"/>
  <c r="C18" i="233"/>
  <c r="B18"/>
  <c r="C16"/>
  <c r="B16"/>
  <c r="C15"/>
  <c r="B15"/>
  <c r="C13"/>
  <c r="B13"/>
  <c r="C12"/>
  <c r="B12"/>
  <c r="C11"/>
  <c r="B11"/>
  <c r="C10"/>
  <c r="B10"/>
  <c r="B5" s="1"/>
  <c r="C9"/>
  <c r="C8"/>
  <c r="B8"/>
  <c r="C5"/>
  <c r="C21" i="232"/>
  <c r="C20"/>
  <c r="C19"/>
  <c r="C18"/>
  <c r="C17"/>
  <c r="C16"/>
  <c r="C15"/>
  <c r="C14"/>
  <c r="C13"/>
  <c r="C12"/>
  <c r="C11"/>
  <c r="C10"/>
  <c r="C9"/>
  <c r="C8"/>
  <c r="C7"/>
  <c r="E6"/>
  <c r="D6"/>
  <c r="B6"/>
  <c r="F11" i="231"/>
  <c r="F8"/>
  <c r="E8"/>
  <c r="D8"/>
  <c r="C8"/>
  <c r="B8"/>
  <c r="G7"/>
  <c r="F7"/>
  <c r="E7"/>
  <c r="E5" s="1"/>
  <c r="D7"/>
  <c r="C7"/>
  <c r="B7"/>
  <c r="F6"/>
  <c r="F5" s="1"/>
  <c r="E6"/>
  <c r="D6"/>
  <c r="C6"/>
  <c r="B6"/>
  <c r="B5" s="1"/>
  <c r="G5"/>
  <c r="B22" i="230"/>
  <c r="B21"/>
  <c r="B20"/>
  <c r="B19"/>
  <c r="B18"/>
  <c r="B17"/>
  <c r="B16"/>
  <c r="B15"/>
  <c r="B14"/>
  <c r="B13"/>
  <c r="B12"/>
  <c r="B11"/>
  <c r="B10"/>
  <c r="B9"/>
  <c r="B8"/>
  <c r="D7"/>
  <c r="C7"/>
  <c r="B7" s="1"/>
  <c r="B21" i="229"/>
  <c r="B20"/>
  <c r="B19"/>
  <c r="B18"/>
  <c r="B17"/>
  <c r="B16"/>
  <c r="B15"/>
  <c r="B14"/>
  <c r="B13"/>
  <c r="B12"/>
  <c r="B11"/>
  <c r="B10"/>
  <c r="B9"/>
  <c r="B8"/>
  <c r="B7"/>
  <c r="D6"/>
  <c r="C6"/>
  <c r="B6" s="1"/>
  <c r="B21" i="228"/>
  <c r="B20"/>
  <c r="B19"/>
  <c r="B18"/>
  <c r="B17"/>
  <c r="B16"/>
  <c r="B15"/>
  <c r="B14"/>
  <c r="B13"/>
  <c r="B12"/>
  <c r="B11"/>
  <c r="B10"/>
  <c r="B9"/>
  <c r="B8"/>
  <c r="B7"/>
  <c r="B6" s="1"/>
  <c r="H6"/>
  <c r="G6"/>
  <c r="F6"/>
  <c r="E6"/>
  <c r="D6"/>
  <c r="C6"/>
  <c r="B5" i="227"/>
  <c r="D8" i="226"/>
  <c r="B8"/>
  <c r="D7"/>
  <c r="B7"/>
  <c r="D6"/>
  <c r="D9" i="225"/>
  <c r="B9"/>
  <c r="D8"/>
  <c r="B8"/>
  <c r="C8" s="1"/>
  <c r="C7" s="1"/>
  <c r="B7"/>
  <c r="C9" s="1"/>
  <c r="B19" i="224"/>
  <c r="B18"/>
  <c r="C18" s="1"/>
  <c r="B17"/>
  <c r="B16"/>
  <c r="B15"/>
  <c r="B14"/>
  <c r="B13"/>
  <c r="B12"/>
  <c r="C12" s="1"/>
  <c r="B11"/>
  <c r="B10"/>
  <c r="C10" s="1"/>
  <c r="B9"/>
  <c r="B8"/>
  <c r="B7"/>
  <c r="B6"/>
  <c r="C14" s="1"/>
  <c r="B11" i="223"/>
  <c r="B10"/>
  <c r="B9"/>
  <c r="B8"/>
  <c r="B7"/>
  <c r="B6"/>
  <c r="H9" i="222"/>
  <c r="E9"/>
  <c r="B9"/>
  <c r="H8"/>
  <c r="E8"/>
  <c r="B8"/>
  <c r="J7"/>
  <c r="I7"/>
  <c r="H7"/>
  <c r="G7"/>
  <c r="E7" s="1"/>
  <c r="F7"/>
  <c r="D7"/>
  <c r="C7"/>
  <c r="G15" i="221"/>
  <c r="G14" s="1"/>
  <c r="F15"/>
  <c r="F14" s="1"/>
  <c r="C14"/>
  <c r="B14"/>
  <c r="F11"/>
  <c r="F7" s="1"/>
  <c r="G7"/>
  <c r="G6" s="1"/>
  <c r="E7"/>
  <c r="E6" s="1"/>
  <c r="F6"/>
  <c r="F8" i="220"/>
  <c r="E8"/>
  <c r="F7"/>
  <c r="E7"/>
  <c r="G6"/>
  <c r="G6" i="219"/>
  <c r="F6"/>
  <c r="E6"/>
  <c r="D6"/>
  <c r="C6"/>
  <c r="B6"/>
  <c r="H16" i="218"/>
  <c r="H15"/>
  <c r="F15"/>
  <c r="H14"/>
  <c r="F14"/>
  <c r="H13"/>
  <c r="F13"/>
  <c r="H12"/>
  <c r="F12"/>
  <c r="H11"/>
  <c r="F11"/>
  <c r="H10"/>
  <c r="F10"/>
  <c r="H9"/>
  <c r="F9"/>
  <c r="H8"/>
  <c r="F8"/>
  <c r="H7"/>
  <c r="H6" s="1"/>
  <c r="F7"/>
  <c r="F6" s="1"/>
  <c r="J6"/>
  <c r="I6"/>
  <c r="G6"/>
  <c r="E6"/>
  <c r="D6"/>
  <c r="C6"/>
  <c r="B6"/>
  <c r="J11" i="217"/>
  <c r="I11"/>
  <c r="E11"/>
  <c r="C11"/>
  <c r="J10"/>
  <c r="I10"/>
  <c r="G10"/>
  <c r="G9" s="1"/>
  <c r="E10"/>
  <c r="E9" s="1"/>
  <c r="I9"/>
  <c r="H9"/>
  <c r="F9"/>
  <c r="G11" s="1"/>
  <c r="D9"/>
  <c r="B9"/>
  <c r="C10" s="1"/>
  <c r="C9" s="1"/>
  <c r="K8"/>
  <c r="J8"/>
  <c r="G8"/>
  <c r="K7"/>
  <c r="K6" s="1"/>
  <c r="J7"/>
  <c r="J6" s="1"/>
  <c r="C7"/>
  <c r="H6"/>
  <c r="I8" s="1"/>
  <c r="G6"/>
  <c r="F6"/>
  <c r="G7" s="1"/>
  <c r="D6"/>
  <c r="E8" s="1"/>
  <c r="C6"/>
  <c r="B6"/>
  <c r="C8" s="1"/>
  <c r="D9" i="216"/>
  <c r="E9" s="1"/>
  <c r="B9"/>
  <c r="D8"/>
  <c r="E8" s="1"/>
  <c r="E7" s="1"/>
  <c r="B8"/>
  <c r="B7"/>
  <c r="C9" s="1"/>
  <c r="D19" i="215"/>
  <c r="B19"/>
  <c r="D18"/>
  <c r="B18"/>
  <c r="D17"/>
  <c r="B17"/>
  <c r="D16"/>
  <c r="B16"/>
  <c r="D15"/>
  <c r="B15"/>
  <c r="D14"/>
  <c r="B14"/>
  <c r="D13"/>
  <c r="B13"/>
  <c r="D12"/>
  <c r="B12"/>
  <c r="D11"/>
  <c r="B11"/>
  <c r="D10"/>
  <c r="B10"/>
  <c r="D9"/>
  <c r="B9"/>
  <c r="D8"/>
  <c r="B8"/>
  <c r="D7"/>
  <c r="B7"/>
  <c r="D6"/>
  <c r="E15" s="1"/>
  <c r="D19" i="214"/>
  <c r="E19" s="1"/>
  <c r="B19"/>
  <c r="D18"/>
  <c r="E18" s="1"/>
  <c r="B18"/>
  <c r="D17"/>
  <c r="B17"/>
  <c r="D16"/>
  <c r="E16" s="1"/>
  <c r="B16"/>
  <c r="D15"/>
  <c r="E15" s="1"/>
  <c r="B15"/>
  <c r="D14"/>
  <c r="E14" s="1"/>
  <c r="B14"/>
  <c r="D13"/>
  <c r="B13"/>
  <c r="D12"/>
  <c r="E12" s="1"/>
  <c r="B12"/>
  <c r="D11"/>
  <c r="E11" s="1"/>
  <c r="B11"/>
  <c r="D10"/>
  <c r="E10" s="1"/>
  <c r="B10"/>
  <c r="D9"/>
  <c r="B9"/>
  <c r="D8"/>
  <c r="E8" s="1"/>
  <c r="B8"/>
  <c r="D7"/>
  <c r="E7" s="1"/>
  <c r="B7"/>
  <c r="D6"/>
  <c r="E17" s="1"/>
  <c r="D8" i="213"/>
  <c r="E8" s="1"/>
  <c r="C8"/>
  <c r="B8"/>
  <c r="D7"/>
  <c r="E7" s="1"/>
  <c r="C7"/>
  <c r="B7"/>
  <c r="D6"/>
  <c r="C6"/>
  <c r="B6"/>
  <c r="D19" i="212"/>
  <c r="E19" s="1"/>
  <c r="C19"/>
  <c r="B19"/>
  <c r="D18"/>
  <c r="E18" s="1"/>
  <c r="C18"/>
  <c r="B18"/>
  <c r="D17"/>
  <c r="E17" s="1"/>
  <c r="C17"/>
  <c r="B17"/>
  <c r="D16"/>
  <c r="E16" s="1"/>
  <c r="C16"/>
  <c r="B16"/>
  <c r="D15"/>
  <c r="E15" s="1"/>
  <c r="C15"/>
  <c r="B15"/>
  <c r="D14"/>
  <c r="E14" s="1"/>
  <c r="C14"/>
  <c r="B14"/>
  <c r="D13"/>
  <c r="E13" s="1"/>
  <c r="C13"/>
  <c r="B13"/>
  <c r="D12"/>
  <c r="E12" s="1"/>
  <c r="C12"/>
  <c r="B12"/>
  <c r="D11"/>
  <c r="E11" s="1"/>
  <c r="C11"/>
  <c r="B11"/>
  <c r="D10"/>
  <c r="E10" s="1"/>
  <c r="C10"/>
  <c r="B10"/>
  <c r="D9"/>
  <c r="E9" s="1"/>
  <c r="C9"/>
  <c r="B9"/>
  <c r="D8"/>
  <c r="E8" s="1"/>
  <c r="C8"/>
  <c r="B8"/>
  <c r="D7"/>
  <c r="E7" s="1"/>
  <c r="C7"/>
  <c r="B7"/>
  <c r="D6"/>
  <c r="C6"/>
  <c r="B6"/>
  <c r="B6" i="211"/>
  <c r="C9" s="1"/>
  <c r="M6" i="210"/>
  <c r="L6"/>
  <c r="K6"/>
  <c r="J6"/>
  <c r="I6"/>
  <c r="H6"/>
  <c r="G6"/>
  <c r="F6"/>
  <c r="E6"/>
  <c r="D6"/>
  <c r="C6"/>
  <c r="B6"/>
  <c r="D5" i="208"/>
  <c r="C5"/>
  <c r="B5"/>
  <c r="B5" i="207"/>
  <c r="B5" i="206"/>
  <c r="D19" i="205"/>
  <c r="C19"/>
  <c r="B19"/>
  <c r="D13"/>
  <c r="C13"/>
  <c r="B13"/>
  <c r="D12"/>
  <c r="C12"/>
  <c r="B12"/>
  <c r="D11"/>
  <c r="C11"/>
  <c r="B11"/>
  <c r="D10"/>
  <c r="C10"/>
  <c r="B10"/>
  <c r="D9"/>
  <c r="C9"/>
  <c r="B9"/>
  <c r="D8"/>
  <c r="D7" s="1"/>
  <c r="C8"/>
  <c r="C7" s="1"/>
  <c r="B8"/>
  <c r="B7"/>
  <c r="E7" i="203"/>
  <c r="D7"/>
  <c r="C7"/>
  <c r="B7"/>
  <c r="E7" i="202"/>
  <c r="D7"/>
  <c r="C7"/>
  <c r="B7"/>
  <c r="B22" i="201"/>
  <c r="B21"/>
  <c r="B20"/>
  <c r="B18"/>
  <c r="B17"/>
  <c r="B16"/>
  <c r="B14"/>
  <c r="B13"/>
  <c r="B12"/>
  <c r="B10"/>
  <c r="B9"/>
  <c r="B22" i="200"/>
  <c r="B21"/>
  <c r="B20"/>
  <c r="B18"/>
  <c r="B17"/>
  <c r="B16"/>
  <c r="B14"/>
  <c r="B13"/>
  <c r="B12"/>
  <c r="B10"/>
  <c r="B9"/>
  <c r="B8"/>
  <c r="B54" i="199"/>
  <c r="B53"/>
  <c r="B52"/>
  <c r="B51"/>
  <c r="B50"/>
  <c r="B49"/>
  <c r="B48"/>
  <c r="B47"/>
  <c r="B46"/>
  <c r="B45"/>
  <c r="B44"/>
  <c r="B43"/>
  <c r="B42"/>
  <c r="B41"/>
  <c r="B40"/>
  <c r="G39"/>
  <c r="F39"/>
  <c r="E39"/>
  <c r="D39"/>
  <c r="C39"/>
  <c r="B39"/>
  <c r="B38"/>
  <c r="B37"/>
  <c r="B36"/>
  <c r="B35"/>
  <c r="B34"/>
  <c r="B33"/>
  <c r="B32"/>
  <c r="B31"/>
  <c r="B30"/>
  <c r="B29"/>
  <c r="B28"/>
  <c r="B27"/>
  <c r="B26"/>
  <c r="B25"/>
  <c r="B24"/>
  <c r="B23" s="1"/>
  <c r="G23"/>
  <c r="F23"/>
  <c r="E23"/>
  <c r="D23"/>
  <c r="C23"/>
  <c r="B22"/>
  <c r="B21"/>
  <c r="B20"/>
  <c r="B19"/>
  <c r="B18"/>
  <c r="B17"/>
  <c r="B16"/>
  <c r="B15"/>
  <c r="B14"/>
  <c r="B13"/>
  <c r="B12"/>
  <c r="B11"/>
  <c r="B10"/>
  <c r="B9"/>
  <c r="B8"/>
  <c r="B7" s="1"/>
  <c r="F7"/>
  <c r="E7"/>
  <c r="D7"/>
  <c r="C7"/>
  <c r="B70" i="198"/>
  <c r="B69"/>
  <c r="B68"/>
  <c r="B67"/>
  <c r="B66"/>
  <c r="B65"/>
  <c r="B64"/>
  <c r="B63"/>
  <c r="B62"/>
  <c r="B61"/>
  <c r="B60"/>
  <c r="B59"/>
  <c r="B58"/>
  <c r="B57"/>
  <c r="B56"/>
  <c r="I55"/>
  <c r="H55"/>
  <c r="G55"/>
  <c r="F55"/>
  <c r="E55"/>
  <c r="D55"/>
  <c r="C55"/>
  <c r="B55"/>
  <c r="B54"/>
  <c r="B53"/>
  <c r="B52"/>
  <c r="B51"/>
  <c r="B50"/>
  <c r="B49"/>
  <c r="B48"/>
  <c r="B47"/>
  <c r="B46"/>
  <c r="B45"/>
  <c r="B44"/>
  <c r="B43"/>
  <c r="B42"/>
  <c r="B41"/>
  <c r="B40"/>
  <c r="I39"/>
  <c r="H39"/>
  <c r="G39"/>
  <c r="F39"/>
  <c r="E39"/>
  <c r="D39"/>
  <c r="C39"/>
  <c r="B39"/>
  <c r="B38"/>
  <c r="B37"/>
  <c r="B36"/>
  <c r="B35"/>
  <c r="B34"/>
  <c r="B33"/>
  <c r="B32"/>
  <c r="B31"/>
  <c r="B30"/>
  <c r="B29"/>
  <c r="B28"/>
  <c r="B27"/>
  <c r="B26"/>
  <c r="B23" s="1"/>
  <c r="B25"/>
  <c r="B24"/>
  <c r="I23"/>
  <c r="H23"/>
  <c r="G23"/>
  <c r="F23"/>
  <c r="E23"/>
  <c r="D23"/>
  <c r="C23"/>
  <c r="B22"/>
  <c r="B21"/>
  <c r="B20"/>
  <c r="B19"/>
  <c r="B18"/>
  <c r="B17"/>
  <c r="B16"/>
  <c r="B15"/>
  <c r="B14"/>
  <c r="B13"/>
  <c r="B12"/>
  <c r="B11"/>
  <c r="B10"/>
  <c r="B9"/>
  <c r="B7" s="1"/>
  <c r="B8"/>
  <c r="I7"/>
  <c r="H7"/>
  <c r="G7"/>
  <c r="F7"/>
  <c r="E7"/>
  <c r="D7"/>
  <c r="C7"/>
  <c r="C6" i="197"/>
  <c r="B6"/>
  <c r="N22" i="196"/>
  <c r="J22"/>
  <c r="F22"/>
  <c r="B22"/>
  <c r="N21"/>
  <c r="J21"/>
  <c r="F21"/>
  <c r="B21"/>
  <c r="N20"/>
  <c r="J20"/>
  <c r="F20"/>
  <c r="B20"/>
  <c r="N19"/>
  <c r="J19"/>
  <c r="F19"/>
  <c r="B19"/>
  <c r="N18"/>
  <c r="J18"/>
  <c r="F18"/>
  <c r="B18"/>
  <c r="N17"/>
  <c r="J17"/>
  <c r="F17"/>
  <c r="B17"/>
  <c r="N16"/>
  <c r="J16"/>
  <c r="F16"/>
  <c r="B16"/>
  <c r="N15"/>
  <c r="J15"/>
  <c r="F15"/>
  <c r="B15"/>
  <c r="N14"/>
  <c r="J14"/>
  <c r="F14"/>
  <c r="B14"/>
  <c r="N13"/>
  <c r="J13"/>
  <c r="F13"/>
  <c r="B13"/>
  <c r="N12"/>
  <c r="J12"/>
  <c r="F12"/>
  <c r="B12"/>
  <c r="N11"/>
  <c r="J11"/>
  <c r="F11"/>
  <c r="B11"/>
  <c r="N10"/>
  <c r="J10"/>
  <c r="F10"/>
  <c r="B10"/>
  <c r="N9"/>
  <c r="J9"/>
  <c r="F9"/>
  <c r="B9"/>
  <c r="N8"/>
  <c r="N7" s="1"/>
  <c r="J8"/>
  <c r="F8"/>
  <c r="B8"/>
  <c r="B7" s="1"/>
  <c r="R7"/>
  <c r="Q7"/>
  <c r="P7"/>
  <c r="M7"/>
  <c r="L7"/>
  <c r="K7"/>
  <c r="J7"/>
  <c r="I7"/>
  <c r="H7"/>
  <c r="G7"/>
  <c r="F7"/>
  <c r="E7"/>
  <c r="D7"/>
  <c r="C7"/>
  <c r="N21" i="194"/>
  <c r="J21"/>
  <c r="F21"/>
  <c r="B21"/>
  <c r="N20"/>
  <c r="J20"/>
  <c r="F20"/>
  <c r="B20"/>
  <c r="N19"/>
  <c r="J19"/>
  <c r="F19"/>
  <c r="B19"/>
  <c r="N18"/>
  <c r="J18"/>
  <c r="F18"/>
  <c r="B18"/>
  <c r="N17"/>
  <c r="J17"/>
  <c r="F17"/>
  <c r="B17"/>
  <c r="N16"/>
  <c r="J16"/>
  <c r="F16"/>
  <c r="B16"/>
  <c r="N15"/>
  <c r="J15"/>
  <c r="F15"/>
  <c r="B15"/>
  <c r="N14"/>
  <c r="J14"/>
  <c r="F14"/>
  <c r="B14"/>
  <c r="N13"/>
  <c r="J13"/>
  <c r="F13"/>
  <c r="B13"/>
  <c r="N12"/>
  <c r="J12"/>
  <c r="F12"/>
  <c r="B12"/>
  <c r="N11"/>
  <c r="J11"/>
  <c r="F11"/>
  <c r="B11"/>
  <c r="N10"/>
  <c r="J10"/>
  <c r="F10"/>
  <c r="B10"/>
  <c r="N9"/>
  <c r="J9"/>
  <c r="F9"/>
  <c r="B9"/>
  <c r="N8"/>
  <c r="J8"/>
  <c r="F8"/>
  <c r="B8"/>
  <c r="N7"/>
  <c r="J7"/>
  <c r="J6" s="1"/>
  <c r="F7"/>
  <c r="F6" s="1"/>
  <c r="B7"/>
  <c r="Q6"/>
  <c r="P6"/>
  <c r="O6"/>
  <c r="N6"/>
  <c r="M6"/>
  <c r="L6"/>
  <c r="K6"/>
  <c r="I6"/>
  <c r="H6"/>
  <c r="G6"/>
  <c r="E6"/>
  <c r="D6"/>
  <c r="C6"/>
  <c r="B6"/>
  <c r="C22" i="193"/>
  <c r="B22"/>
  <c r="C21"/>
  <c r="B21"/>
  <c r="C20"/>
  <c r="B20"/>
  <c r="C19"/>
  <c r="B19"/>
  <c r="C18"/>
  <c r="B18"/>
  <c r="C17"/>
  <c r="B17"/>
  <c r="C16"/>
  <c r="B16"/>
  <c r="C15"/>
  <c r="B15"/>
  <c r="C14"/>
  <c r="B14"/>
  <c r="C13"/>
  <c r="B13"/>
  <c r="C12"/>
  <c r="B12"/>
  <c r="C11"/>
  <c r="B11"/>
  <c r="C10"/>
  <c r="B10"/>
  <c r="C9"/>
  <c r="B9"/>
  <c r="C8"/>
  <c r="B8"/>
  <c r="C7"/>
  <c r="B7"/>
  <c r="W6"/>
  <c r="V6"/>
  <c r="U6"/>
  <c r="T6"/>
  <c r="S6"/>
  <c r="R6"/>
  <c r="Q6"/>
  <c r="P6"/>
  <c r="O6"/>
  <c r="N6"/>
  <c r="M6"/>
  <c r="L6"/>
  <c r="K6"/>
  <c r="J6"/>
  <c r="I6"/>
  <c r="H6"/>
  <c r="G6"/>
  <c r="F6"/>
  <c r="E6"/>
  <c r="D6"/>
  <c r="G25" i="191"/>
  <c r="F25"/>
  <c r="E25"/>
  <c r="D25"/>
  <c r="C25"/>
  <c r="B25"/>
  <c r="G22"/>
  <c r="F22"/>
  <c r="E22"/>
  <c r="D22"/>
  <c r="C22"/>
  <c r="B22"/>
  <c r="G6"/>
  <c r="F6"/>
  <c r="E6"/>
  <c r="D6"/>
  <c r="C6"/>
  <c r="B6"/>
  <c r="C6" i="190"/>
  <c r="B6"/>
  <c r="B21" i="189"/>
  <c r="B20"/>
  <c r="B19"/>
  <c r="B18"/>
  <c r="B17"/>
  <c r="B16"/>
  <c r="B15"/>
  <c r="B14"/>
  <c r="B13"/>
  <c r="B12"/>
  <c r="B11"/>
  <c r="B10"/>
  <c r="B9"/>
  <c r="B8"/>
  <c r="B6" s="1"/>
  <c r="B7"/>
  <c r="N6"/>
  <c r="M6"/>
  <c r="L6"/>
  <c r="K6"/>
  <c r="J6"/>
  <c r="I6"/>
  <c r="H6"/>
  <c r="G6"/>
  <c r="F6"/>
  <c r="E6"/>
  <c r="D6"/>
  <c r="C6"/>
  <c r="C21" i="188"/>
  <c r="C20"/>
  <c r="C19"/>
  <c r="C18"/>
  <c r="C17"/>
  <c r="C16"/>
  <c r="C15"/>
  <c r="C14"/>
  <c r="C13"/>
  <c r="C12"/>
  <c r="C11"/>
  <c r="C10"/>
  <c r="C9"/>
  <c r="C8"/>
  <c r="C7"/>
  <c r="E6"/>
  <c r="D6"/>
  <c r="C6"/>
  <c r="B6"/>
  <c r="C12" i="187"/>
  <c r="C11"/>
  <c r="C10"/>
  <c r="C9"/>
  <c r="C8"/>
  <c r="C7"/>
  <c r="G6" i="185"/>
  <c r="F6"/>
  <c r="E6"/>
  <c r="D6"/>
  <c r="C6"/>
  <c r="B6"/>
  <c r="G6" i="184"/>
  <c r="F6"/>
  <c r="E6"/>
  <c r="D6"/>
  <c r="C6"/>
  <c r="B6"/>
  <c r="B20" i="182"/>
  <c r="B19"/>
  <c r="B18"/>
  <c r="B17"/>
  <c r="B16"/>
  <c r="B15"/>
  <c r="B14"/>
  <c r="B13"/>
  <c r="B12"/>
  <c r="B11"/>
  <c r="B10"/>
  <c r="B9"/>
  <c r="B8"/>
  <c r="B7"/>
  <c r="B6"/>
  <c r="F5"/>
  <c r="E5"/>
  <c r="D5"/>
  <c r="C5"/>
  <c r="G6" i="180"/>
  <c r="F6"/>
  <c r="E6"/>
  <c r="D6"/>
  <c r="C6"/>
  <c r="B6"/>
  <c r="F6" i="175"/>
  <c r="E6"/>
  <c r="D6"/>
  <c r="C6"/>
  <c r="B6"/>
  <c r="F6" i="174"/>
  <c r="E6"/>
  <c r="D6"/>
  <c r="C6"/>
  <c r="B6"/>
  <c r="F6" i="173"/>
  <c r="E6"/>
  <c r="D6"/>
  <c r="C6"/>
  <c r="B6"/>
  <c r="G6" i="171"/>
  <c r="F6"/>
  <c r="E6"/>
  <c r="D6"/>
  <c r="C6"/>
  <c r="B6"/>
  <c r="D5" i="170"/>
  <c r="C5"/>
  <c r="B5"/>
  <c r="L6" i="168"/>
  <c r="J6"/>
  <c r="H6"/>
  <c r="F6"/>
  <c r="D6"/>
  <c r="B6"/>
  <c r="K18" i="167"/>
  <c r="I18"/>
  <c r="C18"/>
  <c r="M17"/>
  <c r="G17"/>
  <c r="E17"/>
  <c r="K16"/>
  <c r="C16"/>
  <c r="M15"/>
  <c r="G15"/>
  <c r="E15"/>
  <c r="K14"/>
  <c r="I14"/>
  <c r="C14"/>
  <c r="M13"/>
  <c r="G13"/>
  <c r="E13"/>
  <c r="K12"/>
  <c r="C12"/>
  <c r="M11"/>
  <c r="G11"/>
  <c r="E11"/>
  <c r="K10"/>
  <c r="I10"/>
  <c r="C10"/>
  <c r="M9"/>
  <c r="G9"/>
  <c r="E9"/>
  <c r="K8"/>
  <c r="C8"/>
  <c r="M7"/>
  <c r="G7"/>
  <c r="E7"/>
  <c r="L6"/>
  <c r="J6"/>
  <c r="K17" s="1"/>
  <c r="H6"/>
  <c r="F6"/>
  <c r="G18" s="1"/>
  <c r="D6"/>
  <c r="B6"/>
  <c r="C17" s="1"/>
  <c r="K20" i="166"/>
  <c r="K19"/>
  <c r="K18"/>
  <c r="K17"/>
  <c r="K16"/>
  <c r="K15"/>
  <c r="K14"/>
  <c r="K13"/>
  <c r="K12"/>
  <c r="K11"/>
  <c r="K10"/>
  <c r="K9"/>
  <c r="K8"/>
  <c r="K7"/>
  <c r="K6"/>
  <c r="K5" s="1"/>
  <c r="L5"/>
  <c r="J5"/>
  <c r="H5"/>
  <c r="I20" s="1"/>
  <c r="G5"/>
  <c r="F5"/>
  <c r="E5"/>
  <c r="D5"/>
  <c r="B5"/>
  <c r="C20" s="1"/>
  <c r="L53" i="165"/>
  <c r="H52"/>
  <c r="L49"/>
  <c r="H48"/>
  <c r="L45"/>
  <c r="H44"/>
  <c r="D43"/>
  <c r="L41"/>
  <c r="H40"/>
  <c r="D39"/>
  <c r="L37"/>
  <c r="H36"/>
  <c r="D35"/>
  <c r="L33"/>
  <c r="H32"/>
  <c r="D31"/>
  <c r="H22"/>
  <c r="L8"/>
  <c r="D8"/>
  <c r="H7"/>
  <c r="M6"/>
  <c r="N50" s="1"/>
  <c r="K6"/>
  <c r="L26" s="1"/>
  <c r="I6"/>
  <c r="J53" s="1"/>
  <c r="G6"/>
  <c r="H25" s="1"/>
  <c r="E6"/>
  <c r="F52" s="1"/>
  <c r="C6"/>
  <c r="D28" s="1"/>
  <c r="K17" i="164"/>
  <c r="G17"/>
  <c r="M16"/>
  <c r="C16"/>
  <c r="K15"/>
  <c r="G15"/>
  <c r="M14"/>
  <c r="I14"/>
  <c r="K13"/>
  <c r="G13"/>
  <c r="M12"/>
  <c r="C12"/>
  <c r="K11"/>
  <c r="G11"/>
  <c r="M10"/>
  <c r="I10"/>
  <c r="K9"/>
  <c r="G9"/>
  <c r="M8"/>
  <c r="C8"/>
  <c r="M7"/>
  <c r="K7"/>
  <c r="G7"/>
  <c r="L6"/>
  <c r="M15" s="1"/>
  <c r="J6"/>
  <c r="K16" s="1"/>
  <c r="H6"/>
  <c r="I17" s="1"/>
  <c r="F6"/>
  <c r="G14" s="1"/>
  <c r="D6"/>
  <c r="B6"/>
  <c r="C15" s="1"/>
  <c r="K13" i="162"/>
  <c r="G13"/>
  <c r="E11"/>
  <c r="K10"/>
  <c r="G10"/>
  <c r="E9"/>
  <c r="G8"/>
  <c r="E7"/>
  <c r="L6"/>
  <c r="M12" s="1"/>
  <c r="J6"/>
  <c r="K12" s="1"/>
  <c r="H6"/>
  <c r="I11" s="1"/>
  <c r="F6"/>
  <c r="G11" s="1"/>
  <c r="D6"/>
  <c r="E8" s="1"/>
  <c r="B6"/>
  <c r="L6" i="159"/>
  <c r="J6"/>
  <c r="H6"/>
  <c r="F6"/>
  <c r="D6"/>
  <c r="B6"/>
  <c r="G7" i="158"/>
  <c r="F7"/>
  <c r="F6" s="1"/>
  <c r="E7"/>
  <c r="D7"/>
  <c r="C7"/>
  <c r="B7"/>
  <c r="B6" s="1"/>
  <c r="G6"/>
  <c r="E6"/>
  <c r="D6"/>
  <c r="C6"/>
  <c r="G7" i="157"/>
  <c r="F7"/>
  <c r="F6" s="1"/>
  <c r="E7"/>
  <c r="D7"/>
  <c r="C7"/>
  <c r="B7"/>
  <c r="B6" s="1"/>
  <c r="G6"/>
  <c r="E6"/>
  <c r="D6"/>
  <c r="C6"/>
  <c r="C22" i="156"/>
  <c r="B22"/>
  <c r="C21"/>
  <c r="B21"/>
  <c r="C20"/>
  <c r="B20"/>
  <c r="C19"/>
  <c r="B19"/>
  <c r="C18"/>
  <c r="B18"/>
  <c r="C17"/>
  <c r="B17"/>
  <c r="C16"/>
  <c r="B16"/>
  <c r="C15"/>
  <c r="B15"/>
  <c r="C14"/>
  <c r="B14"/>
  <c r="C13"/>
  <c r="B13"/>
  <c r="C12"/>
  <c r="B12"/>
  <c r="C11"/>
  <c r="B11"/>
  <c r="C10"/>
  <c r="B10"/>
  <c r="C9"/>
  <c r="B9"/>
  <c r="C8"/>
  <c r="B8"/>
  <c r="C7"/>
  <c r="B7"/>
  <c r="Q6"/>
  <c r="P6"/>
  <c r="O6"/>
  <c r="N6"/>
  <c r="M6"/>
  <c r="L6"/>
  <c r="K6"/>
  <c r="J6"/>
  <c r="I6"/>
  <c r="H6"/>
  <c r="G6"/>
  <c r="F6"/>
  <c r="E6"/>
  <c r="C6" s="1"/>
  <c r="D6"/>
  <c r="B6" s="1"/>
  <c r="D6" i="151"/>
  <c r="C6"/>
  <c r="B6"/>
  <c r="B33" i="146"/>
  <c r="B32"/>
  <c r="B31"/>
  <c r="B30"/>
  <c r="B29"/>
  <c r="B28"/>
  <c r="B27"/>
  <c r="B26"/>
  <c r="B25"/>
  <c r="B24"/>
  <c r="B23"/>
  <c r="B22"/>
  <c r="B21"/>
  <c r="B20"/>
  <c r="B19"/>
  <c r="B18"/>
  <c r="B17"/>
  <c r="B16"/>
  <c r="B15"/>
  <c r="B14"/>
  <c r="B13"/>
  <c r="B12"/>
  <c r="B11"/>
  <c r="B10"/>
  <c r="B9"/>
  <c r="B8"/>
  <c r="B7"/>
  <c r="D6"/>
  <c r="C6"/>
  <c r="B6" s="1"/>
  <c r="G5" i="145"/>
  <c r="F5"/>
  <c r="E5"/>
  <c r="D5"/>
  <c r="C5"/>
  <c r="B5"/>
  <c r="G6" i="144"/>
  <c r="F6"/>
  <c r="E6"/>
  <c r="D6"/>
  <c r="C6"/>
  <c r="B6"/>
  <c r="B21" i="142"/>
  <c r="B20"/>
  <c r="B19"/>
  <c r="B18"/>
  <c r="B17"/>
  <c r="B16"/>
  <c r="B15"/>
  <c r="B14"/>
  <c r="B13"/>
  <c r="B12"/>
  <c r="B11"/>
  <c r="B10"/>
  <c r="B9"/>
  <c r="B8"/>
  <c r="B7"/>
  <c r="B6" s="1"/>
  <c r="N6"/>
  <c r="M6"/>
  <c r="L6"/>
  <c r="K6"/>
  <c r="J6"/>
  <c r="I6"/>
  <c r="H6"/>
  <c r="G6"/>
  <c r="F6"/>
  <c r="E6"/>
  <c r="D6"/>
  <c r="C6"/>
  <c r="B12" i="141"/>
  <c r="B11"/>
  <c r="B10"/>
  <c r="B9"/>
  <c r="B8"/>
  <c r="B7"/>
  <c r="B12" i="140"/>
  <c r="B11"/>
  <c r="B10"/>
  <c r="B9"/>
  <c r="B8"/>
  <c r="B7"/>
  <c r="B22" i="139"/>
  <c r="B21"/>
  <c r="B20"/>
  <c r="B19"/>
  <c r="B18"/>
  <c r="B17"/>
  <c r="B16"/>
  <c r="B15"/>
  <c r="B14"/>
  <c r="B13"/>
  <c r="B12"/>
  <c r="B11"/>
  <c r="B10"/>
  <c r="B9"/>
  <c r="B8"/>
  <c r="D7"/>
  <c r="C7"/>
  <c r="B7"/>
  <c r="B22" i="138"/>
  <c r="B21"/>
  <c r="B20"/>
  <c r="B19"/>
  <c r="B18"/>
  <c r="B17"/>
  <c r="B16"/>
  <c r="B15"/>
  <c r="B14"/>
  <c r="B13"/>
  <c r="B12"/>
  <c r="B11"/>
  <c r="B7" s="1"/>
  <c r="B10"/>
  <c r="B9"/>
  <c r="B8"/>
  <c r="D7"/>
  <c r="C7"/>
  <c r="B5" i="137"/>
  <c r="B22" i="136"/>
  <c r="B21"/>
  <c r="B20"/>
  <c r="B19"/>
  <c r="B18"/>
  <c r="B17"/>
  <c r="B16"/>
  <c r="B15"/>
  <c r="B14"/>
  <c r="B13"/>
  <c r="B12"/>
  <c r="B11"/>
  <c r="B10"/>
  <c r="B9"/>
  <c r="B8"/>
  <c r="D7"/>
  <c r="C7"/>
  <c r="B12" i="135"/>
  <c r="B11"/>
  <c r="B10"/>
  <c r="B9"/>
  <c r="B8"/>
  <c r="B7"/>
  <c r="B5" i="134"/>
  <c r="M6" i="133"/>
  <c r="L6"/>
  <c r="K6"/>
  <c r="J6"/>
  <c r="I6"/>
  <c r="H6"/>
  <c r="G6"/>
  <c r="F6"/>
  <c r="E6"/>
  <c r="D6"/>
  <c r="C6"/>
  <c r="B6"/>
  <c r="M6" i="132"/>
  <c r="L6"/>
  <c r="K6"/>
  <c r="J6"/>
  <c r="I6"/>
  <c r="H6"/>
  <c r="G6"/>
  <c r="F6"/>
  <c r="E6"/>
  <c r="D6"/>
  <c r="C6"/>
  <c r="B6"/>
  <c r="D15" i="131"/>
  <c r="C15"/>
  <c r="B15"/>
  <c r="D6"/>
  <c r="C6"/>
  <c r="B6"/>
  <c r="D15" i="130"/>
  <c r="C15"/>
  <c r="B15"/>
  <c r="D6"/>
  <c r="C6"/>
  <c r="B6"/>
  <c r="G6" i="129"/>
  <c r="F6"/>
  <c r="E6"/>
  <c r="D6"/>
  <c r="C6"/>
  <c r="B6"/>
  <c r="G6" i="128"/>
  <c r="F6"/>
  <c r="E6"/>
  <c r="D6"/>
  <c r="C6"/>
  <c r="B6"/>
  <c r="G7" i="127"/>
  <c r="F7"/>
  <c r="E7"/>
  <c r="D7"/>
  <c r="C7"/>
  <c r="B7"/>
  <c r="G6" i="126"/>
  <c r="F6"/>
  <c r="E6"/>
  <c r="D6"/>
  <c r="C6"/>
  <c r="B6"/>
  <c r="G6" i="125"/>
  <c r="F6"/>
  <c r="E6"/>
  <c r="D6"/>
  <c r="C6"/>
  <c r="B6"/>
  <c r="C22" i="123"/>
  <c r="B22"/>
  <c r="C21"/>
  <c r="B21"/>
  <c r="C20"/>
  <c r="B20"/>
  <c r="C19"/>
  <c r="B19"/>
  <c r="C18"/>
  <c r="B18"/>
  <c r="C17"/>
  <c r="B17"/>
  <c r="C16"/>
  <c r="B16"/>
  <c r="C15"/>
  <c r="B15"/>
  <c r="C14"/>
  <c r="B14"/>
  <c r="C13"/>
  <c r="B13"/>
  <c r="C12"/>
  <c r="B12"/>
  <c r="C11"/>
  <c r="B11"/>
  <c r="C10"/>
  <c r="B10"/>
  <c r="C9"/>
  <c r="B9"/>
  <c r="C8"/>
  <c r="B8"/>
  <c r="C7"/>
  <c r="B7"/>
  <c r="U6"/>
  <c r="T6"/>
  <c r="S6"/>
  <c r="R6"/>
  <c r="Q6"/>
  <c r="P6"/>
  <c r="O6"/>
  <c r="N6"/>
  <c r="M6"/>
  <c r="L6"/>
  <c r="K6"/>
  <c r="J6"/>
  <c r="I6"/>
  <c r="H6"/>
  <c r="G6"/>
  <c r="F6"/>
  <c r="E6"/>
  <c r="C6" s="1"/>
  <c r="D6"/>
  <c r="B6" s="1"/>
  <c r="D45" i="122"/>
  <c r="E47" s="1"/>
  <c r="B45"/>
  <c r="C47" s="1"/>
  <c r="G44"/>
  <c r="E44"/>
  <c r="G43"/>
  <c r="C43"/>
  <c r="G42"/>
  <c r="E42"/>
  <c r="G41"/>
  <c r="C41"/>
  <c r="G40"/>
  <c r="E40"/>
  <c r="G39"/>
  <c r="G38" s="1"/>
  <c r="C39"/>
  <c r="D38"/>
  <c r="E43" s="1"/>
  <c r="B38"/>
  <c r="C42" s="1"/>
  <c r="G37"/>
  <c r="C37"/>
  <c r="G36"/>
  <c r="E36"/>
  <c r="E35" s="1"/>
  <c r="G35"/>
  <c r="D35"/>
  <c r="E37" s="1"/>
  <c r="B35"/>
  <c r="C36" s="1"/>
  <c r="C34"/>
  <c r="C33"/>
  <c r="C32"/>
  <c r="C31"/>
  <c r="G30"/>
  <c r="E30"/>
  <c r="D30"/>
  <c r="E33" s="1"/>
  <c r="C30"/>
  <c r="B30"/>
  <c r="E29"/>
  <c r="E28"/>
  <c r="E27"/>
  <c r="E26"/>
  <c r="E25"/>
  <c r="E24"/>
  <c r="E23"/>
  <c r="E22"/>
  <c r="E21"/>
  <c r="E20"/>
  <c r="E19"/>
  <c r="E18"/>
  <c r="E17" s="1"/>
  <c r="D17"/>
  <c r="B17"/>
  <c r="C29" s="1"/>
  <c r="G16"/>
  <c r="C16"/>
  <c r="G15"/>
  <c r="E15"/>
  <c r="E14" s="1"/>
  <c r="G14"/>
  <c r="D14"/>
  <c r="E16" s="1"/>
  <c r="B14"/>
  <c r="C15" s="1"/>
  <c r="G13"/>
  <c r="G12"/>
  <c r="G10" s="1"/>
  <c r="C12"/>
  <c r="G11"/>
  <c r="C11"/>
  <c r="D10"/>
  <c r="E13" s="1"/>
  <c r="B10"/>
  <c r="G9"/>
  <c r="E9"/>
  <c r="G8"/>
  <c r="G6" s="1"/>
  <c r="C8"/>
  <c r="G7"/>
  <c r="E7"/>
  <c r="E6" s="1"/>
  <c r="D6"/>
  <c r="E8" s="1"/>
  <c r="B6"/>
  <c r="C9" s="1"/>
  <c r="B5" i="119"/>
  <c r="B7" i="118"/>
  <c r="B6"/>
  <c r="C8" i="116"/>
  <c r="C6"/>
  <c r="C5" s="1"/>
  <c r="B5"/>
  <c r="C7" s="1"/>
  <c r="B20" i="115"/>
  <c r="E19"/>
  <c r="B19"/>
  <c r="B18"/>
  <c r="B17"/>
  <c r="B16"/>
  <c r="B15"/>
  <c r="B14"/>
  <c r="B13"/>
  <c r="B12"/>
  <c r="B11"/>
  <c r="B10"/>
  <c r="B9"/>
  <c r="B8"/>
  <c r="B7"/>
  <c r="F5"/>
  <c r="G20" s="1"/>
  <c r="E21"/>
  <c r="C16" i="114"/>
  <c r="C11"/>
  <c r="C7"/>
  <c r="B5"/>
  <c r="C19" s="1"/>
  <c r="B21" i="113"/>
  <c r="B20"/>
  <c r="B19"/>
  <c r="B18"/>
  <c r="B17"/>
  <c r="B16"/>
  <c r="B15"/>
  <c r="B14"/>
  <c r="B13"/>
  <c r="B12"/>
  <c r="B11"/>
  <c r="B10"/>
  <c r="B9"/>
  <c r="B8"/>
  <c r="B6" s="1"/>
  <c r="B7"/>
  <c r="N6"/>
  <c r="M6"/>
  <c r="L6"/>
  <c r="K6"/>
  <c r="J6"/>
  <c r="I6"/>
  <c r="H6"/>
  <c r="G6"/>
  <c r="F6"/>
  <c r="E6"/>
  <c r="D6"/>
  <c r="C6"/>
  <c r="B12" i="112"/>
  <c r="B11"/>
  <c r="B10"/>
  <c r="B9"/>
  <c r="B8"/>
  <c r="B7"/>
  <c r="B12" i="111"/>
  <c r="B11"/>
  <c r="B10"/>
  <c r="B9"/>
  <c r="B8"/>
  <c r="B7"/>
  <c r="B22" i="110"/>
  <c r="B21"/>
  <c r="B20"/>
  <c r="B19"/>
  <c r="B18"/>
  <c r="B17"/>
  <c r="B16"/>
  <c r="B15"/>
  <c r="B14"/>
  <c r="B13"/>
  <c r="B12"/>
  <c r="B11"/>
  <c r="B10"/>
  <c r="B9"/>
  <c r="B7" s="1"/>
  <c r="B8"/>
  <c r="I7"/>
  <c r="H7"/>
  <c r="G7"/>
  <c r="F7"/>
  <c r="E7"/>
  <c r="D7"/>
  <c r="C7"/>
  <c r="B22" i="109"/>
  <c r="B21"/>
  <c r="B20"/>
  <c r="B19"/>
  <c r="B18"/>
  <c r="B17"/>
  <c r="B16"/>
  <c r="B15"/>
  <c r="B14"/>
  <c r="B13"/>
  <c r="B12"/>
  <c r="B11"/>
  <c r="B10"/>
  <c r="B9"/>
  <c r="B8"/>
  <c r="I7"/>
  <c r="H7"/>
  <c r="G7"/>
  <c r="F7"/>
  <c r="E7"/>
  <c r="D7"/>
  <c r="C7"/>
  <c r="B7"/>
  <c r="B22" i="108"/>
  <c r="B21"/>
  <c r="B20"/>
  <c r="B19"/>
  <c r="B18"/>
  <c r="B17"/>
  <c r="B16"/>
  <c r="B15"/>
  <c r="B14"/>
  <c r="B13"/>
  <c r="B12"/>
  <c r="B11"/>
  <c r="B10"/>
  <c r="B9"/>
  <c r="B7" s="1"/>
  <c r="B8"/>
  <c r="I7"/>
  <c r="H7"/>
  <c r="G7"/>
  <c r="F7"/>
  <c r="E7"/>
  <c r="D7"/>
  <c r="C7"/>
  <c r="B12" i="107"/>
  <c r="B11"/>
  <c r="B10"/>
  <c r="B9"/>
  <c r="B8"/>
  <c r="B7"/>
  <c r="G6" i="106"/>
  <c r="F6"/>
  <c r="E6"/>
  <c r="D6"/>
  <c r="C6"/>
  <c r="B6"/>
  <c r="G6" i="105"/>
  <c r="F6"/>
  <c r="E6"/>
  <c r="D6"/>
  <c r="C6"/>
  <c r="B6"/>
  <c r="G7" i="104"/>
  <c r="G6" s="1"/>
  <c r="F7"/>
  <c r="E7"/>
  <c r="E6" s="1"/>
  <c r="D7"/>
  <c r="C7"/>
  <c r="C6" s="1"/>
  <c r="B7"/>
  <c r="F6"/>
  <c r="D6"/>
  <c r="B6"/>
  <c r="G6" i="103"/>
  <c r="F6"/>
  <c r="E6"/>
  <c r="D6"/>
  <c r="C6"/>
  <c r="B6"/>
  <c r="H22" i="102"/>
  <c r="E22"/>
  <c r="B22"/>
  <c r="H21"/>
  <c r="E21"/>
  <c r="B21"/>
  <c r="H20"/>
  <c r="E20"/>
  <c r="B20"/>
  <c r="H19"/>
  <c r="E19"/>
  <c r="B19"/>
  <c r="H18"/>
  <c r="E18"/>
  <c r="B18"/>
  <c r="H17"/>
  <c r="E17"/>
  <c r="B17"/>
  <c r="H16"/>
  <c r="E16"/>
  <c r="B16"/>
  <c r="H15"/>
  <c r="E15"/>
  <c r="B15"/>
  <c r="H14"/>
  <c r="E14"/>
  <c r="B14"/>
  <c r="H13"/>
  <c r="E13"/>
  <c r="B13"/>
  <c r="H12"/>
  <c r="E12"/>
  <c r="B12"/>
  <c r="H11"/>
  <c r="E11"/>
  <c r="B11"/>
  <c r="H10"/>
  <c r="E10"/>
  <c r="B10"/>
  <c r="H9"/>
  <c r="E9"/>
  <c r="B9"/>
  <c r="H8"/>
  <c r="E8"/>
  <c r="B8"/>
  <c r="H7"/>
  <c r="H6" s="1"/>
  <c r="E7"/>
  <c r="B7"/>
  <c r="B6" s="1"/>
  <c r="J6"/>
  <c r="I6"/>
  <c r="G6"/>
  <c r="F6"/>
  <c r="E6"/>
  <c r="D6"/>
  <c r="C6"/>
  <c r="H22" i="101"/>
  <c r="E22"/>
  <c r="B22"/>
  <c r="H21"/>
  <c r="E21"/>
  <c r="B21"/>
  <c r="H20"/>
  <c r="E20"/>
  <c r="B20"/>
  <c r="H19"/>
  <c r="E19"/>
  <c r="B19"/>
  <c r="H18"/>
  <c r="E18"/>
  <c r="B18"/>
  <c r="H17"/>
  <c r="E17"/>
  <c r="B17"/>
  <c r="H16"/>
  <c r="E16"/>
  <c r="B16"/>
  <c r="H15"/>
  <c r="E15"/>
  <c r="B15"/>
  <c r="H14"/>
  <c r="E14"/>
  <c r="B14"/>
  <c r="H13"/>
  <c r="E13"/>
  <c r="B13"/>
  <c r="H12"/>
  <c r="E12"/>
  <c r="B12"/>
  <c r="H11"/>
  <c r="E11"/>
  <c r="B11"/>
  <c r="H10"/>
  <c r="H6" s="1"/>
  <c r="E10"/>
  <c r="B10"/>
  <c r="H9"/>
  <c r="E9"/>
  <c r="B9"/>
  <c r="H8"/>
  <c r="E8"/>
  <c r="B8"/>
  <c r="H7"/>
  <c r="E7"/>
  <c r="E6" s="1"/>
  <c r="B7"/>
  <c r="J6"/>
  <c r="I6"/>
  <c r="G6"/>
  <c r="F6"/>
  <c r="D6"/>
  <c r="C6"/>
  <c r="B6"/>
  <c r="H22" i="100"/>
  <c r="E22"/>
  <c r="B22"/>
  <c r="H21"/>
  <c r="E21"/>
  <c r="B21"/>
  <c r="H20"/>
  <c r="E20"/>
  <c r="B20"/>
  <c r="H19"/>
  <c r="E19"/>
  <c r="B19"/>
  <c r="H18"/>
  <c r="E18"/>
  <c r="B18"/>
  <c r="H17"/>
  <c r="E17"/>
  <c r="B17"/>
  <c r="H16"/>
  <c r="E16"/>
  <c r="B16"/>
  <c r="H15"/>
  <c r="E15"/>
  <c r="B15"/>
  <c r="H14"/>
  <c r="E14"/>
  <c r="B14"/>
  <c r="H13"/>
  <c r="E13"/>
  <c r="B13"/>
  <c r="H12"/>
  <c r="E12"/>
  <c r="B12"/>
  <c r="H11"/>
  <c r="E11"/>
  <c r="B11"/>
  <c r="H10"/>
  <c r="E10"/>
  <c r="B10"/>
  <c r="H9"/>
  <c r="E9"/>
  <c r="B9"/>
  <c r="H8"/>
  <c r="E8"/>
  <c r="E6" s="1"/>
  <c r="B8"/>
  <c r="H7"/>
  <c r="H6" s="1"/>
  <c r="E7"/>
  <c r="B7"/>
  <c r="B6" s="1"/>
  <c r="J6"/>
  <c r="I6"/>
  <c r="G6"/>
  <c r="F6"/>
  <c r="D6"/>
  <c r="C6"/>
  <c r="B12" i="99"/>
  <c r="B11"/>
  <c r="B10"/>
  <c r="B9"/>
  <c r="B8"/>
  <c r="B7"/>
  <c r="B11" i="98"/>
  <c r="B10"/>
  <c r="B9"/>
  <c r="B8"/>
  <c r="B7"/>
  <c r="B6"/>
  <c r="H22" i="97"/>
  <c r="B22"/>
  <c r="H21"/>
  <c r="B21"/>
  <c r="H20"/>
  <c r="B20"/>
  <c r="H19"/>
  <c r="B19"/>
  <c r="H18"/>
  <c r="B18"/>
  <c r="H17"/>
  <c r="B17"/>
  <c r="H16"/>
  <c r="B16"/>
  <c r="H15"/>
  <c r="B15"/>
  <c r="H14"/>
  <c r="B14"/>
  <c r="H13"/>
  <c r="B13"/>
  <c r="H12"/>
  <c r="B12"/>
  <c r="H11"/>
  <c r="B11"/>
  <c r="H10"/>
  <c r="B10"/>
  <c r="H9"/>
  <c r="B9"/>
  <c r="H8"/>
  <c r="H6" s="1"/>
  <c r="B8"/>
  <c r="H7"/>
  <c r="B7"/>
  <c r="J6"/>
  <c r="I6"/>
  <c r="D6"/>
  <c r="C6"/>
  <c r="B6"/>
  <c r="H22" i="96"/>
  <c r="E22"/>
  <c r="B22"/>
  <c r="H21"/>
  <c r="E21"/>
  <c r="B21"/>
  <c r="H20"/>
  <c r="E20"/>
  <c r="B20"/>
  <c r="H19"/>
  <c r="E19"/>
  <c r="B19"/>
  <c r="H18"/>
  <c r="E18"/>
  <c r="B18"/>
  <c r="H17"/>
  <c r="E17"/>
  <c r="B17"/>
  <c r="H16"/>
  <c r="E16"/>
  <c r="B16"/>
  <c r="H15"/>
  <c r="E15"/>
  <c r="B15"/>
  <c r="H14"/>
  <c r="E14"/>
  <c r="B14"/>
  <c r="H13"/>
  <c r="G13"/>
  <c r="G6" s="1"/>
  <c r="F13"/>
  <c r="E13"/>
  <c r="B13"/>
  <c r="H12"/>
  <c r="E12"/>
  <c r="B12"/>
  <c r="H11"/>
  <c r="E11"/>
  <c r="B11"/>
  <c r="H10"/>
  <c r="H6" s="1"/>
  <c r="E10"/>
  <c r="B10"/>
  <c r="H9"/>
  <c r="E9"/>
  <c r="B9"/>
  <c r="H8"/>
  <c r="E8"/>
  <c r="B8"/>
  <c r="H7"/>
  <c r="E7"/>
  <c r="E6" s="1"/>
  <c r="B7"/>
  <c r="J6"/>
  <c r="I6"/>
  <c r="F6"/>
  <c r="D6"/>
  <c r="C6"/>
  <c r="B6"/>
  <c r="K22" i="95"/>
  <c r="H22"/>
  <c r="E22"/>
  <c r="K21"/>
  <c r="H21"/>
  <c r="E21"/>
  <c r="K20"/>
  <c r="H20"/>
  <c r="E20"/>
  <c r="K19"/>
  <c r="H19"/>
  <c r="E19"/>
  <c r="K18"/>
  <c r="H18"/>
  <c r="E18"/>
  <c r="K17"/>
  <c r="H17"/>
  <c r="E17"/>
  <c r="K16"/>
  <c r="H16"/>
  <c r="E16"/>
  <c r="K15"/>
  <c r="H15"/>
  <c r="E15"/>
  <c r="K14"/>
  <c r="H14"/>
  <c r="E14"/>
  <c r="K13"/>
  <c r="H13"/>
  <c r="E13"/>
  <c r="K12"/>
  <c r="H12"/>
  <c r="E12"/>
  <c r="K11"/>
  <c r="H11"/>
  <c r="E11"/>
  <c r="K10"/>
  <c r="H10"/>
  <c r="E10"/>
  <c r="K9"/>
  <c r="H9"/>
  <c r="E9"/>
  <c r="K8"/>
  <c r="H8"/>
  <c r="H6" s="1"/>
  <c r="E8"/>
  <c r="K7"/>
  <c r="K6" s="1"/>
  <c r="H7"/>
  <c r="E7"/>
  <c r="E6" s="1"/>
  <c r="M6"/>
  <c r="L6"/>
  <c r="J6"/>
  <c r="I6"/>
  <c r="G6"/>
  <c r="F6"/>
  <c r="B6"/>
  <c r="S6" i="94"/>
  <c r="R6"/>
  <c r="Q6"/>
  <c r="P6"/>
  <c r="O6"/>
  <c r="N6"/>
  <c r="M6"/>
  <c r="L6"/>
  <c r="K6"/>
  <c r="J6"/>
  <c r="I6"/>
  <c r="H6"/>
  <c r="G6"/>
  <c r="F6"/>
  <c r="E6"/>
  <c r="D6"/>
  <c r="C6"/>
  <c r="B6"/>
  <c r="Q23" i="93"/>
  <c r="L23"/>
  <c r="B23" s="1"/>
  <c r="C23"/>
  <c r="Q22"/>
  <c r="L22"/>
  <c r="C22"/>
  <c r="Q21"/>
  <c r="L21"/>
  <c r="C21"/>
  <c r="Q20"/>
  <c r="L20"/>
  <c r="C20"/>
  <c r="Q19"/>
  <c r="L19"/>
  <c r="B19" s="1"/>
  <c r="C19"/>
  <c r="Q18"/>
  <c r="L18"/>
  <c r="C18"/>
  <c r="Q17"/>
  <c r="L17"/>
  <c r="C17"/>
  <c r="Q16"/>
  <c r="L16"/>
  <c r="C16"/>
  <c r="Q15"/>
  <c r="L15"/>
  <c r="B15" s="1"/>
  <c r="C15"/>
  <c r="Q14"/>
  <c r="L14"/>
  <c r="C14"/>
  <c r="Q13"/>
  <c r="L13"/>
  <c r="C13"/>
  <c r="Q12"/>
  <c r="L12"/>
  <c r="C12"/>
  <c r="Q11"/>
  <c r="L11"/>
  <c r="B11" s="1"/>
  <c r="C11"/>
  <c r="Q10"/>
  <c r="L10"/>
  <c r="L8" s="1"/>
  <c r="C10"/>
  <c r="Q9"/>
  <c r="L9"/>
  <c r="C9"/>
  <c r="C8" s="1"/>
  <c r="U8"/>
  <c r="T8"/>
  <c r="S8"/>
  <c r="R8"/>
  <c r="Q8"/>
  <c r="P8"/>
  <c r="O8"/>
  <c r="N8"/>
  <c r="M8"/>
  <c r="K8"/>
  <c r="J8"/>
  <c r="I8"/>
  <c r="H8"/>
  <c r="G8"/>
  <c r="F8"/>
  <c r="E8"/>
  <c r="D8"/>
  <c r="G6" i="90"/>
  <c r="F6"/>
  <c r="E6"/>
  <c r="D6"/>
  <c r="C6"/>
  <c r="B6"/>
  <c r="G6" i="89"/>
  <c r="F6"/>
  <c r="E6"/>
  <c r="D6"/>
  <c r="C6"/>
  <c r="B6"/>
  <c r="B22" i="88"/>
  <c r="B21"/>
  <c r="B20"/>
  <c r="B19"/>
  <c r="B18"/>
  <c r="B17"/>
  <c r="B16"/>
  <c r="B15"/>
  <c r="B14"/>
  <c r="B13"/>
  <c r="B12"/>
  <c r="B11"/>
  <c r="B10"/>
  <c r="B9"/>
  <c r="B8"/>
  <c r="D7"/>
  <c r="C7"/>
  <c r="B7" s="1"/>
  <c r="B22" i="87"/>
  <c r="B21"/>
  <c r="B20"/>
  <c r="B19"/>
  <c r="B18"/>
  <c r="B17"/>
  <c r="B16"/>
  <c r="B15"/>
  <c r="B14"/>
  <c r="B13"/>
  <c r="B12"/>
  <c r="B11"/>
  <c r="B10"/>
  <c r="B9"/>
  <c r="B8"/>
  <c r="D7"/>
  <c r="C7"/>
  <c r="L6" i="85"/>
  <c r="K6"/>
  <c r="J6"/>
  <c r="I6"/>
  <c r="H6"/>
  <c r="G6"/>
  <c r="F6"/>
  <c r="E6"/>
  <c r="D6"/>
  <c r="C6"/>
  <c r="B6"/>
  <c r="Q6" i="84"/>
  <c r="P6"/>
  <c r="O6"/>
  <c r="N6"/>
  <c r="M6"/>
  <c r="L6"/>
  <c r="K6"/>
  <c r="J6"/>
  <c r="I6"/>
  <c r="H6"/>
  <c r="G6"/>
  <c r="F6"/>
  <c r="E6"/>
  <c r="D6"/>
  <c r="C6"/>
  <c r="B21" i="83"/>
  <c r="B20"/>
  <c r="B19"/>
  <c r="B18"/>
  <c r="B17"/>
  <c r="B16"/>
  <c r="B15"/>
  <c r="B14"/>
  <c r="B13"/>
  <c r="B12"/>
  <c r="B11"/>
  <c r="B10"/>
  <c r="B9"/>
  <c r="B8"/>
  <c r="B7"/>
  <c r="L6"/>
  <c r="K6"/>
  <c r="J6"/>
  <c r="I6"/>
  <c r="H6"/>
  <c r="G6"/>
  <c r="F6"/>
  <c r="E6"/>
  <c r="D6"/>
  <c r="C6"/>
  <c r="B23" i="82"/>
  <c r="B22"/>
  <c r="B21"/>
  <c r="B20"/>
  <c r="B19"/>
  <c r="B18"/>
  <c r="B17"/>
  <c r="B16"/>
  <c r="B15"/>
  <c r="B14"/>
  <c r="B13"/>
  <c r="B12"/>
  <c r="B11"/>
  <c r="B10"/>
  <c r="B9"/>
  <c r="E8"/>
  <c r="D8"/>
  <c r="C8"/>
  <c r="G6" i="47"/>
  <c r="F6"/>
  <c r="E6"/>
  <c r="D6"/>
  <c r="C6"/>
  <c r="B6"/>
  <c r="G5" i="46"/>
  <c r="F5"/>
  <c r="E5"/>
  <c r="D5"/>
  <c r="C5"/>
  <c r="B5"/>
  <c r="G5" i="45"/>
  <c r="F5"/>
  <c r="E5"/>
  <c r="D5"/>
  <c r="C5"/>
  <c r="B5"/>
  <c r="B5" i="22"/>
  <c r="C6" i="21"/>
  <c r="B6"/>
  <c r="B133" i="8"/>
  <c r="B132"/>
  <c r="B131"/>
  <c r="B130"/>
  <c r="B129"/>
  <c r="D128"/>
  <c r="B128" s="1"/>
  <c r="C128"/>
  <c r="C127"/>
  <c r="B126"/>
  <c r="B125"/>
  <c r="B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D62"/>
  <c r="C62"/>
  <c r="B62" s="1"/>
  <c r="B61"/>
  <c r="D60"/>
  <c r="D59" s="1"/>
  <c r="C60"/>
  <c r="B60" s="1"/>
  <c r="C59"/>
  <c r="B58"/>
  <c r="D57"/>
  <c r="C57"/>
  <c r="C56" s="1"/>
  <c r="D56"/>
  <c r="B55"/>
  <c r="D54"/>
  <c r="B54" s="1"/>
  <c r="C53"/>
  <c r="B52"/>
  <c r="B51"/>
  <c r="B50"/>
  <c r="B49"/>
  <c r="B48"/>
  <c r="B47"/>
  <c r="B46"/>
  <c r="B45"/>
  <c r="B44"/>
  <c r="B43"/>
  <c r="B42"/>
  <c r="B41"/>
  <c r="B40"/>
  <c r="B39"/>
  <c r="D38"/>
  <c r="C38"/>
  <c r="B37"/>
  <c r="B36"/>
  <c r="B35"/>
  <c r="B34"/>
  <c r="B33"/>
  <c r="B32"/>
  <c r="B31"/>
  <c r="B30"/>
  <c r="B29"/>
  <c r="B28"/>
  <c r="B27"/>
  <c r="D26"/>
  <c r="C26"/>
  <c r="B26" s="1"/>
  <c r="B25"/>
  <c r="B24"/>
  <c r="B23"/>
  <c r="D22"/>
  <c r="C22"/>
  <c r="D21"/>
  <c r="B20"/>
  <c r="D19"/>
  <c r="C19"/>
  <c r="B19"/>
  <c r="B18"/>
  <c r="D17"/>
  <c r="C17"/>
  <c r="B17"/>
  <c r="B16"/>
  <c r="B15"/>
  <c r="D14"/>
  <c r="C14"/>
  <c r="B14" s="1"/>
  <c r="B13"/>
  <c r="B12"/>
  <c r="D11"/>
  <c r="C11"/>
  <c r="C10" s="1"/>
  <c r="B9"/>
  <c r="B8"/>
  <c r="D7"/>
  <c r="B7" s="1"/>
  <c r="C7"/>
  <c r="C6"/>
  <c r="B24" i="7"/>
  <c r="B21"/>
  <c r="B19"/>
  <c r="B17"/>
  <c r="B13"/>
  <c r="B8"/>
  <c r="B6"/>
  <c r="B5" s="1"/>
  <c r="E12" i="6"/>
  <c r="C12"/>
  <c r="E9"/>
  <c r="C9"/>
  <c r="E5"/>
  <c r="C5"/>
  <c r="B13" i="5"/>
  <c r="B10"/>
  <c r="B6"/>
  <c r="E6" i="4"/>
  <c r="D6"/>
  <c r="C6"/>
  <c r="B6"/>
  <c r="G22" i="24"/>
  <c r="B22" s="1"/>
  <c r="C22"/>
  <c r="G21"/>
  <c r="C21"/>
  <c r="B21" s="1"/>
  <c r="G20"/>
  <c r="C20"/>
  <c r="B20"/>
  <c r="G19"/>
  <c r="C19"/>
  <c r="B19" s="1"/>
  <c r="G18"/>
  <c r="B18" s="1"/>
  <c r="C18"/>
  <c r="G17"/>
  <c r="C17"/>
  <c r="B17" s="1"/>
  <c r="G16"/>
  <c r="C16"/>
  <c r="B16"/>
  <c r="G15"/>
  <c r="C15"/>
  <c r="B15" s="1"/>
  <c r="G14"/>
  <c r="B14" s="1"/>
  <c r="C14"/>
  <c r="G13"/>
  <c r="C13"/>
  <c r="B13" s="1"/>
  <c r="G12"/>
  <c r="C12"/>
  <c r="B12"/>
  <c r="G11"/>
  <c r="C11"/>
  <c r="B11" s="1"/>
  <c r="G10"/>
  <c r="B10" s="1"/>
  <c r="C10"/>
  <c r="G9"/>
  <c r="C9"/>
  <c r="B9" s="1"/>
  <c r="G8"/>
  <c r="C8"/>
  <c r="B8"/>
  <c r="J7"/>
  <c r="I7"/>
  <c r="H7"/>
  <c r="G7"/>
  <c r="F7"/>
  <c r="E7"/>
  <c r="D7"/>
  <c r="C7"/>
  <c r="B21" i="23"/>
  <c r="B20"/>
  <c r="B19"/>
  <c r="B18"/>
  <c r="B17"/>
  <c r="B16"/>
  <c r="B15"/>
  <c r="B14"/>
  <c r="B13"/>
  <c r="B12"/>
  <c r="B11"/>
  <c r="B10"/>
  <c r="B9"/>
  <c r="B8"/>
  <c r="B7"/>
  <c r="E6"/>
  <c r="D6"/>
  <c r="C6"/>
  <c r="B6"/>
  <c r="G113" i="44"/>
  <c r="F113"/>
  <c r="E113"/>
  <c r="D113"/>
  <c r="C113"/>
  <c r="B113"/>
  <c r="G93"/>
  <c r="F93"/>
  <c r="E93"/>
  <c r="D93"/>
  <c r="C93"/>
  <c r="B93"/>
  <c r="G81"/>
  <c r="F81"/>
  <c r="E81"/>
  <c r="D81"/>
  <c r="C81"/>
  <c r="B81"/>
  <c r="G78"/>
  <c r="F78"/>
  <c r="E78"/>
  <c r="D78"/>
  <c r="C78"/>
  <c r="B78"/>
  <c r="G64"/>
  <c r="F64"/>
  <c r="E64"/>
  <c r="D64"/>
  <c r="C64"/>
  <c r="B64"/>
  <c r="G56"/>
  <c r="F56"/>
  <c r="E56"/>
  <c r="D56"/>
  <c r="C56"/>
  <c r="B56"/>
  <c r="G47"/>
  <c r="F47"/>
  <c r="E47"/>
  <c r="D47"/>
  <c r="C47"/>
  <c r="B47"/>
  <c r="G43"/>
  <c r="F43"/>
  <c r="E43"/>
  <c r="D43"/>
  <c r="C43"/>
  <c r="B43"/>
  <c r="G40"/>
  <c r="F40"/>
  <c r="E40"/>
  <c r="D40"/>
  <c r="C40"/>
  <c r="B40"/>
  <c r="G31"/>
  <c r="F31"/>
  <c r="E31"/>
  <c r="D31"/>
  <c r="C31"/>
  <c r="B31"/>
  <c r="G26"/>
  <c r="F26"/>
  <c r="E26"/>
  <c r="D26"/>
  <c r="C26"/>
  <c r="B26"/>
  <c r="G22"/>
  <c r="F22"/>
  <c r="E22"/>
  <c r="D22"/>
  <c r="C22"/>
  <c r="B22"/>
  <c r="G16"/>
  <c r="F16"/>
  <c r="E16"/>
  <c r="D16"/>
  <c r="C16"/>
  <c r="B16"/>
  <c r="F12"/>
  <c r="E12"/>
  <c r="E6" s="1"/>
  <c r="D12"/>
  <c r="C12"/>
  <c r="C6" s="1"/>
  <c r="B12"/>
  <c r="F7"/>
  <c r="F6" s="1"/>
  <c r="E7"/>
  <c r="D7"/>
  <c r="C7"/>
  <c r="B7"/>
  <c r="B6" s="1"/>
  <c r="G6"/>
  <c r="D6"/>
  <c r="V124" i="43"/>
  <c r="R124"/>
  <c r="N124"/>
  <c r="J124"/>
  <c r="F124"/>
  <c r="B124"/>
  <c r="V123"/>
  <c r="R123"/>
  <c r="N123"/>
  <c r="J123"/>
  <c r="F123"/>
  <c r="B123"/>
  <c r="V122"/>
  <c r="R122"/>
  <c r="N122"/>
  <c r="J122"/>
  <c r="F122"/>
  <c r="B122"/>
  <c r="V121"/>
  <c r="R121"/>
  <c r="N121"/>
  <c r="J121"/>
  <c r="F121"/>
  <c r="B121"/>
  <c r="V120"/>
  <c r="R120"/>
  <c r="N120"/>
  <c r="J120"/>
  <c r="F120"/>
  <c r="B120"/>
  <c r="V119"/>
  <c r="R119"/>
  <c r="N119"/>
  <c r="J119"/>
  <c r="F119"/>
  <c r="B119"/>
  <c r="V118"/>
  <c r="R118"/>
  <c r="N118"/>
  <c r="J118"/>
  <c r="F118"/>
  <c r="B118"/>
  <c r="V117"/>
  <c r="R117"/>
  <c r="N117"/>
  <c r="J117"/>
  <c r="F117"/>
  <c r="B117"/>
  <c r="V116"/>
  <c r="R116"/>
  <c r="N116"/>
  <c r="J116"/>
  <c r="F116"/>
  <c r="B116"/>
  <c r="V115"/>
  <c r="R115"/>
  <c r="N115"/>
  <c r="J115"/>
  <c r="F115"/>
  <c r="B115"/>
  <c r="V114"/>
  <c r="R114"/>
  <c r="N114"/>
  <c r="J114"/>
  <c r="F114"/>
  <c r="B114"/>
  <c r="Y113"/>
  <c r="V113" s="1"/>
  <c r="X113"/>
  <c r="W113"/>
  <c r="U113"/>
  <c r="R113" s="1"/>
  <c r="T113"/>
  <c r="S113"/>
  <c r="Q113"/>
  <c r="N113" s="1"/>
  <c r="P113"/>
  <c r="O113"/>
  <c r="M113"/>
  <c r="J113" s="1"/>
  <c r="L113"/>
  <c r="K113"/>
  <c r="I113"/>
  <c r="F113" s="1"/>
  <c r="H113"/>
  <c r="G113"/>
  <c r="E113"/>
  <c r="B113" s="1"/>
  <c r="D113"/>
  <c r="C113"/>
  <c r="V112"/>
  <c r="R112"/>
  <c r="N112"/>
  <c r="J112"/>
  <c r="F112"/>
  <c r="B112"/>
  <c r="V111"/>
  <c r="R111"/>
  <c r="N111"/>
  <c r="J111"/>
  <c r="F111"/>
  <c r="B111"/>
  <c r="V110"/>
  <c r="R110"/>
  <c r="N110"/>
  <c r="J110"/>
  <c r="F110"/>
  <c r="B110"/>
  <c r="V109"/>
  <c r="R109"/>
  <c r="N109"/>
  <c r="J109"/>
  <c r="F109"/>
  <c r="B109"/>
  <c r="V108"/>
  <c r="R108"/>
  <c r="N108"/>
  <c r="J108"/>
  <c r="F108"/>
  <c r="B108"/>
  <c r="V107"/>
  <c r="R107"/>
  <c r="N107"/>
  <c r="J107"/>
  <c r="F107"/>
  <c r="B107"/>
  <c r="V106"/>
  <c r="R106"/>
  <c r="N106"/>
  <c r="J106"/>
  <c r="F106"/>
  <c r="B106"/>
  <c r="V105"/>
  <c r="R105"/>
  <c r="N105"/>
  <c r="J105"/>
  <c r="F105"/>
  <c r="B105"/>
  <c r="V104"/>
  <c r="R104"/>
  <c r="N104"/>
  <c r="J104"/>
  <c r="F104"/>
  <c r="B104"/>
  <c r="V103"/>
  <c r="R103"/>
  <c r="N103"/>
  <c r="J103"/>
  <c r="F103"/>
  <c r="B103"/>
  <c r="V102"/>
  <c r="R102"/>
  <c r="N102"/>
  <c r="J102"/>
  <c r="F102"/>
  <c r="B102"/>
  <c r="V101"/>
  <c r="R101"/>
  <c r="N101"/>
  <c r="J101"/>
  <c r="F101"/>
  <c r="B101"/>
  <c r="V100"/>
  <c r="R100"/>
  <c r="N100"/>
  <c r="J100"/>
  <c r="F100"/>
  <c r="B100"/>
  <c r="V99"/>
  <c r="R99"/>
  <c r="N99"/>
  <c r="J99"/>
  <c r="F99"/>
  <c r="B99"/>
  <c r="V98"/>
  <c r="R98"/>
  <c r="N98"/>
  <c r="J98"/>
  <c r="F98"/>
  <c r="B98"/>
  <c r="V97"/>
  <c r="R97"/>
  <c r="N97"/>
  <c r="J97"/>
  <c r="F97"/>
  <c r="B97"/>
  <c r="V96"/>
  <c r="R96"/>
  <c r="N96"/>
  <c r="J96"/>
  <c r="F96"/>
  <c r="B96"/>
  <c r="V95"/>
  <c r="R95"/>
  <c r="N95"/>
  <c r="J95"/>
  <c r="F95"/>
  <c r="B95"/>
  <c r="V94"/>
  <c r="R94"/>
  <c r="N94"/>
  <c r="J94"/>
  <c r="F94"/>
  <c r="B94"/>
  <c r="Y93"/>
  <c r="X93"/>
  <c r="W93"/>
  <c r="U93"/>
  <c r="T93"/>
  <c r="S93"/>
  <c r="Q93"/>
  <c r="P93"/>
  <c r="O93"/>
  <c r="M93"/>
  <c r="L93"/>
  <c r="J93" s="1"/>
  <c r="K93"/>
  <c r="I93"/>
  <c r="H93"/>
  <c r="G93"/>
  <c r="E93"/>
  <c r="D93"/>
  <c r="C93"/>
  <c r="V92"/>
  <c r="R92"/>
  <c r="N92"/>
  <c r="J92"/>
  <c r="F92"/>
  <c r="B92"/>
  <c r="V91"/>
  <c r="R91"/>
  <c r="N91"/>
  <c r="J91"/>
  <c r="F91"/>
  <c r="B91"/>
  <c r="V90"/>
  <c r="R90"/>
  <c r="N90"/>
  <c r="J90"/>
  <c r="F90"/>
  <c r="B90"/>
  <c r="V89"/>
  <c r="R89"/>
  <c r="N89"/>
  <c r="J89"/>
  <c r="F89"/>
  <c r="B89"/>
  <c r="V88"/>
  <c r="R88"/>
  <c r="N88"/>
  <c r="J88"/>
  <c r="F88"/>
  <c r="B88"/>
  <c r="V87"/>
  <c r="R87"/>
  <c r="N87"/>
  <c r="J87"/>
  <c r="F87"/>
  <c r="B87"/>
  <c r="V86"/>
  <c r="R86"/>
  <c r="N86"/>
  <c r="J86"/>
  <c r="F86"/>
  <c r="B86"/>
  <c r="V85"/>
  <c r="R85"/>
  <c r="N85"/>
  <c r="J85"/>
  <c r="F85"/>
  <c r="B85"/>
  <c r="V84"/>
  <c r="R84"/>
  <c r="N84"/>
  <c r="J84"/>
  <c r="F84"/>
  <c r="B84"/>
  <c r="V83"/>
  <c r="R83"/>
  <c r="N83"/>
  <c r="J83"/>
  <c r="F83"/>
  <c r="B83"/>
  <c r="V82"/>
  <c r="R82"/>
  <c r="N82"/>
  <c r="J82"/>
  <c r="F82"/>
  <c r="B82"/>
  <c r="Y81"/>
  <c r="X81"/>
  <c r="W81"/>
  <c r="V81" s="1"/>
  <c r="U81"/>
  <c r="T81"/>
  <c r="S81"/>
  <c r="R81" s="1"/>
  <c r="Q81"/>
  <c r="P81"/>
  <c r="O81"/>
  <c r="N81" s="1"/>
  <c r="M81"/>
  <c r="L81"/>
  <c r="K81"/>
  <c r="J81" s="1"/>
  <c r="I81"/>
  <c r="H81"/>
  <c r="G81"/>
  <c r="F81" s="1"/>
  <c r="E81"/>
  <c r="D81"/>
  <c r="C81"/>
  <c r="B81" s="1"/>
  <c r="V80"/>
  <c r="R80"/>
  <c r="N80"/>
  <c r="J80"/>
  <c r="F80"/>
  <c r="B80"/>
  <c r="V79"/>
  <c r="R79"/>
  <c r="N79"/>
  <c r="J79"/>
  <c r="F79"/>
  <c r="B79"/>
  <c r="Y78"/>
  <c r="X78"/>
  <c r="W78"/>
  <c r="V78" s="1"/>
  <c r="U78"/>
  <c r="T78"/>
  <c r="S78"/>
  <c r="R78" s="1"/>
  <c r="Q78"/>
  <c r="P78"/>
  <c r="O78"/>
  <c r="N78" s="1"/>
  <c r="M78"/>
  <c r="L78"/>
  <c r="K78"/>
  <c r="J78" s="1"/>
  <c r="I78"/>
  <c r="H78"/>
  <c r="G78"/>
  <c r="F78" s="1"/>
  <c r="E78"/>
  <c r="D78"/>
  <c r="C78"/>
  <c r="B78" s="1"/>
  <c r="V77"/>
  <c r="R77"/>
  <c r="N77"/>
  <c r="J77"/>
  <c r="F77"/>
  <c r="B77"/>
  <c r="V76"/>
  <c r="R76"/>
  <c r="N76"/>
  <c r="J76"/>
  <c r="F76"/>
  <c r="B76"/>
  <c r="V75"/>
  <c r="R75"/>
  <c r="N75"/>
  <c r="J75"/>
  <c r="F75"/>
  <c r="B75"/>
  <c r="V74"/>
  <c r="R74"/>
  <c r="N74"/>
  <c r="J74"/>
  <c r="F74"/>
  <c r="B74"/>
  <c r="V73"/>
  <c r="R73"/>
  <c r="N73"/>
  <c r="J73"/>
  <c r="F73"/>
  <c r="B73"/>
  <c r="V72"/>
  <c r="R72"/>
  <c r="N72"/>
  <c r="J72"/>
  <c r="F72"/>
  <c r="B72"/>
  <c r="V71"/>
  <c r="R71"/>
  <c r="N71"/>
  <c r="J71"/>
  <c r="F71"/>
  <c r="B71"/>
  <c r="V70"/>
  <c r="R70"/>
  <c r="N70"/>
  <c r="J70"/>
  <c r="F70"/>
  <c r="B70"/>
  <c r="V69"/>
  <c r="R69"/>
  <c r="N69"/>
  <c r="J69"/>
  <c r="F69"/>
  <c r="B69"/>
  <c r="V68"/>
  <c r="R68"/>
  <c r="N68"/>
  <c r="J68"/>
  <c r="F68"/>
  <c r="B68"/>
  <c r="V67"/>
  <c r="R67"/>
  <c r="N67"/>
  <c r="J67"/>
  <c r="F67"/>
  <c r="B67"/>
  <c r="V66"/>
  <c r="R66"/>
  <c r="N66"/>
  <c r="J66"/>
  <c r="F66"/>
  <c r="B66"/>
  <c r="V65"/>
  <c r="R65"/>
  <c r="N65"/>
  <c r="J65"/>
  <c r="F65"/>
  <c r="B65"/>
  <c r="Y64"/>
  <c r="X64"/>
  <c r="W64"/>
  <c r="U64"/>
  <c r="T64"/>
  <c r="R64" s="1"/>
  <c r="S64"/>
  <c r="Q64"/>
  <c r="P64"/>
  <c r="O64"/>
  <c r="M64"/>
  <c r="L64"/>
  <c r="K64"/>
  <c r="I64"/>
  <c r="H64"/>
  <c r="G64"/>
  <c r="E64"/>
  <c r="D64"/>
  <c r="B64" s="1"/>
  <c r="C64"/>
  <c r="V63"/>
  <c r="R63"/>
  <c r="N63"/>
  <c r="J63"/>
  <c r="F63"/>
  <c r="B63"/>
  <c r="V62"/>
  <c r="R62"/>
  <c r="N62"/>
  <c r="J62"/>
  <c r="F62"/>
  <c r="B62"/>
  <c r="V61"/>
  <c r="R61"/>
  <c r="N61"/>
  <c r="J61"/>
  <c r="F61"/>
  <c r="B61"/>
  <c r="V60"/>
  <c r="R60"/>
  <c r="N60"/>
  <c r="J60"/>
  <c r="F60"/>
  <c r="B60"/>
  <c r="V59"/>
  <c r="R59"/>
  <c r="N59"/>
  <c r="J59"/>
  <c r="F59"/>
  <c r="B59"/>
  <c r="V58"/>
  <c r="R58"/>
  <c r="N58"/>
  <c r="J58"/>
  <c r="F58"/>
  <c r="B58"/>
  <c r="V57"/>
  <c r="R57"/>
  <c r="N57"/>
  <c r="J57"/>
  <c r="F57"/>
  <c r="B57"/>
  <c r="Y56"/>
  <c r="V56" s="1"/>
  <c r="X56"/>
  <c r="W56"/>
  <c r="U56"/>
  <c r="R56" s="1"/>
  <c r="T56"/>
  <c r="S56"/>
  <c r="Q56"/>
  <c r="N56" s="1"/>
  <c r="P56"/>
  <c r="O56"/>
  <c r="M56"/>
  <c r="J56" s="1"/>
  <c r="L56"/>
  <c r="K56"/>
  <c r="I56"/>
  <c r="F56" s="1"/>
  <c r="H56"/>
  <c r="G56"/>
  <c r="E56"/>
  <c r="B56" s="1"/>
  <c r="D56"/>
  <c r="C56"/>
  <c r="V55"/>
  <c r="R55"/>
  <c r="N55"/>
  <c r="J55"/>
  <c r="F55"/>
  <c r="B55"/>
  <c r="V54"/>
  <c r="R54"/>
  <c r="N54"/>
  <c r="J54"/>
  <c r="F54"/>
  <c r="B54"/>
  <c r="V53"/>
  <c r="R53"/>
  <c r="N53"/>
  <c r="J53"/>
  <c r="F53"/>
  <c r="B53"/>
  <c r="V52"/>
  <c r="R52"/>
  <c r="N52"/>
  <c r="J52"/>
  <c r="F52"/>
  <c r="B52"/>
  <c r="V51"/>
  <c r="R51"/>
  <c r="N51"/>
  <c r="J51"/>
  <c r="F51"/>
  <c r="B51"/>
  <c r="V50"/>
  <c r="R50"/>
  <c r="N50"/>
  <c r="J50"/>
  <c r="F50"/>
  <c r="B50"/>
  <c r="V49"/>
  <c r="R49"/>
  <c r="N49"/>
  <c r="J49"/>
  <c r="F49"/>
  <c r="B49"/>
  <c r="V48"/>
  <c r="R48"/>
  <c r="N48"/>
  <c r="J48"/>
  <c r="F48"/>
  <c r="B48"/>
  <c r="Y47"/>
  <c r="V47" s="1"/>
  <c r="X47"/>
  <c r="W47"/>
  <c r="U47"/>
  <c r="R47" s="1"/>
  <c r="T47"/>
  <c r="S47"/>
  <c r="Q47"/>
  <c r="N47" s="1"/>
  <c r="P47"/>
  <c r="O47"/>
  <c r="M47"/>
  <c r="J47" s="1"/>
  <c r="L47"/>
  <c r="K47"/>
  <c r="I47"/>
  <c r="F47" s="1"/>
  <c r="H47"/>
  <c r="G47"/>
  <c r="E47"/>
  <c r="B47" s="1"/>
  <c r="D47"/>
  <c r="C47"/>
  <c r="V46"/>
  <c r="R46"/>
  <c r="N46"/>
  <c r="J46"/>
  <c r="F46"/>
  <c r="B46"/>
  <c r="V45"/>
  <c r="R45"/>
  <c r="N45"/>
  <c r="J45"/>
  <c r="F45"/>
  <c r="B45"/>
  <c r="V44"/>
  <c r="R44"/>
  <c r="N44"/>
  <c r="J44"/>
  <c r="F44"/>
  <c r="B44"/>
  <c r="Y43"/>
  <c r="X43"/>
  <c r="W43"/>
  <c r="U43"/>
  <c r="T43"/>
  <c r="S43"/>
  <c r="Q43"/>
  <c r="Q6" s="1"/>
  <c r="P43"/>
  <c r="O43"/>
  <c r="M43"/>
  <c r="L43"/>
  <c r="J43" s="1"/>
  <c r="K43"/>
  <c r="I43"/>
  <c r="H43"/>
  <c r="G43"/>
  <c r="E43"/>
  <c r="D43"/>
  <c r="C43"/>
  <c r="V42"/>
  <c r="R42"/>
  <c r="N42"/>
  <c r="J42"/>
  <c r="F42"/>
  <c r="B42"/>
  <c r="V41"/>
  <c r="R41"/>
  <c r="N41"/>
  <c r="J41"/>
  <c r="F41"/>
  <c r="B41"/>
  <c r="Y40"/>
  <c r="Y6" s="1"/>
  <c r="X40"/>
  <c r="W40"/>
  <c r="U40"/>
  <c r="T40"/>
  <c r="R40" s="1"/>
  <c r="S40"/>
  <c r="Q40"/>
  <c r="P40"/>
  <c r="O40"/>
  <c r="M40"/>
  <c r="L40"/>
  <c r="K40"/>
  <c r="I40"/>
  <c r="I6" s="1"/>
  <c r="H40"/>
  <c r="G40"/>
  <c r="E40"/>
  <c r="D40"/>
  <c r="B40" s="1"/>
  <c r="C40"/>
  <c r="V39"/>
  <c r="R39"/>
  <c r="N39"/>
  <c r="J39"/>
  <c r="F39"/>
  <c r="B39"/>
  <c r="V38"/>
  <c r="R38"/>
  <c r="N38"/>
  <c r="J38"/>
  <c r="F38"/>
  <c r="B38"/>
  <c r="V37"/>
  <c r="R37"/>
  <c r="N37"/>
  <c r="J37"/>
  <c r="F37"/>
  <c r="B37"/>
  <c r="V36"/>
  <c r="R36"/>
  <c r="N36"/>
  <c r="J36"/>
  <c r="F36"/>
  <c r="B36"/>
  <c r="V35"/>
  <c r="R35"/>
  <c r="N35"/>
  <c r="J35"/>
  <c r="F35"/>
  <c r="B35"/>
  <c r="V34"/>
  <c r="R34"/>
  <c r="N34"/>
  <c r="J34"/>
  <c r="F34"/>
  <c r="B34"/>
  <c r="V33"/>
  <c r="R33"/>
  <c r="N33"/>
  <c r="J33"/>
  <c r="F33"/>
  <c r="B33"/>
  <c r="V32"/>
  <c r="R32"/>
  <c r="N32"/>
  <c r="F32"/>
  <c r="B32"/>
  <c r="Y31"/>
  <c r="X31"/>
  <c r="W31"/>
  <c r="V31" s="1"/>
  <c r="U31"/>
  <c r="T31"/>
  <c r="S31"/>
  <c r="Q31"/>
  <c r="P31"/>
  <c r="O31"/>
  <c r="M31"/>
  <c r="L31"/>
  <c r="K31"/>
  <c r="J31" s="1"/>
  <c r="I31"/>
  <c r="H31"/>
  <c r="G31"/>
  <c r="F31" s="1"/>
  <c r="E31"/>
  <c r="D31"/>
  <c r="C31"/>
  <c r="V30"/>
  <c r="R30"/>
  <c r="N30"/>
  <c r="J30"/>
  <c r="F30"/>
  <c r="B30"/>
  <c r="V29"/>
  <c r="R29"/>
  <c r="N29"/>
  <c r="J29"/>
  <c r="F29"/>
  <c r="B29"/>
  <c r="V28"/>
  <c r="R28"/>
  <c r="N28"/>
  <c r="J28"/>
  <c r="F28"/>
  <c r="B28"/>
  <c r="V27"/>
  <c r="R27"/>
  <c r="N27"/>
  <c r="J27"/>
  <c r="F27"/>
  <c r="B27"/>
  <c r="Y26"/>
  <c r="X26"/>
  <c r="W26"/>
  <c r="U26"/>
  <c r="T26"/>
  <c r="S26"/>
  <c r="R26" s="1"/>
  <c r="Q26"/>
  <c r="P26"/>
  <c r="O26"/>
  <c r="N26" s="1"/>
  <c r="M26"/>
  <c r="L26"/>
  <c r="K26"/>
  <c r="I26"/>
  <c r="H26"/>
  <c r="G26"/>
  <c r="E26"/>
  <c r="D26"/>
  <c r="C26"/>
  <c r="B26" s="1"/>
  <c r="V25"/>
  <c r="R25"/>
  <c r="N25"/>
  <c r="J25"/>
  <c r="F25"/>
  <c r="B25"/>
  <c r="V24"/>
  <c r="R24"/>
  <c r="N24"/>
  <c r="J24"/>
  <c r="F24"/>
  <c r="B24"/>
  <c r="V23"/>
  <c r="R23"/>
  <c r="N23"/>
  <c r="J23"/>
  <c r="F23"/>
  <c r="B23"/>
  <c r="Y22"/>
  <c r="X22"/>
  <c r="W22"/>
  <c r="U22"/>
  <c r="T22"/>
  <c r="S22"/>
  <c r="R22" s="1"/>
  <c r="Q22"/>
  <c r="P22"/>
  <c r="O22"/>
  <c r="N22" s="1"/>
  <c r="M22"/>
  <c r="L22"/>
  <c r="K22"/>
  <c r="I22"/>
  <c r="H22"/>
  <c r="G22"/>
  <c r="E22"/>
  <c r="D22"/>
  <c r="C22"/>
  <c r="B22" s="1"/>
  <c r="V21"/>
  <c r="R21"/>
  <c r="N21"/>
  <c r="J21"/>
  <c r="F21"/>
  <c r="B21"/>
  <c r="V20"/>
  <c r="R20"/>
  <c r="N20"/>
  <c r="J20"/>
  <c r="F20"/>
  <c r="B20"/>
  <c r="V19"/>
  <c r="R19"/>
  <c r="N19"/>
  <c r="J19"/>
  <c r="F19"/>
  <c r="B19"/>
  <c r="V18"/>
  <c r="R18"/>
  <c r="N18"/>
  <c r="J18"/>
  <c r="F18"/>
  <c r="B18"/>
  <c r="V17"/>
  <c r="R17"/>
  <c r="N17"/>
  <c r="J17"/>
  <c r="F17"/>
  <c r="B17"/>
  <c r="Y16"/>
  <c r="X16"/>
  <c r="W16"/>
  <c r="U16"/>
  <c r="T16"/>
  <c r="S16"/>
  <c r="R16" s="1"/>
  <c r="Q16"/>
  <c r="P16"/>
  <c r="O16"/>
  <c r="N16" s="1"/>
  <c r="M16"/>
  <c r="L16"/>
  <c r="K16"/>
  <c r="I16"/>
  <c r="H16"/>
  <c r="G16"/>
  <c r="E16"/>
  <c r="D16"/>
  <c r="C16"/>
  <c r="B16" s="1"/>
  <c r="V15"/>
  <c r="R15"/>
  <c r="N15"/>
  <c r="J15"/>
  <c r="F15"/>
  <c r="B15"/>
  <c r="V14"/>
  <c r="R14"/>
  <c r="N14"/>
  <c r="J14"/>
  <c r="F14"/>
  <c r="B14"/>
  <c r="V13"/>
  <c r="R13"/>
  <c r="N13"/>
  <c r="J13"/>
  <c r="F13"/>
  <c r="B13"/>
  <c r="Y12"/>
  <c r="X12"/>
  <c r="W12"/>
  <c r="U12"/>
  <c r="T12"/>
  <c r="S12"/>
  <c r="R12" s="1"/>
  <c r="Q12"/>
  <c r="P12"/>
  <c r="O12"/>
  <c r="N12" s="1"/>
  <c r="M12"/>
  <c r="M6" s="1"/>
  <c r="L12"/>
  <c r="K12"/>
  <c r="I12"/>
  <c r="H12"/>
  <c r="G12"/>
  <c r="E12"/>
  <c r="D12"/>
  <c r="C12"/>
  <c r="B12" s="1"/>
  <c r="V11"/>
  <c r="R11"/>
  <c r="N11"/>
  <c r="J11"/>
  <c r="F11"/>
  <c r="B11"/>
  <c r="V10"/>
  <c r="R10"/>
  <c r="N10"/>
  <c r="J10"/>
  <c r="F10"/>
  <c r="B10"/>
  <c r="V9"/>
  <c r="R9"/>
  <c r="N9"/>
  <c r="J9"/>
  <c r="F9"/>
  <c r="B9"/>
  <c r="V8"/>
  <c r="R8"/>
  <c r="N8"/>
  <c r="J8"/>
  <c r="F8"/>
  <c r="B8"/>
  <c r="Y7"/>
  <c r="X7"/>
  <c r="W7"/>
  <c r="V7" s="1"/>
  <c r="U7"/>
  <c r="U6" s="1"/>
  <c r="T7"/>
  <c r="T6" s="1"/>
  <c r="S7"/>
  <c r="Q7"/>
  <c r="P7"/>
  <c r="O7"/>
  <c r="M7"/>
  <c r="L7"/>
  <c r="L6" s="1"/>
  <c r="K7"/>
  <c r="J7" s="1"/>
  <c r="I7"/>
  <c r="H7"/>
  <c r="G7"/>
  <c r="F7" s="1"/>
  <c r="E7"/>
  <c r="E6" s="1"/>
  <c r="D7"/>
  <c r="D6" s="1"/>
  <c r="C7"/>
  <c r="X6"/>
  <c r="P6"/>
  <c r="H6"/>
  <c r="Q124" i="42"/>
  <c r="N124"/>
  <c r="K124"/>
  <c r="H124"/>
  <c r="E124"/>
  <c r="B124"/>
  <c r="Q123"/>
  <c r="N123"/>
  <c r="K123"/>
  <c r="H123"/>
  <c r="E123"/>
  <c r="B123"/>
  <c r="Q122"/>
  <c r="N122"/>
  <c r="K122"/>
  <c r="H122"/>
  <c r="E122"/>
  <c r="B122"/>
  <c r="Q121"/>
  <c r="N121"/>
  <c r="K121"/>
  <c r="H121"/>
  <c r="E121"/>
  <c r="B121"/>
  <c r="Q120"/>
  <c r="N120"/>
  <c r="K120"/>
  <c r="H120"/>
  <c r="E120"/>
  <c r="B120"/>
  <c r="Q119"/>
  <c r="N119"/>
  <c r="K119"/>
  <c r="H119"/>
  <c r="E119"/>
  <c r="B119"/>
  <c r="Q118"/>
  <c r="N118"/>
  <c r="K118"/>
  <c r="H118"/>
  <c r="E118"/>
  <c r="B118"/>
  <c r="Q117"/>
  <c r="N117"/>
  <c r="K117"/>
  <c r="H117"/>
  <c r="E117"/>
  <c r="B117"/>
  <c r="Q116"/>
  <c r="N116"/>
  <c r="K116"/>
  <c r="H116"/>
  <c r="E116"/>
  <c r="B116"/>
  <c r="Q115"/>
  <c r="N115"/>
  <c r="K115"/>
  <c r="H115"/>
  <c r="E115"/>
  <c r="B115"/>
  <c r="Q114"/>
  <c r="N114"/>
  <c r="K114"/>
  <c r="H114"/>
  <c r="E114"/>
  <c r="B114"/>
  <c r="S113"/>
  <c r="R113"/>
  <c r="Q113"/>
  <c r="P113"/>
  <c r="O113"/>
  <c r="M113"/>
  <c r="L113"/>
  <c r="K113" s="1"/>
  <c r="J113"/>
  <c r="I113"/>
  <c r="G113"/>
  <c r="F113"/>
  <c r="E113"/>
  <c r="D113"/>
  <c r="C113"/>
  <c r="Q112"/>
  <c r="N112"/>
  <c r="K112"/>
  <c r="H112"/>
  <c r="E112"/>
  <c r="B112"/>
  <c r="Q111"/>
  <c r="N111"/>
  <c r="K111"/>
  <c r="H111"/>
  <c r="E111"/>
  <c r="B111"/>
  <c r="Q110"/>
  <c r="N110"/>
  <c r="K110"/>
  <c r="H110"/>
  <c r="E110"/>
  <c r="B110"/>
  <c r="Q109"/>
  <c r="N109"/>
  <c r="K109"/>
  <c r="H109"/>
  <c r="E109"/>
  <c r="B109"/>
  <c r="Q108"/>
  <c r="N108"/>
  <c r="K108"/>
  <c r="H108"/>
  <c r="E108"/>
  <c r="B108"/>
  <c r="Q107"/>
  <c r="N107"/>
  <c r="K107"/>
  <c r="H107"/>
  <c r="E107"/>
  <c r="B107"/>
  <c r="Q106"/>
  <c r="N106"/>
  <c r="K106"/>
  <c r="H106"/>
  <c r="E106"/>
  <c r="B106"/>
  <c r="Q105"/>
  <c r="N105"/>
  <c r="K105"/>
  <c r="H105"/>
  <c r="E105"/>
  <c r="B105"/>
  <c r="Q104"/>
  <c r="N104"/>
  <c r="K104"/>
  <c r="H104"/>
  <c r="E104"/>
  <c r="B104"/>
  <c r="Q103"/>
  <c r="N103"/>
  <c r="K103"/>
  <c r="H103"/>
  <c r="E103"/>
  <c r="B103"/>
  <c r="Q102"/>
  <c r="N102"/>
  <c r="K102"/>
  <c r="H102"/>
  <c r="E102"/>
  <c r="B102"/>
  <c r="Q101"/>
  <c r="N101"/>
  <c r="K101"/>
  <c r="H101"/>
  <c r="E101"/>
  <c r="B101"/>
  <c r="Q100"/>
  <c r="N100"/>
  <c r="K100"/>
  <c r="H100"/>
  <c r="E100"/>
  <c r="B100"/>
  <c r="Q99"/>
  <c r="N99"/>
  <c r="K99"/>
  <c r="H99"/>
  <c r="E99"/>
  <c r="B99"/>
  <c r="Q98"/>
  <c r="N98"/>
  <c r="K98"/>
  <c r="H98"/>
  <c r="E98"/>
  <c r="B98"/>
  <c r="Q97"/>
  <c r="N97"/>
  <c r="K97"/>
  <c r="H97"/>
  <c r="E97"/>
  <c r="B97"/>
  <c r="Q96"/>
  <c r="N96"/>
  <c r="K96"/>
  <c r="H96"/>
  <c r="E96"/>
  <c r="B96"/>
  <c r="Q95"/>
  <c r="N95"/>
  <c r="K95"/>
  <c r="H95"/>
  <c r="E95"/>
  <c r="B95"/>
  <c r="Q94"/>
  <c r="N94"/>
  <c r="K94"/>
  <c r="H94"/>
  <c r="E94"/>
  <c r="B94"/>
  <c r="S93"/>
  <c r="R93"/>
  <c r="Q93"/>
  <c r="P93"/>
  <c r="O93"/>
  <c r="M93"/>
  <c r="L93"/>
  <c r="K93" s="1"/>
  <c r="J93"/>
  <c r="I93"/>
  <c r="G93"/>
  <c r="F93"/>
  <c r="E93"/>
  <c r="D93"/>
  <c r="C93"/>
  <c r="Q92"/>
  <c r="N92"/>
  <c r="K92"/>
  <c r="H92"/>
  <c r="E92"/>
  <c r="B92"/>
  <c r="Q91"/>
  <c r="N91"/>
  <c r="K91"/>
  <c r="H91"/>
  <c r="E91"/>
  <c r="B91"/>
  <c r="Q90"/>
  <c r="N90"/>
  <c r="K90"/>
  <c r="H90"/>
  <c r="E90"/>
  <c r="B90"/>
  <c r="Q89"/>
  <c r="N89"/>
  <c r="K89"/>
  <c r="H89"/>
  <c r="E89"/>
  <c r="B89"/>
  <c r="Q88"/>
  <c r="N88"/>
  <c r="K88"/>
  <c r="H88"/>
  <c r="E88"/>
  <c r="B88"/>
  <c r="Q87"/>
  <c r="N87"/>
  <c r="K87"/>
  <c r="H87"/>
  <c r="E87"/>
  <c r="B87"/>
  <c r="Q86"/>
  <c r="N86"/>
  <c r="K86"/>
  <c r="H86"/>
  <c r="E86"/>
  <c r="B86"/>
  <c r="Q85"/>
  <c r="N85"/>
  <c r="K85"/>
  <c r="H85"/>
  <c r="E85"/>
  <c r="B85"/>
  <c r="Q84"/>
  <c r="N84"/>
  <c r="K84"/>
  <c r="H84"/>
  <c r="E84"/>
  <c r="B84"/>
  <c r="Q83"/>
  <c r="N83"/>
  <c r="K83"/>
  <c r="H83"/>
  <c r="E83"/>
  <c r="B83"/>
  <c r="Q82"/>
  <c r="N82"/>
  <c r="K82"/>
  <c r="H82"/>
  <c r="E82"/>
  <c r="B82"/>
  <c r="S81"/>
  <c r="R81"/>
  <c r="Q81"/>
  <c r="P81"/>
  <c r="O81"/>
  <c r="M81"/>
  <c r="L81"/>
  <c r="J81"/>
  <c r="I81"/>
  <c r="G81"/>
  <c r="F81"/>
  <c r="E81"/>
  <c r="D81"/>
  <c r="C81"/>
  <c r="Q80"/>
  <c r="N80"/>
  <c r="K80"/>
  <c r="H80"/>
  <c r="E80"/>
  <c r="B80"/>
  <c r="Q79"/>
  <c r="N79"/>
  <c r="K79"/>
  <c r="H79"/>
  <c r="E79"/>
  <c r="B79"/>
  <c r="S78"/>
  <c r="R78"/>
  <c r="P78"/>
  <c r="O78"/>
  <c r="M78"/>
  <c r="L78"/>
  <c r="K78" s="1"/>
  <c r="J78"/>
  <c r="I78"/>
  <c r="H78" s="1"/>
  <c r="G78"/>
  <c r="E78" s="1"/>
  <c r="F78"/>
  <c r="D78"/>
  <c r="C78"/>
  <c r="B78" s="1"/>
  <c r="Q77"/>
  <c r="N77"/>
  <c r="K77"/>
  <c r="H77"/>
  <c r="E77"/>
  <c r="B77"/>
  <c r="Q76"/>
  <c r="N76"/>
  <c r="K76"/>
  <c r="H76"/>
  <c r="E76"/>
  <c r="B76"/>
  <c r="Q75"/>
  <c r="N75"/>
  <c r="K75"/>
  <c r="H75"/>
  <c r="E75"/>
  <c r="B75"/>
  <c r="Q74"/>
  <c r="N74"/>
  <c r="K74"/>
  <c r="H74"/>
  <c r="E74"/>
  <c r="B74"/>
  <c r="Q73"/>
  <c r="N73"/>
  <c r="K73"/>
  <c r="H73"/>
  <c r="E73"/>
  <c r="B73"/>
  <c r="Q72"/>
  <c r="N72"/>
  <c r="K72"/>
  <c r="H72"/>
  <c r="E72"/>
  <c r="B72"/>
  <c r="Q71"/>
  <c r="N71"/>
  <c r="K71"/>
  <c r="H71"/>
  <c r="E71"/>
  <c r="B71"/>
  <c r="Q70"/>
  <c r="N70"/>
  <c r="K70"/>
  <c r="H70"/>
  <c r="E70"/>
  <c r="B70"/>
  <c r="Q69"/>
  <c r="N69"/>
  <c r="K69"/>
  <c r="H69"/>
  <c r="E69"/>
  <c r="B69"/>
  <c r="Q68"/>
  <c r="N68"/>
  <c r="K68"/>
  <c r="H68"/>
  <c r="E68"/>
  <c r="B68"/>
  <c r="Q67"/>
  <c r="N67"/>
  <c r="K67"/>
  <c r="H67"/>
  <c r="E67"/>
  <c r="B67"/>
  <c r="Q66"/>
  <c r="N66"/>
  <c r="K66"/>
  <c r="H66"/>
  <c r="E66"/>
  <c r="B66"/>
  <c r="Q65"/>
  <c r="N65"/>
  <c r="K65"/>
  <c r="H65"/>
  <c r="E65"/>
  <c r="B65"/>
  <c r="S64"/>
  <c r="R64"/>
  <c r="P64"/>
  <c r="O64"/>
  <c r="M64"/>
  <c r="L64"/>
  <c r="K64"/>
  <c r="J64"/>
  <c r="I64"/>
  <c r="G64"/>
  <c r="F64"/>
  <c r="D64"/>
  <c r="C64"/>
  <c r="Q63"/>
  <c r="N63"/>
  <c r="K63"/>
  <c r="H63"/>
  <c r="E63"/>
  <c r="B63"/>
  <c r="Q62"/>
  <c r="N62"/>
  <c r="K62"/>
  <c r="H62"/>
  <c r="E62"/>
  <c r="B62"/>
  <c r="Q61"/>
  <c r="N61"/>
  <c r="K61"/>
  <c r="H61"/>
  <c r="E61"/>
  <c r="B61"/>
  <c r="Q60"/>
  <c r="N60"/>
  <c r="K60"/>
  <c r="H60"/>
  <c r="E60"/>
  <c r="B60"/>
  <c r="Q59"/>
  <c r="N59"/>
  <c r="K59"/>
  <c r="H59"/>
  <c r="E59"/>
  <c r="B59"/>
  <c r="Q58"/>
  <c r="N58"/>
  <c r="K58"/>
  <c r="H58"/>
  <c r="E58"/>
  <c r="B58"/>
  <c r="Q57"/>
  <c r="N57"/>
  <c r="K57"/>
  <c r="H57"/>
  <c r="E57"/>
  <c r="B57"/>
  <c r="S56"/>
  <c r="Q56" s="1"/>
  <c r="R56"/>
  <c r="P56"/>
  <c r="O56"/>
  <c r="N56" s="1"/>
  <c r="M56"/>
  <c r="L56"/>
  <c r="K56"/>
  <c r="J56"/>
  <c r="I56"/>
  <c r="G56"/>
  <c r="F56"/>
  <c r="D56"/>
  <c r="C56"/>
  <c r="Q55"/>
  <c r="N55"/>
  <c r="K55"/>
  <c r="H55"/>
  <c r="E55"/>
  <c r="B55"/>
  <c r="Q54"/>
  <c r="N54"/>
  <c r="K54"/>
  <c r="H54"/>
  <c r="E54"/>
  <c r="B54"/>
  <c r="Q53"/>
  <c r="N53"/>
  <c r="K53"/>
  <c r="H53"/>
  <c r="E53"/>
  <c r="B53"/>
  <c r="Q52"/>
  <c r="N52"/>
  <c r="K52"/>
  <c r="H52"/>
  <c r="E52"/>
  <c r="B52"/>
  <c r="Q51"/>
  <c r="N51"/>
  <c r="K51"/>
  <c r="H51"/>
  <c r="E51"/>
  <c r="B51"/>
  <c r="Q50"/>
  <c r="N50"/>
  <c r="K50"/>
  <c r="H50"/>
  <c r="E50"/>
  <c r="B50"/>
  <c r="Q49"/>
  <c r="N49"/>
  <c r="K49"/>
  <c r="H49"/>
  <c r="E49"/>
  <c r="B49"/>
  <c r="Q48"/>
  <c r="N48"/>
  <c r="K48"/>
  <c r="H48"/>
  <c r="E48"/>
  <c r="B48"/>
  <c r="S47"/>
  <c r="R47"/>
  <c r="Q47"/>
  <c r="P47"/>
  <c r="O47"/>
  <c r="M47"/>
  <c r="L47"/>
  <c r="J47"/>
  <c r="I47"/>
  <c r="G47"/>
  <c r="F47"/>
  <c r="E47" s="1"/>
  <c r="D47"/>
  <c r="C47"/>
  <c r="B47" s="1"/>
  <c r="Q46"/>
  <c r="N46"/>
  <c r="K46"/>
  <c r="H46"/>
  <c r="E46"/>
  <c r="B46"/>
  <c r="Q45"/>
  <c r="N45"/>
  <c r="K45"/>
  <c r="H45"/>
  <c r="E45"/>
  <c r="B45"/>
  <c r="Q44"/>
  <c r="N44"/>
  <c r="K44"/>
  <c r="H44"/>
  <c r="E44"/>
  <c r="B44"/>
  <c r="S43"/>
  <c r="R43"/>
  <c r="Q43"/>
  <c r="P43"/>
  <c r="O43"/>
  <c r="M43"/>
  <c r="L43"/>
  <c r="J43"/>
  <c r="I43"/>
  <c r="G43"/>
  <c r="F43"/>
  <c r="E43" s="1"/>
  <c r="D43"/>
  <c r="C43"/>
  <c r="B43" s="1"/>
  <c r="Q42"/>
  <c r="N42"/>
  <c r="K42"/>
  <c r="H42"/>
  <c r="E42"/>
  <c r="B42"/>
  <c r="Q41"/>
  <c r="N41"/>
  <c r="K41"/>
  <c r="H41"/>
  <c r="E41"/>
  <c r="B41"/>
  <c r="S40"/>
  <c r="Q40" s="1"/>
  <c r="R40"/>
  <c r="P40"/>
  <c r="O40"/>
  <c r="N40" s="1"/>
  <c r="M40"/>
  <c r="L40"/>
  <c r="K40" s="1"/>
  <c r="J40"/>
  <c r="I40"/>
  <c r="H40" s="1"/>
  <c r="G40"/>
  <c r="E40" s="1"/>
  <c r="F40"/>
  <c r="D40"/>
  <c r="C40"/>
  <c r="B40" s="1"/>
  <c r="Q39"/>
  <c r="N39"/>
  <c r="K39"/>
  <c r="H39"/>
  <c r="E39"/>
  <c r="B39"/>
  <c r="Q38"/>
  <c r="N38"/>
  <c r="K38"/>
  <c r="H38"/>
  <c r="E38"/>
  <c r="B38"/>
  <c r="Q37"/>
  <c r="N37"/>
  <c r="K37"/>
  <c r="H37"/>
  <c r="E37"/>
  <c r="B37"/>
  <c r="Q36"/>
  <c r="N36"/>
  <c r="K36"/>
  <c r="H36"/>
  <c r="E36"/>
  <c r="B36"/>
  <c r="Q35"/>
  <c r="N35"/>
  <c r="K35"/>
  <c r="H35"/>
  <c r="E35"/>
  <c r="B35"/>
  <c r="Q34"/>
  <c r="N34"/>
  <c r="K34"/>
  <c r="H34"/>
  <c r="E34"/>
  <c r="B34"/>
  <c r="Q33"/>
  <c r="N33"/>
  <c r="K33"/>
  <c r="H33"/>
  <c r="E33"/>
  <c r="B33"/>
  <c r="Q32"/>
  <c r="N32"/>
  <c r="K32"/>
  <c r="H32"/>
  <c r="E32"/>
  <c r="B32"/>
  <c r="S31"/>
  <c r="R31"/>
  <c r="Q31"/>
  <c r="P31"/>
  <c r="O31"/>
  <c r="M31"/>
  <c r="L31"/>
  <c r="J31"/>
  <c r="I31"/>
  <c r="G31"/>
  <c r="F31"/>
  <c r="E31"/>
  <c r="D31"/>
  <c r="C31"/>
  <c r="Q30"/>
  <c r="N30"/>
  <c r="K30"/>
  <c r="H30"/>
  <c r="E30"/>
  <c r="B30"/>
  <c r="Q29"/>
  <c r="N29"/>
  <c r="K29"/>
  <c r="H29"/>
  <c r="E29"/>
  <c r="B29"/>
  <c r="Q28"/>
  <c r="N28"/>
  <c r="K28"/>
  <c r="H28"/>
  <c r="E28"/>
  <c r="B28"/>
  <c r="Q27"/>
  <c r="N27"/>
  <c r="K27"/>
  <c r="H27"/>
  <c r="E27"/>
  <c r="B27"/>
  <c r="S26"/>
  <c r="R26"/>
  <c r="P26"/>
  <c r="O26"/>
  <c r="M26"/>
  <c r="L26"/>
  <c r="K26" s="1"/>
  <c r="J26"/>
  <c r="I26"/>
  <c r="H26" s="1"/>
  <c r="G26"/>
  <c r="E26" s="1"/>
  <c r="F26"/>
  <c r="D26"/>
  <c r="C26"/>
  <c r="B26" s="1"/>
  <c r="Q25"/>
  <c r="N25"/>
  <c r="K25"/>
  <c r="H25"/>
  <c r="E25"/>
  <c r="B25"/>
  <c r="Q24"/>
  <c r="N24"/>
  <c r="K24"/>
  <c r="H24"/>
  <c r="E24"/>
  <c r="B24"/>
  <c r="Q23"/>
  <c r="N23"/>
  <c r="K23"/>
  <c r="H23"/>
  <c r="E23"/>
  <c r="B23"/>
  <c r="S22"/>
  <c r="R22"/>
  <c r="P22"/>
  <c r="O22"/>
  <c r="M22"/>
  <c r="L22"/>
  <c r="K22"/>
  <c r="J22"/>
  <c r="I22"/>
  <c r="G22"/>
  <c r="F22"/>
  <c r="D22"/>
  <c r="C22"/>
  <c r="Q21"/>
  <c r="N21"/>
  <c r="K21"/>
  <c r="H21"/>
  <c r="E21"/>
  <c r="B21"/>
  <c r="Q20"/>
  <c r="N20"/>
  <c r="K20"/>
  <c r="H20"/>
  <c r="E20"/>
  <c r="B20"/>
  <c r="Q19"/>
  <c r="N19"/>
  <c r="K19"/>
  <c r="H19"/>
  <c r="E19"/>
  <c r="B19"/>
  <c r="Q18"/>
  <c r="N18"/>
  <c r="K18"/>
  <c r="H18"/>
  <c r="E18"/>
  <c r="B18"/>
  <c r="Q17"/>
  <c r="N17"/>
  <c r="K17"/>
  <c r="H17"/>
  <c r="E17"/>
  <c r="B17"/>
  <c r="S16"/>
  <c r="Q16" s="1"/>
  <c r="R16"/>
  <c r="P16"/>
  <c r="O16"/>
  <c r="N16" s="1"/>
  <c r="M16"/>
  <c r="L16"/>
  <c r="K16"/>
  <c r="J16"/>
  <c r="I16"/>
  <c r="G16"/>
  <c r="F16"/>
  <c r="D16"/>
  <c r="D6" s="1"/>
  <c r="C16"/>
  <c r="Q15"/>
  <c r="N15"/>
  <c r="K15"/>
  <c r="H15"/>
  <c r="E15"/>
  <c r="B15"/>
  <c r="Q14"/>
  <c r="N14"/>
  <c r="K14"/>
  <c r="H14"/>
  <c r="E14"/>
  <c r="B14"/>
  <c r="Q13"/>
  <c r="N13"/>
  <c r="K13"/>
  <c r="H13"/>
  <c r="E13"/>
  <c r="B13"/>
  <c r="S12"/>
  <c r="Q12" s="1"/>
  <c r="R12"/>
  <c r="P12"/>
  <c r="O12"/>
  <c r="N12" s="1"/>
  <c r="M12"/>
  <c r="L12"/>
  <c r="K12" s="1"/>
  <c r="J12"/>
  <c r="I12"/>
  <c r="H12" s="1"/>
  <c r="G12"/>
  <c r="E12" s="1"/>
  <c r="F12"/>
  <c r="D12"/>
  <c r="C12"/>
  <c r="B12" s="1"/>
  <c r="Q11"/>
  <c r="N11"/>
  <c r="K11"/>
  <c r="H11"/>
  <c r="E11"/>
  <c r="B11"/>
  <c r="Q10"/>
  <c r="N10"/>
  <c r="K10"/>
  <c r="H10"/>
  <c r="E10"/>
  <c r="B10"/>
  <c r="Q9"/>
  <c r="N9"/>
  <c r="K9"/>
  <c r="H9"/>
  <c r="E9"/>
  <c r="B9"/>
  <c r="Q8"/>
  <c r="N8"/>
  <c r="K8"/>
  <c r="H8"/>
  <c r="E8"/>
  <c r="B8"/>
  <c r="S7"/>
  <c r="R7"/>
  <c r="Q7"/>
  <c r="P7"/>
  <c r="P6" s="1"/>
  <c r="O7"/>
  <c r="O6" s="1"/>
  <c r="N6" s="1"/>
  <c r="M7"/>
  <c r="L7"/>
  <c r="J7"/>
  <c r="I7"/>
  <c r="G7"/>
  <c r="F7"/>
  <c r="F6" s="1"/>
  <c r="E7"/>
  <c r="D7"/>
  <c r="C7"/>
  <c r="R6"/>
  <c r="J6"/>
  <c r="C6"/>
  <c r="Q124" i="41"/>
  <c r="N124"/>
  <c r="K124"/>
  <c r="H124"/>
  <c r="E124"/>
  <c r="B124"/>
  <c r="Q123"/>
  <c r="N123"/>
  <c r="K123"/>
  <c r="H123"/>
  <c r="E123"/>
  <c r="B123"/>
  <c r="Q122"/>
  <c r="N122"/>
  <c r="K122"/>
  <c r="H122"/>
  <c r="E122"/>
  <c r="B122"/>
  <c r="Q121"/>
  <c r="N121"/>
  <c r="K121"/>
  <c r="H121"/>
  <c r="E121"/>
  <c r="B121"/>
  <c r="Q120"/>
  <c r="N120"/>
  <c r="K120"/>
  <c r="H120"/>
  <c r="E120"/>
  <c r="B120"/>
  <c r="Q119"/>
  <c r="N119"/>
  <c r="K119"/>
  <c r="H119"/>
  <c r="E119"/>
  <c r="B119"/>
  <c r="Q118"/>
  <c r="N118"/>
  <c r="K118"/>
  <c r="H118"/>
  <c r="E118"/>
  <c r="B118"/>
  <c r="Q117"/>
  <c r="N117"/>
  <c r="K117"/>
  <c r="H117"/>
  <c r="E117"/>
  <c r="B117"/>
  <c r="Q116"/>
  <c r="N116"/>
  <c r="K116"/>
  <c r="H116"/>
  <c r="E116"/>
  <c r="B116"/>
  <c r="Q115"/>
  <c r="N115"/>
  <c r="K115"/>
  <c r="H115"/>
  <c r="E115"/>
  <c r="B115"/>
  <c r="Q114"/>
  <c r="N114"/>
  <c r="K114"/>
  <c r="H114"/>
  <c r="E114"/>
  <c r="B114"/>
  <c r="S113"/>
  <c r="Q113" s="1"/>
  <c r="R113"/>
  <c r="P113"/>
  <c r="O113"/>
  <c r="N113" s="1"/>
  <c r="M113"/>
  <c r="L113"/>
  <c r="K113"/>
  <c r="J113"/>
  <c r="I113"/>
  <c r="H113" s="1"/>
  <c r="G113"/>
  <c r="E113" s="1"/>
  <c r="F113"/>
  <c r="D113"/>
  <c r="C113"/>
  <c r="B113" s="1"/>
  <c r="Q112"/>
  <c r="N112"/>
  <c r="K112"/>
  <c r="H112"/>
  <c r="E112"/>
  <c r="B112"/>
  <c r="Q111"/>
  <c r="N111"/>
  <c r="K111"/>
  <c r="H111"/>
  <c r="E111"/>
  <c r="B111"/>
  <c r="Q110"/>
  <c r="N110"/>
  <c r="K110"/>
  <c r="H110"/>
  <c r="E110"/>
  <c r="B110"/>
  <c r="Q109"/>
  <c r="N109"/>
  <c r="K109"/>
  <c r="H109"/>
  <c r="E109"/>
  <c r="B109"/>
  <c r="Q108"/>
  <c r="N108"/>
  <c r="K108"/>
  <c r="H108"/>
  <c r="E108"/>
  <c r="B108"/>
  <c r="Q107"/>
  <c r="N107"/>
  <c r="K107"/>
  <c r="H107"/>
  <c r="E107"/>
  <c r="B107"/>
  <c r="Q106"/>
  <c r="N106"/>
  <c r="K106"/>
  <c r="H106"/>
  <c r="E106"/>
  <c r="B106"/>
  <c r="Q105"/>
  <c r="N105"/>
  <c r="K105"/>
  <c r="H105"/>
  <c r="E105"/>
  <c r="B105"/>
  <c r="Q104"/>
  <c r="N104"/>
  <c r="K104"/>
  <c r="H104"/>
  <c r="E104"/>
  <c r="B104"/>
  <c r="Q103"/>
  <c r="N103"/>
  <c r="K103"/>
  <c r="H103"/>
  <c r="E103"/>
  <c r="B103"/>
  <c r="Q102"/>
  <c r="N102"/>
  <c r="K102"/>
  <c r="H102"/>
  <c r="E102"/>
  <c r="B102"/>
  <c r="Q101"/>
  <c r="N101"/>
  <c r="K101"/>
  <c r="H101"/>
  <c r="E101"/>
  <c r="B101"/>
  <c r="Q100"/>
  <c r="N100"/>
  <c r="K100"/>
  <c r="H100"/>
  <c r="E100"/>
  <c r="B100"/>
  <c r="Q99"/>
  <c r="N99"/>
  <c r="K99"/>
  <c r="H99"/>
  <c r="E99"/>
  <c r="B99"/>
  <c r="Q98"/>
  <c r="N98"/>
  <c r="K98"/>
  <c r="H98"/>
  <c r="E98"/>
  <c r="B98"/>
  <c r="Q97"/>
  <c r="N97"/>
  <c r="K97"/>
  <c r="H97"/>
  <c r="E97"/>
  <c r="B97"/>
  <c r="Q96"/>
  <c r="N96"/>
  <c r="K96"/>
  <c r="H96"/>
  <c r="E96"/>
  <c r="B96"/>
  <c r="Q95"/>
  <c r="N95"/>
  <c r="K95"/>
  <c r="H95"/>
  <c r="E95"/>
  <c r="B95"/>
  <c r="Q94"/>
  <c r="N94"/>
  <c r="K94"/>
  <c r="H94"/>
  <c r="E94"/>
  <c r="B94"/>
  <c r="S93"/>
  <c r="Q93" s="1"/>
  <c r="R93"/>
  <c r="P93"/>
  <c r="O93"/>
  <c r="N93" s="1"/>
  <c r="M93"/>
  <c r="L93"/>
  <c r="K93"/>
  <c r="J93"/>
  <c r="I93"/>
  <c r="H93" s="1"/>
  <c r="G93"/>
  <c r="E93" s="1"/>
  <c r="F93"/>
  <c r="D93"/>
  <c r="C93"/>
  <c r="B93" s="1"/>
  <c r="Q92"/>
  <c r="N92"/>
  <c r="K92"/>
  <c r="H92"/>
  <c r="E92"/>
  <c r="B92"/>
  <c r="Q91"/>
  <c r="N91"/>
  <c r="K91"/>
  <c r="H91"/>
  <c r="E91"/>
  <c r="B91"/>
  <c r="Q90"/>
  <c r="N90"/>
  <c r="K90"/>
  <c r="H90"/>
  <c r="E90"/>
  <c r="B90"/>
  <c r="Q89"/>
  <c r="N89"/>
  <c r="K89"/>
  <c r="H89"/>
  <c r="E89"/>
  <c r="B89"/>
  <c r="Q88"/>
  <c r="N88"/>
  <c r="K88"/>
  <c r="H88"/>
  <c r="E88"/>
  <c r="B88"/>
  <c r="Q87"/>
  <c r="N87"/>
  <c r="K87"/>
  <c r="H87"/>
  <c r="E87"/>
  <c r="B87"/>
  <c r="Q86"/>
  <c r="N86"/>
  <c r="K86"/>
  <c r="H86"/>
  <c r="E86"/>
  <c r="B86"/>
  <c r="Q85"/>
  <c r="N85"/>
  <c r="K85"/>
  <c r="H85"/>
  <c r="E85"/>
  <c r="B85"/>
  <c r="Q84"/>
  <c r="N84"/>
  <c r="K84"/>
  <c r="H84"/>
  <c r="E84"/>
  <c r="B84"/>
  <c r="Q83"/>
  <c r="N83"/>
  <c r="K83"/>
  <c r="H83"/>
  <c r="E83"/>
  <c r="B83"/>
  <c r="Q82"/>
  <c r="N82"/>
  <c r="K82"/>
  <c r="H82"/>
  <c r="E82"/>
  <c r="B82"/>
  <c r="S81"/>
  <c r="Q81" s="1"/>
  <c r="R81"/>
  <c r="P81"/>
  <c r="O81"/>
  <c r="N81" s="1"/>
  <c r="M81"/>
  <c r="L81"/>
  <c r="K81"/>
  <c r="J81"/>
  <c r="I81"/>
  <c r="H81" s="1"/>
  <c r="G81"/>
  <c r="E81" s="1"/>
  <c r="F81"/>
  <c r="D81"/>
  <c r="C81"/>
  <c r="B81" s="1"/>
  <c r="Q80"/>
  <c r="N80"/>
  <c r="K80"/>
  <c r="H80"/>
  <c r="E80"/>
  <c r="B80"/>
  <c r="Q79"/>
  <c r="N79"/>
  <c r="K79"/>
  <c r="H79"/>
  <c r="E79"/>
  <c r="B79"/>
  <c r="S78"/>
  <c r="R78"/>
  <c r="Q78"/>
  <c r="P78"/>
  <c r="O78"/>
  <c r="N78" s="1"/>
  <c r="M78"/>
  <c r="K78" s="1"/>
  <c r="L78"/>
  <c r="J78"/>
  <c r="I78"/>
  <c r="H78" s="1"/>
  <c r="G78"/>
  <c r="F78"/>
  <c r="E78"/>
  <c r="D78"/>
  <c r="C78"/>
  <c r="B78" s="1"/>
  <c r="Q77"/>
  <c r="N77"/>
  <c r="K77"/>
  <c r="H77"/>
  <c r="E77"/>
  <c r="B77"/>
  <c r="Q76"/>
  <c r="N76"/>
  <c r="K76"/>
  <c r="H76"/>
  <c r="E76"/>
  <c r="B76"/>
  <c r="Q75"/>
  <c r="N75"/>
  <c r="K75"/>
  <c r="H75"/>
  <c r="E75"/>
  <c r="B75"/>
  <c r="Q74"/>
  <c r="N74"/>
  <c r="K74"/>
  <c r="H74"/>
  <c r="E74"/>
  <c r="B74"/>
  <c r="Q73"/>
  <c r="N73"/>
  <c r="K73"/>
  <c r="H73"/>
  <c r="E73"/>
  <c r="B73"/>
  <c r="Q72"/>
  <c r="N72"/>
  <c r="K72"/>
  <c r="H72"/>
  <c r="E72"/>
  <c r="B72"/>
  <c r="Q71"/>
  <c r="N71"/>
  <c r="K71"/>
  <c r="H71"/>
  <c r="E71"/>
  <c r="B71"/>
  <c r="Q70"/>
  <c r="N70"/>
  <c r="K70"/>
  <c r="H70"/>
  <c r="E70"/>
  <c r="B70"/>
  <c r="Q69"/>
  <c r="N69"/>
  <c r="K69"/>
  <c r="H69"/>
  <c r="E69"/>
  <c r="B69"/>
  <c r="Q68"/>
  <c r="N68"/>
  <c r="K68"/>
  <c r="H68"/>
  <c r="E68"/>
  <c r="B68"/>
  <c r="Q67"/>
  <c r="N67"/>
  <c r="K67"/>
  <c r="H67"/>
  <c r="E67"/>
  <c r="B67"/>
  <c r="Q66"/>
  <c r="N66"/>
  <c r="K66"/>
  <c r="H66"/>
  <c r="E66"/>
  <c r="B66"/>
  <c r="Q65"/>
  <c r="N65"/>
  <c r="K65"/>
  <c r="H65"/>
  <c r="E65"/>
  <c r="B65"/>
  <c r="S64"/>
  <c r="R64"/>
  <c r="Q64"/>
  <c r="P64"/>
  <c r="O64"/>
  <c r="N64" s="1"/>
  <c r="M64"/>
  <c r="K64" s="1"/>
  <c r="L64"/>
  <c r="J64"/>
  <c r="I64"/>
  <c r="H64" s="1"/>
  <c r="G64"/>
  <c r="F64"/>
  <c r="E64"/>
  <c r="D64"/>
  <c r="C64"/>
  <c r="B64" s="1"/>
  <c r="Q63"/>
  <c r="N63"/>
  <c r="K63"/>
  <c r="H63"/>
  <c r="E63"/>
  <c r="B63"/>
  <c r="Q62"/>
  <c r="N62"/>
  <c r="K62"/>
  <c r="H62"/>
  <c r="E62"/>
  <c r="B62"/>
  <c r="Q61"/>
  <c r="N61"/>
  <c r="K61"/>
  <c r="H61"/>
  <c r="E61"/>
  <c r="B61"/>
  <c r="Q60"/>
  <c r="N60"/>
  <c r="K60"/>
  <c r="H60"/>
  <c r="E60"/>
  <c r="B60"/>
  <c r="Q59"/>
  <c r="N59"/>
  <c r="K59"/>
  <c r="H59"/>
  <c r="E59"/>
  <c r="B59"/>
  <c r="Q58"/>
  <c r="N58"/>
  <c r="K58"/>
  <c r="H58"/>
  <c r="E58"/>
  <c r="B58"/>
  <c r="Q57"/>
  <c r="N57"/>
  <c r="K57"/>
  <c r="H57"/>
  <c r="E57"/>
  <c r="B57"/>
  <c r="S56"/>
  <c r="R56"/>
  <c r="Q56"/>
  <c r="P56"/>
  <c r="O56"/>
  <c r="N56" s="1"/>
  <c r="M56"/>
  <c r="K56" s="1"/>
  <c r="L56"/>
  <c r="J56"/>
  <c r="I56"/>
  <c r="H56" s="1"/>
  <c r="G56"/>
  <c r="F56"/>
  <c r="E56"/>
  <c r="D56"/>
  <c r="C56"/>
  <c r="B56" s="1"/>
  <c r="Q55"/>
  <c r="N55"/>
  <c r="K55"/>
  <c r="H55"/>
  <c r="E55"/>
  <c r="B55"/>
  <c r="Q54"/>
  <c r="N54"/>
  <c r="K54"/>
  <c r="H54"/>
  <c r="E54"/>
  <c r="B54"/>
  <c r="Q53"/>
  <c r="N53"/>
  <c r="K53"/>
  <c r="H53"/>
  <c r="E53"/>
  <c r="B53"/>
  <c r="Q52"/>
  <c r="N52"/>
  <c r="K52"/>
  <c r="H52"/>
  <c r="E52"/>
  <c r="B52"/>
  <c r="Q51"/>
  <c r="N51"/>
  <c r="K51"/>
  <c r="H51"/>
  <c r="E51"/>
  <c r="B51"/>
  <c r="Q50"/>
  <c r="N50"/>
  <c r="K50"/>
  <c r="H50"/>
  <c r="E50"/>
  <c r="B50"/>
  <c r="Q49"/>
  <c r="N49"/>
  <c r="K49"/>
  <c r="H49"/>
  <c r="E49"/>
  <c r="B49"/>
  <c r="Q48"/>
  <c r="N48"/>
  <c r="K48"/>
  <c r="H48"/>
  <c r="E48"/>
  <c r="B48"/>
  <c r="S47"/>
  <c r="Q47" s="1"/>
  <c r="R47"/>
  <c r="P47"/>
  <c r="O47"/>
  <c r="N47" s="1"/>
  <c r="M47"/>
  <c r="L47"/>
  <c r="K47"/>
  <c r="J47"/>
  <c r="I47"/>
  <c r="H47" s="1"/>
  <c r="G47"/>
  <c r="E47" s="1"/>
  <c r="F47"/>
  <c r="D47"/>
  <c r="C47"/>
  <c r="B47" s="1"/>
  <c r="Q46"/>
  <c r="N46"/>
  <c r="K46"/>
  <c r="H46"/>
  <c r="E46"/>
  <c r="B46"/>
  <c r="Q45"/>
  <c r="N45"/>
  <c r="K45"/>
  <c r="H45"/>
  <c r="E45"/>
  <c r="B45"/>
  <c r="Q44"/>
  <c r="N44"/>
  <c r="K44"/>
  <c r="H44"/>
  <c r="E44"/>
  <c r="B44"/>
  <c r="S43"/>
  <c r="Q43" s="1"/>
  <c r="R43"/>
  <c r="P43"/>
  <c r="O43"/>
  <c r="N43" s="1"/>
  <c r="M43"/>
  <c r="L43"/>
  <c r="K43"/>
  <c r="J43"/>
  <c r="I43"/>
  <c r="H43" s="1"/>
  <c r="G43"/>
  <c r="E43" s="1"/>
  <c r="F43"/>
  <c r="D43"/>
  <c r="C43"/>
  <c r="B43" s="1"/>
  <c r="Q42"/>
  <c r="N42"/>
  <c r="K42"/>
  <c r="H42"/>
  <c r="E42"/>
  <c r="B42"/>
  <c r="Q41"/>
  <c r="N41"/>
  <c r="K41"/>
  <c r="H41"/>
  <c r="E41"/>
  <c r="B41"/>
  <c r="S40"/>
  <c r="R40"/>
  <c r="Q40"/>
  <c r="P40"/>
  <c r="O40"/>
  <c r="N40" s="1"/>
  <c r="M40"/>
  <c r="K40" s="1"/>
  <c r="L40"/>
  <c r="J40"/>
  <c r="I40"/>
  <c r="H40" s="1"/>
  <c r="G40"/>
  <c r="F40"/>
  <c r="E40"/>
  <c r="D40"/>
  <c r="C40"/>
  <c r="B40" s="1"/>
  <c r="Q39"/>
  <c r="N39"/>
  <c r="K39"/>
  <c r="H39"/>
  <c r="E39"/>
  <c r="B39"/>
  <c r="Q38"/>
  <c r="N38"/>
  <c r="K38"/>
  <c r="H38"/>
  <c r="E38"/>
  <c r="B38"/>
  <c r="Q37"/>
  <c r="N37"/>
  <c r="K37"/>
  <c r="H37"/>
  <c r="E37"/>
  <c r="B37"/>
  <c r="Q36"/>
  <c r="N36"/>
  <c r="K36"/>
  <c r="H36"/>
  <c r="E36"/>
  <c r="B36"/>
  <c r="Q35"/>
  <c r="N35"/>
  <c r="K35"/>
  <c r="H35"/>
  <c r="E35"/>
  <c r="B35"/>
  <c r="Q34"/>
  <c r="N34"/>
  <c r="K34"/>
  <c r="H34"/>
  <c r="E34"/>
  <c r="B34"/>
  <c r="Q33"/>
  <c r="N33"/>
  <c r="K33"/>
  <c r="H33"/>
  <c r="E33"/>
  <c r="B33"/>
  <c r="Q32"/>
  <c r="N32"/>
  <c r="K32"/>
  <c r="H32"/>
  <c r="E32"/>
  <c r="B32"/>
  <c r="S31"/>
  <c r="Q31" s="1"/>
  <c r="R31"/>
  <c r="P31"/>
  <c r="O31"/>
  <c r="N31" s="1"/>
  <c r="M31"/>
  <c r="L31"/>
  <c r="K31"/>
  <c r="J31"/>
  <c r="I31"/>
  <c r="H31" s="1"/>
  <c r="G31"/>
  <c r="E31" s="1"/>
  <c r="F31"/>
  <c r="D31"/>
  <c r="C31"/>
  <c r="B31" s="1"/>
  <c r="Q30"/>
  <c r="N30"/>
  <c r="K30"/>
  <c r="H30"/>
  <c r="E30"/>
  <c r="B30"/>
  <c r="Q29"/>
  <c r="N29"/>
  <c r="K29"/>
  <c r="H29"/>
  <c r="E29"/>
  <c r="B29"/>
  <c r="Q28"/>
  <c r="N28"/>
  <c r="K28"/>
  <c r="K26" s="1"/>
  <c r="H28"/>
  <c r="E28"/>
  <c r="B28"/>
  <c r="Q27"/>
  <c r="N27"/>
  <c r="K27"/>
  <c r="H27"/>
  <c r="H26" s="1"/>
  <c r="E27"/>
  <c r="E26" s="1"/>
  <c r="B27"/>
  <c r="S26"/>
  <c r="R26"/>
  <c r="Q26"/>
  <c r="P26"/>
  <c r="O26"/>
  <c r="N26"/>
  <c r="M26"/>
  <c r="L26"/>
  <c r="J26"/>
  <c r="I26"/>
  <c r="G26"/>
  <c r="F26"/>
  <c r="D26"/>
  <c r="C26"/>
  <c r="B26" s="1"/>
  <c r="Q25"/>
  <c r="N25"/>
  <c r="K25"/>
  <c r="H25"/>
  <c r="E25"/>
  <c r="B25"/>
  <c r="Q24"/>
  <c r="N24"/>
  <c r="K24"/>
  <c r="H24"/>
  <c r="E24"/>
  <c r="B24"/>
  <c r="Q23"/>
  <c r="N23"/>
  <c r="K23"/>
  <c r="H23"/>
  <c r="E23"/>
  <c r="B23"/>
  <c r="S22"/>
  <c r="R22"/>
  <c r="Q22"/>
  <c r="P22"/>
  <c r="O22"/>
  <c r="N22" s="1"/>
  <c r="M22"/>
  <c r="K22" s="1"/>
  <c r="L22"/>
  <c r="J22"/>
  <c r="I22"/>
  <c r="H22" s="1"/>
  <c r="G22"/>
  <c r="F22"/>
  <c r="E22"/>
  <c r="D22"/>
  <c r="C22"/>
  <c r="B22" s="1"/>
  <c r="Q21"/>
  <c r="N21"/>
  <c r="K21"/>
  <c r="H21"/>
  <c r="E21"/>
  <c r="B21"/>
  <c r="Q20"/>
  <c r="N20"/>
  <c r="K20"/>
  <c r="H20"/>
  <c r="E20"/>
  <c r="B20"/>
  <c r="Q19"/>
  <c r="N19"/>
  <c r="K19"/>
  <c r="H19"/>
  <c r="E19"/>
  <c r="B19"/>
  <c r="Q18"/>
  <c r="N18"/>
  <c r="K18"/>
  <c r="H18"/>
  <c r="E18"/>
  <c r="B18"/>
  <c r="Q17"/>
  <c r="N17"/>
  <c r="K17"/>
  <c r="H17"/>
  <c r="E17"/>
  <c r="B17"/>
  <c r="S16"/>
  <c r="R16"/>
  <c r="Q16"/>
  <c r="P16"/>
  <c r="O16"/>
  <c r="N16" s="1"/>
  <c r="M16"/>
  <c r="K16" s="1"/>
  <c r="L16"/>
  <c r="J16"/>
  <c r="I16"/>
  <c r="H16" s="1"/>
  <c r="G16"/>
  <c r="F16"/>
  <c r="E16"/>
  <c r="D16"/>
  <c r="C16"/>
  <c r="B16" s="1"/>
  <c r="Q15"/>
  <c r="N15"/>
  <c r="K15"/>
  <c r="H15"/>
  <c r="E15"/>
  <c r="B15"/>
  <c r="Q14"/>
  <c r="N14"/>
  <c r="K14"/>
  <c r="H14"/>
  <c r="E14"/>
  <c r="B14"/>
  <c r="Q13"/>
  <c r="N13"/>
  <c r="K13"/>
  <c r="H13"/>
  <c r="E13"/>
  <c r="B13"/>
  <c r="S12"/>
  <c r="R12"/>
  <c r="Q12"/>
  <c r="P12"/>
  <c r="O12"/>
  <c r="N12" s="1"/>
  <c r="M12"/>
  <c r="K12" s="1"/>
  <c r="L12"/>
  <c r="J12"/>
  <c r="I12"/>
  <c r="H12" s="1"/>
  <c r="G12"/>
  <c r="F12"/>
  <c r="E12"/>
  <c r="D12"/>
  <c r="C12"/>
  <c r="B12" s="1"/>
  <c r="Q11"/>
  <c r="N11"/>
  <c r="K11"/>
  <c r="H11"/>
  <c r="E11"/>
  <c r="B11"/>
  <c r="Q10"/>
  <c r="N10"/>
  <c r="K10"/>
  <c r="H10"/>
  <c r="E10"/>
  <c r="B10"/>
  <c r="Q9"/>
  <c r="N9"/>
  <c r="K9"/>
  <c r="H9"/>
  <c r="E9"/>
  <c r="B9"/>
  <c r="Q8"/>
  <c r="N8"/>
  <c r="K8"/>
  <c r="H8"/>
  <c r="E8"/>
  <c r="B8"/>
  <c r="S7"/>
  <c r="Q7" s="1"/>
  <c r="R7"/>
  <c r="P7"/>
  <c r="P6" s="1"/>
  <c r="O7"/>
  <c r="N7" s="1"/>
  <c r="M7"/>
  <c r="K7" s="1"/>
  <c r="L7"/>
  <c r="L6" s="1"/>
  <c r="J7"/>
  <c r="I7"/>
  <c r="H7"/>
  <c r="G7"/>
  <c r="F7"/>
  <c r="E7"/>
  <c r="D7"/>
  <c r="D6" s="1"/>
  <c r="C7"/>
  <c r="S6"/>
  <c r="Q6" s="1"/>
  <c r="R6"/>
  <c r="J6"/>
  <c r="I6"/>
  <c r="H6" s="1"/>
  <c r="F6"/>
  <c r="C6"/>
  <c r="B6" s="1"/>
  <c r="G112" i="40"/>
  <c r="F112"/>
  <c r="E112"/>
  <c r="D112"/>
  <c r="C112"/>
  <c r="B112"/>
  <c r="G92"/>
  <c r="F92"/>
  <c r="E92"/>
  <c r="D92"/>
  <c r="C92"/>
  <c r="B92"/>
  <c r="G80"/>
  <c r="F80"/>
  <c r="E80"/>
  <c r="D80"/>
  <c r="C80"/>
  <c r="B80"/>
  <c r="G77"/>
  <c r="F77"/>
  <c r="E77"/>
  <c r="D77"/>
  <c r="C77"/>
  <c r="B77"/>
  <c r="G63"/>
  <c r="F63"/>
  <c r="E63"/>
  <c r="D63"/>
  <c r="C63"/>
  <c r="B63"/>
  <c r="G55"/>
  <c r="F55"/>
  <c r="E55"/>
  <c r="D55"/>
  <c r="C55"/>
  <c r="B55"/>
  <c r="G46"/>
  <c r="F46"/>
  <c r="E46"/>
  <c r="D46"/>
  <c r="C46"/>
  <c r="B46"/>
  <c r="G42"/>
  <c r="F42"/>
  <c r="E42"/>
  <c r="D42"/>
  <c r="C42"/>
  <c r="B42"/>
  <c r="G39"/>
  <c r="F39"/>
  <c r="E39"/>
  <c r="D39"/>
  <c r="C39"/>
  <c r="B39"/>
  <c r="G30"/>
  <c r="F30"/>
  <c r="E30"/>
  <c r="D30"/>
  <c r="C30"/>
  <c r="B30"/>
  <c r="G25"/>
  <c r="F25"/>
  <c r="E25"/>
  <c r="D25"/>
  <c r="C25"/>
  <c r="B25"/>
  <c r="G21"/>
  <c r="F21"/>
  <c r="E21"/>
  <c r="D21"/>
  <c r="C21"/>
  <c r="B21"/>
  <c r="G15"/>
  <c r="F15"/>
  <c r="E15"/>
  <c r="D15"/>
  <c r="C15"/>
  <c r="B15"/>
  <c r="G11"/>
  <c r="F11"/>
  <c r="E11"/>
  <c r="D11"/>
  <c r="C11"/>
  <c r="B11"/>
  <c r="G6"/>
  <c r="F6"/>
  <c r="E6"/>
  <c r="E5" s="1"/>
  <c r="D6"/>
  <c r="D5" s="1"/>
  <c r="C6"/>
  <c r="B6"/>
  <c r="G5"/>
  <c r="F5"/>
  <c r="C5"/>
  <c r="B5"/>
  <c r="C19" i="39"/>
  <c r="C18"/>
  <c r="C17"/>
  <c r="C16"/>
  <c r="C15"/>
  <c r="C14"/>
  <c r="C13"/>
  <c r="C12"/>
  <c r="C11"/>
  <c r="C10"/>
  <c r="C9"/>
  <c r="C8"/>
  <c r="C7"/>
  <c r="C6"/>
  <c r="E15" i="35"/>
  <c r="G8" i="34"/>
  <c r="C8"/>
  <c r="E7"/>
  <c r="C7"/>
  <c r="F6"/>
  <c r="G7" s="1"/>
  <c r="G6" s="1"/>
  <c r="E6"/>
  <c r="D6"/>
  <c r="C6"/>
  <c r="B6"/>
  <c r="E5" i="33"/>
  <c r="E21" i="32"/>
  <c r="E5"/>
  <c r="E5" i="31"/>
  <c r="C5" i="30"/>
  <c r="B5"/>
  <c r="B5" i="29"/>
  <c r="E21" i="26"/>
  <c r="B21"/>
  <c r="E20"/>
  <c r="B20"/>
  <c r="E19"/>
  <c r="B19"/>
  <c r="E17"/>
  <c r="B17"/>
  <c r="E16"/>
  <c r="B16"/>
  <c r="E15"/>
  <c r="B15"/>
  <c r="E14"/>
  <c r="B14"/>
  <c r="E13"/>
  <c r="B13"/>
  <c r="E12"/>
  <c r="B12"/>
  <c r="E11"/>
  <c r="B11"/>
  <c r="E10"/>
  <c r="B10"/>
  <c r="E9"/>
  <c r="E6" s="1"/>
  <c r="B9"/>
  <c r="E8"/>
  <c r="B8"/>
  <c r="B6" s="1"/>
  <c r="G6"/>
  <c r="F6"/>
  <c r="D6"/>
  <c r="C6"/>
  <c r="B5" i="81"/>
  <c r="B5" i="20"/>
  <c r="E25" i="73"/>
  <c r="D25"/>
  <c r="C25"/>
  <c r="B25"/>
  <c r="E20"/>
  <c r="D20"/>
  <c r="C20"/>
  <c r="B20"/>
  <c r="E15"/>
  <c r="D15"/>
  <c r="C15"/>
  <c r="B15"/>
  <c r="E10"/>
  <c r="D10"/>
  <c r="C10"/>
  <c r="B10"/>
  <c r="E9"/>
  <c r="D9"/>
  <c r="C9"/>
  <c r="B9"/>
  <c r="E8"/>
  <c r="D8"/>
  <c r="C8"/>
  <c r="B8"/>
  <c r="E7"/>
  <c r="D7"/>
  <c r="C7"/>
  <c r="B7"/>
  <c r="E6"/>
  <c r="D6"/>
  <c r="C6"/>
  <c r="B6"/>
  <c r="E5"/>
  <c r="D5"/>
  <c r="C5"/>
  <c r="B5"/>
  <c r="E81" i="72"/>
  <c r="D81"/>
  <c r="C81"/>
  <c r="B81"/>
  <c r="E76"/>
  <c r="D76"/>
  <c r="C76"/>
  <c r="B76"/>
  <c r="E71"/>
  <c r="D71"/>
  <c r="C71"/>
  <c r="B71"/>
  <c r="E66"/>
  <c r="D66"/>
  <c r="C66"/>
  <c r="B66"/>
  <c r="E61"/>
  <c r="D61"/>
  <c r="C61"/>
  <c r="B61"/>
  <c r="E56"/>
  <c r="D56"/>
  <c r="C56"/>
  <c r="B56"/>
  <c r="E51"/>
  <c r="D51"/>
  <c r="C51"/>
  <c r="B51"/>
  <c r="E46"/>
  <c r="D46"/>
  <c r="C46"/>
  <c r="B46"/>
  <c r="E41"/>
  <c r="D41"/>
  <c r="C41"/>
  <c r="B41"/>
  <c r="E36"/>
  <c r="D36"/>
  <c r="C36"/>
  <c r="B36"/>
  <c r="E31"/>
  <c r="D31"/>
  <c r="C31"/>
  <c r="B31"/>
  <c r="E26"/>
  <c r="D26"/>
  <c r="C26"/>
  <c r="B26"/>
  <c r="E21"/>
  <c r="D21"/>
  <c r="C21"/>
  <c r="B21"/>
  <c r="E16"/>
  <c r="D16"/>
  <c r="C16"/>
  <c r="B16"/>
  <c r="E11"/>
  <c r="D11"/>
  <c r="C11"/>
  <c r="B11"/>
  <c r="E10"/>
  <c r="D10"/>
  <c r="C10"/>
  <c r="B10"/>
  <c r="E9"/>
  <c r="D9"/>
  <c r="C9"/>
  <c r="B9"/>
  <c r="E8"/>
  <c r="D8"/>
  <c r="C8"/>
  <c r="B8"/>
  <c r="E7"/>
  <c r="D7"/>
  <c r="C7"/>
  <c r="B7"/>
  <c r="E6"/>
  <c r="D6"/>
  <c r="C6"/>
  <c r="B6"/>
  <c r="C6" i="71"/>
  <c r="B6"/>
  <c r="C6" i="68"/>
  <c r="B6"/>
  <c r="G27" i="67"/>
  <c r="B27"/>
  <c r="B26" s="1"/>
  <c r="J26"/>
  <c r="I26"/>
  <c r="H26"/>
  <c r="G26"/>
  <c r="F26"/>
  <c r="E26"/>
  <c r="D26"/>
  <c r="C26"/>
  <c r="G25"/>
  <c r="G24" s="1"/>
  <c r="B25"/>
  <c r="J24"/>
  <c r="I24"/>
  <c r="H24"/>
  <c r="F24"/>
  <c r="E24"/>
  <c r="D24"/>
  <c r="C24"/>
  <c r="B24"/>
  <c r="G23"/>
  <c r="B23"/>
  <c r="G22"/>
  <c r="B22"/>
  <c r="G21"/>
  <c r="B21"/>
  <c r="G20"/>
  <c r="B20"/>
  <c r="B19" s="1"/>
  <c r="J19"/>
  <c r="I19"/>
  <c r="H19"/>
  <c r="G19"/>
  <c r="F19"/>
  <c r="E19"/>
  <c r="D19"/>
  <c r="C19"/>
  <c r="G18"/>
  <c r="B18"/>
  <c r="G17"/>
  <c r="G16" s="1"/>
  <c r="B17"/>
  <c r="J16"/>
  <c r="I16"/>
  <c r="H16"/>
  <c r="F16"/>
  <c r="E16"/>
  <c r="D16"/>
  <c r="C16"/>
  <c r="B16"/>
  <c r="G15"/>
  <c r="B15"/>
  <c r="B14" s="1"/>
  <c r="J14"/>
  <c r="I14"/>
  <c r="H14"/>
  <c r="G14"/>
  <c r="F14"/>
  <c r="E14"/>
  <c r="D14"/>
  <c r="C14"/>
  <c r="C7" s="1"/>
  <c r="G13"/>
  <c r="G12" s="1"/>
  <c r="B13"/>
  <c r="J12"/>
  <c r="I12"/>
  <c r="H12"/>
  <c r="F12"/>
  <c r="E12"/>
  <c r="D12"/>
  <c r="C12"/>
  <c r="B12"/>
  <c r="G11"/>
  <c r="B11"/>
  <c r="B10" s="1"/>
  <c r="J10"/>
  <c r="I10"/>
  <c r="H10"/>
  <c r="G10"/>
  <c r="F10"/>
  <c r="E10"/>
  <c r="D10"/>
  <c r="C10"/>
  <c r="G9"/>
  <c r="G8" s="1"/>
  <c r="G7" s="1"/>
  <c r="B9"/>
  <c r="J8"/>
  <c r="J7" s="1"/>
  <c r="I8"/>
  <c r="H8"/>
  <c r="H7" s="1"/>
  <c r="F8"/>
  <c r="F7" s="1"/>
  <c r="E8"/>
  <c r="D8"/>
  <c r="D7" s="1"/>
  <c r="C8"/>
  <c r="B8"/>
  <c r="I7"/>
  <c r="E7"/>
  <c r="G51" i="66"/>
  <c r="F51"/>
  <c r="E51"/>
  <c r="D51"/>
  <c r="C51"/>
  <c r="B51"/>
  <c r="G48"/>
  <c r="F48"/>
  <c r="E48"/>
  <c r="D48"/>
  <c r="C48"/>
  <c r="B48"/>
  <c r="G45"/>
  <c r="F45"/>
  <c r="E45"/>
  <c r="D45"/>
  <c r="C45"/>
  <c r="B45"/>
  <c r="G42"/>
  <c r="F42"/>
  <c r="E42"/>
  <c r="D42"/>
  <c r="C42"/>
  <c r="B42"/>
  <c r="G39"/>
  <c r="F39"/>
  <c r="E39"/>
  <c r="D39"/>
  <c r="C39"/>
  <c r="B39"/>
  <c r="G36"/>
  <c r="F36"/>
  <c r="E36"/>
  <c r="D36"/>
  <c r="C36"/>
  <c r="B36"/>
  <c r="G33"/>
  <c r="F33"/>
  <c r="E33"/>
  <c r="D33"/>
  <c r="C33"/>
  <c r="B33"/>
  <c r="G30"/>
  <c r="F30"/>
  <c r="E30"/>
  <c r="D30"/>
  <c r="C30"/>
  <c r="B30"/>
  <c r="G27"/>
  <c r="F27"/>
  <c r="E27"/>
  <c r="D27"/>
  <c r="C27"/>
  <c r="B27"/>
  <c r="G24"/>
  <c r="F24"/>
  <c r="E24"/>
  <c r="D24"/>
  <c r="C24"/>
  <c r="B24"/>
  <c r="G21"/>
  <c r="F21"/>
  <c r="E21"/>
  <c r="D21"/>
  <c r="C21"/>
  <c r="B21"/>
  <c r="G18"/>
  <c r="F18"/>
  <c r="E18"/>
  <c r="D18"/>
  <c r="C18"/>
  <c r="B18"/>
  <c r="G15"/>
  <c r="F15"/>
  <c r="E15"/>
  <c r="D15"/>
  <c r="C15"/>
  <c r="B15"/>
  <c r="G12"/>
  <c r="F12"/>
  <c r="E12"/>
  <c r="D12"/>
  <c r="C12"/>
  <c r="B12"/>
  <c r="G9"/>
  <c r="F9"/>
  <c r="E9"/>
  <c r="D9"/>
  <c r="C9"/>
  <c r="B9"/>
  <c r="G8"/>
  <c r="F8"/>
  <c r="E8"/>
  <c r="D8"/>
  <c r="C8"/>
  <c r="B8"/>
  <c r="G7"/>
  <c r="F7"/>
  <c r="E7"/>
  <c r="D7"/>
  <c r="C7"/>
  <c r="B7"/>
  <c r="G6"/>
  <c r="F6"/>
  <c r="E6"/>
  <c r="D6"/>
  <c r="C6"/>
  <c r="B6"/>
  <c r="G61" i="65"/>
  <c r="F61"/>
  <c r="E61"/>
  <c r="D61"/>
  <c r="C61"/>
  <c r="B61"/>
  <c r="G56"/>
  <c r="F56"/>
  <c r="E56"/>
  <c r="D56"/>
  <c r="C56"/>
  <c r="B56"/>
  <c r="G51"/>
  <c r="F51"/>
  <c r="E51"/>
  <c r="D51"/>
  <c r="C51"/>
  <c r="B51"/>
  <c r="G46"/>
  <c r="F46"/>
  <c r="E46"/>
  <c r="D46"/>
  <c r="C46"/>
  <c r="B46"/>
  <c r="G41"/>
  <c r="F41"/>
  <c r="E41"/>
  <c r="D41"/>
  <c r="C41"/>
  <c r="B41"/>
  <c r="G36"/>
  <c r="F36"/>
  <c r="E36"/>
  <c r="D36"/>
  <c r="C36"/>
  <c r="B36"/>
  <c r="G31"/>
  <c r="F31"/>
  <c r="E31"/>
  <c r="D31"/>
  <c r="C31"/>
  <c r="B31"/>
  <c r="G26"/>
  <c r="F26"/>
  <c r="E26"/>
  <c r="D26"/>
  <c r="C26"/>
  <c r="B26"/>
  <c r="G21"/>
  <c r="F21"/>
  <c r="E21"/>
  <c r="D21"/>
  <c r="C21"/>
  <c r="B21"/>
  <c r="G16"/>
  <c r="F16"/>
  <c r="E16"/>
  <c r="D16"/>
  <c r="C16"/>
  <c r="B16"/>
  <c r="G11"/>
  <c r="F11"/>
  <c r="E11"/>
  <c r="D11"/>
  <c r="C11"/>
  <c r="B11"/>
  <c r="G10"/>
  <c r="F10"/>
  <c r="E10"/>
  <c r="D10"/>
  <c r="C10"/>
  <c r="B10"/>
  <c r="G9"/>
  <c r="F9"/>
  <c r="E9"/>
  <c r="D9"/>
  <c r="C9"/>
  <c r="B9"/>
  <c r="G8"/>
  <c r="F8"/>
  <c r="E8"/>
  <c r="D8"/>
  <c r="C8"/>
  <c r="B8"/>
  <c r="G7"/>
  <c r="F7"/>
  <c r="E7"/>
  <c r="D7"/>
  <c r="C7"/>
  <c r="B7"/>
  <c r="G6"/>
  <c r="F6"/>
  <c r="E6"/>
  <c r="D6"/>
  <c r="C6"/>
  <c r="B6"/>
  <c r="G31" i="64"/>
  <c r="F31"/>
  <c r="E31"/>
  <c r="D31"/>
  <c r="C31"/>
  <c r="B31"/>
  <c r="G26"/>
  <c r="F26"/>
  <c r="E26"/>
  <c r="D26"/>
  <c r="C26"/>
  <c r="B26"/>
  <c r="G21"/>
  <c r="F21"/>
  <c r="E21"/>
  <c r="D21"/>
  <c r="C21"/>
  <c r="B21"/>
  <c r="G16"/>
  <c r="F16"/>
  <c r="E16"/>
  <c r="D16"/>
  <c r="C16"/>
  <c r="B16"/>
  <c r="G11"/>
  <c r="F11"/>
  <c r="E11"/>
  <c r="D11"/>
  <c r="C11"/>
  <c r="B11"/>
  <c r="G10"/>
  <c r="F10"/>
  <c r="E10"/>
  <c r="D10"/>
  <c r="C10"/>
  <c r="B10"/>
  <c r="G9"/>
  <c r="F9"/>
  <c r="E9"/>
  <c r="D9"/>
  <c r="C9"/>
  <c r="B9"/>
  <c r="G8"/>
  <c r="F8"/>
  <c r="E8"/>
  <c r="D8"/>
  <c r="C8"/>
  <c r="B8"/>
  <c r="G7"/>
  <c r="F7"/>
  <c r="E7"/>
  <c r="D7"/>
  <c r="C7"/>
  <c r="B7"/>
  <c r="G6"/>
  <c r="F6"/>
  <c r="E6"/>
  <c r="D6"/>
  <c r="C6"/>
  <c r="B6"/>
  <c r="H6" i="70"/>
  <c r="G6"/>
  <c r="F6"/>
  <c r="E6"/>
  <c r="D6"/>
  <c r="C6"/>
  <c r="B6"/>
  <c r="F24" i="69"/>
  <c r="E24"/>
  <c r="D24"/>
  <c r="C24"/>
  <c r="B24"/>
  <c r="F22"/>
  <c r="E22"/>
  <c r="D22"/>
  <c r="C22"/>
  <c r="B22"/>
  <c r="F20"/>
  <c r="E20"/>
  <c r="D20"/>
  <c r="C20"/>
  <c r="B20"/>
  <c r="F17"/>
  <c r="E17"/>
  <c r="D17"/>
  <c r="C17"/>
  <c r="B17"/>
  <c r="F15"/>
  <c r="E15"/>
  <c r="D15"/>
  <c r="C15"/>
  <c r="B15"/>
  <c r="F11"/>
  <c r="E11"/>
  <c r="D11"/>
  <c r="C11"/>
  <c r="B11"/>
  <c r="F9"/>
  <c r="E9"/>
  <c r="D9"/>
  <c r="C9"/>
  <c r="B9"/>
  <c r="F7"/>
  <c r="F6" s="1"/>
  <c r="E7"/>
  <c r="D7"/>
  <c r="D6" s="1"/>
  <c r="C7"/>
  <c r="B7"/>
  <c r="B6" s="1"/>
  <c r="E6"/>
  <c r="C6"/>
  <c r="B21" i="3"/>
  <c r="B20"/>
  <c r="B19"/>
  <c r="B18"/>
  <c r="B17"/>
  <c r="B16"/>
  <c r="B15"/>
  <c r="B14"/>
  <c r="B13"/>
  <c r="B12"/>
  <c r="B11"/>
  <c r="B10"/>
  <c r="B9"/>
  <c r="B8"/>
  <c r="B7"/>
  <c r="B6" s="1"/>
  <c r="F6"/>
  <c r="E6"/>
  <c r="D6"/>
  <c r="C6"/>
  <c r="B21" i="2"/>
  <c r="F20"/>
  <c r="B20"/>
  <c r="B19"/>
  <c r="F18"/>
  <c r="D18" s="1"/>
  <c r="B18" s="1"/>
  <c r="F17"/>
  <c r="B17"/>
  <c r="B16"/>
  <c r="F15"/>
  <c r="D15" s="1"/>
  <c r="F14"/>
  <c r="B14"/>
  <c r="F13"/>
  <c r="B13"/>
  <c r="B12"/>
  <c r="F11"/>
  <c r="B11" s="1"/>
  <c r="F10"/>
  <c r="B10" s="1"/>
  <c r="F9"/>
  <c r="B9" s="1"/>
  <c r="F8"/>
  <c r="B8" s="1"/>
  <c r="F7"/>
  <c r="B7" s="1"/>
  <c r="E6"/>
  <c r="C6"/>
  <c r="B21" i="1"/>
  <c r="B20"/>
  <c r="B19"/>
  <c r="B18"/>
  <c r="B17"/>
  <c r="B16"/>
  <c r="B15"/>
  <c r="B14"/>
  <c r="D13"/>
  <c r="B13"/>
  <c r="D12"/>
  <c r="B12"/>
  <c r="B11"/>
  <c r="B10"/>
  <c r="B9"/>
  <c r="B8"/>
  <c r="B7"/>
  <c r="F6"/>
  <c r="E6"/>
  <c r="D6"/>
  <c r="C6"/>
  <c r="B6"/>
  <c r="B9" i="79"/>
  <c r="B8"/>
  <c r="B7"/>
  <c r="G6"/>
  <c r="F6"/>
  <c r="E6"/>
  <c r="D6"/>
  <c r="C6"/>
  <c r="B6" s="1"/>
  <c r="K6" i="10"/>
  <c r="J6"/>
  <c r="I6"/>
  <c r="H6"/>
  <c r="F6"/>
  <c r="E6"/>
  <c r="D6"/>
  <c r="C6"/>
  <c r="B9" i="62"/>
  <c r="B8"/>
  <c r="B7"/>
  <c r="F6"/>
  <c r="E6"/>
  <c r="D6"/>
  <c r="B6" s="1"/>
  <c r="C6"/>
  <c r="B8" i="61"/>
  <c r="B7"/>
  <c r="F6"/>
  <c r="E6"/>
  <c r="D6"/>
  <c r="C6"/>
  <c r="B6" s="1"/>
  <c r="B21" i="58"/>
  <c r="B20"/>
  <c r="B19"/>
  <c r="B18"/>
  <c r="B17"/>
  <c r="B16"/>
  <c r="B15"/>
  <c r="B14"/>
  <c r="B13"/>
  <c r="B12"/>
  <c r="B11"/>
  <c r="B10"/>
  <c r="B9"/>
  <c r="B8"/>
  <c r="B7"/>
  <c r="G6"/>
  <c r="F6"/>
  <c r="E6"/>
  <c r="D6"/>
  <c r="B6" s="1"/>
  <c r="C6"/>
  <c r="G6" i="57"/>
  <c r="F6"/>
  <c r="E6"/>
  <c r="D6"/>
  <c r="C6"/>
  <c r="B6"/>
  <c r="B27" i="56"/>
  <c r="B26"/>
  <c r="B25"/>
  <c r="B24"/>
  <c r="B23"/>
  <c r="B22"/>
  <c r="B21"/>
  <c r="B20"/>
  <c r="B19"/>
  <c r="B18"/>
  <c r="B17"/>
  <c r="B16"/>
  <c r="B15"/>
  <c r="B14"/>
  <c r="B13"/>
  <c r="B12"/>
  <c r="B11"/>
  <c r="B10"/>
  <c r="B9"/>
  <c r="B8"/>
  <c r="J7"/>
  <c r="I7"/>
  <c r="H7"/>
  <c r="G7"/>
  <c r="F7"/>
  <c r="E7"/>
  <c r="D7"/>
  <c r="B7" s="1"/>
  <c r="C7"/>
  <c r="B11" i="55"/>
  <c r="B10"/>
  <c r="B9" s="1"/>
  <c r="F9"/>
  <c r="E9"/>
  <c r="D9"/>
  <c r="C9"/>
  <c r="B8"/>
  <c r="B7"/>
  <c r="B6"/>
  <c r="B5" s="1"/>
  <c r="F5"/>
  <c r="E5"/>
  <c r="D5"/>
  <c r="C5"/>
  <c r="B5" i="54"/>
  <c r="G6" i="53"/>
  <c r="F6"/>
  <c r="E6"/>
  <c r="D6"/>
  <c r="C6"/>
  <c r="B6"/>
  <c r="B12" i="78"/>
  <c r="B11"/>
  <c r="B10"/>
  <c r="B9"/>
  <c r="B8"/>
  <c r="B7"/>
  <c r="F6"/>
  <c r="E6"/>
  <c r="D6"/>
  <c r="C6"/>
  <c r="B6"/>
  <c r="G6" i="77"/>
  <c r="F6"/>
  <c r="E6"/>
  <c r="D6"/>
  <c r="C6"/>
  <c r="B6"/>
  <c r="B13" i="60"/>
  <c r="B12"/>
  <c r="B11"/>
  <c r="B10"/>
  <c r="B9"/>
  <c r="B7"/>
  <c r="D8" s="1"/>
  <c r="G6" i="51"/>
  <c r="F6"/>
  <c r="E6"/>
  <c r="D6"/>
  <c r="C6"/>
  <c r="B6"/>
  <c r="B5" i="75"/>
  <c r="G6" i="50"/>
  <c r="F6"/>
  <c r="E6"/>
  <c r="D6"/>
  <c r="C6"/>
  <c r="B6"/>
  <c r="G57" i="49"/>
  <c r="F57"/>
  <c r="E57"/>
  <c r="D57"/>
  <c r="C57"/>
  <c r="B57"/>
  <c r="G55"/>
  <c r="F55"/>
  <c r="E55"/>
  <c r="D55"/>
  <c r="C55"/>
  <c r="B55"/>
  <c r="G50"/>
  <c r="F50"/>
  <c r="E50"/>
  <c r="D50"/>
  <c r="C50"/>
  <c r="B50"/>
  <c r="G44"/>
  <c r="F44"/>
  <c r="E44"/>
  <c r="D44"/>
  <c r="C44"/>
  <c r="B44"/>
  <c r="G39"/>
  <c r="F39"/>
  <c r="E39"/>
  <c r="D39"/>
  <c r="C39"/>
  <c r="B39"/>
  <c r="G35"/>
  <c r="F35"/>
  <c r="E35"/>
  <c r="D35"/>
  <c r="C35"/>
  <c r="B35"/>
  <c r="G25"/>
  <c r="F25"/>
  <c r="E25"/>
  <c r="D25"/>
  <c r="C25"/>
  <c r="B25"/>
  <c r="G23"/>
  <c r="F23"/>
  <c r="E23"/>
  <c r="D23"/>
  <c r="C23"/>
  <c r="B23"/>
  <c r="G20"/>
  <c r="F20"/>
  <c r="E20"/>
  <c r="D20"/>
  <c r="C20"/>
  <c r="B20"/>
  <c r="G7"/>
  <c r="F7"/>
  <c r="E7"/>
  <c r="D7"/>
  <c r="D6" s="1"/>
  <c r="C7"/>
  <c r="B7"/>
  <c r="G6"/>
  <c r="F6"/>
  <c r="E6"/>
  <c r="C6"/>
  <c r="B6"/>
  <c r="G6" i="48"/>
  <c r="F6"/>
  <c r="E6"/>
  <c r="D6"/>
  <c r="C6"/>
  <c r="B6"/>
  <c r="F6" i="317" l="1"/>
  <c r="E18"/>
  <c r="I18"/>
  <c r="I6" s="1"/>
  <c r="E29"/>
  <c r="E6" s="1"/>
  <c r="B18"/>
  <c r="J18"/>
  <c r="D6"/>
  <c r="F6" i="315"/>
  <c r="J6"/>
  <c r="N6"/>
  <c r="E6"/>
  <c r="I6"/>
  <c r="M6"/>
  <c r="D6"/>
  <c r="H6"/>
  <c r="L6"/>
  <c r="D5" i="312"/>
  <c r="E5" i="301"/>
  <c r="E6" i="300"/>
  <c r="B5" i="248"/>
  <c r="C6" i="243"/>
  <c r="C5"/>
  <c r="B11" i="8"/>
  <c r="B22"/>
  <c r="B38"/>
  <c r="B56"/>
  <c r="B5" i="5"/>
  <c r="E5" i="311"/>
  <c r="B7" i="136"/>
  <c r="B6" i="339"/>
  <c r="B23" i="335"/>
  <c r="B132"/>
  <c r="B188"/>
  <c r="B124"/>
  <c r="G7"/>
  <c r="B36"/>
  <c r="B174"/>
  <c r="B6" i="334"/>
  <c r="C10" i="321"/>
  <c r="C6" s="1"/>
  <c r="C7" s="1"/>
  <c r="B21" i="314"/>
  <c r="C5" i="312"/>
  <c r="G5"/>
  <c r="E5"/>
  <c r="E103" i="310"/>
  <c r="I103"/>
  <c r="I6" s="1"/>
  <c r="M103"/>
  <c r="Q103"/>
  <c r="Q6" s="1"/>
  <c r="D103"/>
  <c r="H103"/>
  <c r="L103"/>
  <c r="P103"/>
  <c r="C103"/>
  <c r="G103"/>
  <c r="O103"/>
  <c r="C93"/>
  <c r="G93"/>
  <c r="K93"/>
  <c r="O93"/>
  <c r="P6" i="309"/>
  <c r="I6"/>
  <c r="Q6"/>
  <c r="K6"/>
  <c r="F14" i="297"/>
  <c r="E10"/>
  <c r="F21"/>
  <c r="F10"/>
  <c r="F31"/>
  <c r="B60" i="277"/>
  <c r="B86"/>
  <c r="B14"/>
  <c r="B77"/>
  <c r="D6"/>
  <c r="B81"/>
  <c r="I23" i="263"/>
  <c r="R23"/>
  <c r="J23"/>
  <c r="J41"/>
  <c r="Q23"/>
  <c r="G41" i="264"/>
  <c r="M41"/>
  <c r="B16" i="246"/>
  <c r="B19"/>
  <c r="B39"/>
  <c r="B42"/>
  <c r="AA6"/>
  <c r="S6"/>
  <c r="C27"/>
  <c r="C39"/>
  <c r="K6"/>
  <c r="C7"/>
  <c r="C16"/>
  <c r="F6"/>
  <c r="N6"/>
  <c r="V6"/>
  <c r="AD6"/>
  <c r="J6"/>
  <c r="Z6"/>
  <c r="G6"/>
  <c r="O6"/>
  <c r="W6"/>
  <c r="AE6"/>
  <c r="E6"/>
  <c r="I6"/>
  <c r="M6"/>
  <c r="Q6"/>
  <c r="U6"/>
  <c r="Y6"/>
  <c r="AC6"/>
  <c r="AG6"/>
  <c r="B13"/>
  <c r="B33"/>
  <c r="R6"/>
  <c r="C33"/>
  <c r="C19"/>
  <c r="B49"/>
  <c r="C42"/>
  <c r="D6"/>
  <c r="H6"/>
  <c r="L6"/>
  <c r="P6"/>
  <c r="T6"/>
  <c r="X6"/>
  <c r="AB6"/>
  <c r="AF6"/>
  <c r="B38" i="245"/>
  <c r="B41"/>
  <c r="B23"/>
  <c r="B18"/>
  <c r="B32"/>
  <c r="D5"/>
  <c r="B6"/>
  <c r="B26"/>
  <c r="B40" i="244"/>
  <c r="B14"/>
  <c r="B43"/>
  <c r="B8"/>
  <c r="C7"/>
  <c r="B17"/>
  <c r="B25"/>
  <c r="B50"/>
  <c r="F7" i="235"/>
  <c r="B16"/>
  <c r="B18"/>
  <c r="H7"/>
  <c r="B11"/>
  <c r="B13"/>
  <c r="B14"/>
  <c r="B20"/>
  <c r="B7" s="1"/>
  <c r="C6" i="232"/>
  <c r="C5" i="231"/>
  <c r="D5"/>
  <c r="E8" i="215"/>
  <c r="E10"/>
  <c r="E12"/>
  <c r="E14"/>
  <c r="E16"/>
  <c r="E18"/>
  <c r="E9"/>
  <c r="E13"/>
  <c r="E17"/>
  <c r="B6" i="193"/>
  <c r="C6"/>
  <c r="B5" i="182"/>
  <c r="B5" i="115"/>
  <c r="G7"/>
  <c r="G9"/>
  <c r="G11"/>
  <c r="G13"/>
  <c r="G15"/>
  <c r="E18"/>
  <c r="E20"/>
  <c r="G8"/>
  <c r="G10"/>
  <c r="G12"/>
  <c r="G14"/>
  <c r="G16"/>
  <c r="G21"/>
  <c r="B8" i="93"/>
  <c r="B12"/>
  <c r="B16"/>
  <c r="B20"/>
  <c r="B10"/>
  <c r="B14"/>
  <c r="B18"/>
  <c r="B22"/>
  <c r="B9"/>
  <c r="B13"/>
  <c r="B17"/>
  <c r="B21"/>
  <c r="B8" i="82"/>
  <c r="N64" i="43"/>
  <c r="F93"/>
  <c r="V93"/>
  <c r="F43"/>
  <c r="B7"/>
  <c r="R7"/>
  <c r="J12"/>
  <c r="J16"/>
  <c r="J22"/>
  <c r="J26"/>
  <c r="B31"/>
  <c r="R31"/>
  <c r="J40"/>
  <c r="B43"/>
  <c r="R43"/>
  <c r="J64"/>
  <c r="B93"/>
  <c r="R93"/>
  <c r="N40"/>
  <c r="V43"/>
  <c r="N7"/>
  <c r="F12"/>
  <c r="V12"/>
  <c r="F16"/>
  <c r="V16"/>
  <c r="F22"/>
  <c r="V22"/>
  <c r="F26"/>
  <c r="V26"/>
  <c r="N31"/>
  <c r="F40"/>
  <c r="V40"/>
  <c r="N43"/>
  <c r="F64"/>
  <c r="V64"/>
  <c r="N93"/>
  <c r="B6" i="42"/>
  <c r="B7"/>
  <c r="K7"/>
  <c r="E16"/>
  <c r="B22"/>
  <c r="H22"/>
  <c r="Q22"/>
  <c r="N26"/>
  <c r="B31"/>
  <c r="K31"/>
  <c r="H43"/>
  <c r="N43"/>
  <c r="H47"/>
  <c r="N47"/>
  <c r="E56"/>
  <c r="B64"/>
  <c r="H64"/>
  <c r="Q64"/>
  <c r="N78"/>
  <c r="B81"/>
  <c r="K81"/>
  <c r="B93"/>
  <c r="B113"/>
  <c r="L6"/>
  <c r="S6"/>
  <c r="E22"/>
  <c r="Q26"/>
  <c r="K43"/>
  <c r="K47"/>
  <c r="E64"/>
  <c r="Q78"/>
  <c r="G6"/>
  <c r="E6" s="1"/>
  <c r="H7"/>
  <c r="N7"/>
  <c r="B16"/>
  <c r="H16"/>
  <c r="N22"/>
  <c r="H31"/>
  <c r="N31"/>
  <c r="B56"/>
  <c r="H56"/>
  <c r="N64"/>
  <c r="H81"/>
  <c r="N81"/>
  <c r="H93"/>
  <c r="N93"/>
  <c r="H113"/>
  <c r="N113"/>
  <c r="D6" i="2"/>
  <c r="B15"/>
  <c r="B6" s="1"/>
  <c r="B7" i="67"/>
  <c r="E8" i="60"/>
  <c r="O6" i="41"/>
  <c r="N6" s="1"/>
  <c r="B7"/>
  <c r="B7" i="24"/>
  <c r="F6" i="2"/>
  <c r="F8" i="60"/>
  <c r="C8"/>
  <c r="G6" i="41"/>
  <c r="E6" s="1"/>
  <c r="M6"/>
  <c r="K6" s="1"/>
  <c r="B59" i="8"/>
  <c r="D6"/>
  <c r="D10"/>
  <c r="B10" s="1"/>
  <c r="C21"/>
  <c r="B21" s="1"/>
  <c r="B57"/>
  <c r="D127"/>
  <c r="B127" s="1"/>
  <c r="B8" i="84"/>
  <c r="B12"/>
  <c r="B14"/>
  <c r="B15"/>
  <c r="B16"/>
  <c r="B7" i="87"/>
  <c r="C8" i="114"/>
  <c r="C12"/>
  <c r="C7" i="115"/>
  <c r="C11"/>
  <c r="C15"/>
  <c r="C19"/>
  <c r="C21"/>
  <c r="C14" i="122"/>
  <c r="C35"/>
  <c r="I6" i="42"/>
  <c r="H6" s="1"/>
  <c r="M6"/>
  <c r="Q6"/>
  <c r="C6" i="43"/>
  <c r="B6" s="1"/>
  <c r="G6"/>
  <c r="F6" s="1"/>
  <c r="K6"/>
  <c r="J6" s="1"/>
  <c r="O6"/>
  <c r="N6" s="1"/>
  <c r="S6"/>
  <c r="R6" s="1"/>
  <c r="W6"/>
  <c r="V6" s="1"/>
  <c r="D53" i="8"/>
  <c r="B53" s="1"/>
  <c r="B6" i="83"/>
  <c r="C18" i="114"/>
  <c r="C13"/>
  <c r="C20"/>
  <c r="C9"/>
  <c r="C14"/>
  <c r="C21"/>
  <c r="C10" i="115"/>
  <c r="C14"/>
  <c r="C46" i="122"/>
  <c r="C45" s="1"/>
  <c r="B7" i="84"/>
  <c r="B10"/>
  <c r="B18"/>
  <c r="B19"/>
  <c r="B20"/>
  <c r="C5" i="114"/>
  <c r="C10"/>
  <c r="C15"/>
  <c r="C9" i="115"/>
  <c r="C13"/>
  <c r="C18"/>
  <c r="C20"/>
  <c r="C13" i="122"/>
  <c r="C10" s="1"/>
  <c r="C48"/>
  <c r="C8" i="115"/>
  <c r="C12"/>
  <c r="C16"/>
  <c r="E12" i="122"/>
  <c r="E11"/>
  <c r="G18" i="115"/>
  <c r="G19"/>
  <c r="C7" i="122"/>
  <c r="C6" s="1"/>
  <c r="C18"/>
  <c r="C20"/>
  <c r="C22"/>
  <c r="C24"/>
  <c r="C26"/>
  <c r="C28"/>
  <c r="E32"/>
  <c r="E34"/>
  <c r="C40"/>
  <c r="C38" s="1"/>
  <c r="E41"/>
  <c r="C44"/>
  <c r="E46"/>
  <c r="E48"/>
  <c r="C13" i="140"/>
  <c r="G8" i="159"/>
  <c r="G9"/>
  <c r="G7"/>
  <c r="K7" i="162"/>
  <c r="I8"/>
  <c r="G9"/>
  <c r="E10"/>
  <c r="M10"/>
  <c r="K11"/>
  <c r="E13"/>
  <c r="E6" s="1"/>
  <c r="M13"/>
  <c r="I7" i="164"/>
  <c r="G8"/>
  <c r="C9"/>
  <c r="M9"/>
  <c r="M6" s="1"/>
  <c r="K10"/>
  <c r="I11"/>
  <c r="G12"/>
  <c r="C13"/>
  <c r="M13"/>
  <c r="K14"/>
  <c r="I15"/>
  <c r="G16"/>
  <c r="C17"/>
  <c r="M17"/>
  <c r="J7" i="165"/>
  <c r="F8"/>
  <c r="N8"/>
  <c r="H10"/>
  <c r="D11"/>
  <c r="L11"/>
  <c r="H12"/>
  <c r="D13"/>
  <c r="L13"/>
  <c r="H14"/>
  <c r="D15"/>
  <c r="L15"/>
  <c r="H16"/>
  <c r="D17"/>
  <c r="L17"/>
  <c r="H18"/>
  <c r="D19"/>
  <c r="L19"/>
  <c r="H20"/>
  <c r="D21"/>
  <c r="L21"/>
  <c r="L22"/>
  <c r="D24"/>
  <c r="F30"/>
  <c r="J31"/>
  <c r="N32"/>
  <c r="F34"/>
  <c r="J35"/>
  <c r="N36"/>
  <c r="F38"/>
  <c r="J39"/>
  <c r="N40"/>
  <c r="F42"/>
  <c r="J43"/>
  <c r="N44"/>
  <c r="F46"/>
  <c r="J47"/>
  <c r="N48"/>
  <c r="F50"/>
  <c r="J51"/>
  <c r="N52"/>
  <c r="I7" i="166"/>
  <c r="I9"/>
  <c r="I11"/>
  <c r="I13"/>
  <c r="I15"/>
  <c r="I17"/>
  <c r="I19"/>
  <c r="M18" i="167"/>
  <c r="M16"/>
  <c r="M14"/>
  <c r="M12"/>
  <c r="M10"/>
  <c r="M8"/>
  <c r="E6" i="212"/>
  <c r="D13" i="140"/>
  <c r="C9" i="159"/>
  <c r="C7"/>
  <c r="C8"/>
  <c r="I7"/>
  <c r="I8"/>
  <c r="I9"/>
  <c r="M8"/>
  <c r="M9"/>
  <c r="M7"/>
  <c r="M7" i="162"/>
  <c r="K8"/>
  <c r="I9"/>
  <c r="M11"/>
  <c r="I8" i="164"/>
  <c r="C10"/>
  <c r="I12"/>
  <c r="C14"/>
  <c r="I16"/>
  <c r="D52" i="165"/>
  <c r="D50"/>
  <c r="D48"/>
  <c r="D46"/>
  <c r="D44"/>
  <c r="D42"/>
  <c r="D40"/>
  <c r="D38"/>
  <c r="D36"/>
  <c r="D34"/>
  <c r="D32"/>
  <c r="D30"/>
  <c r="D27"/>
  <c r="D25"/>
  <c r="D23"/>
  <c r="H53"/>
  <c r="H51"/>
  <c r="H49"/>
  <c r="H47"/>
  <c r="H45"/>
  <c r="H43"/>
  <c r="H41"/>
  <c r="H39"/>
  <c r="H37"/>
  <c r="H35"/>
  <c r="H33"/>
  <c r="H31"/>
  <c r="H28"/>
  <c r="H26"/>
  <c r="H24"/>
  <c r="L52"/>
  <c r="L50"/>
  <c r="L48"/>
  <c r="L46"/>
  <c r="L44"/>
  <c r="L42"/>
  <c r="L40"/>
  <c r="L38"/>
  <c r="L36"/>
  <c r="L34"/>
  <c r="L32"/>
  <c r="L30"/>
  <c r="L27"/>
  <c r="L25"/>
  <c r="L23"/>
  <c r="D7"/>
  <c r="L7"/>
  <c r="H8"/>
  <c r="H6" s="1"/>
  <c r="N9"/>
  <c r="J10"/>
  <c r="F11"/>
  <c r="N11"/>
  <c r="J12"/>
  <c r="F13"/>
  <c r="N13"/>
  <c r="J14"/>
  <c r="F15"/>
  <c r="N15"/>
  <c r="J16"/>
  <c r="F17"/>
  <c r="N17"/>
  <c r="J18"/>
  <c r="F19"/>
  <c r="N19"/>
  <c r="J20"/>
  <c r="F21"/>
  <c r="D22"/>
  <c r="N22"/>
  <c r="F24"/>
  <c r="J25"/>
  <c r="N26"/>
  <c r="F28"/>
  <c r="H30"/>
  <c r="L31"/>
  <c r="D33"/>
  <c r="H34"/>
  <c r="L35"/>
  <c r="D37"/>
  <c r="H38"/>
  <c r="L39"/>
  <c r="D41"/>
  <c r="H42"/>
  <c r="L43"/>
  <c r="D45"/>
  <c r="H46"/>
  <c r="L47"/>
  <c r="D49"/>
  <c r="H50"/>
  <c r="L51"/>
  <c r="D53"/>
  <c r="M20" i="166"/>
  <c r="M19"/>
  <c r="M18"/>
  <c r="M17"/>
  <c r="M16"/>
  <c r="M15"/>
  <c r="M14"/>
  <c r="M13"/>
  <c r="M12"/>
  <c r="M11"/>
  <c r="M10"/>
  <c r="M9"/>
  <c r="M8"/>
  <c r="M7"/>
  <c r="M6"/>
  <c r="M5" s="1"/>
  <c r="I17" i="167"/>
  <c r="I15"/>
  <c r="I13"/>
  <c r="I11"/>
  <c r="I9"/>
  <c r="I7"/>
  <c r="I8"/>
  <c r="I12"/>
  <c r="I16"/>
  <c r="E7" i="115"/>
  <c r="E8"/>
  <c r="E9"/>
  <c r="E10"/>
  <c r="E11"/>
  <c r="E12"/>
  <c r="E13"/>
  <c r="E14"/>
  <c r="E15"/>
  <c r="E16"/>
  <c r="C19" i="122"/>
  <c r="C21"/>
  <c r="C23"/>
  <c r="C25"/>
  <c r="C27"/>
  <c r="E31"/>
  <c r="E39"/>
  <c r="E38" s="1"/>
  <c r="E45"/>
  <c r="G7" i="162"/>
  <c r="M8"/>
  <c r="K9"/>
  <c r="I10"/>
  <c r="I13"/>
  <c r="C7" i="164"/>
  <c r="K8"/>
  <c r="I9"/>
  <c r="G10"/>
  <c r="C11"/>
  <c r="M11"/>
  <c r="K12"/>
  <c r="I13"/>
  <c r="F7" i="165"/>
  <c r="N7"/>
  <c r="J8"/>
  <c r="D10"/>
  <c r="L10"/>
  <c r="H11"/>
  <c r="D12"/>
  <c r="L12"/>
  <c r="H13"/>
  <c r="D14"/>
  <c r="L14"/>
  <c r="H15"/>
  <c r="D16"/>
  <c r="L16"/>
  <c r="H17"/>
  <c r="D18"/>
  <c r="L18"/>
  <c r="H19"/>
  <c r="D20"/>
  <c r="L20"/>
  <c r="H21"/>
  <c r="F22"/>
  <c r="H23"/>
  <c r="L24"/>
  <c r="D26"/>
  <c r="H27"/>
  <c r="L28"/>
  <c r="N30"/>
  <c r="F32"/>
  <c r="J33"/>
  <c r="N34"/>
  <c r="F36"/>
  <c r="J37"/>
  <c r="N38"/>
  <c r="F40"/>
  <c r="J41"/>
  <c r="N42"/>
  <c r="F44"/>
  <c r="J45"/>
  <c r="N46"/>
  <c r="F48"/>
  <c r="J49"/>
  <c r="I6" i="166"/>
  <c r="I8"/>
  <c r="I10"/>
  <c r="I12"/>
  <c r="I14"/>
  <c r="I16"/>
  <c r="I18"/>
  <c r="E18" i="167"/>
  <c r="E16"/>
  <c r="E14"/>
  <c r="E12"/>
  <c r="E10"/>
  <c r="E8"/>
  <c r="E6" s="1"/>
  <c r="E6" i="213"/>
  <c r="E8" i="159"/>
  <c r="E9"/>
  <c r="E7"/>
  <c r="K7"/>
  <c r="K8"/>
  <c r="I7" i="162"/>
  <c r="M9"/>
  <c r="F27" i="165"/>
  <c r="F25"/>
  <c r="F23"/>
  <c r="F53"/>
  <c r="F51"/>
  <c r="F49"/>
  <c r="F47"/>
  <c r="F45"/>
  <c r="F43"/>
  <c r="F41"/>
  <c r="F39"/>
  <c r="F37"/>
  <c r="F35"/>
  <c r="F33"/>
  <c r="F31"/>
  <c r="J28"/>
  <c r="J26"/>
  <c r="J24"/>
  <c r="J22"/>
  <c r="J52"/>
  <c r="J50"/>
  <c r="J48"/>
  <c r="J46"/>
  <c r="J44"/>
  <c r="J42"/>
  <c r="J40"/>
  <c r="J38"/>
  <c r="J36"/>
  <c r="J34"/>
  <c r="J32"/>
  <c r="J30"/>
  <c r="N27"/>
  <c r="N25"/>
  <c r="N23"/>
  <c r="N21"/>
  <c r="N53"/>
  <c r="N51"/>
  <c r="N49"/>
  <c r="N47"/>
  <c r="N45"/>
  <c r="N43"/>
  <c r="N41"/>
  <c r="N39"/>
  <c r="N37"/>
  <c r="N35"/>
  <c r="N33"/>
  <c r="N31"/>
  <c r="N29"/>
  <c r="F10"/>
  <c r="N10"/>
  <c r="J11"/>
  <c r="F12"/>
  <c r="N12"/>
  <c r="J13"/>
  <c r="F14"/>
  <c r="N14"/>
  <c r="J15"/>
  <c r="F16"/>
  <c r="N16"/>
  <c r="J17"/>
  <c r="F18"/>
  <c r="N18"/>
  <c r="J19"/>
  <c r="F20"/>
  <c r="N20"/>
  <c r="J21"/>
  <c r="J23"/>
  <c r="N24"/>
  <c r="F26"/>
  <c r="J27"/>
  <c r="N28"/>
  <c r="D47"/>
  <c r="D51"/>
  <c r="M6" i="167"/>
  <c r="C7" i="211"/>
  <c r="C10"/>
  <c r="C9" i="214"/>
  <c r="C17"/>
  <c r="I7" i="217"/>
  <c r="I6" s="1"/>
  <c r="J9"/>
  <c r="K10" s="1"/>
  <c r="C7" i="224"/>
  <c r="C15"/>
  <c r="B6" i="226"/>
  <c r="C7" s="1"/>
  <c r="E8"/>
  <c r="B9" i="235"/>
  <c r="B6" i="246"/>
  <c r="C6" i="166"/>
  <c r="C7"/>
  <c r="C8"/>
  <c r="C9"/>
  <c r="C10"/>
  <c r="C11"/>
  <c r="C12"/>
  <c r="C13"/>
  <c r="C14"/>
  <c r="C15"/>
  <c r="C16"/>
  <c r="C17"/>
  <c r="C18"/>
  <c r="C19"/>
  <c r="C7" i="167"/>
  <c r="K7"/>
  <c r="G8"/>
  <c r="G6" s="1"/>
  <c r="C9"/>
  <c r="K9"/>
  <c r="G10"/>
  <c r="C11"/>
  <c r="K11"/>
  <c r="G12"/>
  <c r="C13"/>
  <c r="K13"/>
  <c r="G14"/>
  <c r="C15"/>
  <c r="K15"/>
  <c r="G16"/>
  <c r="C8" i="211"/>
  <c r="B6" i="214"/>
  <c r="C7" s="1"/>
  <c r="C8"/>
  <c r="C12"/>
  <c r="C16"/>
  <c r="B6" i="215"/>
  <c r="C7" s="1"/>
  <c r="C13" i="224"/>
  <c r="D7" i="225"/>
  <c r="E8" s="1"/>
  <c r="E7" i="226"/>
  <c r="E9" i="214"/>
  <c r="E6" s="1"/>
  <c r="C11"/>
  <c r="E13"/>
  <c r="C15"/>
  <c r="C19"/>
  <c r="E7" i="215"/>
  <c r="E11"/>
  <c r="C8" i="216"/>
  <c r="C7" s="1"/>
  <c r="B7" i="222"/>
  <c r="C8" i="224"/>
  <c r="C11"/>
  <c r="C16"/>
  <c r="C19"/>
  <c r="E7" i="235"/>
  <c r="C10" i="214"/>
  <c r="C14"/>
  <c r="C18"/>
  <c r="C12" i="215"/>
  <c r="E7" i="217"/>
  <c r="E6" s="1"/>
  <c r="C9" i="224"/>
  <c r="C17"/>
  <c r="C7" i="235"/>
  <c r="B14" i="236"/>
  <c r="D6" i="237"/>
  <c r="B13"/>
  <c r="B6" s="1"/>
  <c r="C7" i="242"/>
  <c r="C11"/>
  <c r="B41" i="247"/>
  <c r="I33" i="259"/>
  <c r="Q7" i="267"/>
  <c r="Q6" s="1"/>
  <c r="D5" i="296"/>
  <c r="C8" i="242"/>
  <c r="C12"/>
  <c r="E13" i="258"/>
  <c r="E9"/>
  <c r="E14"/>
  <c r="E10"/>
  <c r="E15"/>
  <c r="E11"/>
  <c r="E7"/>
  <c r="E8"/>
  <c r="C6" i="238"/>
  <c r="G6"/>
  <c r="C5" i="242"/>
  <c r="C9"/>
  <c r="C5" i="245"/>
  <c r="D5" i="247"/>
  <c r="B26"/>
  <c r="B5" s="1"/>
  <c r="B8" i="259"/>
  <c r="M33"/>
  <c r="L33" s="1"/>
  <c r="M58"/>
  <c r="L58" s="1"/>
  <c r="N41" i="264"/>
  <c r="B12" i="277"/>
  <c r="E25" i="297"/>
  <c r="F25"/>
  <c r="C6" i="242"/>
  <c r="B33" i="259"/>
  <c r="I41" i="263"/>
  <c r="C6" i="277"/>
  <c r="E6" i="297"/>
  <c r="B5"/>
  <c r="F6"/>
  <c r="C14" i="300"/>
  <c r="C12"/>
  <c r="C10"/>
  <c r="C8"/>
  <c r="C5"/>
  <c r="C7"/>
  <c r="C15"/>
  <c r="B7" i="281"/>
  <c r="C9" i="300"/>
  <c r="C5" i="301"/>
  <c r="M6" i="309"/>
  <c r="B7" i="251"/>
  <c r="G7" i="258"/>
  <c r="C9"/>
  <c r="C6" s="1"/>
  <c r="G11"/>
  <c r="B83" i="277"/>
  <c r="B7" i="279"/>
  <c r="D5" i="297"/>
  <c r="F5" s="1"/>
  <c r="D25" i="345"/>
  <c r="B5"/>
  <c r="C6" i="300"/>
  <c r="C11"/>
  <c r="E6" i="309"/>
  <c r="G6"/>
  <c r="C6"/>
  <c r="O6"/>
  <c r="C6" i="294"/>
  <c r="D25" i="295"/>
  <c r="B5"/>
  <c r="C5" i="297"/>
  <c r="E5" s="1"/>
  <c r="E8"/>
  <c r="C13" i="300"/>
  <c r="B5" i="306"/>
  <c r="D6" i="309"/>
  <c r="H6"/>
  <c r="L6"/>
  <c r="F6" i="310"/>
  <c r="N6"/>
  <c r="B6" i="284"/>
  <c r="E7" i="300"/>
  <c r="E9"/>
  <c r="E11"/>
  <c r="E13"/>
  <c r="E15"/>
  <c r="G6" i="316"/>
  <c r="B6" i="317"/>
  <c r="J6"/>
  <c r="H6"/>
  <c r="B6" i="309"/>
  <c r="F6"/>
  <c r="J6"/>
  <c r="N6"/>
  <c r="R6"/>
  <c r="B6" i="310"/>
  <c r="J6"/>
  <c r="R6"/>
  <c r="E6"/>
  <c r="M6"/>
  <c r="B24" i="329"/>
  <c r="C6"/>
  <c r="C5" i="295"/>
  <c r="D5" s="1"/>
  <c r="C5" i="345"/>
  <c r="D5" s="1"/>
  <c r="E5" i="300"/>
  <c r="E8"/>
  <c r="E10"/>
  <c r="E12"/>
  <c r="C72" i="310"/>
  <c r="C6" s="1"/>
  <c r="G72"/>
  <c r="K72"/>
  <c r="K6" s="1"/>
  <c r="O72"/>
  <c r="O6" s="1"/>
  <c r="D93"/>
  <c r="D6" s="1"/>
  <c r="H93"/>
  <c r="L93"/>
  <c r="L6" s="1"/>
  <c r="P93"/>
  <c r="P6" s="1"/>
  <c r="D5" i="311"/>
  <c r="B8" i="324"/>
  <c r="C7"/>
  <c r="F7" i="335"/>
  <c r="C6" i="315"/>
  <c r="G6"/>
  <c r="K6"/>
  <c r="E6" i="316"/>
  <c r="I6"/>
  <c r="B6" i="329"/>
  <c r="E6" i="332"/>
  <c r="B7"/>
  <c r="B9"/>
  <c r="B6" s="1"/>
  <c r="D6" i="333"/>
  <c r="B6" s="1"/>
  <c r="H6"/>
  <c r="B8"/>
  <c r="B12"/>
  <c r="B10" i="314"/>
  <c r="B9" i="324"/>
  <c r="B8" i="326"/>
  <c r="H6"/>
  <c r="D6" i="329"/>
  <c r="H6"/>
  <c r="B7" i="331"/>
  <c r="B6" s="1"/>
  <c r="C6"/>
  <c r="B8" i="332"/>
  <c r="E7" i="335"/>
  <c r="B16"/>
  <c r="B5" i="313"/>
  <c r="B35" i="314"/>
  <c r="B57"/>
  <c r="B6" i="315"/>
  <c r="C6" i="317"/>
  <c r="G6"/>
  <c r="K6"/>
  <c r="C10" i="318"/>
  <c r="C6"/>
  <c r="C7" s="1"/>
  <c r="G7" i="324"/>
  <c r="B13"/>
  <c r="B12" i="326"/>
  <c r="B6" i="328"/>
  <c r="E6" i="329"/>
  <c r="B6" i="330"/>
  <c r="B8" i="335"/>
  <c r="C7"/>
  <c r="F6" i="220"/>
  <c r="E6"/>
  <c r="B7" i="244" l="1"/>
  <c r="D5" i="8"/>
  <c r="C5"/>
  <c r="B6"/>
  <c r="B7" i="335"/>
  <c r="H6" i="310"/>
  <c r="G6"/>
  <c r="C6" i="246"/>
  <c r="B5" i="245"/>
  <c r="C17" i="215"/>
  <c r="C13"/>
  <c r="C18"/>
  <c r="C11"/>
  <c r="C8"/>
  <c r="C16"/>
  <c r="C9"/>
  <c r="C10"/>
  <c r="G5" i="115"/>
  <c r="B11" i="84"/>
  <c r="K6" i="42"/>
  <c r="G6" i="258"/>
  <c r="E9" i="225"/>
  <c r="E7" s="1"/>
  <c r="C6" i="214"/>
  <c r="C5" i="166"/>
  <c r="C15" i="215"/>
  <c r="C13" i="214"/>
  <c r="K6" i="159"/>
  <c r="N6" i="165"/>
  <c r="K6" i="164"/>
  <c r="K11" i="217"/>
  <c r="M6" i="162"/>
  <c r="C6" i="159"/>
  <c r="C17" i="122"/>
  <c r="B21" i="84"/>
  <c r="B17"/>
  <c r="B13"/>
  <c r="B9"/>
  <c r="B5" i="314"/>
  <c r="B7" i="324"/>
  <c r="K6" i="167"/>
  <c r="C6" i="224"/>
  <c r="C8" i="226"/>
  <c r="C6" s="1"/>
  <c r="F6" i="165"/>
  <c r="C6" i="164"/>
  <c r="E5" i="115"/>
  <c r="I6" i="167"/>
  <c r="L6" i="165"/>
  <c r="M6" i="159"/>
  <c r="K6" i="162"/>
  <c r="B6" i="238"/>
  <c r="G7" s="1"/>
  <c r="C7"/>
  <c r="E6" i="258"/>
  <c r="E6" i="226"/>
  <c r="C14" i="215"/>
  <c r="C6" i="167"/>
  <c r="K9" i="217"/>
  <c r="I6" i="162"/>
  <c r="D6" i="165"/>
  <c r="I6" i="159"/>
  <c r="E10" i="122"/>
  <c r="C5" i="115"/>
  <c r="B5" i="8"/>
  <c r="B6" i="277"/>
  <c r="E6" i="215"/>
  <c r="C6" i="211"/>
  <c r="I5" i="166"/>
  <c r="J6" i="165"/>
  <c r="C6" i="215" l="1"/>
  <c r="B6" i="84"/>
  <c r="L7" i="238"/>
  <c r="D7"/>
  <c r="K7"/>
  <c r="H7"/>
  <c r="E7"/>
  <c r="F7"/>
  <c r="I7"/>
  <c r="J7"/>
</calcChain>
</file>

<file path=xl/sharedStrings.xml><?xml version="1.0" encoding="utf-8"?>
<sst xmlns="http://schemas.openxmlformats.org/spreadsheetml/2006/main" count="13016" uniqueCount="4672">
  <si>
    <t>REGIÓN</t>
  </si>
  <si>
    <t>Solicitudes de declaración de monumentos nacionales</t>
  </si>
  <si>
    <t xml:space="preserve">Total </t>
  </si>
  <si>
    <t>Monumentos históricos inmuebles</t>
  </si>
  <si>
    <t>Santuarios de la naturaleza</t>
  </si>
  <si>
    <t>Zonas típicas</t>
  </si>
  <si>
    <t>TOTAL</t>
  </si>
  <si>
    <t>Arica y Parinacota</t>
  </si>
  <si>
    <t>Tarapacá</t>
  </si>
  <si>
    <t>Antofagasta</t>
  </si>
  <si>
    <t>Atacama</t>
  </si>
  <si>
    <t>Coquimbo</t>
  </si>
  <si>
    <t>Valparaíso</t>
  </si>
  <si>
    <t>Metropolitana</t>
  </si>
  <si>
    <t>O'Higgins</t>
  </si>
  <si>
    <t>Maule</t>
  </si>
  <si>
    <t>Biobío</t>
  </si>
  <si>
    <t>La Araucanía</t>
  </si>
  <si>
    <t xml:space="preserve">Los Ríos </t>
  </si>
  <si>
    <t xml:space="preserve">Los Lagos </t>
  </si>
  <si>
    <t>Aysén</t>
  </si>
  <si>
    <t>Magallanes</t>
  </si>
  <si>
    <t>- No registró movimiento.</t>
  </si>
  <si>
    <t>FUENTE: Consejo de Monumentos Nacionales (CMN).</t>
  </si>
  <si>
    <t>Monumentos nacionales declarados por decreto</t>
  </si>
  <si>
    <t>Monumentos históricos muebles</t>
  </si>
  <si>
    <t>Total</t>
  </si>
  <si>
    <t>Delitos investigados</t>
  </si>
  <si>
    <t>Personas puestas a disposición de los tribunales</t>
  </si>
  <si>
    <t>Incautaciones</t>
  </si>
  <si>
    <t>Número de incautaciones</t>
  </si>
  <si>
    <t>Número de objetos incautados</t>
  </si>
  <si>
    <t>Número de piezas incautadas</t>
  </si>
  <si>
    <t>Arica</t>
  </si>
  <si>
    <t>Chacalluta</t>
  </si>
  <si>
    <t>Iquique</t>
  </si>
  <si>
    <t>Aeropuerto Diego Aravena</t>
  </si>
  <si>
    <t>Colchane</t>
  </si>
  <si>
    <t>Loa</t>
  </si>
  <si>
    <t>Quillagua</t>
  </si>
  <si>
    <t>Jama</t>
  </si>
  <si>
    <t>Ollague</t>
  </si>
  <si>
    <t>San Pedro de Atacama</t>
  </si>
  <si>
    <t>Los Andes</t>
  </si>
  <si>
    <t>Los Libertadores</t>
  </si>
  <si>
    <t>Correos CTP</t>
  </si>
  <si>
    <t>Viajeros</t>
  </si>
  <si>
    <t>Osorno</t>
  </si>
  <si>
    <t>Cardenal Samore</t>
  </si>
  <si>
    <t>FUENTE: Servicio Nacional de Aduanas (SNA), según clasificación de códigos culturales del Consejo Nacional de la Cultura y las Artes (CNCA).</t>
  </si>
  <si>
    <t>Pasajeros</t>
  </si>
  <si>
    <t>Especies</t>
  </si>
  <si>
    <t>Retenciones</t>
  </si>
  <si>
    <t>Tipo Pieza</t>
  </si>
  <si>
    <t xml:space="preserve">N° Piezas </t>
  </si>
  <si>
    <t>…</t>
  </si>
  <si>
    <t>Figura tallada (Religiosa)</t>
  </si>
  <si>
    <t>Piezas de cerámica distintas figuras</t>
  </si>
  <si>
    <t>Jarrón de cerámica (Antiguo)</t>
  </si>
  <si>
    <t>Figura</t>
  </si>
  <si>
    <t>Instrumento musical</t>
  </si>
  <si>
    <t>Diente de mamut</t>
  </si>
  <si>
    <t>ADUANA Y ESPECIES</t>
  </si>
  <si>
    <t xml:space="preserve">N° piezas </t>
  </si>
  <si>
    <t>Flora</t>
  </si>
  <si>
    <t>Fauna</t>
  </si>
  <si>
    <t>Piel De Venado Con Extremidades De Hueso</t>
  </si>
  <si>
    <t>Pares De Alas De Flamenco</t>
  </si>
  <si>
    <t>Quirquincho-Charango</t>
  </si>
  <si>
    <t>Tortugas</t>
  </si>
  <si>
    <t>Caparazón De Quirquincho</t>
  </si>
  <si>
    <t>Penachos De Plumas De Ñandú</t>
  </si>
  <si>
    <t>Aeropuerto Diego Aracena</t>
  </si>
  <si>
    <t>Conchas Strmbus Gigas</t>
  </si>
  <si>
    <t>Trozo De Madera Cactus</t>
  </si>
  <si>
    <t>Charango De Quirquincho</t>
  </si>
  <si>
    <t>Piel De Jaguar 34*22</t>
  </si>
  <si>
    <t>Figura Forma Macetero En Madera De Cactus</t>
  </si>
  <si>
    <t>Joyero En Medera De Cactus</t>
  </si>
  <si>
    <t>Dos Paneras Y Una Bandeja En Madera De Cactus</t>
  </si>
  <si>
    <t>Un Macetero Y Un Trozo De Madera De Cactus</t>
  </si>
  <si>
    <t>Troncos De Madera De Cactus</t>
  </si>
  <si>
    <t>Recipientes En Madera De Cactus</t>
  </si>
  <si>
    <t>Jarron De Madera De Cactus</t>
  </si>
  <si>
    <t>Pieza De Tronco De Cactus Jarron De Madera Cactus</t>
  </si>
  <si>
    <t>Piezas De Tronco De Cactus En Forma De Lamparas</t>
  </si>
  <si>
    <t>Recipientes, Silla, Tronco Y Trozo De Corteza En Madera De Cactus</t>
  </si>
  <si>
    <t>Cactus Grandes Vivos Y Parte De Ellos</t>
  </si>
  <si>
    <t>Quirquincho Disecado</t>
  </si>
  <si>
    <t>Botella De Licor Con Serpierte</t>
  </si>
  <si>
    <t>Porta Calendario De Mesa En Madera De Cactus</t>
  </si>
  <si>
    <t>Trozos Madera Cactus</t>
  </si>
  <si>
    <t>Yacare Bebe Disecado</t>
  </si>
  <si>
    <t>Parte De Yacare Disecado</t>
  </si>
  <si>
    <t>Adorno Elefante En Madera De Cactus</t>
  </si>
  <si>
    <t>Artesania En Madera De Cardon</t>
  </si>
  <si>
    <t xml:space="preserve">Quirquinchos /Charangos De Quirquincho </t>
  </si>
  <si>
    <t>Charango Con Carcaza De Quirquincho</t>
  </si>
  <si>
    <t>Caballito De Mar Disecado</t>
  </si>
  <si>
    <t>Loros</t>
  </si>
  <si>
    <t>Corales</t>
  </si>
  <si>
    <t>CTP</t>
  </si>
  <si>
    <t>Charango de quirquincho</t>
  </si>
  <si>
    <t>Murciélago Disecado</t>
  </si>
  <si>
    <t>Huevo De Avestruz</t>
  </si>
  <si>
    <t>Cornamentas</t>
  </si>
  <si>
    <t>Serpiente</t>
  </si>
  <si>
    <t>Lagarto Disecado</t>
  </si>
  <si>
    <t>Cuernos De Kudu</t>
  </si>
  <si>
    <t>Caparazón</t>
  </si>
  <si>
    <t>Piel De Serpiente</t>
  </si>
  <si>
    <t>Peces Disecados</t>
  </si>
  <si>
    <t>Huevos De Avestruz</t>
  </si>
  <si>
    <t>Cuernos De Reno</t>
  </si>
  <si>
    <t>Caballitos De Mar</t>
  </si>
  <si>
    <t>Pieza De Marfil</t>
  </si>
  <si>
    <t>Serpiente Seca</t>
  </si>
  <si>
    <t>Huevo Avestruz</t>
  </si>
  <si>
    <t>Cornamentas De Ciervo</t>
  </si>
  <si>
    <t>Cornamenta</t>
  </si>
  <si>
    <t>Caparazón De Tortuga</t>
  </si>
  <si>
    <t>Cornamenta De Antílope</t>
  </si>
  <si>
    <t>Cornamentas De Antílope</t>
  </si>
  <si>
    <t>Cabeza De Caimán</t>
  </si>
  <si>
    <t>Cobra En Liquido</t>
  </si>
  <si>
    <t>Pata De Lagarto</t>
  </si>
  <si>
    <t>Cabeza De Cocodrilo</t>
  </si>
  <si>
    <t>Cocodrilo Disecado</t>
  </si>
  <si>
    <t xml:space="preserve">Caballitos De Mar </t>
  </si>
  <si>
    <t>Cornamenta De  Reno</t>
  </si>
  <si>
    <t>Cornamenta De Kudu</t>
  </si>
  <si>
    <t>Lagarto Seco</t>
  </si>
  <si>
    <t>Cráneo De Primate</t>
  </si>
  <si>
    <t>Cabeza Cocodrilo</t>
  </si>
  <si>
    <t>Piel De Zorro</t>
  </si>
  <si>
    <t>Piel De Felino</t>
  </si>
  <si>
    <t>Cornamentas De Venado</t>
  </si>
  <si>
    <t>Cornamenta De Ciervo</t>
  </si>
  <si>
    <t>Cobras</t>
  </si>
  <si>
    <t>Cardenal Samoré</t>
  </si>
  <si>
    <t>Cuchillos Con Empuñadura De Pezuña Ñandú</t>
  </si>
  <si>
    <t xml:space="preserve"> Cuchillo Con Empuñadura De Ñandú</t>
  </si>
  <si>
    <t xml:space="preserve">Piel De Serpiente Yarara </t>
  </si>
  <si>
    <t>Piel Gato Montes</t>
  </si>
  <si>
    <t> ÍTEM</t>
  </si>
  <si>
    <t>N° autorizaciones por decreto</t>
  </si>
  <si>
    <t>Monumentos históricos (bienes muebles)</t>
  </si>
  <si>
    <t>Monumentos arqueológicos y paleontológicos</t>
  </si>
  <si>
    <t>N° Monumentos Nacionales (piezas)</t>
  </si>
  <si>
    <t>… Información no disponible.</t>
  </si>
  <si>
    <t>Fuente: Consejo de Monumentos Nacionales (CMN).</t>
  </si>
  <si>
    <t>Destino</t>
  </si>
  <si>
    <t>N° Autorizaciones por decreto</t>
  </si>
  <si>
    <t>N° Monumentos históricos (piezas)</t>
  </si>
  <si>
    <t>África</t>
  </si>
  <si>
    <t>-</t>
  </si>
  <si>
    <t>América</t>
  </si>
  <si>
    <t>Asia</t>
  </si>
  <si>
    <t>Europa</t>
  </si>
  <si>
    <t>Oceanía</t>
  </si>
  <si>
    <t>… Información no disponible</t>
  </si>
  <si>
    <t>- No registró movimiento</t>
  </si>
  <si>
    <t>Libros</t>
  </si>
  <si>
    <t>Hombres</t>
  </si>
  <si>
    <t>Mujeres</t>
  </si>
  <si>
    <t>Chilenos</t>
  </si>
  <si>
    <t>Extranjeros</t>
  </si>
  <si>
    <t>INMUEBLES Y ACTIVIDADES</t>
  </si>
  <si>
    <t xml:space="preserve">N° de apertura de edificios </t>
  </si>
  <si>
    <t xml:space="preserve">N° de recorridos </t>
  </si>
  <si>
    <t>N° de otras actividades</t>
  </si>
  <si>
    <t>CORTE DE APELACIÓN</t>
  </si>
  <si>
    <t>Ley 17.288 de daños o apropiación sobre monumentos nacionales</t>
  </si>
  <si>
    <t>Ingresos</t>
  </si>
  <si>
    <t>Términos</t>
  </si>
  <si>
    <t>Copiapó</t>
  </si>
  <si>
    <t>La Serena</t>
  </si>
  <si>
    <t>Rancagua</t>
  </si>
  <si>
    <t>Talca</t>
  </si>
  <si>
    <t>Chillán</t>
  </si>
  <si>
    <t>Concepción</t>
  </si>
  <si>
    <t>Temuco</t>
  </si>
  <si>
    <t>Valdivia</t>
  </si>
  <si>
    <t>Puerto Montt</t>
  </si>
  <si>
    <t>Coyhaique</t>
  </si>
  <si>
    <t>Punta Arenas</t>
  </si>
  <si>
    <t>Santiago</t>
  </si>
  <si>
    <t>San Miguel</t>
  </si>
  <si>
    <t>FUENTE: Corporación Administrativa del Poder Judicial (CAPJ).</t>
  </si>
  <si>
    <t>Daños o apropiación sobre monumentos nacionales</t>
  </si>
  <si>
    <t>Región</t>
  </si>
  <si>
    <t>Denuncias</t>
  </si>
  <si>
    <t>Aprehendidos</t>
  </si>
  <si>
    <t>Sin aprehendidos</t>
  </si>
  <si>
    <t>Con aprehendidos</t>
  </si>
  <si>
    <t>FUENTE: Carabineros de Chile. Automatización de Unidades Policiales (Aupol).</t>
  </si>
  <si>
    <t>Total aprehendidos</t>
  </si>
  <si>
    <t>Total hombres</t>
  </si>
  <si>
    <t>Total mujeres</t>
  </si>
  <si>
    <t>Menor de 18 años</t>
  </si>
  <si>
    <t>18 a 29 años</t>
  </si>
  <si>
    <t>30 años y más</t>
  </si>
  <si>
    <t>VISITAS</t>
  </si>
  <si>
    <t>N° de visitas Región Metropolitana</t>
  </si>
  <si>
    <t>N° de visitas regiones</t>
  </si>
  <si>
    <t>Beneficiados dentro del Área Silvestre Protegida (ASP)</t>
  </si>
  <si>
    <t>Beneficiados fuera del Área Silvestre Protegida (ASP)</t>
  </si>
  <si>
    <t>…Información no disponible</t>
  </si>
  <si>
    <t>FUENTE: Corporación Nacional Forestal (Conaf).</t>
  </si>
  <si>
    <t>Monumento</t>
  </si>
  <si>
    <t>San Juan de Piche</t>
  </si>
  <si>
    <t>SN</t>
  </si>
  <si>
    <t>I</t>
  </si>
  <si>
    <t>Bosque de Calabacillo</t>
  </si>
  <si>
    <t>CATEGORÍA DE MANEJO</t>
  </si>
  <si>
    <t>N° Unidades</t>
  </si>
  <si>
    <t>Superficie (há)</t>
  </si>
  <si>
    <t>Parques Nacionales</t>
  </si>
  <si>
    <t>Reservas Nacionales</t>
  </si>
  <si>
    <t>Monumentos Naturales</t>
  </si>
  <si>
    <t>FUENTE: Corporación Nacional Forestal (CONAF). Gerencia áreas silvestres protegidas.</t>
  </si>
  <si>
    <t>REGION</t>
  </si>
  <si>
    <t>Nombre de la unidad</t>
  </si>
  <si>
    <t>Provincia</t>
  </si>
  <si>
    <t>Comuna</t>
  </si>
  <si>
    <t>Parque Nacional Lauca</t>
  </si>
  <si>
    <t>Parinacota</t>
  </si>
  <si>
    <t>Putre</t>
  </si>
  <si>
    <t>Parque Nacional Volcán Isluga</t>
  </si>
  <si>
    <t>Tamarugal</t>
  </si>
  <si>
    <t>Parque Nacional Salar del Huasco</t>
  </si>
  <si>
    <t>Pica</t>
  </si>
  <si>
    <t>Parque Nacional Llullaillaco</t>
  </si>
  <si>
    <t>Parque Nacional Morro Moreno</t>
  </si>
  <si>
    <t>Antofagasta y Mejillones</t>
  </si>
  <si>
    <t>Antofagasta y Chañaral</t>
  </si>
  <si>
    <t>Taltal y Chañaral</t>
  </si>
  <si>
    <t>Parque Nacional Nevado de Tres Cruces</t>
  </si>
  <si>
    <t>Copiapó y Tierra Amarilla</t>
  </si>
  <si>
    <t>Parque Nacional Llanos de Challe</t>
  </si>
  <si>
    <t>Huasco</t>
  </si>
  <si>
    <t>Parque Nacional Bosque Fray Jorge</t>
  </si>
  <si>
    <t>Limarí</t>
  </si>
  <si>
    <t>Ovalle</t>
  </si>
  <si>
    <t>Valparaiso</t>
  </si>
  <si>
    <t>Parque Nacional Archipiélago de Juan Fernández</t>
  </si>
  <si>
    <t>Juan Fernández</t>
  </si>
  <si>
    <t>Parque Nacional La Campana</t>
  </si>
  <si>
    <t>Quillota</t>
  </si>
  <si>
    <t>Hijuelas y Olmue</t>
  </si>
  <si>
    <t>Parque Nacional Rapa Nui</t>
  </si>
  <si>
    <t>Isla de Pascua</t>
  </si>
  <si>
    <t>O´Higgins</t>
  </si>
  <si>
    <t>Cachapoal</t>
  </si>
  <si>
    <t>Las Cabras</t>
  </si>
  <si>
    <t>Parque Nacional Radal Siete Tazas</t>
  </si>
  <si>
    <t>Curicó</t>
  </si>
  <si>
    <t>Molina</t>
  </si>
  <si>
    <t>Bio Bio</t>
  </si>
  <si>
    <t>Parque Nacional Laguna del Laja</t>
  </si>
  <si>
    <t>Bio  Bio</t>
  </si>
  <si>
    <t>Antuco</t>
  </si>
  <si>
    <t>Arauco  y Malleco</t>
  </si>
  <si>
    <t>Cañete, Angol, Purén y Los Sauces</t>
  </si>
  <si>
    <t>Parque Nacional Tolhuaca</t>
  </si>
  <si>
    <t>Malleco</t>
  </si>
  <si>
    <t>Victoria y Curacautín</t>
  </si>
  <si>
    <t>Parque Nacional Conguillio</t>
  </si>
  <si>
    <t>Malleco y Cautín</t>
  </si>
  <si>
    <t>Curacautin, Lonquimay, Melipeuco y Vilcún</t>
  </si>
  <si>
    <t>Parque Nacional Huerquehue</t>
  </si>
  <si>
    <t>Cautín</t>
  </si>
  <si>
    <t>Pucón y Cunco</t>
  </si>
  <si>
    <t>Parque Nacional Villarrica</t>
  </si>
  <si>
    <t>Cautín y Valdivia</t>
  </si>
  <si>
    <t>Pucón, Curarrehue, Villarica y Panguipulli</t>
  </si>
  <si>
    <t>Los Ríos</t>
  </si>
  <si>
    <t>Parque Nacional Alerce Costero</t>
  </si>
  <si>
    <t>Valdivia  y Ralco</t>
  </si>
  <si>
    <t>Corral y La Unión</t>
  </si>
  <si>
    <t>Los Lagos</t>
  </si>
  <si>
    <t>Parque Nacional Puyehue</t>
  </si>
  <si>
    <t>Valdivia y Osorno</t>
  </si>
  <si>
    <t>Río Bueno, Lago Ranco, Puyehue y Puerto Octay</t>
  </si>
  <si>
    <t>Parque Nacional Vicente Pérez Rosales</t>
  </si>
  <si>
    <t>Osorno y Llanquihue</t>
  </si>
  <si>
    <t>Puerto Octay y Puerto Varas</t>
  </si>
  <si>
    <t>Parque Nacional Alerce Andino</t>
  </si>
  <si>
    <t>Llanquihue</t>
  </si>
  <si>
    <t>Puerto Montt y Cochamó</t>
  </si>
  <si>
    <t>Parque Nacional Hornopirén</t>
  </si>
  <si>
    <t>Llanquihue y Palena</t>
  </si>
  <si>
    <t>Cochamó y Hualaihué</t>
  </si>
  <si>
    <t>Parque Nacional Corcovado</t>
  </si>
  <si>
    <t>Palena</t>
  </si>
  <si>
    <t>Chaitén</t>
  </si>
  <si>
    <t>Parque Nacional Chiloé</t>
  </si>
  <si>
    <t>Chiloé</t>
  </si>
  <si>
    <t>Ancud, Dalcahe, Castro y Chonchi</t>
  </si>
  <si>
    <t>Parque Nacional Queulat</t>
  </si>
  <si>
    <t>Coyhaique y Aysén</t>
  </si>
  <si>
    <t>Lago Verde y Cisnes</t>
  </si>
  <si>
    <t>Parque Nacional Isla Guamblin</t>
  </si>
  <si>
    <t>Cisnes</t>
  </si>
  <si>
    <t>Parque Nacional Isla Magdalena</t>
  </si>
  <si>
    <t>Parque Nacional Laguna San Rafael</t>
  </si>
  <si>
    <t>Aysén, General Carrera y Capitán Prat</t>
  </si>
  <si>
    <t>Aysén, Río Ibáñez, Chile Chico, Cochrane y Tortel</t>
  </si>
  <si>
    <t>Capitán Prat y Ultima Esperanza</t>
  </si>
  <si>
    <t>Tortel, O'Higgins y Palena</t>
  </si>
  <si>
    <t>Parque Nacional Torres del Paine</t>
  </si>
  <si>
    <t>Ultima Esperanza</t>
  </si>
  <si>
    <t>Torres del Paine</t>
  </si>
  <si>
    <t>Parque Nacional Pali Aike</t>
  </si>
  <si>
    <t>San Gregorio</t>
  </si>
  <si>
    <t>Parque Nacional Alberto de Agostini</t>
  </si>
  <si>
    <t>Magallanes, Tierra del Fuego y Antártica Chilena</t>
  </si>
  <si>
    <t xml:space="preserve">Punta Arenas, Timaukel y Cabo de Hornos </t>
  </si>
  <si>
    <t>Parque Nacional Cabo de Hornos</t>
  </si>
  <si>
    <t xml:space="preserve">Antártica Chilena </t>
  </si>
  <si>
    <t>Cabo de Hornos</t>
  </si>
  <si>
    <t>Parque Nacional Yendegaia</t>
  </si>
  <si>
    <t>Tierra del Fuego y Antártica Chilena</t>
  </si>
  <si>
    <t>Timaukel y Cabo de Hornos</t>
  </si>
  <si>
    <t>Reserva Nacional las Vicuñas</t>
  </si>
  <si>
    <t>Reserva Nacional Pampa del Tamarugal</t>
  </si>
  <si>
    <t>Pozo Almonte y Huara</t>
  </si>
  <si>
    <t>Reserva Nacional La Chimba</t>
  </si>
  <si>
    <t>Reserva Nacional Los Flamencos</t>
  </si>
  <si>
    <t xml:space="preserve">El Loa </t>
  </si>
  <si>
    <t>Reserva Nacional Las Chinchillas</t>
  </si>
  <si>
    <t>Choapa</t>
  </si>
  <si>
    <t>Illapel</t>
  </si>
  <si>
    <t>Huasco y Elqui</t>
  </si>
  <si>
    <t>Freirina y La Higuera</t>
  </si>
  <si>
    <t>Reserva Nacional Río Blanco</t>
  </si>
  <si>
    <t>Reserva Nacional Lago Peñuelas</t>
  </si>
  <si>
    <t>Reserva Nacional El Yali</t>
  </si>
  <si>
    <t>San Antonio</t>
  </si>
  <si>
    <t>Reserva Nacional Rio Clarillo</t>
  </si>
  <si>
    <t>Cordillera</t>
  </si>
  <si>
    <t>Pirque</t>
  </si>
  <si>
    <t>Reserva Nacional Roblería del Cobre de Loncha</t>
  </si>
  <si>
    <t>Melipilla</t>
  </si>
  <si>
    <t>Alhué</t>
  </si>
  <si>
    <t>Reserva Nacional Rio de los Cipreses</t>
  </si>
  <si>
    <t>Machalí</t>
  </si>
  <si>
    <t>Reserva Nacional Laguna Torca</t>
  </si>
  <si>
    <t>Vichuquén</t>
  </si>
  <si>
    <t>Reserva Nacional Radal Siete Tazas</t>
  </si>
  <si>
    <t>Reserva Nacional Altos de Lircay</t>
  </si>
  <si>
    <t>San Clemente</t>
  </si>
  <si>
    <t>Reserva Nacional Los Ruiles</t>
  </si>
  <si>
    <t>Talca y Cauquenes</t>
  </si>
  <si>
    <t>Empedrado y Chanco</t>
  </si>
  <si>
    <t>Reserva Nacional Los Bellotos del Melado</t>
  </si>
  <si>
    <t>Linares</t>
  </si>
  <si>
    <t>Colbún</t>
  </si>
  <si>
    <t>Reserva Nacional Federico Albert</t>
  </si>
  <si>
    <t>Cauquenes</t>
  </si>
  <si>
    <t>Chanco</t>
  </si>
  <si>
    <t>Reserva Nacional Los Queules</t>
  </si>
  <si>
    <t>Pelluhue</t>
  </si>
  <si>
    <t>Biobio</t>
  </si>
  <si>
    <t>Reserva Nacional Isla Mocha</t>
  </si>
  <si>
    <t>Arauco</t>
  </si>
  <si>
    <t>Lebu</t>
  </si>
  <si>
    <t>Reserva Nacional Los Huemules de Niblinto</t>
  </si>
  <si>
    <t>Ñuble</t>
  </si>
  <si>
    <t>Coihueco</t>
  </si>
  <si>
    <t>Reserva Nacional Ñuble</t>
  </si>
  <si>
    <t>Ñuble y Bio Bio</t>
  </si>
  <si>
    <t>Pinto y Antuco</t>
  </si>
  <si>
    <t>Reserva Nacional Ralco</t>
  </si>
  <si>
    <t>Alto Bio Bio</t>
  </si>
  <si>
    <t>Reserva Nacional Altos de Pemehue</t>
  </si>
  <si>
    <t>Quilaco</t>
  </si>
  <si>
    <t>Reserva Nacional Nonguén</t>
  </si>
  <si>
    <t>Concepción, Choguayante y Hualqui</t>
  </si>
  <si>
    <t>Araucanía</t>
  </si>
  <si>
    <t>Reserva Nacional Malleco</t>
  </si>
  <si>
    <t>Collipulli</t>
  </si>
  <si>
    <t>Reserva Nacional Alto Bio  Bio</t>
  </si>
  <si>
    <t>Lonquimay</t>
  </si>
  <si>
    <t>Reserva Nacional Nalcas</t>
  </si>
  <si>
    <t>Reserva Nacional Malalcahuello</t>
  </si>
  <si>
    <t>Lonquimay y Curacautín</t>
  </si>
  <si>
    <t>Reserva Nacional China Muerta</t>
  </si>
  <si>
    <t>Melipeuco</t>
  </si>
  <si>
    <t>Reserva Nacional Villarrica</t>
  </si>
  <si>
    <t>Pucón, Curarrehue y Melipeuco</t>
  </si>
  <si>
    <t>Reserva Nacional Mocho-Choshuenco</t>
  </si>
  <si>
    <t>Panguipulli y Futrono</t>
  </si>
  <si>
    <t>Reserva Nacional Llanquihue</t>
  </si>
  <si>
    <t>Puerto Montt, Puerto varas y Cochamó</t>
  </si>
  <si>
    <t>Reserva Nacional Futaleufú</t>
  </si>
  <si>
    <t>Futaleufú</t>
  </si>
  <si>
    <t>Reserva Nacional Lago Palena</t>
  </si>
  <si>
    <t>Palena y Coyhaique</t>
  </si>
  <si>
    <t>Palena y Lago Verde</t>
  </si>
  <si>
    <t>Reserva Nacional Lago Carlota</t>
  </si>
  <si>
    <t>Lago Verde</t>
  </si>
  <si>
    <t>Reserva Nacional Lago Las Torres</t>
  </si>
  <si>
    <t>Lago Verde y Coyhaique</t>
  </si>
  <si>
    <t>Reserva Nacional Lago Rosselot</t>
  </si>
  <si>
    <t>Reserva Nacional Las Guaitecas</t>
  </si>
  <si>
    <t>Cisnes y Aysén</t>
  </si>
  <si>
    <t>Reserva Nacional Río Simpson</t>
  </si>
  <si>
    <t>Aysén y Coyhaique</t>
  </si>
  <si>
    <t>Reserva Nacional Coyhaique</t>
  </si>
  <si>
    <t>Reserva Nacional Trapananda</t>
  </si>
  <si>
    <t>Reserva Nacional Cerro Castillo</t>
  </si>
  <si>
    <t>Coyhaique y General Carrera</t>
  </si>
  <si>
    <t>Coyhaique y Río Ibañez</t>
  </si>
  <si>
    <t>Reserva Nacional Lago Jeinimeni</t>
  </si>
  <si>
    <t>General Carrera y Capitán Prat</t>
  </si>
  <si>
    <t>Chile Chico y Cochrane</t>
  </si>
  <si>
    <t>Reserva Nacional Lago Cochrane</t>
  </si>
  <si>
    <t>Capitán Prat</t>
  </si>
  <si>
    <t>Cochrane</t>
  </si>
  <si>
    <t>Reserva Nacional Katalalixar</t>
  </si>
  <si>
    <t>Tortel</t>
  </si>
  <si>
    <t>Reserva Nacional Alacalufes</t>
  </si>
  <si>
    <t>Ultima Esperanza y Magallanes</t>
  </si>
  <si>
    <t>Puerto Natales, Río Verde y Punta Arenas</t>
  </si>
  <si>
    <t>Reserva Nacional Laguna Parrillar</t>
  </si>
  <si>
    <t>Reserva Nacional Magallanes</t>
  </si>
  <si>
    <t>Monumento Natural Salar de Surire</t>
  </si>
  <si>
    <t>Monumento Natural Quebrada de Cardones</t>
  </si>
  <si>
    <t>Monumento Natural La Portada</t>
  </si>
  <si>
    <t>Monumento Natural Paposo Norte</t>
  </si>
  <si>
    <t>Monumento Natural Pichasca</t>
  </si>
  <si>
    <t>Río Hurtado</t>
  </si>
  <si>
    <t>Monumento Natural Isla Cachagua</t>
  </si>
  <si>
    <t>Petorca</t>
  </si>
  <si>
    <t>Zapallar</t>
  </si>
  <si>
    <t>Monumento Natural El Morado</t>
  </si>
  <si>
    <t>San José de Maipo</t>
  </si>
  <si>
    <t>Monumento Natural Contulmo</t>
  </si>
  <si>
    <t>Los Sauces y Purén</t>
  </si>
  <si>
    <t>Monumento Natural Cerro Ñielol</t>
  </si>
  <si>
    <t>Monumento Natural Lahuén Ñadi</t>
  </si>
  <si>
    <t>Monumento Natural Islotes de Puñihuil</t>
  </si>
  <si>
    <t>Ancud</t>
  </si>
  <si>
    <t>Monumento Natural Cinco Hermanas</t>
  </si>
  <si>
    <t>Monumento Natural Dos Lagunas</t>
  </si>
  <si>
    <t>Monumento Natural Cueva del Milodón</t>
  </si>
  <si>
    <t>Puerto Natales</t>
  </si>
  <si>
    <t>Monumento Natural Los Pingüinos</t>
  </si>
  <si>
    <t>Monumento Natural Laguna de los Cisnes</t>
  </si>
  <si>
    <t>Tierra del Fuego</t>
  </si>
  <si>
    <t>Porvenir</t>
  </si>
  <si>
    <t>Dentro del sistema de Área Silvestre Protegida (ASP)</t>
  </si>
  <si>
    <t>Fuera del sistema de Área Silvestre Protegida (ASP)</t>
  </si>
  <si>
    <t>Há</t>
  </si>
  <si>
    <t>%</t>
  </si>
  <si>
    <t>Terrestre</t>
  </si>
  <si>
    <t>Marina</t>
  </si>
  <si>
    <t>Reserva de la biósfera</t>
  </si>
  <si>
    <t>Año de creación</t>
  </si>
  <si>
    <t>Fecha modificación</t>
  </si>
  <si>
    <t>Superficie (Há)</t>
  </si>
  <si>
    <t>Lauca</t>
  </si>
  <si>
    <t>Bosque Fray Jorge</t>
  </si>
  <si>
    <t>La Campana - Peñuelas</t>
  </si>
  <si>
    <t>Archipiélago Juán Fernandez</t>
  </si>
  <si>
    <t xml:space="preserve"> </t>
  </si>
  <si>
    <t>Nevados de Chillán y Laguna Laja</t>
  </si>
  <si>
    <t>Araucarias</t>
  </si>
  <si>
    <t>Bosques Templados Lluviosos de Los Andes Australes</t>
  </si>
  <si>
    <t>Laguna San Rafael</t>
  </si>
  <si>
    <t>Torres del paine</t>
  </si>
  <si>
    <t xml:space="preserve">Cabo de Hornos  </t>
  </si>
  <si>
    <t>…Información no disponible.</t>
  </si>
  <si>
    <t>REGIÓN DE SECRETARÍA TÉCNICA</t>
  </si>
  <si>
    <t>Especie</t>
  </si>
  <si>
    <t>Año de elaboración</t>
  </si>
  <si>
    <t>Queñoa</t>
  </si>
  <si>
    <t>Q En Peligro / QA Vulnerable (RCE P3)</t>
  </si>
  <si>
    <t>Tamarugo</t>
  </si>
  <si>
    <t>En Peligro (RCE P9)</t>
  </si>
  <si>
    <t>Palma chilena</t>
  </si>
  <si>
    <t>Vulnerable (RCE P3)</t>
  </si>
  <si>
    <t>Flora Arbórea de AJF</t>
  </si>
  <si>
    <t>Grupo de especies</t>
  </si>
  <si>
    <t>Valparaíso (Isla de Pascua)</t>
  </si>
  <si>
    <t>Toromiro</t>
  </si>
  <si>
    <t>Extinto (RCE P1) // Extinta en estado silvestre (RCE P7)</t>
  </si>
  <si>
    <t>O’Higgins</t>
  </si>
  <si>
    <t>Avellanita</t>
  </si>
  <si>
    <t>El Peligro y Rara (RCE P1)</t>
  </si>
  <si>
    <t>Queule</t>
  </si>
  <si>
    <t>En Peligro (RCE P1)</t>
  </si>
  <si>
    <t>Ruil</t>
  </si>
  <si>
    <t>En Peligro y Rara (RCE P1)</t>
  </si>
  <si>
    <t>Belloto del sur</t>
  </si>
  <si>
    <t>En Peligro (RCE P2)</t>
  </si>
  <si>
    <t>Pitao</t>
  </si>
  <si>
    <t>Michay rojo</t>
  </si>
  <si>
    <t>Huella chica</t>
  </si>
  <si>
    <t>Casi Amenazado (RCE P9)</t>
  </si>
  <si>
    <t xml:space="preserve">Valdivia </t>
  </si>
  <si>
    <t>Vulnerable y Rara (RCE P2)</t>
  </si>
  <si>
    <t>Superficie</t>
  </si>
  <si>
    <t>Salar de Surire</t>
  </si>
  <si>
    <t>Salar de Huasco</t>
  </si>
  <si>
    <t>Salar de Tara</t>
  </si>
  <si>
    <t>Sistema Hidrológico de Soncor, del Salar de Atacama</t>
  </si>
  <si>
    <t>Salar de Pujsa</t>
  </si>
  <si>
    <t>Salar de Aguas Calientes IV</t>
  </si>
  <si>
    <t>Complejo Lacustre Laguna del Negro Francisco y Laguna Santa Rosa</t>
  </si>
  <si>
    <t>Santuario de la Naturaleza Laguna Conchalí</t>
  </si>
  <si>
    <t>Humedal El Yali</t>
  </si>
  <si>
    <t>Parque Andino Juncal</t>
  </si>
  <si>
    <t>Santuario de la Naturaleza  Carlos Andwanter</t>
  </si>
  <si>
    <t>Bahía Lomas</t>
  </si>
  <si>
    <t>FUENTE: Corporación Nacional Forestal (CONAF).</t>
  </si>
  <si>
    <t>Suri</t>
  </si>
  <si>
    <t>Insuficientemente conocida (RCE P1)</t>
  </si>
  <si>
    <t>Vicuña</t>
  </si>
  <si>
    <t>Vulnerable (Libro rojo de los vertebrados terrestres de Chile, Conaf 1993)</t>
  </si>
  <si>
    <t>Taruca</t>
  </si>
  <si>
    <t>En peligro (RCE P1)</t>
  </si>
  <si>
    <t>Tagua cornuda</t>
  </si>
  <si>
    <t>Flamenco andino</t>
  </si>
  <si>
    <t>Pato yunco</t>
  </si>
  <si>
    <t>Guanaco (área norte)</t>
  </si>
  <si>
    <t>Vulnerable: desde región de Arica y Parinacota a Los Lagos/preocupación menor: desde región Aysén a Magallanes (RCE P5)</t>
  </si>
  <si>
    <t>Chinchilla chilena</t>
  </si>
  <si>
    <t xml:space="preserve">En peligro (Libro rojo de los vertebrados terrestres de Chile, Conaf 1993)                                     </t>
  </si>
  <si>
    <t>Picaflor de Juan Fernández</t>
  </si>
  <si>
    <t>En peligro y Rara (RCE P1)</t>
  </si>
  <si>
    <t>Fardela blanca</t>
  </si>
  <si>
    <t>En peligro (RCE P2)</t>
  </si>
  <si>
    <t>Carpintero negro</t>
  </si>
  <si>
    <t>Cisne cuello negro</t>
  </si>
  <si>
    <t>Huillín</t>
  </si>
  <si>
    <t>En peligro:desde región de O'Higgins a Los Lagos /insuficientemente conocida: desde Aysén a Magallanes (P1) //en peligro (RCE P7)</t>
  </si>
  <si>
    <t>Huemul</t>
  </si>
  <si>
    <t>1999-2010</t>
  </si>
  <si>
    <t>Loro tricahue</t>
  </si>
  <si>
    <t>En peligro: desde región de Atacama a Coquimbo/ vulnerable resto del país (RCE P1)</t>
  </si>
  <si>
    <t>Vulnerable (P2)</t>
  </si>
  <si>
    <t>En peligro (P1)</t>
  </si>
  <si>
    <t>ÁREA SILVESTRE PROTEGIDA</t>
  </si>
  <si>
    <t>Categorías de recursos culturales registrados</t>
  </si>
  <si>
    <t>Arqueológico</t>
  </si>
  <si>
    <t>Histórico</t>
  </si>
  <si>
    <t>Etnográfico</t>
  </si>
  <si>
    <t>Paleontológico</t>
  </si>
  <si>
    <t>Paisaje cultural</t>
  </si>
  <si>
    <t>Actualizado</t>
  </si>
  <si>
    <t>Reserva Nacional Las Vicuñas</t>
  </si>
  <si>
    <t>Nuevo</t>
  </si>
  <si>
    <t>Parque Nacional Arch. Juan Fernández</t>
  </si>
  <si>
    <t>Reserva Nacional Mocho Choshuenco</t>
  </si>
  <si>
    <t>P.N. Lauca</t>
  </si>
  <si>
    <t>R.N. Las Vicuñas</t>
  </si>
  <si>
    <t>M.N. Quebrada de Cardones</t>
  </si>
  <si>
    <t>M.N. Salar de Surire</t>
  </si>
  <si>
    <t>P.N. Volcán Isluga</t>
  </si>
  <si>
    <t>P.N. Salar de Huasco</t>
  </si>
  <si>
    <t>R.N. Pampa del Tamarugal</t>
  </si>
  <si>
    <t>P.N. Llullaillaco</t>
  </si>
  <si>
    <t>R.N. La Chimba</t>
  </si>
  <si>
    <t>R.N. Los Flamencos</t>
  </si>
  <si>
    <t>P.N. Morro moreno</t>
  </si>
  <si>
    <t>M.N. La Portada</t>
  </si>
  <si>
    <t>P.N. Pan de Azúcar</t>
  </si>
  <si>
    <t>P.N. Llanos de Challe</t>
  </si>
  <si>
    <t>P.N. Nevado de Tres Cruces</t>
  </si>
  <si>
    <t>P.N. Bosque Fray Jorge</t>
  </si>
  <si>
    <t>R.N. Pingüino de Humboldt</t>
  </si>
  <si>
    <t>R.N. Las Chinchillas</t>
  </si>
  <si>
    <t>M.N. Pichasca</t>
  </si>
  <si>
    <t>P.N. La Campana</t>
  </si>
  <si>
    <t>P.N. ArchipieLago de Juan Fernández</t>
  </si>
  <si>
    <t>R.N. Río Blanco</t>
  </si>
  <si>
    <t>R.N. Lago Peñuelas</t>
  </si>
  <si>
    <t>R.N. El Yali</t>
  </si>
  <si>
    <t>M.N. Isla Cachagua</t>
  </si>
  <si>
    <t>P.N. Rapa Nui</t>
  </si>
  <si>
    <t>R.N. Río Clarillo</t>
  </si>
  <si>
    <t>M.N. El Morado</t>
  </si>
  <si>
    <t>O'higgins</t>
  </si>
  <si>
    <t>P.N. Las Palmas de Cocalán</t>
  </si>
  <si>
    <t>R.N. Río de Los Cipreses</t>
  </si>
  <si>
    <t>R.N. Roblería del Cobre de Loncha</t>
  </si>
  <si>
    <t>R.N. Federico Albert</t>
  </si>
  <si>
    <t>R.N. Laguna Torca</t>
  </si>
  <si>
    <t>R.N. Los Ruiles</t>
  </si>
  <si>
    <t>R.N. Los Bellotos del Melado</t>
  </si>
  <si>
    <t>R.N. Los Queules</t>
  </si>
  <si>
    <t>R.N. Altos de Lircay</t>
  </si>
  <si>
    <t>R.N. Radal Siete Tazas</t>
  </si>
  <si>
    <t>P.N. Radal siete tazas</t>
  </si>
  <si>
    <t>P.N. Laguna del Laja</t>
  </si>
  <si>
    <t>R.N. Ñuble</t>
  </si>
  <si>
    <t>R.N. Isla  Mocha</t>
  </si>
  <si>
    <t>R.N. Los Huemules de Niblinto</t>
  </si>
  <si>
    <t>R.N. Ralco</t>
  </si>
  <si>
    <t>R.N. Nonguen</t>
  </si>
  <si>
    <t>R.N. Altos de Pemehue</t>
  </si>
  <si>
    <t>P.N. Conguillio</t>
  </si>
  <si>
    <t>P.N. Huerquehue</t>
  </si>
  <si>
    <t>P.N. Nahuelbuta</t>
  </si>
  <si>
    <t>P.N. Tolhuaca</t>
  </si>
  <si>
    <t>P.N. Villarrica</t>
  </si>
  <si>
    <t>R.N. Alto Bio-bío</t>
  </si>
  <si>
    <t>R.N. China Muerta</t>
  </si>
  <si>
    <t>R.N. Malalcahuello</t>
  </si>
  <si>
    <t>R.N. Malleco</t>
  </si>
  <si>
    <t>R.N. Nalcas</t>
  </si>
  <si>
    <t>R.N. Villarrica</t>
  </si>
  <si>
    <t>M.N. Contulmo</t>
  </si>
  <si>
    <t>M.N. Cerro Ñielol</t>
  </si>
  <si>
    <t>R.N. Mocho-choshuenco</t>
  </si>
  <si>
    <t>P.N. Alerce Costero</t>
  </si>
  <si>
    <t>P.N. Chiloé</t>
  </si>
  <si>
    <t>P.N. Puyehue</t>
  </si>
  <si>
    <t>P.N. Vicente Pérez Rosales</t>
  </si>
  <si>
    <t>P.N. Alerce Andino</t>
  </si>
  <si>
    <t>P.N. Hornopirén</t>
  </si>
  <si>
    <t>P.N. Corcovado</t>
  </si>
  <si>
    <t>R.N. Lago Palena</t>
  </si>
  <si>
    <t>R.N. Llanquihue</t>
  </si>
  <si>
    <t>R.N. Futaleufú</t>
  </si>
  <si>
    <t>M.N. Islotes de Puñihuil</t>
  </si>
  <si>
    <t>M.N. Lahuen Ñadi</t>
  </si>
  <si>
    <t>P.N. Isla  Guamblin</t>
  </si>
  <si>
    <t>P.N. Isla  Magdalena</t>
  </si>
  <si>
    <t>P.N. Laguna San Rafael</t>
  </si>
  <si>
    <t>P.N. Queulat</t>
  </si>
  <si>
    <t>R.N. Cerro Castillo</t>
  </si>
  <si>
    <t>R.N. Coyhaique</t>
  </si>
  <si>
    <t>R.N. Katalalixar</t>
  </si>
  <si>
    <t>R.N. Lago Carlota</t>
  </si>
  <si>
    <t>R.N. Lago Cochrane</t>
  </si>
  <si>
    <t>R.N. Lago Jeinimeni</t>
  </si>
  <si>
    <t>R.N. Lago Las Torres</t>
  </si>
  <si>
    <t>R.N. Trapananda</t>
  </si>
  <si>
    <t>R.N. Lago Rosselot</t>
  </si>
  <si>
    <t>R.N. Las Guaitecas</t>
  </si>
  <si>
    <t>R.N. Río Simpson</t>
  </si>
  <si>
    <t>M.N. Dos Lagunas</t>
  </si>
  <si>
    <t>M.N. Cinco Hermanas</t>
  </si>
  <si>
    <t>P.N. Bernardo O'Higgins</t>
  </si>
  <si>
    <t>P.N. Alberto de Agostini</t>
  </si>
  <si>
    <t>P.N. Cabo de Hornos</t>
  </si>
  <si>
    <t>P.N. Pali Aike</t>
  </si>
  <si>
    <t>P.N. Torres del Paine</t>
  </si>
  <si>
    <t>R.N. Alacalufes</t>
  </si>
  <si>
    <t>R.N. Laguna Parrillar</t>
  </si>
  <si>
    <t>R.N. Magallanes</t>
  </si>
  <si>
    <t>M.N. Los Pingüinos</t>
  </si>
  <si>
    <t>M.N. Laguna de Los Cisnes</t>
  </si>
  <si>
    <t>M.N. Cueva del Milodón</t>
  </si>
  <si>
    <t>P.N. Volcan Isluga</t>
  </si>
  <si>
    <t>P.N. Morro Moreno</t>
  </si>
  <si>
    <t>P.N. Archipielago de Juan Fernández</t>
  </si>
  <si>
    <t>R.N. Río de los Cipreses</t>
  </si>
  <si>
    <t>P.N. Radal Siete Tazas</t>
  </si>
  <si>
    <t>R.N. Isla Mocha</t>
  </si>
  <si>
    <t>P.N. Isla Guamblin</t>
  </si>
  <si>
    <t>P.N. Isla Magdalena</t>
  </si>
  <si>
    <t>M.N. La Cueva del Milodón</t>
  </si>
  <si>
    <t>M.N. La portada</t>
  </si>
  <si>
    <t>M.N. Laguna de los Cisnes</t>
  </si>
  <si>
    <t>P.N. Nevado de tres cruces</t>
  </si>
  <si>
    <t>R.N. Las chinchillas</t>
  </si>
  <si>
    <t>R.N. Lago Las torres</t>
  </si>
  <si>
    <t>Año</t>
  </si>
  <si>
    <t>M.N. IsLa Cachagua</t>
  </si>
  <si>
    <t>R.N. IsLa Mocha</t>
  </si>
  <si>
    <t>P.N. IsLa Guamblin</t>
  </si>
  <si>
    <t>P.N. IsLa Magdalena</t>
  </si>
  <si>
    <t>REGIÓN DE FISCALÍA</t>
  </si>
  <si>
    <t>FUENTE: Ministerio Público. Sistema de Apoyo a Fiscales (SAF).</t>
  </si>
  <si>
    <t>Sentencias definitivas condenatorias Ley 17.288 Delitos previstos en la Ley de Monumentos Nacionales Código 12154</t>
  </si>
  <si>
    <t xml:space="preserve">TOTAL </t>
  </si>
  <si>
    <t>FUENTE: Dirección de Bibliotecas, Archivos y Museos (Dibam).</t>
  </si>
  <si>
    <t>UNIDAD DE ORÍGEN Y TIPO DE PUBLICACIÓN</t>
  </si>
  <si>
    <t>Dirección de Bibliotecas, Archivos y Museos -DIBAM</t>
  </si>
  <si>
    <t xml:space="preserve">Memoria- Cuenta Pública </t>
  </si>
  <si>
    <t>Guías de Instituciones Dibam</t>
  </si>
  <si>
    <t>Revista Patrimonio PAT</t>
  </si>
  <si>
    <t xml:space="preserve">Publicaciones seminarios - congresos </t>
  </si>
  <si>
    <t>Cartelera mensual</t>
  </si>
  <si>
    <t>Letras en Género I, II, III y IV</t>
  </si>
  <si>
    <t>Doble de letras: mujeres y trazos escritos</t>
  </si>
  <si>
    <t>Guía para la incorporación del enfoque de género en museos y bibliotecas</t>
  </si>
  <si>
    <t>Historia del arte y feminismo</t>
  </si>
  <si>
    <t>Historia del arte y feminismo II</t>
  </si>
  <si>
    <t>Calles Caminadas anverso y reverso</t>
  </si>
  <si>
    <t>Infancia y Patrimonio (Museo de la Educación Gabriela Mistral)</t>
  </si>
  <si>
    <t>Unidad: Biblioteca Nacional</t>
  </si>
  <si>
    <t>Revista Mapocho (revista de literatura especializada publicada por el Archivo del Escritor)</t>
  </si>
  <si>
    <t>Otras publicaciones (Catálogos de las exposiciones, publicaciones sobre colecciones, etc.)</t>
  </si>
  <si>
    <t>Unidad: Biblioredes del Sistema Nacional de Bibliotecas Públicas</t>
  </si>
  <si>
    <t>Memoria 10 años Programa BiblioRedes</t>
  </si>
  <si>
    <t>Unidad: Subdirección de Archivos</t>
  </si>
  <si>
    <t>Guía de Fondos del Archivo Histórico</t>
  </si>
  <si>
    <t>Guía de Fondos del Archivo Nacional de la Administración</t>
  </si>
  <si>
    <t xml:space="preserve">Recorriendo nuestra historia – Documentos del Archivo Nacional </t>
  </si>
  <si>
    <t>Directrices para la identificación de fondos documentales</t>
  </si>
  <si>
    <t>Directrices para la organización documental</t>
  </si>
  <si>
    <t>Instructivos para las transferencias documentales y documentos tradicionales al Archivo Nacional de Chile</t>
  </si>
  <si>
    <t xml:space="preserve">Revista del Archivo Nacional </t>
  </si>
  <si>
    <t>Iconografía del Salitre</t>
  </si>
  <si>
    <t>Guía de Conservación preventiva (1ra y 2da. Edición)</t>
  </si>
  <si>
    <t xml:space="preserve">Libros </t>
  </si>
  <si>
    <t>Publicaciones de Jornadas Nuevo Guion</t>
  </si>
  <si>
    <t>Catálogos</t>
  </si>
  <si>
    <t>Unidad: Museo Nacional de Bellas Artes</t>
  </si>
  <si>
    <t>Librillo (40 páginas- vinculado a exposición o Departamento de Mediación y Educación)</t>
  </si>
  <si>
    <t>Catálogos editados por MNBA (más de 40 páginas)</t>
  </si>
  <si>
    <t>Catálogos editados por artistas con exposición o gestores culturales de la exposición</t>
  </si>
  <si>
    <t>Publicaciones de seminarios o conversatorios realizados en el museo</t>
  </si>
  <si>
    <t>Unidad: Museo Nacional de Historia Natural</t>
  </si>
  <si>
    <t>Boletín</t>
  </si>
  <si>
    <t>Publicación ocasional</t>
  </si>
  <si>
    <t>Biografías de Mujeres Científicas del MNHN</t>
  </si>
  <si>
    <t>Memoria de la Feria Científica del MNHN</t>
  </si>
  <si>
    <t>Guía del Parque Quinta Normal</t>
  </si>
  <si>
    <t>Unidad: Subdirección Nacional de Museos</t>
  </si>
  <si>
    <t>Folletos</t>
  </si>
  <si>
    <t>Publicaciones periódicas (revistas, boletines, anuales)</t>
  </si>
  <si>
    <t>Trípticos</t>
  </si>
  <si>
    <t>Unidad: Centro de Investigaciones Diego Barros Arana</t>
  </si>
  <si>
    <t>Publicaciones de difusión del patrimonio cultural nacional</t>
  </si>
  <si>
    <t>Unidad: Centro Nacional de Conservación y Restauración</t>
  </si>
  <si>
    <t>Publicación Revista Conserva</t>
  </si>
  <si>
    <t>Número de archivos públicos</t>
  </si>
  <si>
    <t xml:space="preserve"> - No registró movimiento</t>
  </si>
  <si>
    <t xml:space="preserve"> - No registró movimiento.</t>
  </si>
  <si>
    <t>USUARIOS</t>
  </si>
  <si>
    <t>N° de usuarios presenciales y remotos de archivos</t>
  </si>
  <si>
    <t>TIPO DE COLECCIÓN</t>
  </si>
  <si>
    <t>Misceláneos</t>
  </si>
  <si>
    <t>Arte/historia</t>
  </si>
  <si>
    <t>Historia/literatura</t>
  </si>
  <si>
    <t>Arte</t>
  </si>
  <si>
    <t>Religioso</t>
  </si>
  <si>
    <t>Arte/artesanía</t>
  </si>
  <si>
    <t>Antropológico</t>
  </si>
  <si>
    <t>Ciencia</t>
  </si>
  <si>
    <t>CONTINENTE DE DESTINO</t>
  </si>
  <si>
    <t>-No registró movimiento.</t>
  </si>
  <si>
    <t>TIPO DE EXPOSICIÓN Y NACIONALIDAD</t>
  </si>
  <si>
    <t>Museo Nacional de Bellas Artes</t>
  </si>
  <si>
    <t xml:space="preserve">TOTAL TIPO DE EXPOSICIÓN </t>
  </si>
  <si>
    <t>Temporales</t>
  </si>
  <si>
    <t>Itinerantes</t>
  </si>
  <si>
    <t>Permanentes</t>
  </si>
  <si>
    <t>TOTAL NACIONALIDAD</t>
  </si>
  <si>
    <t>Nacionales</t>
  </si>
  <si>
    <t>Internacionales</t>
  </si>
  <si>
    <t>TIPO DE PIEZA</t>
  </si>
  <si>
    <t>Número de piezas restauradas</t>
  </si>
  <si>
    <t>Museo Histórico Nacional  (MHN)</t>
  </si>
  <si>
    <t>Museo Nacional de Historia Natural (MNHN)</t>
  </si>
  <si>
    <t>Museo Nacional de Bellas Artes (MNBA)</t>
  </si>
  <si>
    <t>Subdirección Nacional de Museos (SNM)</t>
  </si>
  <si>
    <t>Nacional</t>
  </si>
  <si>
    <t>Regional</t>
  </si>
  <si>
    <t>Escultura</t>
  </si>
  <si>
    <t>Timón</t>
  </si>
  <si>
    <t>Casa de muñecas</t>
  </si>
  <si>
    <t>Anteojos</t>
  </si>
  <si>
    <t>Pintura</t>
  </si>
  <si>
    <t>Sillón</t>
  </si>
  <si>
    <t>Biblioteca</t>
  </si>
  <si>
    <t>Antropología</t>
  </si>
  <si>
    <t>Paleontología</t>
  </si>
  <si>
    <t>Vertebrados</t>
  </si>
  <si>
    <t>Encáustica sobre madera aglomerada</t>
  </si>
  <si>
    <t>Imaginería religiosa</t>
  </si>
  <si>
    <t>Arqueológicos</t>
  </si>
  <si>
    <t>Especímenes biológicos</t>
  </si>
  <si>
    <t>Históricos</t>
  </si>
  <si>
    <t>Arte (pintura mural, óleos)</t>
  </si>
  <si>
    <t>Tipo de pieza y característica</t>
  </si>
  <si>
    <t>DATOS DEL CENTRO NACIONAL DE CONSERVACIÓN Y RESTAURACIÓN</t>
  </si>
  <si>
    <t xml:space="preserve">N° de asesorías en conservación y restauración efectivamente realizadas por el Centro Nacional de Conservación y Restauración </t>
  </si>
  <si>
    <t xml:space="preserve">N° de objetos intervenidos </t>
  </si>
  <si>
    <t>N° de personas capacitadas en servicios de educación para la conservación</t>
  </si>
  <si>
    <t>N° de usuarios de la biblioteca especializada</t>
  </si>
  <si>
    <t>INDICADORES</t>
  </si>
  <si>
    <t>Museo</t>
  </si>
  <si>
    <t>Museo Histórico Nacional (MHN)</t>
  </si>
  <si>
    <t xml:space="preserve">N° de usuarios atendidos por área educativa </t>
  </si>
  <si>
    <t>N° de usuarios de la (s) biblioteca(s) especializada</t>
  </si>
  <si>
    <t xml:space="preserve">N° de usuarios en delegaciones con servicio de visita guiada </t>
  </si>
  <si>
    <t xml:space="preserve">N° total de actividades como charlas, conferencias y/o seminarios organizados y desarrollados por museos </t>
  </si>
  <si>
    <t xml:space="preserve">N° total de actividades de extensión realizadas por la Subdirección Nacional de Museos y sus unidades dependientes </t>
  </si>
  <si>
    <t>Nº de charlas, conferencias y/o seminarios organizados y desarrollados por el MNBA en directa relación con la artes visuales y/o patrimonio artístico visual nacional e internacional efectivamente realizados</t>
  </si>
  <si>
    <t>TIPO DE ENTRADA</t>
  </si>
  <si>
    <t>Entrada pagada</t>
  </si>
  <si>
    <t>Entrada gratuita</t>
  </si>
  <si>
    <t xml:space="preserve"> 2009</t>
  </si>
  <si>
    <t xml:space="preserve"> 2010</t>
  </si>
  <si>
    <t>2011</t>
  </si>
  <si>
    <t>2012</t>
  </si>
  <si>
    <t>2013</t>
  </si>
  <si>
    <t>2014</t>
  </si>
  <si>
    <t>Admisible</t>
  </si>
  <si>
    <t>Destacado</t>
  </si>
  <si>
    <t>Tesoro Humano Vivo</t>
  </si>
  <si>
    <t>Conocimientos y usos relacionados con la naturaleza y el universo</t>
  </si>
  <si>
    <t>Conocimientos y usos relacionados con la naturaleza y el universo-Técnicas artesanales o tecnología tradicional</t>
  </si>
  <si>
    <t>Técnicas artesanales o tecnología tradicional</t>
  </si>
  <si>
    <t>Tradiciones y expresiones orales</t>
  </si>
  <si>
    <t>Tradiciones y expresiones orales- Usos sociales, rituales y actos festivos</t>
  </si>
  <si>
    <t>Tradiciones y expresiones orales- Usos sociales, rituales y actos festivos-Conocimientos y usos relacionados con la naturaleza y el universo</t>
  </si>
  <si>
    <t>Tradiciones y expresiones orales-Conocimiento y usos relacionados con la naturaleza y el universo</t>
  </si>
  <si>
    <t>Tradiciones y expresiones orales-Técnicas artesanales o tecnología tradicional</t>
  </si>
  <si>
    <t>Tradiciones y expresiones orales-Usos sociales, rituales y actos festivos</t>
  </si>
  <si>
    <t>Tradiciones y expresiones orales-Usos sociales, rituales y actos festivos-Conocimientos y usos relacionados con la naturaleza y el universo-Técnicas artesanales o tecnología tradicional</t>
  </si>
  <si>
    <t>Tradiciones y expresiones orales-Usos sociales, rituales y actos festivos-Técnicas artesanales o tecnología tradicional</t>
  </si>
  <si>
    <t>Usos sociales, rituales y actos festivos</t>
  </si>
  <si>
    <t>Usos sociales, rituales y actos festivos-Conocimientos y usos relacionados con la naturaleza y el universo</t>
  </si>
  <si>
    <t>Usos sociales, rituales y actos festivos-Conocimientos y usos relacionados con la naturaleza y el universo-Técnicas artesanales o tecnología tradicional</t>
  </si>
  <si>
    <t>Usos sociales, rituales y actos festivos-Técnicas artesanales o tecnología tradicional</t>
  </si>
  <si>
    <t>Colectiva</t>
  </si>
  <si>
    <t>Conocimientos y usos relacionados con la naturaleza y el universo-Técnicas artesanales o tecnología tradicional-Tesoro Humano vivo</t>
  </si>
  <si>
    <t>El ciclo agrícola de la Quinua en Cariquima</t>
  </si>
  <si>
    <t>La Fiesta de Cuasimodo</t>
  </si>
  <si>
    <t>Minería del oro en Santa Celia</t>
  </si>
  <si>
    <t>Carpintería de Ribera del Río  Cutipay</t>
  </si>
  <si>
    <t>Pasacalle devocional en Dalcahue y Quinchao</t>
  </si>
  <si>
    <t>Cocina tradicional de Llanquihue</t>
  </si>
  <si>
    <t>Construcción y navegación en chalupa a vela en la zona de las Guaitecas</t>
  </si>
  <si>
    <t>La faena de la Cholga Seca</t>
  </si>
  <si>
    <t>Elaboración de soga en Cochrane y Bahía Murta</t>
  </si>
  <si>
    <t>Artesanía en fibra vegetal en Pugueñún, Ichuac, Llingua y Chaiguao en Chiloé</t>
  </si>
  <si>
    <t>Cestería Yagán</t>
  </si>
  <si>
    <t>Prácticas de recolección de orilla de las comunidades Mapuche Lafkenche agrupadas en la Identidad Territorial Lafkenche</t>
  </si>
  <si>
    <t xml:space="preserve">Tradiciones y expresiones orales </t>
  </si>
  <si>
    <t xml:space="preserve">Usos sociales, rituales y actos festivos </t>
  </si>
  <si>
    <t xml:space="preserve">Conocimientos y usos relacionados con la naturaleza y el universo </t>
  </si>
  <si>
    <t xml:space="preserve">Técnicas artesanales o tecnología tradicional </t>
  </si>
  <si>
    <t>Encuentros interculturales</t>
  </si>
  <si>
    <t>Documentales</t>
  </si>
  <si>
    <t>Expediente UNESCO</t>
  </si>
  <si>
    <t>Audiovisual oficial de postulación a UNESCO</t>
  </si>
  <si>
    <t xml:space="preserve">Trailer </t>
  </si>
  <si>
    <t>Registro</t>
  </si>
  <si>
    <t>Patrimonio Migrante</t>
  </si>
  <si>
    <t>Tesoros Humanos Vivos</t>
  </si>
  <si>
    <t>Tesoros Humanos Vivos Educativo</t>
  </si>
  <si>
    <t>Documentales educativos</t>
  </si>
  <si>
    <t xml:space="preserve">Turismo Cultural </t>
  </si>
  <si>
    <t xml:space="preserve">Publicaciones </t>
  </si>
  <si>
    <t>Audios</t>
  </si>
  <si>
    <t>Cultores colectivos</t>
  </si>
  <si>
    <t>Cultores individuales</t>
  </si>
  <si>
    <t>Fiestas</t>
  </si>
  <si>
    <t>Gastronomía</t>
  </si>
  <si>
    <t>Técnicas Artesanales tradicionales</t>
  </si>
  <si>
    <t>Tradiciones y Expresiones Orales</t>
  </si>
  <si>
    <t>Inventario Priorizado del Patrimonio Cultural Inmaterial en Chile</t>
  </si>
  <si>
    <t>FUENTE: Departamento de Patrimonio, Sección Patrimonio Inmaterial; Consejo Nacional de la Cultura y las Artes (CNCA).</t>
  </si>
  <si>
    <t>Número de documentos contenidos en los archivos de la Dibam</t>
  </si>
  <si>
    <t>Cantidad</t>
  </si>
  <si>
    <t>CATEGORÍA OCUPACIONAL</t>
  </si>
  <si>
    <t>Directivos</t>
  </si>
  <si>
    <t>Profesionales</t>
  </si>
  <si>
    <t>Administrativos</t>
  </si>
  <si>
    <t>Técnicos</t>
  </si>
  <si>
    <t>Auxiliares</t>
  </si>
  <si>
    <t>Vigilantes privados</t>
  </si>
  <si>
    <t>TIPO DE MONUMENTO</t>
  </si>
  <si>
    <t>Monumentos arqueológicos</t>
  </si>
  <si>
    <t>Monumentos paleontológicos</t>
  </si>
  <si>
    <t>MONUMENTO</t>
  </si>
  <si>
    <t>Categoría</t>
  </si>
  <si>
    <t>Mueble / Inmueble</t>
  </si>
  <si>
    <t>Escuela N°10 Jerónimo Godoy Villanueva de Pisco Elqui</t>
  </si>
  <si>
    <t>Monumentos Históricos</t>
  </si>
  <si>
    <t>Inmueble</t>
  </si>
  <si>
    <t>Edificio Estación de Ferrocarriles de La Calera</t>
  </si>
  <si>
    <t>Tornamesa de la Estación de Ferrocarriles de La Calera</t>
  </si>
  <si>
    <t>Recinto Ferroviario de La Calera</t>
  </si>
  <si>
    <t>Zonas Típicas</t>
  </si>
  <si>
    <t>Metropolitana de Santiago</t>
  </si>
  <si>
    <t>Catedral Evangélica de Chile</t>
  </si>
  <si>
    <t>Teatro Parque Cousiño (ex Humoresque)</t>
  </si>
  <si>
    <t>Los archivos documentales, fotográfico y de prensa del diario La Nación</t>
  </si>
  <si>
    <t>Mueble</t>
  </si>
  <si>
    <t>Palacio Elguín</t>
  </si>
  <si>
    <t>Puente colonial en el Canal San Carlos Viejo</t>
  </si>
  <si>
    <t>Consultorio Nº1 Doctor Ramón Corbalán Melgarejo</t>
  </si>
  <si>
    <t>Escuela de Derecho de la Universidad de Chile</t>
  </si>
  <si>
    <t>Libertador Gral. Bernardo O' Higgins</t>
  </si>
  <si>
    <t>Tubería de madera de Pangal</t>
  </si>
  <si>
    <t>Estación de Ferrocarriles de Peumo</t>
  </si>
  <si>
    <t>Sector Maule Schwager</t>
  </si>
  <si>
    <t>Sector de Chambeque</t>
  </si>
  <si>
    <t>Pique Alberto y su cabría</t>
  </si>
  <si>
    <t>Pique Carlos 1 y su cabría</t>
  </si>
  <si>
    <t>Pique Carlos 2 y su cabría</t>
  </si>
  <si>
    <t>Termoeléctrica</t>
  </si>
  <si>
    <t>Galpones del Parque Industrial</t>
  </si>
  <si>
    <t>Planta de lavado</t>
  </si>
  <si>
    <t>Silo de la planta de lavado</t>
  </si>
  <si>
    <t>Silo de la Planta Transportadora</t>
  </si>
  <si>
    <t>Tornamesa</t>
  </si>
  <si>
    <t>Ruinas cinta transportadora</t>
  </si>
  <si>
    <t>Edificio Búnker</t>
  </si>
  <si>
    <t>Muelle</t>
  </si>
  <si>
    <t xml:space="preserve">Tortas de escoria </t>
  </si>
  <si>
    <t>Polvorines</t>
  </si>
  <si>
    <t>Sector de Lota Alto</t>
  </si>
  <si>
    <t>Mercado Central de Concepción</t>
  </si>
  <si>
    <t xml:space="preserve">La Araucanía </t>
  </si>
  <si>
    <t>Capilla Nuestra Señora del Carmen de Ultracautín</t>
  </si>
  <si>
    <t>Entorno de la Iglesia de San Juan Bautista de San Juan</t>
  </si>
  <si>
    <t>Entorno de la Iglesia San Antonio de Colo</t>
  </si>
  <si>
    <t>Entorno de la Iglesia Nuestra Señora de Gracias de Nercón</t>
  </si>
  <si>
    <t>Cementerio de Forrahue</t>
  </si>
  <si>
    <t>Aysén del Gral. Carlos Ibáñez del Campo</t>
  </si>
  <si>
    <t>Paso San Carlos</t>
  </si>
  <si>
    <t>Magallanes y de la Antártica Chilena</t>
  </si>
  <si>
    <t>Campamento Cerro Sombrero</t>
  </si>
  <si>
    <t>Equipamiento de Cerro Sombrero: Centro Cívico</t>
  </si>
  <si>
    <t>Polideportivo</t>
  </si>
  <si>
    <t>Cine</t>
  </si>
  <si>
    <t>Supermercado</t>
  </si>
  <si>
    <t>Escuela</t>
  </si>
  <si>
    <t>Observatirio</t>
  </si>
  <si>
    <t>Iglesia</t>
  </si>
  <si>
    <t>Hospital</t>
  </si>
  <si>
    <t>Equipamiento de Cerro Sombrero: Surtidor de Gasolina</t>
  </si>
  <si>
    <t>FUENTE: Policía de Investigaciones de Chile (PDI). Jefatura Nacional de delitos contra el Medio Ambiente y Patrimonio Cultural (Jenama).</t>
  </si>
  <si>
    <t>TABLA 10.1: NÚMERO DE PROYECTOS PRESENTADOS Y FINANCIADOS A TRAVÉS DEL FONDO DE APOYO A LA INVESTIGACIÓN PATRIMONIAL (FAIP), SEGÚN REGIÓN. 2009-2014</t>
  </si>
  <si>
    <t>TABLA 10.2: NÚMERO DE PUBLICACIONES DE LA DIRECCIÓN DE BIBLIOTECAS, ARCHIVOS Y MUSEOS (DIBAM), SEGÚN UNIDAD DE ORIGEN Y TIPO DE PUBLICACIÓN. 2009-2014</t>
  </si>
  <si>
    <t>TABLA 10.3: NÚMERO DE ARCHIVOS PÚBLICOS DE LA DIRECCIÓN DE BIBLIOTECAS, ARCHIVOS Y MUSEOS (DIBAM), SEGÚN REGIÓN. 2009-2014</t>
  </si>
  <si>
    <t>TABLA 10.5: NÚMERO TOTAL DE USUARIOS PRESENCIALES Y REMOTOS DE ARCHIVOS PÚBLICOS DE LA DIRECCIÓN DE BIBLIOTECAS, ARCHIVOS Y MUSEOS (DIBAM). 2009-2014</t>
  </si>
  <si>
    <t>TABLA 10.8: OTROS INDICADORES DE LOS MUSEOS DE LA DIRECCIÓN DE BIBLIOTECAS, ARCHIVOS Y MUSEOS (DIBAM). 2014</t>
  </si>
  <si>
    <t>TABLA 10.9: NÚMERO DE MUSEOS DE LA DIRECCIÓN DE BIBLIOTECAS, ARCHIVOS Y MUSEOS (DIBAM), SEGÚN REGIÓN. 2009-2014</t>
  </si>
  <si>
    <t>TABLA 10.10: PERSONAL DE MUSEOS DE LA DIRECCIÓN DE BIBLIOTECAS, ARCHIVOS Y MUSEOS (DIBAM), SEGÚN CATEGORÍA OCUPACIONAL. 2014</t>
  </si>
  <si>
    <t>TABLA 10.11: NÚMERO DE MUSEOS DE LA DIRECCIÓN DE BIBLIOTECAS, ARCHIVOS Y MUSEOS (DIBAM), SEGÚN TIPO DE COLECCIÓN. 2009-2014</t>
  </si>
  <si>
    <t>TABLA 10.12: NÚMERO DE AUTORIZACIONES DE SALIDA DEL TERRITORIO NACIONAL ENTREGADAS POR EL MUSEO NACIONAL DE BELLAS ARTES DE OBRAS DE ARTE (LEY 17.236),  SEGÚN CONTINENTE DE DESTINO. 2014</t>
  </si>
  <si>
    <t>TABLA 10.13: NÚMERO DE EXPOSICIONES POR MUSEO DE LA DIRECCIÓN DE BIBLIOTECAS, ARCHIVOS Y MUSEOS (DIBAM) , SEGÚN TIPO DE EXPOSICIÓN Y NACIONALIDAD. 2014</t>
  </si>
  <si>
    <t>TABLA 10.14: NÚMERO DE PIEZAS RESTAURADAS, POR MUSEO DE LA DIRECCIÓN DE BIBLIOTECAS, ARCHIVOS Y MUSEOS (DIBAM)POR TIPO DE MUSEO (NACIONAL Y REGIONAL), SEGÚN TIPO DE PIEZA. 2014</t>
  </si>
  <si>
    <t>TABLA 10.15: NÚMERO DE PIEZAS RESTAURADAS EN LOS MUSEOS DE LA SUBDIRECCIÓN DE MUSEOS DE LA DIRECCIÓN DE BIBLIOTECAS, ARCHIVOS Y MUSEOS (DIBAM), SEGÚN TIPO DE PIEZA. 2009-2014</t>
  </si>
  <si>
    <t>TABLA 10.16: NÚMERO DE PIEZAS RESTAURADAS EN LOS MUSEOS DE LA SUBDIRECCIÓN DE MUSEOS DE LA DIRECCIÓN DE BIBLIOTECAS, ARCHIVOS Y MUSEOS (DIBAM), POR TIPO DE PIEZA, SEGÚN REGIÓN. 2014</t>
  </si>
  <si>
    <t>TABLA 10.17: NÚMERO DE USUARIOS, POR MUSEOS DE LA DIRECCIÓN DE BIBLIOTECAS, ARCHIVOS Y MUSEOS (DIBAM), SEGÚN TIPO DE ENTRADA. 2014</t>
  </si>
  <si>
    <t>TABLA 10.18: NÚMERO DE USUARIOS DE LOS MUSEOS DE LA DIRECCIÓN DE BIBLIOTECAS, ARCHIVOS Y MUSEOS (DIBAM), SEGÚN GRUPOS DE EDAD. 2014</t>
  </si>
  <si>
    <t>TABLA 10.19: NÚMERO DE AUTORIZACIONES DE SALIDA DE MONUMENTOS DEL TERRITORIO NACIONAL, SEGÚN TIPO DE MONUMENTO. 2009-2014</t>
  </si>
  <si>
    <t>TABLA 10.20: NÚMERO DE AUTORIZACIONES DE SALIDA DE MONUMENTOS, SEGÚN DESTINO. 2010-2014</t>
  </si>
  <si>
    <t>TABLA 10.21: NÚMERO DE AUTORIZACIONES POR DESTINO, SEGÚN TIPO DE MONUMENTO. 2014</t>
  </si>
  <si>
    <t>TABLA 10.22: NÚMERO DE SOLICITUDES DE DECLARACIÓN DE MONUMENTOS NACIONALES RECIBIDAS, SEGÚN TIPO DE MONUMENTO Y REGIÓN. 2014</t>
  </si>
  <si>
    <t>TABLA 10.23: NÚMERO DE MONUMENTOS NACIONALES DECLARADOS POR DECRETO, SEGÚN TIPO DE MONUMENTO Y REGIÓN. 2014</t>
  </si>
  <si>
    <t>TABLA 10.24: NÚMERO DE MONUMENTOS NACIONALES DECLARADOS POR DECRETO, SEGÚN TIPO DE MONUMENTO Y REGIÓN (HISTORICO, DESDE 1925). 2014</t>
  </si>
  <si>
    <t>TABLA 10.25: NÓMINA DE MONUMENTOS NACIONALES DECLARADOS, SEGÚN REGIÓN Y MONUMENTO. 2014</t>
  </si>
  <si>
    <t>TABLA 10.38: NÚMERO DE BENEFICIARIOS DE PROGRAMA DE EDUCACIÓN AMBIENTAL (EDAM) DENTRO Y FUERA DE LAS ÁREAS SILVESTRES PROTEGIDAS (ASP), SEGÚN REGIÓN. 2012-2014</t>
  </si>
  <si>
    <t>TABLA 10.39: NÚMERO DE SANTUARIOS DE LA NATURALEZA DECLARADOS POR DECRETO (HISTORICO, DESDE 1925), SEGÚN REGIÓN. 2014</t>
  </si>
  <si>
    <t>TABLA 10.41: DISTRIBUCIÓN NACIONAL DEL SISTEMA NACIONAL DE ÁREAS SILVESTRES PROTEGIDAS DEL ESTADO (SNASPE) Y SUPERFICIE (HÁ). 2014</t>
  </si>
  <si>
    <t>TABLA 10.42: NÓMINA Y SUPERFICIE (HÁ) DE LOS PARQUES NACIONALES SEGÚN REGIÓN. 2014</t>
  </si>
  <si>
    <t>TABLA 10.43: NÓMINA Y SUPERFICIE (HÁ) DE LAS RESERVAS NACIONALES SEGÚN REGIÓN. 2014</t>
  </si>
  <si>
    <t>TABLA 10.44: NÓMINA Y SUPERFICIE (HÁ) DE MONUMENTOS NATURALES SEGÚN REGIÓN. 2014</t>
  </si>
  <si>
    <t>TABLA 10.45: NÚMERO Y PORCENTAJE DE SUPERFICIE DE RESERVAS DE LA BIÓSFERA EN HECTÁREAS, PRESENTES EN CHILE POR PERTENENCIA O NO PERTENENCIA A LAS ÁREAS SILVESTRES PROTEGIDAS (ASP), SEGÚN TIPO DE RESERVA DE LA BIÓSFERA. 2014</t>
  </si>
  <si>
    <t>TABLA 10.46: ANTECEDENTES GENERALES DE LAS RESERVAS DE LA BIÓSFERA PRESENTES EN CHILE POR  AÑO DE CREACIÓN, FECHA DE MODIFICACIÓN Y SUPERFICIE (HÁ), SEGÚN REGIÓN. 2014</t>
  </si>
  <si>
    <t>TABLA 10.47: ANTECEDENTES GENERALES DE LOS SITIOS DE LA CONVENCIÓN RAMSAR PRESENTES EN CHILE, POR PERTENENCIA O NO PERTENENCIA A LAS ÁREAS SILVESTRES PROTEGIDAS (ASP), POR AÑO DE CREACIÓN Y SUPERFICIE, SEGÚN REGIÓN. 2014</t>
  </si>
  <si>
    <t>TABLA 10.51: VISITANTES TOTALES SEGÚN REGIÓN Y UNIDAD DEL SISTEMA NACIONAL DE ÁREAS SILVESTRES PROTEGIDAS DEL ESTADO (SNASPE). 2009-2014</t>
  </si>
  <si>
    <t>TABLA 10.52: NÚMERO DE VISITANTES A UNIDADES DEL SISTEMA NACIONAL DE ÁREAS SILVESTRES PROTEGIDAS DEL ESTADO (SNASPE) POR AÑO Y NACIONALIDAD (CHILENA Y EXTRANJERA), SEGÚN REGIÓN Y UNIDAD DEL SNASPE. 2009-2014</t>
  </si>
  <si>
    <t>TABLA 10.53: NÚMERO DE VISITANTES A UNIDADES DEL SISTEMA NACIONAL DE ÁREAS SILVESTRES PROTEGIDAS DEL ESTADO (SNASPE) POR AÑO Y SEXO, SEGÚN REGIÓN Y UNIDAD DEL SNASPE. 2009-2014</t>
  </si>
  <si>
    <t>TABLA 10.54: NÚMERO DE VISITANTES A UNIDADES DEL SISTEMA NACIONAL DE ÁREAS PROTEGIDAS DEL ESTADO (SNASPE) POR AÑO Y TRAMO DE EDAD, SEGÚN REGIÓN Y UNIDAD DEL SNASPE. 2009-2014</t>
  </si>
  <si>
    <t>TABLA 10.55: NÚMERO DE VISITANTES CON CONDICIONES ESPECIALES A UNIDADES DEL SISTEMA NACIONAL DE ÁREAS SILVESTRES PROTEGIDAS DEL ESTADO (SNASPE) POR AÑO, SEGÚN REGIÓN Y UNIDAD DEL SNASPE. 2009-2014</t>
  </si>
  <si>
    <t>TABLA 10.56: NÚMERO DE DENUNCIAS SIN APREHENDIDOS Y CON APREHENDIDOS, Y NÚMERO DE APREHENDIDOS, POR "DAÑOS O APROPIACIÓN SOBRE MONUMENTOS NACIONALES (Art. 38-38 bis Ley 17.288)", SEGÚN REGIÓN. 2014</t>
  </si>
  <si>
    <t>TABLA 10.57: NÚMERO DE APREHENDIDOS POR "DAÑOS O APROPIACIÓN SOBRE MONUMENTOS NACIONALES", POR SEXO Y GRUPOS DE EDAD, SEGÚN REGIÓN. 2014</t>
  </si>
  <si>
    <t>TABLA 10.58: NÚMERO DE DELITOS INVESTIGADOS, PERSONAS DETENIDAS POR LEY 17.288 DE DELITOS PATRIMONIALES Y NÚMERO DE INCAUTACIONES, SEGÚN REGIÓN POLICIAL. 2014</t>
  </si>
  <si>
    <t>TABLA 10.59: NÚMERO DE PIEZAS PATRIMONIALES INCAUTADAS (LEY 17.288), SEGÚN ADUANA Y AVANZADA. 2014</t>
  </si>
  <si>
    <t>TABLA 10.60: NÓMINA DE PIEZAS PATRIMONIALES INCAUTADAS (LEY 17.288) SEGÚN AVANZADA. 2014</t>
  </si>
  <si>
    <t>TABLA 10.61: NÚMERO DE PIEZAS INCAUTADAS EN EL MARCO DE LA CONVENCIÓN SOBRE EL COMERCIO INTERNACIONAL DE ESPECIES AMENAZADAS DE FAUNA Y FLORA SILVESTRE (CITES), SEGÚN ADUANAS Y AVANZADA. 2014</t>
  </si>
  <si>
    <t>TABLA 10.62: NÓMINA DE PIEZAS INCAUTADAS EN EL MARCO DE LA CONVENCIÓN SOBRE EL COMERCIO INTERNACIONAL DE ESPECIES AMENAZADAS DE FAUNA Y FLORA SILVESTRE (CITES), SEGÚN ADUANA Y ESPECIES. 2014</t>
  </si>
  <si>
    <t>TABLA 10.63: CAUSAS INGRESADAS Y TERMINADAS EN JUZGADOS DE GARANTÍA Y DE LETRAS Y GARANTÍA POR INFRACCIÓN A LA LEY DE DAÑOS O APROPIACIÓN SOBRE MONUMENTOS NACIONALES, SEGÚN CORTE DE APELACIÓN. 2014</t>
  </si>
  <si>
    <t>TABLA 10.65: DELITOS INGRESADOS AL MINISTERIO PÚBLICO EN RELACIÓN CON LA LEY DE DAÑOS O APROPIACIÓN DE MONUMENTOS NACIONALES, SEGÚN REGIÓN DE FISCALÍA. 2009-2014</t>
  </si>
  <si>
    <t>TABLA 10.66: DELITOS TERMINADOS EN EL MINISTERIO PÚBLICO EN RELACIÓN A LA LEY DE DAÑOS O APROPIACIÓN DE MONUMENTOS NACIONALES, SEGÚN REGIÓN DE FISCALÍA. 2009-2014</t>
  </si>
  <si>
    <t>TABLA 10.67: SENTENCIAS DEFINITIVAS CONDENATORIAS EN RELACIÓN A LA LEY DE DAÑOS O APROPIACIÓN DE MONUMENTOS NACIONALES, SEGÚN REGIÓN DE FISCALÍA. 2009-2014</t>
  </si>
  <si>
    <t>ÁMBITO PATRIMONIO CULTURAL INMATERIAL Y RESULTADO DE LA POSTULACIÓN</t>
  </si>
  <si>
    <t>Inadmisible</t>
  </si>
  <si>
    <t>ÁMBITO PATRIMONIO CULTURAL INMATERIAL</t>
  </si>
  <si>
    <t>TABLA 10.29: NÚMERO DE POSTULACIONES A TESORO HUMANO VIVO (THV) QUE AUTODECLARA MÁS DE UN ÁMBITO DE PATRIMONIO CULTURAL INMATERIAL, SEGÚN RESULTADO. 2009-2014</t>
  </si>
  <si>
    <t>TABLA 10.28: NÚMERO DE POSTULACIONES A TESORO HUMANO VIVO (THV), SEGÚN ÁMBITO DEL PATRIMONIO CULTURAL INMATERIAL Y RESULTADO DE POSTULACIÓN. 2009-2014</t>
  </si>
  <si>
    <t>REGIÓN Y TIPO DE POSTULACIÓN</t>
  </si>
  <si>
    <t>Individual</t>
  </si>
  <si>
    <t>REGIÓN Y NOMBRE DEL EXPEDIENTE</t>
  </si>
  <si>
    <t>Ámbito de patrimonio inmaterial</t>
  </si>
  <si>
    <t>TABLA 10.32: EXPRESIONES RECONOCIDAS EN EL INVENTARIO DEL PATRIMONIO CULTURAL INMATERIAL EN CHILE, SEGÚN REGIÓN. 2013-2014</t>
  </si>
  <si>
    <t>ÁMBITO DEL PATRIMONIO INMATERIAL</t>
  </si>
  <si>
    <t>TABLA 10.33: EXPRESIONES RECONOCIDAS EN EL INVENTARIO PRIORIZADO DEL PATRIMONIO CULTURAL INMATERIAL EN CHILE, SEGÚN ÁMBITO DEL PATRIMONIO INMATERIAL. 2013-2014</t>
  </si>
  <si>
    <t>PROGRAMA/PROYECTO Y TIPO DE MATERIAL</t>
  </si>
  <si>
    <t>Universo cultural Aymara</t>
  </si>
  <si>
    <t>TIPO DE PRODUCTO</t>
  </si>
  <si>
    <t>REGIÓN Y TIPO DE ACERVO</t>
  </si>
  <si>
    <t>Ámbitos de Patrimonio Cultural Inmaterial y Tipo de acervo</t>
  </si>
  <si>
    <t>CNCA Chile Artesanía</t>
  </si>
  <si>
    <t>Fundación Artesanías de Chile</t>
  </si>
  <si>
    <t>FUENTE:  Elaboración propia a partir de los registros Chile Artesanía (Departamento de fomento de las artes e industrias creativas, Área de Artesanía. Consejo Nacional de la Cultura y las Artes, CNCA), Fundación Artesanías de Chile y el Instituto de Desarrollo Agropecuario (INDAP).</t>
  </si>
  <si>
    <t>TABLA 11.2: NÚMERO DE ARTESANOS INSCRITOS EN EL SISTEMA DE INFORMACIÓN NACIONAL DE ARTESANÍA DEL CONSEJO NACIONAL DE LA CULTURA Y LAS ARTES (CNCA) POR PUEBLO ORIGINARIO, SEGÚN REGIÓN. 2014</t>
  </si>
  <si>
    <t>Pueblo originario</t>
  </si>
  <si>
    <t xml:space="preserve">Atacameña/Licanantai                            </t>
  </si>
  <si>
    <t xml:space="preserve">Aymara                                            </t>
  </si>
  <si>
    <t xml:space="preserve">Colla                                             </t>
  </si>
  <si>
    <t xml:space="preserve">Diaguita                                          </t>
  </si>
  <si>
    <t xml:space="preserve">Kawashkar                                         </t>
  </si>
  <si>
    <t xml:space="preserve">Mapuche                                           </t>
  </si>
  <si>
    <t xml:space="preserve">Quechua                                           </t>
  </si>
  <si>
    <t xml:space="preserve">Rapa Nui                                          </t>
  </si>
  <si>
    <t xml:space="preserve">Yagán                                             </t>
  </si>
  <si>
    <t xml:space="preserve">No pertenece a ningún pueblo originario                                            </t>
  </si>
  <si>
    <t xml:space="preserve">FUENTE: Departamento de fomento de las artes e industrias creativas, Área de Artesanía. Consejo Nacional de la Cultura y las Artes (CNCA). </t>
  </si>
  <si>
    <t>Nota: 6 casos perdidos</t>
  </si>
  <si>
    <t>TABLA 11.3: NÚMERO DE ARTESANOS POR DISCIPLINA, SEGÚN REGIÓN. 2014</t>
  </si>
  <si>
    <t>Disciplina</t>
  </si>
  <si>
    <t xml:space="preserve">Alfarería / cerámica                                                                                </t>
  </si>
  <si>
    <t xml:space="preserve">Cantería / piedra                                                                                   </t>
  </si>
  <si>
    <t xml:space="preserve">Cestería                                                                                            </t>
  </si>
  <si>
    <t xml:space="preserve">Orfebrería/Metales                                                                                            </t>
  </si>
  <si>
    <t>Cordelería</t>
  </si>
  <si>
    <t>Marroquinería/Cueros</t>
  </si>
  <si>
    <t>Hierbas</t>
  </si>
  <si>
    <t xml:space="preserve">Huesos / cuernos / conchas                                                                          </t>
  </si>
  <si>
    <t xml:space="preserve">Instrumentos musicales y luthier                                                                    </t>
  </si>
  <si>
    <t>Juguetes tradicionales</t>
  </si>
  <si>
    <t xml:space="preserve">Madera                                                                                              </t>
  </si>
  <si>
    <t>Papel</t>
  </si>
  <si>
    <t xml:space="preserve">Textilería                                                                                          </t>
  </si>
  <si>
    <t xml:space="preserve">Vidrio                                                                                              </t>
  </si>
  <si>
    <t>Otros</t>
  </si>
  <si>
    <t>Nota: 3 casos perdidos.</t>
  </si>
  <si>
    <t>... Información no disponible.</t>
  </si>
  <si>
    <t xml:space="preserve">FUENTE: Departamento de fomento de las artes e industrias creativas área de artesanía. Consejo Nacional de la Cultura y las Artes (CNCA). </t>
  </si>
  <si>
    <t>Año entrega sello excelencia nacional</t>
  </si>
  <si>
    <t>Producto con sello de excelencia</t>
  </si>
  <si>
    <t>Llamito, guardián del agua</t>
  </si>
  <si>
    <t>Ceramica</t>
  </si>
  <si>
    <t>Set de cholgas</t>
  </si>
  <si>
    <t>Madera</t>
  </si>
  <si>
    <t>Villarrica</t>
  </si>
  <si>
    <t>Conjunto de piezas en cobre grabadas y oxidadas</t>
  </si>
  <si>
    <t>Orfebrería</t>
  </si>
  <si>
    <t>Chiloe</t>
  </si>
  <si>
    <t>Manta Chinpu</t>
  </si>
  <si>
    <t>Textil</t>
  </si>
  <si>
    <t xml:space="preserve">Nguilliu, Pocillo de chuchín </t>
  </si>
  <si>
    <t>Caja de cachos con broche y boton 9 hebras</t>
  </si>
  <si>
    <t>cuero</t>
  </si>
  <si>
    <t>La Ligua</t>
  </si>
  <si>
    <t>Chal tres técnicas</t>
  </si>
  <si>
    <t>Pozo Almonte</t>
  </si>
  <si>
    <t>Línea de balai</t>
  </si>
  <si>
    <t>Cestería</t>
  </si>
  <si>
    <t>San Juan de la Costa, Osorno</t>
  </si>
  <si>
    <t>Aros Diaguitas</t>
  </si>
  <si>
    <t>Paiguano</t>
  </si>
  <si>
    <t>Colección Terra: cerámica y plata</t>
  </si>
  <si>
    <t>La Reina</t>
  </si>
  <si>
    <t>TABLA 12.1: NÚMERO DE AUTORES ASOCIADOS A LA SOCIEDAD DE CREADORES DE IMAGEN FIJA (CREAIMAGEN) POR SEXO, SEGÚN REGIÓN. 2014</t>
  </si>
  <si>
    <t>Autores asociados</t>
  </si>
  <si>
    <t>Sexo</t>
  </si>
  <si>
    <t>FUENTE: Sociedad de Creadores de Imagen Fija (Creaimagen).</t>
  </si>
  <si>
    <t>TABLA 12.2: NÚMERO DE SOCIOS INCORPORADOS A LA SOCIEDAD DE CREADORES DE IMAGEN FIJA (CREAIMAGEN) POR SEXO, SEGÚN REGIÓN. 2014</t>
  </si>
  <si>
    <t>Socios incorporados</t>
  </si>
  <si>
    <t>TABLA 12.3: NÚMERO DE AUTORES AFILIADOS A LA SOCIEDAD DE CREADORES DE IMAGEN FIJA (CREAIMAGEN) QUE GENERARON DERECHOS EN CHILE Y EN EL EXTRANJERO. 2009-2014</t>
  </si>
  <si>
    <t>AUTORES FAVORECIDOS</t>
  </si>
  <si>
    <t>TABLA 12.4: NÚMERO DE AUTORIZACIONES REGISTRADAS POR LA SOCIEDAD DE CREADORES DE IMAGEN FIJA (CREAIMAGEN) SOBRE USO DE IMAGEN FIJA, CONCEDIDAS EN CHILE Y EN EL EXTRANJERO. 2009 - 2014</t>
  </si>
  <si>
    <t>AUTORIZACIONES</t>
  </si>
  <si>
    <t>TABLA 12.5: RECAUDACIÓN DE DERECHOS DE AUTOR POR LA SOCIEDAD DE CREADORES DE IMAGEN FIJA (CREAIMAGEN), SEGÚN ORIGEN DE LA OBRA Y DE LA RECAUDACIÓN (NACIONAL Y EXTRANJERA). 2009-2014</t>
  </si>
  <si>
    <t>DISTRIBUCIÓN</t>
  </si>
  <si>
    <t>Distribución nacional</t>
  </si>
  <si>
    <t>Distribución extranjera</t>
  </si>
  <si>
    <t>Medios</t>
  </si>
  <si>
    <t>Independientes</t>
  </si>
  <si>
    <t>Reporteros gráficos</t>
  </si>
  <si>
    <t>Camarógrafos</t>
  </si>
  <si>
    <t>Activo</t>
  </si>
  <si>
    <t>No activo</t>
  </si>
  <si>
    <t>FUENTE: Unión de Reporteros Gráficos y Camarógrafos de Chile</t>
  </si>
  <si>
    <t>Número de consursos</t>
  </si>
  <si>
    <t>Número de exposiciones</t>
  </si>
  <si>
    <t>Número de visitantes a exposiciones</t>
  </si>
  <si>
    <t>TABLA 13.1: NÚMERO DE ASOCIADOS AL SINDICATO DE ACTORES DE CHILE (SIDARTE) POR SEXO, SEGÚN REGIÓN. 2011-2014</t>
  </si>
  <si>
    <t>Sin información territorial</t>
  </si>
  <si>
    <t>Fuente: Sindicato de Actores de Chile (Sidarte)</t>
  </si>
  <si>
    <t>TABLA 13.2: NÚMERO DE ASOCIADOS  AL SINDICATO DE ACTORES DE CHILE (SIDARTE) EGRESADOS DE LAS CARRERAS DE TEATRO POR SEXO, SEGÚN REGIÓN. 2012-2014</t>
  </si>
  <si>
    <t>Fuente: Sindicato de Actores de Chile (Sidarte).</t>
  </si>
  <si>
    <t>TABLA 13.3: NÚMERO DE ASOCIADOS  AL SINDICATO DE ACTORES DE CHILE (SIDARTE) TITULADOS DE LAS CARRERAS DE TEATRO POR SEXO, SEGÚN REGIÓN. 2012-2014</t>
  </si>
  <si>
    <t>... Información no disponible</t>
  </si>
  <si>
    <t>TABLA 13.4: NÚMERO DE ACTORES ASOCIADOS A LA CORPORACIÓN DE ACTORES DE CHILE (CHILEACTORES) AL 31 DE DICIEMBRE DE CADA AÑO. 2009-2014</t>
  </si>
  <si>
    <t>AÑO</t>
  </si>
  <si>
    <t>FUENTE: Corporación de Actores de Chile (Chileactores).</t>
  </si>
  <si>
    <t>Número de socios</t>
  </si>
  <si>
    <t>FUENTE: Sociedad de Autores Nacionales de Teatro, Cine y Audiovisuales (ATN).</t>
  </si>
  <si>
    <t>TABLA 13.6: NÚMERO DE ASOCIADOS  AL SINDICATO DE ACTORES DE CHILE (SIDARTE) ADSCRITOS A INSTITUCIONES DE SALUD PREVISIONAL (ISAPRES) POR SEXO, SEGÚN REGIÓN. 2012-2014</t>
  </si>
  <si>
    <t>TABLA 13.7: NÚMERO DE ASOCIADOS  AL SINDICATO DE ACTORES DE CHILE (SIDARTE) ADSCRITOS A LAS ADMINISTRADORAS DE FONDOS DE PENSIONES (AFP) POR SEXO, SEGÚN REGIÓN. 2012-2014</t>
  </si>
  <si>
    <t>TABLA 13.8: NÚMERO DE ASOCIADOS AL SINDICATO DE ACTORES DE CHILE (SIDARTE) ADSCRITOS A ISAPRES Y AFP POR SEXO, SEGÚN REGIÓN. 2012-2014</t>
  </si>
  <si>
    <t>NACIONALIDAD DE AUTORES QUE GENERARON DERECHOS DE AUTOR</t>
  </si>
  <si>
    <t>Autores nacionales</t>
  </si>
  <si>
    <t>Autores extranjeros</t>
  </si>
  <si>
    <t>AUTORIZACIONES/TIPO DE OBRA</t>
  </si>
  <si>
    <t>Concedidas en Chile</t>
  </si>
  <si>
    <t>Obras nacionales</t>
  </si>
  <si>
    <t>Obras extranjeras</t>
  </si>
  <si>
    <t>Concedidas en el extranjero</t>
  </si>
  <si>
    <t>TABLA 13.11: MONTO DE DERECHOS RECAUDADOS POR LA SOCIEDAD DE AUTORES NACIONALES DE TEATRO, CINE Y AUDIOVISUALES (ATN), SEGÚN ORIGEN DE LAS OBRA. 2009-2014</t>
  </si>
  <si>
    <t>ORÍGEN DE LAS OBRAS Y PROVENIENCIA</t>
  </si>
  <si>
    <t>Derechos recibidos del extranjero</t>
  </si>
  <si>
    <t>NACIONALIDAD DEL AUTOR</t>
  </si>
  <si>
    <t>Monto (pesos de cada año)</t>
  </si>
  <si>
    <t>TABLA 13.13: NÚMERO DE FUNCIONES DE ESPECTÁCULOS DE ARTES ESCÉNICAS POR TIPO DE ESPECTÁCULO. 2009-2014</t>
  </si>
  <si>
    <t>Tipo de espectáculo</t>
  </si>
  <si>
    <t>Teatro infantil</t>
  </si>
  <si>
    <t>Teatro Adulto</t>
  </si>
  <si>
    <t>Ballet</t>
  </si>
  <si>
    <t>Danza moderna o contemporánea</t>
  </si>
  <si>
    <t>Danza regional y/o folclórica</t>
  </si>
  <si>
    <t>Ópera</t>
  </si>
  <si>
    <t>Circo</t>
  </si>
  <si>
    <t>2009</t>
  </si>
  <si>
    <t>FUENTE: Encuesta de Espectáculos Públicos (INE).</t>
  </si>
  <si>
    <t>TABLA 13.14: NÚMERO DE FUNCIONES DE ESPECTÁCULOS DE ARTES ESCÉNICAS POR TIPO DE ESPECTÁCULO, SEGÚN REGIÓN. 2014</t>
  </si>
  <si>
    <t>Teatro Infantil</t>
  </si>
  <si>
    <t>Danza Moderna y/o contemporánea</t>
  </si>
  <si>
    <t>Danza Regional ó folclórica</t>
  </si>
  <si>
    <t>TABLA 13.15: NÚMERO DE ASISTENTES A ESPECTÁCULOS DE ARTES ESCÉNICAS, PAGANDO ENTRADA POR TIPO DE ESPECTÁCULO, SEGÚN REGIÓN. 2014</t>
  </si>
  <si>
    <t>TABLA 13.16: NÚMERO DE ASISTENTES A ESPECTÁCULOS DE ARTES ESCÉNICAS CON ENTRADA GRATUITA, POR TIPO DE ESPECTÁCULO, SEGÚN REGIÓN. 2014</t>
  </si>
  <si>
    <t>TABLA 13.17: NÚMERO DE ASISTENTES A ESPECTÁCULOS DE ARTES ESCÉNICAS, PAGANDO ENTRADA, POR TIPO DE ESPECTÁCULO. 2009-2014</t>
  </si>
  <si>
    <t>Danza moderna y/o contemporánea</t>
  </si>
  <si>
    <t>2010</t>
  </si>
  <si>
    <t>TABLA 13.18: NÚMERO DE ASISTENTES A ESPECTÁCULOS DE ARTES ESCÉNICAS CON ENTRADA GRATUITA, POR TIPO DE ESPECTÁCULO. 2009-2014</t>
  </si>
  <si>
    <t>Teatro público general</t>
  </si>
  <si>
    <t>TABLA 13.19: NÚMERO DE ASISTENTES A ESPECTÁCULOS DE ARTES ESCÉNICAS CON ENTRADA GRATUITA Y PAGADA POR MES, SEGÚN REGIÓN. 2014</t>
  </si>
  <si>
    <t>Enero</t>
  </si>
  <si>
    <t>Febrero</t>
  </si>
  <si>
    <t>Marzo</t>
  </si>
  <si>
    <t>Abril</t>
  </si>
  <si>
    <t>Mayo</t>
  </si>
  <si>
    <t>Junio</t>
  </si>
  <si>
    <t>Julio</t>
  </si>
  <si>
    <t>Agosto</t>
  </si>
  <si>
    <t>Septiembre</t>
  </si>
  <si>
    <t>Octubre</t>
  </si>
  <si>
    <t>Noviembre</t>
  </si>
  <si>
    <t>Diciembre</t>
  </si>
  <si>
    <t>TABLA 14.1: NÚMERO Y PORCENTAJE DE ASOCIADOS (PERSONAS NATURALES) A LA SOCIEDAD CHILENA DEL DERECHO DE AUTOR (SCD), SEGÚN REGIÓN. 2014</t>
  </si>
  <si>
    <t>Afiliados</t>
  </si>
  <si>
    <t>Porcentaje</t>
  </si>
  <si>
    <t>Los Ríos/1</t>
  </si>
  <si>
    <t>FUENTE: Sociedad Chilena del Derecho de Autor (SCD).</t>
  </si>
  <si>
    <t>TABLA 14.3: NÚMERO Y PORCENTAJE DE ASOCIADOS A LA SOCIEDAD CHILENA DEL DERECHO DE AUTOR (SCD), SEGÚN TIPO DE ARTISTA. 2014</t>
  </si>
  <si>
    <t>TIPO DE ARTISTA</t>
  </si>
  <si>
    <t>Autores/compositores</t>
  </si>
  <si>
    <t>Intérpretes/ejecutantes</t>
  </si>
  <si>
    <t>Autores/compositores e intérpretes/ejecutantes</t>
  </si>
  <si>
    <t>OBRAS DECLARADAS DURANTE EL AÑO</t>
  </si>
  <si>
    <t>TABLA 14.5: NÚMERO DE AUTORES ASOCIADOS A LA SOCIEDAD CHILENA DEL DERECHO DE AUTOR (SCD) Y NÚMERO DE AUTORES GENERADORES DE DERECHOS POR SEXO. 2014</t>
  </si>
  <si>
    <t>AUTORES</t>
  </si>
  <si>
    <t>Número total de autores afiliados a SCD</t>
  </si>
  <si>
    <t>Número total de autores que generaron derechos por la SCD</t>
  </si>
  <si>
    <t>TABLA 14.6: NÚMERO DE SOCIOS QUE CUENTAN CON BENEFICIOS SOCIALES DE LA SOCIEDAD CHILENA DEL DERECHO DE AUTOR (SCD) POR AÑO Y TIPO DE BENEFICIO. 2014</t>
  </si>
  <si>
    <t>NÚMERO DE SOCIOS</t>
  </si>
  <si>
    <t>Beneficios de salud</t>
  </si>
  <si>
    <t>Aportes por Viaje al Extranjero</t>
  </si>
  <si>
    <t>Becas</t>
  </si>
  <si>
    <t>Asignaciones</t>
  </si>
  <si>
    <t>ASOCIADOS</t>
  </si>
  <si>
    <t>FUENTE: Asociación de Productores Fonográficos de Chile A.G. (IFPI Chile).</t>
  </si>
  <si>
    <t>TABLA 14.8: NÚMERO DE TRABAJADORES EN SELLOS DISCOGRÁFICOS. 2011-2014</t>
  </si>
  <si>
    <t>TABLA 14.9: NÚMERO Y PORCENTAJE DE DISCOS NACIONALES POR AÑO, SEGÚN TIPO DE PRODUCCIÓN, GÉNERO, APOYO DEL FONDO DE LA MÚSICA, MES DE PRODUCCIÓN, FORMATO, TIPO DE DISCO, REPERTORIO Y TRAYECTORIA. 2012-2014</t>
  </si>
  <si>
    <t>DISCOS NACIONALES</t>
  </si>
  <si>
    <t>Número</t>
  </si>
  <si>
    <t>TOTAL POR TIPO DE PRODUCCIÓN</t>
  </si>
  <si>
    <t>Producción independiente</t>
  </si>
  <si>
    <t>Sello</t>
  </si>
  <si>
    <t>Coedición</t>
  </si>
  <si>
    <t>TOTAL POR GÉNERO</t>
  </si>
  <si>
    <t>Popular</t>
  </si>
  <si>
    <t>Folclore</t>
  </si>
  <si>
    <t>Clásico</t>
  </si>
  <si>
    <t>TOTAL CON APOYO DEL FONDO DE LA MÚSICA</t>
  </si>
  <si>
    <t>Si</t>
  </si>
  <si>
    <t>No</t>
  </si>
  <si>
    <t>TOTAL MES DE PRODUCCIÓN</t>
  </si>
  <si>
    <t>TOTAL FORMATO DE EDICIÓN</t>
  </si>
  <si>
    <t>CD</t>
  </si>
  <si>
    <t xml:space="preserve">Digital </t>
  </si>
  <si>
    <t>Vinilo</t>
  </si>
  <si>
    <t xml:space="preserve">DVD </t>
  </si>
  <si>
    <t>TOTAL TIPO DE DISCO</t>
  </si>
  <si>
    <t>Disco individual</t>
  </si>
  <si>
    <t>Disco colectivo</t>
  </si>
  <si>
    <t>TOTAL REPERTORIO</t>
  </si>
  <si>
    <t>Compilación</t>
  </si>
  <si>
    <t>En vivo</t>
  </si>
  <si>
    <t>Inédito</t>
  </si>
  <si>
    <t>Reedición</t>
  </si>
  <si>
    <t>Remixes</t>
  </si>
  <si>
    <t>Otro</t>
  </si>
  <si>
    <t>TOTAL TRAYECTORIA DE PARTICIPACIÓN EN LA CREACIÓN Y RPODUCCIÓN (debut)</t>
  </si>
  <si>
    <t>1er disco</t>
  </si>
  <si>
    <t>2do disco</t>
  </si>
  <si>
    <t>3er disco o más</t>
  </si>
  <si>
    <t>FUENTE: Consejo de Fomento de la Música. Consejo Nacional de la Cultura y las Artes (CNCA)</t>
  </si>
  <si>
    <t>TABLA 14.10: NÚMERO DE PROYECTOS Y MONTOS ADJUDICADOS POR FONDO DE LA MÚSICA, SEGÚN REGIÓN DE DOMICILIO DEL PARTICIPANTE. 2014</t>
  </si>
  <si>
    <t>REGIÓN DE DOMICILIO DEL PARTICIPANTE</t>
  </si>
  <si>
    <t>Formación</t>
  </si>
  <si>
    <t>Investigación</t>
  </si>
  <si>
    <t>Convocatoria de coros, orquestas y bandas instrumentales</t>
  </si>
  <si>
    <t>Creación y producción</t>
  </si>
  <si>
    <t>Actividades presenciales</t>
  </si>
  <si>
    <t>Industria</t>
  </si>
  <si>
    <t>Medios de comunicación masiva</t>
  </si>
  <si>
    <t>Programa Especial de Apoyo a Espacios de Difusión</t>
  </si>
  <si>
    <t>N° de proyectos</t>
  </si>
  <si>
    <t>Monto adjudicado ($)</t>
  </si>
  <si>
    <t>FUENTE: Consejo Nacional de la Cultura y las Artes (CNCA).</t>
  </si>
  <si>
    <t>SELLOS</t>
  </si>
  <si>
    <t>TABLA 14.12: MONTOS DE RECAUDACIÓN DE DERECHOS DE EJECUCIÓN AUTOR POR LA SOCIEDAD CHILENA DEL DERECHO DE AUTOR (SCD), SEGÚN MEDIO DE EMISIÓN. 2009-2014</t>
  </si>
  <si>
    <t>RECAUDACIÓN</t>
  </si>
  <si>
    <t>Radio</t>
  </si>
  <si>
    <t>Televisión</t>
  </si>
  <si>
    <t>Cines</t>
  </si>
  <si>
    <t>Usuarios permanentes</t>
  </si>
  <si>
    <t>Esporádicos</t>
  </si>
  <si>
    <t xml:space="preserve">Fiestas </t>
  </si>
  <si>
    <t>TV cable</t>
  </si>
  <si>
    <t>Internet</t>
  </si>
  <si>
    <t>TABLA 14.13: MONTOS DE DISTRIBUCIÓN DE DERECHOS DE EJECUCIÓN AUTOR POR LA SOCIEDAD CHILENA DEL DERECHO DE AUTOR (SCD). 2009-2014</t>
  </si>
  <si>
    <t>Editores locales</t>
  </si>
  <si>
    <t>Sociedades extranjeras</t>
  </si>
  <si>
    <t>RECAUDACIÓN Y DISTRIBUCIÓN</t>
  </si>
  <si>
    <t>Recaudación</t>
  </si>
  <si>
    <t>Distribución</t>
  </si>
  <si>
    <t xml:space="preserve">Autores nacionales </t>
  </si>
  <si>
    <t xml:space="preserve">Editores locales </t>
  </si>
  <si>
    <t xml:space="preserve">Sociedades extranjeras </t>
  </si>
  <si>
    <t>TABLA 14.15: MONTOS DE RECAUDACIÓN DE DERECHOS DE EJECUCIÓN CONEXOS POR LA SOCIEDAD CHILENA DEL DERECHO DE AUTOR (SCD), SEGÚN MEDIO DE EMISIÓN. 2009-2014</t>
  </si>
  <si>
    <t xml:space="preserve">Usuarios permanentes </t>
  </si>
  <si>
    <t>Recaudación extranjera</t>
  </si>
  <si>
    <t>TABLA 14.16: MONTOS DE DISTRIBUCIÓN DE DERECHOS DE EJECUCIÓN CONEXOS, POR LA SOCIEDAD CHILENA DEL DERECHO DE AUTOR (SCD). 2009-2014</t>
  </si>
  <si>
    <t xml:space="preserve">Artistas nacionales </t>
  </si>
  <si>
    <t xml:space="preserve">Productores fonográficos </t>
  </si>
  <si>
    <t>TABLA 14.17: DERECHOS CONEXOS DE EJECUCIÓN DE LA SOCIEDAD DE PRODUCTORES FONOGRÁFICOS DE CHILE A.G. (PROFOVI): RECAUDACIÓN Y DISTRIBUCIÓN, SEGÚN RUBRO Y SELLO. 2012-2014</t>
  </si>
  <si>
    <t>Generales</t>
  </si>
  <si>
    <t>Cnr</t>
  </si>
  <si>
    <t xml:space="preserve">Emi odeon </t>
  </si>
  <si>
    <t>Leader</t>
  </si>
  <si>
    <t>Sony music</t>
  </si>
  <si>
    <t>Universal music</t>
  </si>
  <si>
    <t>Warner music</t>
  </si>
  <si>
    <t>Música y marketing</t>
  </si>
  <si>
    <t xml:space="preserve">   </t>
  </si>
  <si>
    <t>-No registró movimiento</t>
  </si>
  <si>
    <t>FUENTE: Sociedad de Productores Fonográficos de Chile A.G. (Profovi).</t>
  </si>
  <si>
    <t>TABLA 14.18: DERECHOS DE REPRODUCCIÓN DE LA SOCIEDAD DE PRODUCTORES FONOGRÁFICOS DE CHILE A.G. (PROFOVI): RECAUDACIÓN Y DISTRIBUCIÓN, SEGÚN SELLO. 2012-2014</t>
  </si>
  <si>
    <t>SELLO</t>
  </si>
  <si>
    <t>CNR</t>
  </si>
  <si>
    <t>Plaza independencia</t>
  </si>
  <si>
    <t>TABLA 14.19: VENTAS DE MATERIAL DISCOGRÁFICO Y UNIDADES VENDIDAS, SEGÚN FORMATO. 2009-2014</t>
  </si>
  <si>
    <t>FORMATO</t>
  </si>
  <si>
    <t>Unidades vendidas (millones de unidades)</t>
  </si>
  <si>
    <t>DVD</t>
  </si>
  <si>
    <t>Blu-Ray</t>
  </si>
  <si>
    <t>Video</t>
  </si>
  <si>
    <t>TABLA 14.20: VENTAS DE MATERIAL DISCOGRÁFICO Y UNIDADES VENDIDAS, SEGÚN REPERTORIO. 2009-2014</t>
  </si>
  <si>
    <t>REPERTORIO</t>
  </si>
  <si>
    <t>Anglo</t>
  </si>
  <si>
    <t>Latino</t>
  </si>
  <si>
    <t>Local</t>
  </si>
  <si>
    <t>No clasificado</t>
  </si>
  <si>
    <t>Compilaciones</t>
  </si>
  <si>
    <t>TIPO DE ESTABLECIMIENTO</t>
  </si>
  <si>
    <t>Usuarios</t>
  </si>
  <si>
    <t>Establecimientos con medio musical "Ejecuciones en vivo" (pubs, restaurantes, discotecas, otros) en cobro regular</t>
  </si>
  <si>
    <t>Radios con sólo transmisión online (Webcasting) en cobro regular</t>
  </si>
  <si>
    <t>Radios en cobro regular de frecuencia AM/FM con señal online</t>
  </si>
  <si>
    <t>Sitios de venta de música online en cobro regular (servicios de carga y descarga)</t>
  </si>
  <si>
    <t>TABLA 14.22: NÚMERO DE FUNCIONES DE ESPECTÁCULOS MUSICALES, POR TIPO DE ESPECTÁCULO. 2009-2014</t>
  </si>
  <si>
    <t>Concierto música docta</t>
  </si>
  <si>
    <t>Concierto música popular</t>
  </si>
  <si>
    <t>TABLA 14.23: NÚMERO DE FUNCIONES DE ESPECTÁCULOS MUSICALES, POR TIPO DE ESPECTÁCULO, SEGÚN REGIÓN. 2014</t>
  </si>
  <si>
    <t xml:space="preserve"> Maule</t>
  </si>
  <si>
    <t>MODALIDAD DE ACCESO</t>
  </si>
  <si>
    <t>Eventos</t>
  </si>
  <si>
    <t>Espectáculos con cobro de entradas</t>
  </si>
  <si>
    <t>Espectáculos gratuitos al aire libre</t>
  </si>
  <si>
    <t>Espectáculos gratuitos en recintos cerrados</t>
  </si>
  <si>
    <t>Ferias, exposiciones, circos, desfiles, otros</t>
  </si>
  <si>
    <t>TABLA 14.25: NÚMERO DE ASISTENTES A ESPECTÁCULOS MUSICALES, PAGANDO ENTRADA POR TIPO DE ESPECTÁCULO, SEGÚN REGIÓN. 2014</t>
  </si>
  <si>
    <t>TABLA 14.26: NÚMERO DE ASISTENTES A ESPECTÁCULOS MUSICALES CON ENTRADA GRATUITA POR TIPO DE ESPECTÁCULO, SEGÚN REGIÓN. 2014</t>
  </si>
  <si>
    <t>TABLA 14.27: NÚMERO DE ASISTENTES A ESPECTÁCULOS MUSICALES, PAGANDO ENTRADA POR TIPO DE ESPECTÁCULO. 2009-2014</t>
  </si>
  <si>
    <t>TABLA 14.28: NÚMERO DE ASISTENTES A ESPECTÁCULOS MUSICALES CON ENTRADA GRATUITA, POR TIPO DE ESPECTÁCULO. 2009-2014</t>
  </si>
  <si>
    <t>TABLA 14.29: NÚMERO DE ASISTENTES A ESPECTÁCULOS MUSICALES, CON ENTRADA GRATUITA Y PAGADA POR MES, SEGÚN REGIÓN. 2014</t>
  </si>
  <si>
    <t>TABLA 14.30: LISTADO DE CANCIONES NACIONALES MÁS ESCUCHADAS, SEGÚN REGISTROS DE LA SOCIEDAD CHILENA DEL DERECHO DE AUTOR (SCD). 2014</t>
  </si>
  <si>
    <t>PRIMER SEMESTRE</t>
  </si>
  <si>
    <t>SEGUNDO SEMESTRE</t>
  </si>
  <si>
    <t>Nº</t>
  </si>
  <si>
    <t>Título de la canción</t>
  </si>
  <si>
    <t>Autor</t>
  </si>
  <si>
    <t>Clasificación (tipo)</t>
  </si>
  <si>
    <t>Interprete</t>
  </si>
  <si>
    <t>1</t>
  </si>
  <si>
    <t>SI ESTAS PENSANDO MAL DE MI</t>
  </si>
  <si>
    <t>DURAN FERNANDEZ MAURICIO GUSTAVO/DURAN FERNANDEZ FRANCISCO JAVIE</t>
  </si>
  <si>
    <t>POP</t>
  </si>
  <si>
    <t>LOS BUNKERS</t>
  </si>
  <si>
    <t>JUANA MARIA</t>
  </si>
  <si>
    <t>VASQUEZ GEI ITALO FABIAN/VASQUEZ GEI ENZO IGNACIO</t>
  </si>
  <si>
    <t>CUMBIA</t>
  </si>
  <si>
    <t>LOS VASQUEZ</t>
  </si>
  <si>
    <t>2</t>
  </si>
  <si>
    <t>LOCA</t>
  </si>
  <si>
    <t>ASENJO CUBILLOS ALDO ENRIQUE</t>
  </si>
  <si>
    <t>CHICO TRUJILLO</t>
  </si>
  <si>
    <t>3</t>
  </si>
  <si>
    <t>LLUEVE SOBRE LA CIUDAD</t>
  </si>
  <si>
    <t>TU ME HACES FALTA</t>
  </si>
  <si>
    <t>BALADA POP</t>
  </si>
  <si>
    <t>4</t>
  </si>
  <si>
    <t>HE VUELTO A RESPIRAR</t>
  </si>
  <si>
    <t>GUERRERO VILCHES MARIO ANDRES</t>
  </si>
  <si>
    <t>BALADA</t>
  </si>
  <si>
    <t>MARIO GUERRERO</t>
  </si>
  <si>
    <t>FRUTA Y TE</t>
  </si>
  <si>
    <t>RIVEROS SEPULVEDA DANIEL ALEJANDRO</t>
  </si>
  <si>
    <t>REGGAE</t>
  </si>
  <si>
    <t>GEPE</t>
  </si>
  <si>
    <t>5</t>
  </si>
  <si>
    <t>TODO TE DI</t>
  </si>
  <si>
    <t>FARFAN BRAVO GONZALO ESTEBAN/BARTOLO MAMANI JHONNY MARCELO</t>
  </si>
  <si>
    <t>NOCHE DE BRUJAS</t>
  </si>
  <si>
    <t>6</t>
  </si>
  <si>
    <t>BAILANDO SOLO</t>
  </si>
  <si>
    <t>7</t>
  </si>
  <si>
    <t>DONDE ESTA TU AMOR</t>
  </si>
  <si>
    <t>REGGAETON</t>
  </si>
  <si>
    <t>AFORTUNADA</t>
  </si>
  <si>
    <t>VALENZUELA MENDEZ FRANCISCA</t>
  </si>
  <si>
    <t>FRANCISCA VALENZUELA</t>
  </si>
  <si>
    <t>8</t>
  </si>
  <si>
    <t>TE AMO CON LOCURA</t>
  </si>
  <si>
    <t>CORTEZ DIAZ ANGEL ANDRES/CORTEZ DIAZ EDGAR MICHEL</t>
  </si>
  <si>
    <t>EYCI AND CODY</t>
  </si>
  <si>
    <t>9</t>
  </si>
  <si>
    <t>QUE NADIE SE ENTERE</t>
  </si>
  <si>
    <t>MORALES DIAZ ALEXIS ROBERTO/LEIVA REYES CECIL LEONARDO</t>
  </si>
  <si>
    <t>LA NOCHE</t>
  </si>
  <si>
    <t>MIENTEME UNA VEZ MAS</t>
  </si>
  <si>
    <t xml:space="preserve">BALADA  </t>
  </si>
  <si>
    <t>10</t>
  </si>
  <si>
    <t>ES AMOR</t>
  </si>
  <si>
    <t>YAÑEZ WERNER CRISTIAN PATRICIO</t>
  </si>
  <si>
    <t>LA OTRA FE</t>
  </si>
  <si>
    <t>OYEME</t>
  </si>
  <si>
    <t>11</t>
  </si>
  <si>
    <t>VUELA QUE VUELA</t>
  </si>
  <si>
    <t>12</t>
  </si>
  <si>
    <t>BAILA</t>
  </si>
  <si>
    <t>LAVAL SOZA DENISSE LILLIAN</t>
  </si>
  <si>
    <t>NICOLE</t>
  </si>
  <si>
    <t>DESDE QUE TE VI</t>
  </si>
  <si>
    <t>MANZI ASTUDILLO HUGO FRANCISCO / NATALINO TORRES CRISTIAN ANDRES</t>
  </si>
  <si>
    <t>NATALINO</t>
  </si>
  <si>
    <t>13</t>
  </si>
  <si>
    <t>TU AMANTE</t>
  </si>
  <si>
    <t>CORTEZ DIAZ ANGEL ANDRES/CORTEZ DIAZ EDGAR MICHEL/JARUFE LEON ALDI</t>
  </si>
  <si>
    <t>14</t>
  </si>
  <si>
    <t>ESPADA</t>
  </si>
  <si>
    <t>MENA CARRASCO JAVIERA ALEJANDRA</t>
  </si>
  <si>
    <t>JAVIERA MENA</t>
  </si>
  <si>
    <t>15</t>
  </si>
  <si>
    <t>HOY</t>
  </si>
  <si>
    <t>YANEZ WERNER CRISTIAN PATRICIO</t>
  </si>
  <si>
    <t>16</t>
  </si>
  <si>
    <t>ENAMORADO</t>
  </si>
  <si>
    <t>APAGA LA LUZ</t>
  </si>
  <si>
    <t>COVARRUBIAS MERCADO LUCIA</t>
  </si>
  <si>
    <t>ALVARO VELIZ Y LUCIA COVARRUBIAS</t>
  </si>
  <si>
    <t>17</t>
  </si>
  <si>
    <t>PA TI PA MI</t>
  </si>
  <si>
    <t>AYALA BUSTOS DAVID SEBASTIAN / GUINEZ RAMIREZ CHRISITAN SERGIO / SUAZO HERMOSILLA FRANCISCO JAVIER / CASTRO ARIAS IVAN PATRICIO / HINOJOSA ALEGRIA MARCO ANTONIO</t>
  </si>
  <si>
    <t>HINOJOSA DON LATINO Y PANCHO BI JAH</t>
  </si>
  <si>
    <t>18</t>
  </si>
  <si>
    <t>CORTEZ DIAZ ANGEL ANDRES/CORTEZ DIAZ EDGAR MICHEL / JARUFE LEON ALDO</t>
  </si>
  <si>
    <t>19</t>
  </si>
  <si>
    <t>LAS SEIS</t>
  </si>
  <si>
    <t>YAÑEZ MEIRA DE VASCONCELLOS JOSE MANUEL</t>
  </si>
  <si>
    <t>JOE VASCONCELLOS</t>
  </si>
  <si>
    <t>TE AMARE EN ESTA VIDA O EN OTRA</t>
  </si>
  <si>
    <t>20</t>
  </si>
  <si>
    <t>CHILE LINDO</t>
  </si>
  <si>
    <t>SOLOVERA CORTES CLARA IRMA</t>
  </si>
  <si>
    <t>TONADA</t>
  </si>
  <si>
    <t>LOS HUASOS QUINCHEROS</t>
  </si>
  <si>
    <t>OLVIDALO</t>
  </si>
  <si>
    <t>VASQUEZ GEI ENZO IGNACIO/VASQUEZ GEI ITALO FABIAN</t>
  </si>
  <si>
    <t>21</t>
  </si>
  <si>
    <t>QUIERO VERTE MAS</t>
  </si>
  <si>
    <t>22</t>
  </si>
  <si>
    <t>LANZA PLATOS</t>
  </si>
  <si>
    <t>MAGLIOCCHETTI SMITH MICHAEL FRANCIS ANTHONY</t>
  </si>
  <si>
    <t>OTRA VIDA</t>
  </si>
  <si>
    <t>BRIONES VERA FERNANDO ANDRES</t>
  </si>
  <si>
    <t>FERNANDO MILAGROS</t>
  </si>
  <si>
    <t>23</t>
  </si>
  <si>
    <t>NO ME QUERIA</t>
  </si>
  <si>
    <t>VASQUEZ GEI ENZO IGNACIO/VASQUEZ GEI ITALO FABIAN/VASQUEZ GEI VA</t>
  </si>
  <si>
    <t>BUEN SOLDADO</t>
  </si>
  <si>
    <t>24</t>
  </si>
  <si>
    <t>CALLEJERO</t>
  </si>
  <si>
    <t>AYALA ZAROR JUAN FRANCISCO/ROJAS BORQUEZ RODRIGO ALBERTO/VARGAS A</t>
  </si>
  <si>
    <t>JUANA FE</t>
  </si>
  <si>
    <t>DESNUDOS</t>
  </si>
  <si>
    <t>BARTOLO MAMANI JHONNY MARCELO / FARFAN BRAVO GONZALO ESTEBAN / MUNOZ CASAS CORDERO HECTOR RAFAEL</t>
  </si>
  <si>
    <t>25</t>
  </si>
  <si>
    <t>TABLA 14.31: CANTIDAD DE DISCOS MUSICALES DESCARGADOS DESDE EL SITIO WEB PORTALDISC, SEGÚN LUGAR DE DESCARGA. 2009-2014</t>
  </si>
  <si>
    <t>LUGAR DE DESCARGAS</t>
  </si>
  <si>
    <t>Chile</t>
  </si>
  <si>
    <t>Fuera de Chile</t>
  </si>
  <si>
    <t>Fuente: PortalDisc.</t>
  </si>
  <si>
    <t>GENERO</t>
  </si>
  <si>
    <t>Modalidad de descarga</t>
  </si>
  <si>
    <t>Gratuita</t>
  </si>
  <si>
    <t>Pagada</t>
  </si>
  <si>
    <t>Rock</t>
  </si>
  <si>
    <t>Folclor Chile</t>
  </si>
  <si>
    <t>Pop</t>
  </si>
  <si>
    <t>Pop-Rock</t>
  </si>
  <si>
    <t>Trova</t>
  </si>
  <si>
    <t>Bailable</t>
  </si>
  <si>
    <t>Fusión</t>
  </si>
  <si>
    <t>Rancheras</t>
  </si>
  <si>
    <t>Infantil</t>
  </si>
  <si>
    <t>Hip-Hop</t>
  </si>
  <si>
    <t>Metal</t>
  </si>
  <si>
    <t>Electrónica</t>
  </si>
  <si>
    <t>Funk</t>
  </si>
  <si>
    <t>Punk</t>
  </si>
  <si>
    <t>Religiosa</t>
  </si>
  <si>
    <t>Jazz</t>
  </si>
  <si>
    <t>Nueva Ola</t>
  </si>
  <si>
    <t>Clásica</t>
  </si>
  <si>
    <t>Reggae</t>
  </si>
  <si>
    <t>Relajacion</t>
  </si>
  <si>
    <t>Boleros</t>
  </si>
  <si>
    <t>Poesía</t>
  </si>
  <si>
    <t>Soundtrack</t>
  </si>
  <si>
    <t>Reggaeton</t>
  </si>
  <si>
    <t>Tango</t>
  </si>
  <si>
    <t>Karaokes</t>
  </si>
  <si>
    <t>N°</t>
  </si>
  <si>
    <t>Artista</t>
  </si>
  <si>
    <t>Cantidad de descargas</t>
  </si>
  <si>
    <t>Manuel García</t>
  </si>
  <si>
    <t>Ana Tijoux</t>
  </si>
  <si>
    <t>Mazapan</t>
  </si>
  <si>
    <t>Nano Stern</t>
  </si>
  <si>
    <t>Gepe</t>
  </si>
  <si>
    <t>Francisca Valenzuela</t>
  </si>
  <si>
    <t>Illapu</t>
  </si>
  <si>
    <t>Chico Trujillo</t>
  </si>
  <si>
    <t>Inti Illimani Histórico</t>
  </si>
  <si>
    <t>Nicole</t>
  </si>
  <si>
    <t>Disco</t>
  </si>
  <si>
    <t>Genero</t>
  </si>
  <si>
    <t>Cantidad descargas</t>
  </si>
  <si>
    <t>Retrato Iluminado CD 1</t>
  </si>
  <si>
    <t>Vengo</t>
  </si>
  <si>
    <t>Retrato Iluminado CD 2</t>
  </si>
  <si>
    <t>GP</t>
  </si>
  <si>
    <t>Con sentido y razón</t>
  </si>
  <si>
    <t>Contigo pop y cebolla</t>
  </si>
  <si>
    <t>Los vásquez</t>
  </si>
  <si>
    <t>Buen Soldado</t>
  </si>
  <si>
    <t>La Cosecha</t>
  </si>
  <si>
    <t>Fácil</t>
  </si>
  <si>
    <t>La Guacha</t>
  </si>
  <si>
    <t>Acuario</t>
  </si>
  <si>
    <t xml:space="preserve">N° de Bibliotecas Implementadas </t>
  </si>
  <si>
    <t>Fuente: Datos de implementación programa MECE-Media y Componente Bibliotecas Escolares CRA, UCE-Mineduc.</t>
  </si>
  <si>
    <t>Fuente: Datos de implementación Componente Bibliotecas Escolares CRA, UCE-Mineduc.</t>
  </si>
  <si>
    <t>Regiones</t>
  </si>
  <si>
    <t>Nivel Educacional</t>
  </si>
  <si>
    <t>Básica</t>
  </si>
  <si>
    <t>Fuente: Datos internos del Componente Bibliotecas Escolares CRA, UCE-Mineduc.</t>
  </si>
  <si>
    <t>Enseñanza básica</t>
  </si>
  <si>
    <t>Establecimientos educacionales</t>
  </si>
  <si>
    <t>Alumnos</t>
  </si>
  <si>
    <t>Científico-Humanista</t>
  </si>
  <si>
    <t>Técnico Profesional</t>
  </si>
  <si>
    <t>Ambos</t>
  </si>
  <si>
    <t>TABLA 15.6: INVERSIÓN ANUAL MINEDUC EN COLECCIONES DE BÁSICA Y MEDIA. 2010-2014. (MM $ 2014)</t>
  </si>
  <si>
    <t>Colección Básica</t>
  </si>
  <si>
    <t>Colección Media</t>
  </si>
  <si>
    <t>TABLA 15.7: NÚMERO DE TÍTULOS DE LIBROS REGISTRADOS EN EL INTERNATIONAL STANDARD BOOK NUMBER (ISBN), SEGÚN REGIÓN. 2009-2014</t>
  </si>
  <si>
    <t>Títulos</t>
  </si>
  <si>
    <t>FUENTE: International Standard Book Number (ISBN). Informe estadístico, Cámara Chilena del Libro.</t>
  </si>
  <si>
    <t>Fomento a la creación</t>
  </si>
  <si>
    <t>Fomento de la lectura</t>
  </si>
  <si>
    <t xml:space="preserve"> Programa de apoyo a la traducción</t>
  </si>
  <si>
    <t>TABLA 15.9: NÚMERO DE SOCIOS DE LA SOCIEDAD DE DERECHOS LITERARIOS (SADEL), SEGÚN STATUS DE AFILIACIÓN Y SEXO. 2009-2014</t>
  </si>
  <si>
    <t>STATUS DE FILIACIÓN</t>
  </si>
  <si>
    <t>Socios</t>
  </si>
  <si>
    <t>Personas naturales</t>
  </si>
  <si>
    <t>Personas jurídicas</t>
  </si>
  <si>
    <t>FUENTE: Sociedad de Derechos Literarios (Sadel).</t>
  </si>
  <si>
    <t>TABLA 15.10: NÚMERO DE SOCIOS INCORPORADOS A LA SOCIEDAD DE DERECHOS LITERARIOS (SADEL), SEGÚN STATUS DE AFILIACIÓN. 2009-2014</t>
  </si>
  <si>
    <t>TABLA 15.11: NÚMERO DE TÍTULOS DE LIBROS REGISTRADOS EN EL INTERNATIONAL STANDARD BOOK NUMBER (ISBN), SEGÚN NÚMERO DE EDICIÓN. 2009-2014</t>
  </si>
  <si>
    <t>NÚMERO DE EDICIÓN</t>
  </si>
  <si>
    <t>1era. edición</t>
  </si>
  <si>
    <t>2da. edición</t>
  </si>
  <si>
    <t>3era. y más ediciones</t>
  </si>
  <si>
    <t>MATERIA</t>
  </si>
  <si>
    <t>Generalidades</t>
  </si>
  <si>
    <t>Ciencias filosóficas</t>
  </si>
  <si>
    <t>Religión</t>
  </si>
  <si>
    <t>Ciencias sociales</t>
  </si>
  <si>
    <t>Economía</t>
  </si>
  <si>
    <t>Derecho</t>
  </si>
  <si>
    <t>Administración pública</t>
  </si>
  <si>
    <t>Educación</t>
  </si>
  <si>
    <t>Folclor</t>
  </si>
  <si>
    <t>Lenguas</t>
  </si>
  <si>
    <t>Ciencias puras</t>
  </si>
  <si>
    <t>Tecnología</t>
  </si>
  <si>
    <t>Artes y recreación</t>
  </si>
  <si>
    <t>Literatura</t>
  </si>
  <si>
    <t>Ciencias auxiliares historia</t>
  </si>
  <si>
    <t>TABLA 15.13: NÚMERO DE TÍTULOS DE LIBROS DE LITERATURA CHILENA REGISTRADOS EN EL INTERNATIONAL STANDARD BOOK NUMBER (ISBN), SEGÚN GÉNERO. 2009-2014</t>
  </si>
  <si>
    <t>GÉNERO</t>
  </si>
  <si>
    <t>Narrativa</t>
  </si>
  <si>
    <t>Lit. infantil</t>
  </si>
  <si>
    <t>Ensayos</t>
  </si>
  <si>
    <t>TABLA 15.14: NÚMERO DE TÍTULOS DE LIBROS REGISTRADOS EN EL INTERNATIONAL STANDARD BOOK NUMBER (ISBN), SEGÚN SOPORTES DISTINTOS A PAPEL. 2009-2014</t>
  </si>
  <si>
    <t>SOPORTE</t>
  </si>
  <si>
    <t>CD-ROM</t>
  </si>
  <si>
    <t>CD-Audio</t>
  </si>
  <si>
    <t>DVD-Video</t>
  </si>
  <si>
    <t>E-Book</t>
  </si>
  <si>
    <t>Pendrive</t>
  </si>
  <si>
    <t>FUENTE: International Standard Book Number (ISBN) Informe Estadístico, Cámara Chilena del Libro.</t>
  </si>
  <si>
    <t>Autoediciones</t>
  </si>
  <si>
    <t>TABLA 15.16: NÚMERO DE TÍTULOS REGISTRADOS EN EL INTERNATIONAL STANDARD BOOK NUMBER (ISBN), SEGÚN RANGOS DE PRODUCCIÓN. 2009-2014</t>
  </si>
  <si>
    <t>RANGOS DE PRODUCCIÓN</t>
  </si>
  <si>
    <t xml:space="preserve">      1-500</t>
  </si>
  <si>
    <t xml:space="preserve">  501-1000</t>
  </si>
  <si>
    <t>1001-1500</t>
  </si>
  <si>
    <t>1501-2000</t>
  </si>
  <si>
    <t>2001-2500</t>
  </si>
  <si>
    <t>2501-3000</t>
  </si>
  <si>
    <t>3001-3500</t>
  </si>
  <si>
    <t>3501-4000</t>
  </si>
  <si>
    <t>4001-4500</t>
  </si>
  <si>
    <t>4501-5000</t>
  </si>
  <si>
    <t>5001 y más</t>
  </si>
  <si>
    <t>TABLA 15.17: NÚMERO Y PORCENTAJE DE TRADUCCIONES REGISTRADAS EN EL INTERNATIONAL STANDARD BOOK NUMBER (ISBN), SEGÚN IDIOMA DE ORÍGEN E IDIOMA TRADUCIDO. 2009-2014</t>
  </si>
  <si>
    <t>IDIOMA DE ORÍGEN</t>
  </si>
  <si>
    <t>IDIOMA TRADUCIDO</t>
  </si>
  <si>
    <t>Alemán</t>
  </si>
  <si>
    <t xml:space="preserve">Español       </t>
  </si>
  <si>
    <t xml:space="preserve">Alemán    </t>
  </si>
  <si>
    <t xml:space="preserve">Inglés      </t>
  </si>
  <si>
    <t>Italiano</t>
  </si>
  <si>
    <t>Árabe</t>
  </si>
  <si>
    <t>Español</t>
  </si>
  <si>
    <t>Francés</t>
  </si>
  <si>
    <t>Catalán</t>
  </si>
  <si>
    <t>Chino</t>
  </si>
  <si>
    <t>Croata</t>
  </si>
  <si>
    <t>Danés</t>
  </si>
  <si>
    <t>Eslovaco</t>
  </si>
  <si>
    <t>Inglés</t>
  </si>
  <si>
    <t>Aymara</t>
  </si>
  <si>
    <t>Japonés</t>
  </si>
  <si>
    <t>Mapudungun</t>
  </si>
  <si>
    <t>Multilingue</t>
  </si>
  <si>
    <t>Polaco</t>
  </si>
  <si>
    <t>Portugués</t>
  </si>
  <si>
    <t>Quechua</t>
  </si>
  <si>
    <t>Rapanui</t>
  </si>
  <si>
    <t>Sueco</t>
  </si>
  <si>
    <t>Griego</t>
  </si>
  <si>
    <t>Hebreo</t>
  </si>
  <si>
    <t>Holandés</t>
  </si>
  <si>
    <t>Finlandés</t>
  </si>
  <si>
    <t>Portugues</t>
  </si>
  <si>
    <t>Latín</t>
  </si>
  <si>
    <t>Noruego</t>
  </si>
  <si>
    <t>Ruso</t>
  </si>
  <si>
    <t>Turco</t>
  </si>
  <si>
    <t>TABLA 15.18: EDITORES QUE SOLICITAN REGISTRO DE SU OBRA POR PRIMERA VEZ EN EL INTERNATIONAL STANDARD BOOK NUMBER (ISBN), SEGÚN REGIÓN. 2009-2014</t>
  </si>
  <si>
    <t>TABLA 15.19: NÚMERO Y PORCENTAJE DE TÍTULOS REGISTRADOS EN EL INTERNATIONAL STANDARD BOOK NUMBER (ISBN), SEGÚN MES DE PRODUCCIÓN. 2009-2014</t>
  </si>
  <si>
    <t>MES</t>
  </si>
  <si>
    <t xml:space="preserve">Universidad </t>
  </si>
  <si>
    <t>Registros</t>
  </si>
  <si>
    <t>Pontificia Universidad Católica de Chile</t>
  </si>
  <si>
    <t xml:space="preserve">Universidad Católica de Chile </t>
  </si>
  <si>
    <t>Universidad Alberto Hurtado</t>
  </si>
  <si>
    <t>Universidad de Chile</t>
  </si>
  <si>
    <t>Universidad Diego Portales</t>
  </si>
  <si>
    <t xml:space="preserve">Pontificia Universidad Católica de Chile </t>
  </si>
  <si>
    <t>Universidad de Santiago</t>
  </si>
  <si>
    <t>Universidad Católica del Norte</t>
  </si>
  <si>
    <t>Universidad Bolivariana</t>
  </si>
  <si>
    <t>Ediciones Universitarias Universidad Católica de Valparaíso</t>
  </si>
  <si>
    <t>Universidad Católica de Valparaíso</t>
  </si>
  <si>
    <t>Universidad Católica de Temuco</t>
  </si>
  <si>
    <t>Universidad de Concepción</t>
  </si>
  <si>
    <t>Ediciones Universitarias U. Católica de Valparaíso</t>
  </si>
  <si>
    <t>Universidad de Santiago de Chile</t>
  </si>
  <si>
    <t>Universidad Católica Silva Henríquez</t>
  </si>
  <si>
    <t>Universidad de La Serena</t>
  </si>
  <si>
    <t>Universidad Técnica Federico Santa María</t>
  </si>
  <si>
    <t>Universidad del Bío Bío</t>
  </si>
  <si>
    <t>Universidad de La Frontera</t>
  </si>
  <si>
    <t>Universidad Austral</t>
  </si>
  <si>
    <t xml:space="preserve">Universidad Austral de Chile </t>
  </si>
  <si>
    <t>Universidad de Valparaíso</t>
  </si>
  <si>
    <t>Universidad del Desarrollo</t>
  </si>
  <si>
    <t>UNIversidad Católica del Norte</t>
  </si>
  <si>
    <t xml:space="preserve">Universidad de Talca </t>
  </si>
  <si>
    <t>Universidad de Playa Ancha</t>
  </si>
  <si>
    <t>Universidad de Talca</t>
  </si>
  <si>
    <t xml:space="preserve">Universidad Austral </t>
  </si>
  <si>
    <t>Universidad de Los Andes</t>
  </si>
  <si>
    <t>Universidad de la Frontera</t>
  </si>
  <si>
    <t xml:space="preserve">Universidad de Playa Ancha </t>
  </si>
  <si>
    <t>Universidad Arturo Prat</t>
  </si>
  <si>
    <t>Universidad Austral de Chile</t>
  </si>
  <si>
    <t>Universidad de Los Lagos</t>
  </si>
  <si>
    <t>Universida Católica Cardenal Raúl Silva Henríquez</t>
  </si>
  <si>
    <t>Universidad Católica del Maule</t>
  </si>
  <si>
    <t>Universidad Finis Terrae</t>
  </si>
  <si>
    <t>Universidad Católica Raúl Silva Henríquez</t>
  </si>
  <si>
    <t xml:space="preserve">Universidad de La Frontera </t>
  </si>
  <si>
    <t>Universidad Central</t>
  </si>
  <si>
    <t>Universidad Metropolitana de Ciencias de la Educación</t>
  </si>
  <si>
    <t>Universidad Andrés Bello</t>
  </si>
  <si>
    <t xml:space="preserve">Universidad de Los Lagos </t>
  </si>
  <si>
    <t>Universidad de Playa Ancha de Ciencias de la Educación</t>
  </si>
  <si>
    <t>Universidad Arcis</t>
  </si>
  <si>
    <t>Universidad Católica de la Santísima Concepción</t>
  </si>
  <si>
    <t>Universidad Tecnológica de Chile (INACAP)</t>
  </si>
  <si>
    <t>Universidad Santo Tomás</t>
  </si>
  <si>
    <t xml:space="preserve">Universidad de Tarapacá </t>
  </si>
  <si>
    <t>Universidad de Antofagasta</t>
  </si>
  <si>
    <t>Universidad de Magallanes</t>
  </si>
  <si>
    <t>Universidad San Sebastián</t>
  </si>
  <si>
    <t xml:space="preserve"> Universidad de Los Lagos</t>
  </si>
  <si>
    <t>Universidad del Bio-Bio</t>
  </si>
  <si>
    <t xml:space="preserve">Universidad San Sebastián </t>
  </si>
  <si>
    <t>Universidad Adolfo Ibáñez</t>
  </si>
  <si>
    <t>Universidad Tecnológica Metropolitana</t>
  </si>
  <si>
    <t xml:space="preserve">Universidad Arturo Prat </t>
  </si>
  <si>
    <t>Universidad Católica de la Santisima Concepción</t>
  </si>
  <si>
    <t xml:space="preserve">Universidad Tecnológica Metropolitana </t>
  </si>
  <si>
    <t>Universidad de Tarapacá</t>
  </si>
  <si>
    <t>Universidad Católica Cardenal Raúl Silva Henríquez</t>
  </si>
  <si>
    <t>Universidad Academia de Humanismo Cristiano</t>
  </si>
  <si>
    <t>Universidad Autónoma de Chile</t>
  </si>
  <si>
    <t>Universidad Tecnológíca Metropolitana</t>
  </si>
  <si>
    <t xml:space="preserve">Universidad Tecnológica de Chile - INACAP </t>
  </si>
  <si>
    <t>Universidad Mayor</t>
  </si>
  <si>
    <t>Universidad de los Andes</t>
  </si>
  <si>
    <t>Universidad de Artes, Ciencias y Comunicación</t>
  </si>
  <si>
    <t>Universidad Tecnológica de Chile</t>
  </si>
  <si>
    <t>Universidad Adventista de Chile</t>
  </si>
  <si>
    <t>Universidad Finis Térrae</t>
  </si>
  <si>
    <t>Universidad Gabriela Mistral</t>
  </si>
  <si>
    <t>Universidad de Artes y Ciencias Sociales</t>
  </si>
  <si>
    <t>Universidad de Ciencias de la Informática</t>
  </si>
  <si>
    <t>Universidad Bernardo O'Higgins</t>
  </si>
  <si>
    <t>Universidad Adventista</t>
  </si>
  <si>
    <t>Universidad Miguel de Cervantes</t>
  </si>
  <si>
    <t>Universidad del Pacífico</t>
  </si>
  <si>
    <t>Universidad Bernardo O’Higgins</t>
  </si>
  <si>
    <t>Universidad de Viña del Mar</t>
  </si>
  <si>
    <t>Universidad del Pacifíco</t>
  </si>
  <si>
    <t>Universidad Metropolitana Ciencias de la Educación</t>
  </si>
  <si>
    <t xml:space="preserve">Universidad Cristiana </t>
  </si>
  <si>
    <t>Universidad Tecnológica Matropolitana</t>
  </si>
  <si>
    <t>Universidad de Atacama</t>
  </si>
  <si>
    <t>Universidad Internacional SEK</t>
  </si>
  <si>
    <t xml:space="preserve">Universidad Miguel de Cervantes </t>
  </si>
  <si>
    <t>TABLA 15.22: RED DE BIBLIOTECAS PÚBLICAS, NÚMERO DE BIBLIOTECAS DEPENDIENTES O EN CONVENIOS CON LA DIRECCIÓN DE BIBLIOTECAS, ARCHIVOS Y MUSEOS (DIBAM), SEGÚN REGIÓN. 2014</t>
  </si>
  <si>
    <t>Bibliotecas centrales</t>
  </si>
  <si>
    <t>Bibliotecas filiales</t>
  </si>
  <si>
    <t>TABLA 15.23: NÚMERO DE SERVICIOS MÓVILES DE LA DIRECCIÓN DE BIBLIOTECAS, ARCHIVOS Y MUSEOS (DIBAM), SEGÚN REGIÓN. 2009-2014</t>
  </si>
  <si>
    <t>TABLA 15.24: NÚMERO DE BIBLIOTECAS PÚBLICAS DE LA DIRECCIÓN DE BIBLIOTECAS, ARCHIVOS Y MUSEOS (DIBAM) CON ACCESO GRATUITO A INTERNET. 2009-2014</t>
  </si>
  <si>
    <t>Bibliotecas con internet</t>
  </si>
  <si>
    <t>TABLA 15.25: NÚMERO DE EJEMPLARES INGRESADOS EN BIBLIOTECAS PÚBLICAS DE LA DIRECCIÓN DE BIBLIOTECAS, ARCHIVOS Y MUSEOS (DIBAM), SEGÚN TIPO DE COLECCIÓN. 2010-2014</t>
  </si>
  <si>
    <t>Tipo 1: Colección general</t>
  </si>
  <si>
    <t>Tipo 2: Colección infantil</t>
  </si>
  <si>
    <t>Tipo 3: Colección juvenil</t>
  </si>
  <si>
    <t>Tipo 4: Colección literatura chilena</t>
  </si>
  <si>
    <t>Tipo 5: Colección literatura general</t>
  </si>
  <si>
    <t>Tipo 6: Colección patrimonial</t>
  </si>
  <si>
    <t>Tipo 7: Colección referencia</t>
  </si>
  <si>
    <t>Tipo 8: Colección regional</t>
  </si>
  <si>
    <t>Tipo 9: Colección diarios y revistas</t>
  </si>
  <si>
    <t>Tipo 10: Otras colecciones</t>
  </si>
  <si>
    <t>TABLA 15.26: NÚMERO DE EJEMPLARES EN BIBLIOTECAS PÚBLICAS DE LA DIRECCIÓN DE BIBLIOTECAS, ARCHIVOS Y MUSEOS (DIBAM), SEGÚN MATERIA. 2010-2014</t>
  </si>
  <si>
    <t>Tipo 1: Artes</t>
  </si>
  <si>
    <t>Tipo 2: Ciencias naturales</t>
  </si>
  <si>
    <t>Tipo 3: Ciencias sociales</t>
  </si>
  <si>
    <t>Tipo 4: Filosofía y psicología</t>
  </si>
  <si>
    <t>Tipo 5: Generalidades</t>
  </si>
  <si>
    <t>Tipo 6: Geografía e historia</t>
  </si>
  <si>
    <t>Tipo 7: Lenguas</t>
  </si>
  <si>
    <t>Tipo 8: Literatura</t>
  </si>
  <si>
    <t>Tipo 9: Religión</t>
  </si>
  <si>
    <t>Tipo 10: Tecnología</t>
  </si>
  <si>
    <t>TABLA 15.27: NÚMERO DE EJEMPLARES EN BIBLIOTECAS PÚBLICAS DE LA DIRECCIÓN DE BIBLIOTECAS, ARCHIVOS Y MUSEOS (DIBAM), SEGÚN COLECCIÓN. 2010-2014</t>
  </si>
  <si>
    <t>Tipo 9: Casero del libro/bibliobuses y otros</t>
  </si>
  <si>
    <t>NÚMERO DE OBJETOS DIGITALES EN PLATAFORMA DESCUBRE</t>
  </si>
  <si>
    <t xml:space="preserve">Objetos Digitales disponibles en Plataforma Descubre </t>
  </si>
  <si>
    <t xml:space="preserve"> - Información no disponible</t>
  </si>
  <si>
    <t>TABLA 15.29: NÚMERO DE USUARIOS REGISTRADOS EN BIBLIOTECAS PÚBLICAS Y BIBLIOREDES. 2009-2014</t>
  </si>
  <si>
    <t>USUARIOS REGISTRADOS</t>
  </si>
  <si>
    <t>Número de usuarios registrados en biblioredes (total acumulado)</t>
  </si>
  <si>
    <t>VISITAS A PORTALES DE BIBLIOREDES</t>
  </si>
  <si>
    <t>SITIO WEB</t>
  </si>
  <si>
    <t>Consultas</t>
  </si>
  <si>
    <t>TABLA 15.33: NÚMERO DE VISITANTES ESTIMADOS Y ARCHIVOS DESCARGADOS DESDE SITIOS WEB DE LA DIRECCIÓN DE BIBLIOTECAS, ARCHIVOS Y MUSEOS (DIBAM), SEGÚN SITIO WEB. 2009-2014</t>
  </si>
  <si>
    <t>Visitantes estimados</t>
  </si>
  <si>
    <t>Archivos descargados</t>
  </si>
  <si>
    <t xml:space="preserve"> …  </t>
  </si>
  <si>
    <t>TABLA 15.34: NÚMERO DE USUARIOS DE BIBLIOTECAS PÚBLICAS DE LA DIRECCIÓN DE BIBLIOTECAS, ARCHIVOS Y MUSEOS (DIBAM) QUE CIRCULAN AUTOMATIZADAS POR GRUPOS DE EDAD, SEGÚN REGIÓN. 2014</t>
  </si>
  <si>
    <t xml:space="preserve"> 0-14 años</t>
  </si>
  <si>
    <t xml:space="preserve"> 15-29 años</t>
  </si>
  <si>
    <t xml:space="preserve"> 30-59 años</t>
  </si>
  <si>
    <t>Mayores de 60 años</t>
  </si>
  <si>
    <t>TABLA 15.35: NÚMERO DE USUARIOS DE BIBLIOTECA NACIONAL, BIBLIOTECA DE SANTIAGO, BIBLIOMETRO. 2009-2014</t>
  </si>
  <si>
    <t>Años</t>
  </si>
  <si>
    <t xml:space="preserve">Número de usuarios presenciales de la Biblioteca de Santiago </t>
  </si>
  <si>
    <t>Número de socios del Programa Bibliometro</t>
  </si>
  <si>
    <t xml:space="preserve"> … Información no disponible</t>
  </si>
  <si>
    <t>TABLA 15.39: NÚMERO DE FUNCIONES Y ASISTENTES A RECITALES DE POESÍA. 2009-2014</t>
  </si>
  <si>
    <t>Funciones</t>
  </si>
  <si>
    <t>Total asistencia</t>
  </si>
  <si>
    <t>Asistencia</t>
  </si>
  <si>
    <t>Entradas pagadas</t>
  </si>
  <si>
    <t>Entradas gratuitas</t>
  </si>
  <si>
    <t>FUENTE: Encuesta de Espectáculos Públicos 2013, INE.</t>
  </si>
  <si>
    <t>TABLA 15.40: NÚMERO DE FUNCIONES Y ASISTENCIA A RECITALES DE POESÍA, SEGÚN REGIÓN. 2014</t>
  </si>
  <si>
    <t>Tipo de entrada</t>
  </si>
  <si>
    <t>TABLA 15.42: NÚMERO DE SOCIOS DE LA ASOCIACIÓN NACIONAL DE LA PRENSA (ANP), POR SOPORTE DE PUBLICACIÓN (DIARIO, PERIÓDICO, REVISTAS Y OTROS), SEGÚN REGIÓN DE CASA MATRIZ. 2014</t>
  </si>
  <si>
    <t>REGIÓN DE CASA MATRIZ</t>
  </si>
  <si>
    <t>Diarios</t>
  </si>
  <si>
    <t>Revistas</t>
  </si>
  <si>
    <t>FUENTE: Asociación Nacional de la Prensa (ANP).</t>
  </si>
  <si>
    <t>TABLA 15.43: CONCURSO DE LECTORES INFANTILES: NÚMERO DE POSTULANTES Y NÚMERO DE GANADORES, SEGÚN REGIÓN, SEXO Y GRUPO DE EDAD. 2012-2014</t>
  </si>
  <si>
    <t>REGIÓN/SEXO/GRUPO DE EDAD</t>
  </si>
  <si>
    <t>Postulantes</t>
  </si>
  <si>
    <t>Ganadores</t>
  </si>
  <si>
    <t>Grupo de Edad</t>
  </si>
  <si>
    <t>Entre 6-10 años</t>
  </si>
  <si>
    <t>Entre 11-14 años</t>
  </si>
  <si>
    <t>Número de regiones participantes</t>
  </si>
  <si>
    <t>TABLA 16.1: NÚMERO DE PROYECTOS Y MONTOS ADJUDICADOS POR FONDO AUDIOVISUAL, SEGÚN REGIÓN DE DOMICILIO DEL PARTICIPANTE. 2014</t>
  </si>
  <si>
    <t>Creación audiovisual</t>
  </si>
  <si>
    <t>Fomento a la producción de guiones</t>
  </si>
  <si>
    <t xml:space="preserve"> Formación capacitación regional</t>
  </si>
  <si>
    <t>Programa de Apoyo para la Participación y Festivales y Premios Internacionales</t>
  </si>
  <si>
    <t>TABLA 16.2: NÚMERO DE EMISORAS DE FRECUENCIA MODULADA (FM), AMPLITUD MODULADA (AM) Y MÍNIMA COBERTURA (MC) REGISTRADAS EN LA SUBSECRETARÍA DE TELECOMUNICACIONES (SUBTEL). 2011-2014</t>
  </si>
  <si>
    <t>AM</t>
  </si>
  <si>
    <t>FM</t>
  </si>
  <si>
    <t>MC</t>
  </si>
  <si>
    <t>FUENTE: Subsecretaría de Telecomunicaciones (Subtel).</t>
  </si>
  <si>
    <t>TABLA 16.3: SOPORTE PARA DIFUSIÓN Y COMERCIALIZACIÓN SEGÚN REGISTROS DE LA SOCIEDAD CHILENA DEL DERECHO DE AUTOR (SCD). 2014</t>
  </si>
  <si>
    <t>N° RADIOEMISORAS Y SITIOS VENTA ONLINE</t>
  </si>
  <si>
    <t>TABLA 16.4: NÚMERO DE SEÑALES DE RADIODIFUSIÓN POR BANDA DE TRANSMISIÓN, SEGÚN REGIÓN. 2014</t>
  </si>
  <si>
    <t>Amplitud Modulada</t>
  </si>
  <si>
    <t>Frecuencia Modulada</t>
  </si>
  <si>
    <t>Independiente</t>
  </si>
  <si>
    <t>Repetidora</t>
  </si>
  <si>
    <t>Mixta</t>
  </si>
  <si>
    <t xml:space="preserve">Independiente </t>
  </si>
  <si>
    <t xml:space="preserve">Repetidora </t>
  </si>
  <si>
    <t xml:space="preserve">Mixta </t>
  </si>
  <si>
    <t>FUENTE: Encuesta Anual de Radios (EAR) 2014. Instituto Nacional de Estadísticas (INE).</t>
  </si>
  <si>
    <t>TABLA 16.5: NÚMERO DE SEÑALES DE RADIODIFUSIÓN, SEGÚN TRANSMISIÓN VIA INTERNET. 2014</t>
  </si>
  <si>
    <t>TRANSMISIÓN VÍA INTERNET</t>
  </si>
  <si>
    <t>Porcentaje (%)</t>
  </si>
  <si>
    <t>Transmisión directa por internet (en vivo)</t>
  </si>
  <si>
    <t>Programas descargables desde internet</t>
  </si>
  <si>
    <t>No transmite por internet</t>
  </si>
  <si>
    <t>TABLA 16.6: NÚMERO DE SEÑALES DE RADIODIFUSIÓN POR POTENCIA DE SUS TRANSMISIONES, SEGÚN BANDA DE TRANSMISIÓN Y REGIÓN. 2014</t>
  </si>
  <si>
    <t>BANDA DE TRANSMISIÓN Y REGIÓN</t>
  </si>
  <si>
    <t>Potencia de transmisión (en watts)</t>
  </si>
  <si>
    <t>Menos de 100</t>
  </si>
  <si>
    <t>100 a menos de 300</t>
  </si>
  <si>
    <t>300 a 1.000</t>
  </si>
  <si>
    <t>1.001 a 5.000</t>
  </si>
  <si>
    <t>5.001 a 10.000</t>
  </si>
  <si>
    <t>10.001 a 50.000</t>
  </si>
  <si>
    <t>Más de 50.000</t>
  </si>
  <si>
    <t>TABLA 16.7: NÚMERO DE SEÑALES DE RADIODIFUSIÓN QUE EFECTUARON TRANSMISIONES POR INTERVALOS DE HORAS DE TRANSMISIÓN, SEGÚN DÍAS DE LA SEMANA Y REGIÓN. 2014</t>
  </si>
  <si>
    <t>DÍA DE LA SEMANA Y REGIÓN</t>
  </si>
  <si>
    <t>No Transmite</t>
  </si>
  <si>
    <t>Intervalos de horas de transmisión</t>
  </si>
  <si>
    <t>Menos de 12</t>
  </si>
  <si>
    <t>12 - 17</t>
  </si>
  <si>
    <t>18 - 23</t>
  </si>
  <si>
    <t>LUNES A VIERNES</t>
  </si>
  <si>
    <t>SÁBADO</t>
  </si>
  <si>
    <t>DOMINGO</t>
  </si>
  <si>
    <t>TABLA 16.8: NÚMERO DE SEÑALES DE RADIODIFUSIÓN, POR INTERVALOS DE HORAS DE TRANSMISIÓN DIARIA, SEGÚN BANDA DE TRANSMISIÓN Y DÍAS DE LA SEMANA. 2014</t>
  </si>
  <si>
    <t>BANDA DE TRANSMISIÓN Y DÍAS DE LA SEMANA</t>
  </si>
  <si>
    <t>Intervalos de horas de transmisión diaria</t>
  </si>
  <si>
    <t>Días de la semana</t>
  </si>
  <si>
    <t>Lunes a Viernes</t>
  </si>
  <si>
    <t>Sábado</t>
  </si>
  <si>
    <t>Domingo</t>
  </si>
  <si>
    <t xml:space="preserve">    Lunes a Viernes</t>
  </si>
  <si>
    <t xml:space="preserve">    Sábado</t>
  </si>
  <si>
    <t xml:space="preserve">    Domingo</t>
  </si>
  <si>
    <t>TABLA 16.9: PORCENTAJE DE SEÑALES DE RADIODIFUSIÓN POR INTERVALOS DE HORAS DE TRANSMISIÓN DIARIA, SEGÚN BANDA DE TRANSMISIÓN Y DÍAS DE LA SEMANA. 2014</t>
  </si>
  <si>
    <t>12 -17</t>
  </si>
  <si>
    <t>TABLA 16.10: NÚMERO DE RADIOEMISORAS POR BANDA DE TRANSMISIÓN, SEGÚN TIPO DE PROGRAMA AL QUE LE ASIGNAN PRIMERA PRIORIDAD. 2014</t>
  </si>
  <si>
    <t>TIPO DE PROGRAMA AL QUE LE ASIGNAN PRIMERA PRIORIDAD</t>
  </si>
  <si>
    <t>Número de Radioemisoras</t>
  </si>
  <si>
    <t>Banda de transmisión</t>
  </si>
  <si>
    <t>Noticieros e Informativos</t>
  </si>
  <si>
    <t>Educativos</t>
  </si>
  <si>
    <t>Ciencias y Tecnologías</t>
  </si>
  <si>
    <t>Artes y Cultura</t>
  </si>
  <si>
    <t>Música</t>
  </si>
  <si>
    <t>Deportivos</t>
  </si>
  <si>
    <t>Religiosos</t>
  </si>
  <si>
    <t>Publicidad</t>
  </si>
  <si>
    <t>Otros Recreativos</t>
  </si>
  <si>
    <t>Servicio público</t>
  </si>
  <si>
    <t>No clasificados</t>
  </si>
  <si>
    <t>GRUPO DE EDAD DEL PÚBLICO AL QUE LE DAN PRIMERA PRIORIDAD</t>
  </si>
  <si>
    <t>Número de radioemisoras</t>
  </si>
  <si>
    <t>Menos de 15</t>
  </si>
  <si>
    <t>15 - 19</t>
  </si>
  <si>
    <t>20 - 24</t>
  </si>
  <si>
    <t>25 - 34</t>
  </si>
  <si>
    <t>35 - 44</t>
  </si>
  <si>
    <t>45 - 59</t>
  </si>
  <si>
    <t>60 y más</t>
  </si>
  <si>
    <t>TABLA 16.12: HORAS ANUALES Y PORCENTAJES DE TRANSMISIÓN DE LAS RADIOEMISORAS, SEGÚN TIPO DE PROGRAMA. 2014</t>
  </si>
  <si>
    <t>TIPO DE PROGRAMA</t>
  </si>
  <si>
    <t>Horas</t>
  </si>
  <si>
    <t>TABLA 16.13: PERSONAL DE LAS RADIOEMISORAS POR TIPO DE JORNADA, SEGÚN SEXO Y TIPO DE PERSONAL. 2014</t>
  </si>
  <si>
    <t>SEXO Y TIPO DE PERSONAL</t>
  </si>
  <si>
    <t>Tipo de jornada</t>
  </si>
  <si>
    <t>Completa</t>
  </si>
  <si>
    <t>Parcial</t>
  </si>
  <si>
    <t>Directivos (gerentes y ejecutivos)</t>
  </si>
  <si>
    <t>Otros funcionarios</t>
  </si>
  <si>
    <t>TABLA 16.14: INGRESOS DE LAS RADIOEMISORAS, SEGÚN FUENTE. 2014</t>
  </si>
  <si>
    <t>FUENTE</t>
  </si>
  <si>
    <t>Ingresos de las radioemisoras (en pesos $)</t>
  </si>
  <si>
    <t>Arriendo de espacios</t>
  </si>
  <si>
    <t>Otros fondos</t>
  </si>
  <si>
    <t>TABLA 16.15: GASTOS DE LAS RADIOEMISORAS, SEGÚN ORIGEN. 2014</t>
  </si>
  <si>
    <t>ORIGEN</t>
  </si>
  <si>
    <t>Gastos de las radioemisoras (en pesos $)</t>
  </si>
  <si>
    <t>Personal</t>
  </si>
  <si>
    <t>Producción de programas</t>
  </si>
  <si>
    <t>Adquisición de programas</t>
  </si>
  <si>
    <t>Medios de producción</t>
  </si>
  <si>
    <t>Medios de difusión</t>
  </si>
  <si>
    <t>Gestión y administración</t>
  </si>
  <si>
    <t>TABLA 16.16: INGRESOS Y GASTOS DE LAS RADIOEMISORAS, SEGÚN TAMAÑO DE LA EMPRESA. 2014</t>
  </si>
  <si>
    <t>Total de empresas</t>
  </si>
  <si>
    <t>Total ingresos</t>
  </si>
  <si>
    <t>Total  Gastos</t>
  </si>
  <si>
    <t>Menos de 5</t>
  </si>
  <si>
    <t>5 - 9</t>
  </si>
  <si>
    <t>10 - 49</t>
  </si>
  <si>
    <t>50 y más</t>
  </si>
  <si>
    <t>COBERTURA</t>
  </si>
  <si>
    <t>Frecuencia</t>
  </si>
  <si>
    <t>Número de canales</t>
  </si>
  <si>
    <t>Regionales</t>
  </si>
  <si>
    <t>VHF</t>
  </si>
  <si>
    <t xml:space="preserve">FUENTE: Consejo Nacional de Televisión (CNTV). </t>
  </si>
  <si>
    <t>Otorgado</t>
  </si>
  <si>
    <t xml:space="preserve">Otorgado </t>
  </si>
  <si>
    <t>TABLA 16.19: HORAS DE EMISIÓN DE PROGRAMACIÓN DE TELEVISIÓN ABIERTA, SEGÚN PÚBLICO OBJETIVO. 2014</t>
  </si>
  <si>
    <t>PÚBLICO OBJETIVO</t>
  </si>
  <si>
    <t>Infantil 0-5</t>
  </si>
  <si>
    <t>Infantil 6-12</t>
  </si>
  <si>
    <t>Adolescente</t>
  </si>
  <si>
    <t>Otro (familiar/adulto)</t>
  </si>
  <si>
    <t>TABLA 16.20: HORAS DE EMISIÓN Y CONSUMO DE PROGRAMACIÓN DE TELEVISIÓN ABIERTA, SEGÚN GÉNERO TELEVISIVO. 2014</t>
  </si>
  <si>
    <t>GÉNERO TELEVISIVO</t>
  </si>
  <si>
    <t>Conversación</t>
  </si>
  <si>
    <t>Informativos</t>
  </si>
  <si>
    <t>Instruccional-formativo</t>
  </si>
  <si>
    <t>Películas</t>
  </si>
  <si>
    <t>Reportajes</t>
  </si>
  <si>
    <t>Telerrealidad</t>
  </si>
  <si>
    <t>Series y miniseries</t>
  </si>
  <si>
    <t>Telenovelas</t>
  </si>
  <si>
    <t>Videoclips</t>
  </si>
  <si>
    <t>TABLA 16.21: HORAS DE EMISIÓN Y CONSUMO DE PROGRAMACIÓN DE TELEVISIÓN ABIERTA, SEGÚN PROCEDENCIA. 2014</t>
  </si>
  <si>
    <t>PROCEDENCIA</t>
  </si>
  <si>
    <t>Extranjero</t>
  </si>
  <si>
    <t>FUENTE: Consejo Nacional de Televisión (CNTV).</t>
  </si>
  <si>
    <t>TABLA 16.22: HORAS DE EMISIÓN DE PROGRAMACIÓN NACIONAL DE TELEVISIÓN ABIERTA, SEGÚN GÉNERO TELEVISIVO. 2014</t>
  </si>
  <si>
    <t>Continuidad</t>
  </si>
  <si>
    <t>TABLA 16.23: HORAS DE EMISIÓN DE PROGRAMACIÓN EXTRANJERA DE TELEVISIÓN ABIERTA, SEGÚN GÉNERO TELEVISIVO. 2014</t>
  </si>
  <si>
    <t>TABLA 16.24: HORAS DE EMISIÓN Y CONSUMO DE PROGRAMACIÓN INFANTIL PARA NIÑOS MENORES DE 12 AÑOS, SEGÚN CATEGORÍA. 2014</t>
  </si>
  <si>
    <t>CATEGORÍA</t>
  </si>
  <si>
    <t>Programación para menores de 12 años</t>
  </si>
  <si>
    <t xml:space="preserve">Infantil </t>
  </si>
  <si>
    <t>Programas culturales</t>
  </si>
  <si>
    <t>Otro tipo de programas</t>
  </si>
  <si>
    <t>TIPO DE PRODUCCIÓN</t>
  </si>
  <si>
    <t>Nacionales/extranjeras</t>
  </si>
  <si>
    <t>Extranjeras</t>
  </si>
  <si>
    <t xml:space="preserve">Teleseries </t>
  </si>
  <si>
    <t>Series</t>
  </si>
  <si>
    <t>Teatro</t>
  </si>
  <si>
    <t>Concurso</t>
  </si>
  <si>
    <t>D. animados</t>
  </si>
  <si>
    <t>Documental</t>
  </si>
  <si>
    <t>Magazine</t>
  </si>
  <si>
    <t>P. humor</t>
  </si>
  <si>
    <t>P. musical</t>
  </si>
  <si>
    <t>TABLA 16.27: NÚMERO DE EXPLOTACIONES DE PRODUCCIONES NACIONALES Y EXTRANJERAS DE LA CORPORACIÓN DE ACTORES DE CHILE (CHILEACTORES), SEGÚN TIPO DE SERIE. 2009-2014</t>
  </si>
  <si>
    <t>TIPO DE SERIE</t>
  </si>
  <si>
    <t>PRODUCCIONES NACIONALES Y EXTRANJERAS</t>
  </si>
  <si>
    <t>Teleseries</t>
  </si>
  <si>
    <t>Miniseries</t>
  </si>
  <si>
    <t>D.Animados</t>
  </si>
  <si>
    <t>P.Humor</t>
  </si>
  <si>
    <t>P.Musical</t>
  </si>
  <si>
    <t>TABLA 16.28: NÚMERO DE EXPLOTACIONES DE PRODUCCIONES NACIONALES Y EXTRANJERAS DE LA CORPORACIÓN DE ACTORES DE CHILE (CHILEACTORES), SEGÚN TIPO DE PRODUCCIÓN. 2009-2014</t>
  </si>
  <si>
    <t>Medio de emisión</t>
  </si>
  <si>
    <t>Recaudación Nacional</t>
  </si>
  <si>
    <t xml:space="preserve">Recaudación Extranjera </t>
  </si>
  <si>
    <t>Cable</t>
  </si>
  <si>
    <t>Canales Abiertos</t>
  </si>
  <si>
    <t xml:space="preserve">Otros </t>
  </si>
  <si>
    <t>Desde España</t>
  </si>
  <si>
    <t>Interpretes nacionales</t>
  </si>
  <si>
    <t xml:space="preserve">Interpretes extranjeros </t>
  </si>
  <si>
    <t>AFILIACIÓN</t>
  </si>
  <si>
    <t>Primer reparto 2009-2011</t>
  </si>
  <si>
    <t>Segundo reparto año 2012</t>
  </si>
  <si>
    <t>Tercer reparto año 2013</t>
  </si>
  <si>
    <t>No socios</t>
  </si>
  <si>
    <t>TABLA 16.31: CONSUMO PROMEDIO ANUAL DE TELEVISIÓN ABIERTA POR HORAS, SEGÚN RANGO ETARIO. 2014</t>
  </si>
  <si>
    <t>RANGO ETARIO</t>
  </si>
  <si>
    <t>4 - 12</t>
  </si>
  <si>
    <t>13 - 17</t>
  </si>
  <si>
    <t>18 - 24</t>
  </si>
  <si>
    <t xml:space="preserve">25 - 34 </t>
  </si>
  <si>
    <t>35 - 49</t>
  </si>
  <si>
    <t>50 - 64</t>
  </si>
  <si>
    <t>65 y más</t>
  </si>
  <si>
    <t>TABLA 16.32: CONSUMO PROMEDIO ANUAL DE TELEVISIÓN ABIERTA PARA NIÑOS DE 4 A 12 AÑOS DE EDAD, SEGÚN GÉNERO TELEVISIVO. 2014</t>
  </si>
  <si>
    <t>TABLA 16.33: HORAS DE EMISIÓN DE PROGRAMACIÓN INFANTIL DE TELEVISIÓN ABIERTA, SEGÚN PROCEDENCIA. 2014</t>
  </si>
  <si>
    <t>Sólo programación para niños entre 0 y 12 años</t>
  </si>
  <si>
    <t xml:space="preserve">Horas </t>
  </si>
  <si>
    <t>TABLA 16.34: HORAS DE EMISIÓN ANUAL (TIEMPO Y PORCENTAJE DE OFERTA Y CONSUMO) FINANCIADAS POR EL FONDO DEL CONSEJO NACIONAL DE TELEVISIÓN (CNTV), SEGÚN TIPO DE PROGRAMACIÓN. 2014</t>
  </si>
  <si>
    <t>Programación general</t>
  </si>
  <si>
    <t>Programación con fondos CNTV</t>
  </si>
  <si>
    <t>TABLA 16.35: NÚMERO DE PELÍCULAS ESTRENADAS, SEGÚN ORIGEN DE LA PELÍCULA. 2014</t>
  </si>
  <si>
    <t>ORÍGEN DE LA PELÍCULA</t>
  </si>
  <si>
    <t xml:space="preserve">Número de películas </t>
  </si>
  <si>
    <t>EEUU</t>
  </si>
  <si>
    <t>Argentina</t>
  </si>
  <si>
    <t>Central América</t>
  </si>
  <si>
    <t>FUENTE: Cámara de Distribuidores Cinematográficos (Cadic).</t>
  </si>
  <si>
    <t>TABLA 16.36: NÚMERO DE PELÍCULAS EXHIBIDAS POR ORIGEN, SEGÚN REGIÓN. 2014</t>
  </si>
  <si>
    <t>Número de películas</t>
  </si>
  <si>
    <t>Origen</t>
  </si>
  <si>
    <t>Latinoamérica</t>
  </si>
  <si>
    <t>TABLA 16.37: NÚMERO DE EMPRESAS DISTRIBUIDORAS DE CINE NACIONALES Y EXTRANJERAS, SEGÚN REGIÓN. 2014</t>
  </si>
  <si>
    <t>Distribuidora</t>
  </si>
  <si>
    <t>Extranjera</t>
  </si>
  <si>
    <t>TABLA 16.38:  NÚMERO DE TRABAJADORES AL AÑO EN DISTRIBUIDORAS DE CINE POR SEXO, SEGÚN REGIÓN. 2014</t>
  </si>
  <si>
    <t>Número de trabajadores</t>
  </si>
  <si>
    <t xml:space="preserve">Hombres </t>
  </si>
  <si>
    <t xml:space="preserve">Mujeres </t>
  </si>
  <si>
    <t>Otros Países</t>
  </si>
  <si>
    <t>TABLA 16.40: NÚMERO DE FUNCIONES DE CINE POR TIPO DE ASISTENCIA, SEGÚN REGIÓN. 2014</t>
  </si>
  <si>
    <t>Número de salas</t>
  </si>
  <si>
    <t>Capacidad (butacas)</t>
  </si>
  <si>
    <t>Espectadores</t>
  </si>
  <si>
    <t>Lugar de origen de la película</t>
  </si>
  <si>
    <t xml:space="preserve"> EEUU</t>
  </si>
  <si>
    <t>Otros países</t>
  </si>
  <si>
    <t xml:space="preserve"> EE.UU.</t>
  </si>
  <si>
    <t>Calificación cinematográfica</t>
  </si>
  <si>
    <t>Mayores de 7 años</t>
  </si>
  <si>
    <t>Mayores de 14 años</t>
  </si>
  <si>
    <t>Mayores de 18 años</t>
  </si>
  <si>
    <t>Todo espectador</t>
  </si>
  <si>
    <t>Mes</t>
  </si>
  <si>
    <t>TABLA 16.46:  NÚMERO DE ESPECTADORES DE CINE POR GÉNERO DE LA PELÍCULA, SEGÚN REGIÓN. 2014</t>
  </si>
  <si>
    <t>Comedia</t>
  </si>
  <si>
    <t>Drama</t>
  </si>
  <si>
    <t>Fantástico</t>
  </si>
  <si>
    <t>Acción</t>
  </si>
  <si>
    <t>Musical</t>
  </si>
  <si>
    <t>Aventura</t>
  </si>
  <si>
    <t>TABLA 16.47: NÚMERO DE ESPECTADORES A LAS VEINTE PELÍCULAS CON MAYOR VENTA DE ENTRADAS POR FECHA DE ESTRENO, GÉNERO, CALIFICACIÓN, NÚMERO DE COPIAS VENDIDAS Y SEMANAS EN CARTELERA, SEGÚN TÍTULO DE LA PELÍCULA. 2014</t>
  </si>
  <si>
    <t>TÍTULO DE LA PELÍCULA</t>
  </si>
  <si>
    <t>Número de espectadores</t>
  </si>
  <si>
    <t>Fecha de estreno</t>
  </si>
  <si>
    <t>Género</t>
  </si>
  <si>
    <t>Número de copias vendidas</t>
  </si>
  <si>
    <t>Semanas en cartelera</t>
  </si>
  <si>
    <t>Transformer 4: La era de la extinción</t>
  </si>
  <si>
    <t>Acción/Aventura</t>
  </si>
  <si>
    <t>TE+7</t>
  </si>
  <si>
    <t>Cómo entrenar a tu dragón 2</t>
  </si>
  <si>
    <t>Animada</t>
  </si>
  <si>
    <t>TE</t>
  </si>
  <si>
    <t>Rio 2</t>
  </si>
  <si>
    <t>Frozen, una aventura congelada</t>
  </si>
  <si>
    <t>Annabelle</t>
  </si>
  <si>
    <t>Suspenso/horror</t>
  </si>
  <si>
    <t>M 14</t>
  </si>
  <si>
    <t>El planeta de los simios, confrontación</t>
  </si>
  <si>
    <t>Maléfica</t>
  </si>
  <si>
    <t>Los juegos del hambre</t>
  </si>
  <si>
    <t>Bajo la misma estrella</t>
  </si>
  <si>
    <t>X-Men: Días del futuro pasado</t>
  </si>
  <si>
    <t>Hombre araña 2</t>
  </si>
  <si>
    <t>Guardianes de la galaxia</t>
  </si>
  <si>
    <t>Hobbit: Batalla de 5 ejercitos</t>
  </si>
  <si>
    <t>Interestelar</t>
  </si>
  <si>
    <t>Noe</t>
  </si>
  <si>
    <t>Tortugas ninja</t>
  </si>
  <si>
    <t>Capitán America</t>
  </si>
  <si>
    <t>Godzilla</t>
  </si>
  <si>
    <t>Hobbit: Desolación de smaug</t>
  </si>
  <si>
    <t>Maze Runner: Correr o morir</t>
  </si>
  <si>
    <t>TABLA 16.48: NÚMERO DE ESPECTADORES A LAS TRES PELÍCULAS NACIONALES CON MAYOR VENTA DE ENTRADAS POR FECHA DE ESTRENO, GENERO, CALIFICACIÓN, NÚMERO DE COPIAS VENDIDAS Y SEMANAS EN CARTELERA, SEGÚN TÍTULO DE LA PELÍCULA. 2014</t>
  </si>
  <si>
    <t>Fuerzas Especiales</t>
  </si>
  <si>
    <t>Mamá ya crecí</t>
  </si>
  <si>
    <t>El sueño de todos</t>
  </si>
  <si>
    <t>TABLA 17.1: MATRÍCULA DE JÓVENES CON ESPECIALIDAD CREATIVA EN ENSEÑANZA MEDIA TÉCNICA PROFESIONAL Y ARTÍSTICA POR NÚMERO DE ESTABLECIMIENTOS QUE LA IMPARTEN, SEGÚN REGIÓN. 2014</t>
  </si>
  <si>
    <t xml:space="preserve">Matrícula de jóvenes con especialidad artística </t>
  </si>
  <si>
    <t>Matrícula  dejovenes en establecimientos técnico profesional, Industriales y artísticos</t>
  </si>
  <si>
    <t>Número de establecimientos que imparten especialidades creativas</t>
  </si>
  <si>
    <t>Número de establecimientos que imparten Enseñanza Media Técnico profesional Industrial y Artística</t>
  </si>
  <si>
    <t>FUENTE: Elaboración del Consejo Nacional de la Cultura y las Artes (CNCA), a partir de bases de datos del Ministerio de Educación (Mineduc).</t>
  </si>
  <si>
    <t>TABLA 17.2: NÚMERO DE ALUMNOS MATRICULADOS EN ENSEÑANZA MEDIA TÉCNICA PROFESIONAL Y ARTÍSTICA, SEGÚN ESPECIALIDAD CREATIVA. 2014</t>
  </si>
  <si>
    <t>ESPECIALIDAD CREATIVA</t>
  </si>
  <si>
    <t>Gráfica</t>
  </si>
  <si>
    <t>Dibujo técnico</t>
  </si>
  <si>
    <t>Vestuario y Confección Textil</t>
  </si>
  <si>
    <t>Productos del cuero</t>
  </si>
  <si>
    <t>Artes Visuales</t>
  </si>
  <si>
    <t>Interpretación en Danza de Nivel Intermedio</t>
  </si>
  <si>
    <t>TABLA 17.3: NÚMERO Y PORCENTAJE DE MATRÍCULAS DE JOVENES DE 15 A 29 AÑOS EN ENSEÑANZA MEDIA, SEGÚN ESPECIALIDAD CREATIVA O NO CREATIVA. 2014</t>
  </si>
  <si>
    <t>Especialidades no creativas</t>
  </si>
  <si>
    <t>Especialidades creativas</t>
  </si>
  <si>
    <t>DOMINIO Y SUBDOMINIO CULTURAL</t>
  </si>
  <si>
    <t>Tipo de carrera</t>
  </si>
  <si>
    <t xml:space="preserve">Total de Carreras Asociadas al Ámbito Creativo </t>
  </si>
  <si>
    <t>Número de Carreras</t>
  </si>
  <si>
    <t>Número de Carreras orientadas a la Creación</t>
  </si>
  <si>
    <t>Número de Carreras de Soporte a la cadena de producción y comercio Creativo</t>
  </si>
  <si>
    <t>Número de Carreras de Soporte teórico al ámbito creativo</t>
  </si>
  <si>
    <t>Patrimonio</t>
  </si>
  <si>
    <t>Bibliotecología</t>
  </si>
  <si>
    <t>Conservación y restauración</t>
  </si>
  <si>
    <t>Interculturalidad</t>
  </si>
  <si>
    <t>Artesanía</t>
  </si>
  <si>
    <t>Artes visuales y fotografía</t>
  </si>
  <si>
    <t>Artes visuales</t>
  </si>
  <si>
    <t>Fotografía</t>
  </si>
  <si>
    <t>Artes escénicas</t>
  </si>
  <si>
    <t>Danza</t>
  </si>
  <si>
    <t>Artes musicales</t>
  </si>
  <si>
    <t>Técnico música</t>
  </si>
  <si>
    <t>Producción musical</t>
  </si>
  <si>
    <t>Postítulos en musicología y similares</t>
  </si>
  <si>
    <t>Artes literarias, libros y prensa</t>
  </si>
  <si>
    <t>Editorial</t>
  </si>
  <si>
    <t>Medios audiovisuales e interactivos</t>
  </si>
  <si>
    <t>Animación y videojuegos</t>
  </si>
  <si>
    <t>Audiovisual</t>
  </si>
  <si>
    <t>Comunicación audiovisual y multimedia</t>
  </si>
  <si>
    <t>Locución</t>
  </si>
  <si>
    <t>Técnico audiovisual</t>
  </si>
  <si>
    <t>Arquitectura, diseño y servicios creativos</t>
  </si>
  <si>
    <t>Arquitectura</t>
  </si>
  <si>
    <t>Diseño</t>
  </si>
  <si>
    <t>Servicios creativos digitales</t>
  </si>
  <si>
    <t>Infraestructura y equipamiento</t>
  </si>
  <si>
    <t>Informática</t>
  </si>
  <si>
    <t>Robótica</t>
  </si>
  <si>
    <t xml:space="preserve">Educación </t>
  </si>
  <si>
    <t>Pedagogía en artes escéncias</t>
  </si>
  <si>
    <t>Pedagogía en artes y cultura</t>
  </si>
  <si>
    <t>Pedagogía en artes visuales</t>
  </si>
  <si>
    <t>Pedagogía en educación tecnológica</t>
  </si>
  <si>
    <t>Pedagogía en literatura</t>
  </si>
  <si>
    <t>Pedagogía en música</t>
  </si>
  <si>
    <t>Estudios transversales</t>
  </si>
  <si>
    <t>Estudios transversales en artes</t>
  </si>
  <si>
    <t>Estudios transversales en cultura</t>
  </si>
  <si>
    <t>Gestión cultural</t>
  </si>
  <si>
    <t>Fuente: Elaboración del Consejo Nacional de la Cultura y las Artes (CNCA) a partir de datos del Servicio de Información de Edcuación Superior (SIES) del MINEDUC. 2014</t>
  </si>
  <si>
    <t>Matriculados ambos sexos</t>
  </si>
  <si>
    <t>Mujeres matriculadas</t>
  </si>
  <si>
    <t>Hombres matriculados</t>
  </si>
  <si>
    <t>Carreras creativas</t>
  </si>
  <si>
    <t>Matriculados</t>
  </si>
  <si>
    <t>Número de matriculados</t>
  </si>
  <si>
    <t>DOMINIO Y SUBDOMINIO</t>
  </si>
  <si>
    <t>Postgrado</t>
  </si>
  <si>
    <t>Postítulo</t>
  </si>
  <si>
    <t>Pregrado</t>
  </si>
  <si>
    <t>TABLA 17.8: NÚMERO DE CARRERAS CREATIVAS POR DISCIPLINA, SEGÚN INSTITUCIÓN QUE LA IMPARTE EN CHILE. 2014</t>
  </si>
  <si>
    <t>NOMBRE INSTITUCIÓN</t>
  </si>
  <si>
    <t>CFT ALPES</t>
  </si>
  <si>
    <t>CFT ANDRES BELLO</t>
  </si>
  <si>
    <t>CFT CEDUC - UCN</t>
  </si>
  <si>
    <t>CFT CENCO</t>
  </si>
  <si>
    <t>CFT DE ENAC</t>
  </si>
  <si>
    <t>CFT DE ENSEÑANZA DE ALTA COSTURA PAULINA DIARD</t>
  </si>
  <si>
    <t>CFT DE LA INDUSTRIA GRAFICA - INGRAF</t>
  </si>
  <si>
    <t>CFT DEL MEDIO AMBIENTE</t>
  </si>
  <si>
    <t>CFT ESCUELA DE ARTES APLICADAS OFICIOS DEL FUEGO</t>
  </si>
  <si>
    <t>CFT ESTUDIO PROFESOR VALERO</t>
  </si>
  <si>
    <t>CFT ICEL</t>
  </si>
  <si>
    <t>CFT INACAP</t>
  </si>
  <si>
    <t>CFT INSTITUTO TECNOLOGICO DE CHILE - I.T.C.</t>
  </si>
  <si>
    <t>CFT JUAN BOHON</t>
  </si>
  <si>
    <t>CFT LA ARAUCANA</t>
  </si>
  <si>
    <t>CFT LAPLACE</t>
  </si>
  <si>
    <t>CFT LOS LAGOS</t>
  </si>
  <si>
    <t>CFT LOTA-ARAUCO</t>
  </si>
  <si>
    <t>CFT PROANDES</t>
  </si>
  <si>
    <t>CFT PRODATA</t>
  </si>
  <si>
    <t>CFT SAN AGUSTIN DE TALCA</t>
  </si>
  <si>
    <t>CFT SANTO TOMAS</t>
  </si>
  <si>
    <t>CFT SIMON BOLIVAR</t>
  </si>
  <si>
    <t>CFT TEODORO WICKEL KLUWEN</t>
  </si>
  <si>
    <t>IP AIEP</t>
  </si>
  <si>
    <t>IP CARLOS CASANUEVA</t>
  </si>
  <si>
    <t>IP CIISA</t>
  </si>
  <si>
    <t>IP DE ARTE Y COMUNICACION ARCOS</t>
  </si>
  <si>
    <t>IP DE ARTES ESCENICAS KAREN CONNOLLY</t>
  </si>
  <si>
    <t>IP DE CHILE</t>
  </si>
  <si>
    <t>IP DE CIENCIAS DE LA COMPUTACION ACUARIO DATA</t>
  </si>
  <si>
    <t>IP DE CIENCIAS Y ARTES INCACEA</t>
  </si>
  <si>
    <t>IP DEL VALLE CENTRAL</t>
  </si>
  <si>
    <t>IP DIEGO PORTALES</t>
  </si>
  <si>
    <t>IP DR. VIRGINIO GOMEZ G.</t>
  </si>
  <si>
    <t>IP DUOC UC</t>
  </si>
  <si>
    <t>IP ESCUELA DE CINE DE CHILE</t>
  </si>
  <si>
    <t>IP ESCUELA MODERNA DE MUSICA</t>
  </si>
  <si>
    <t>IP ESUCOMEX</t>
  </si>
  <si>
    <t>IP INACAP</t>
  </si>
  <si>
    <t>IP INSTITUTO PROFESIONAL IPG</t>
  </si>
  <si>
    <t>IP INSTITUTO SUPERIOR DE ARTES Y CIENCIAS DE LA COMUNICACION</t>
  </si>
  <si>
    <t>IP LA ARAUCANA</t>
  </si>
  <si>
    <t>IP LATINOAMERICANO DE COMERCIO EXTERIOR</t>
  </si>
  <si>
    <t>IP LOS LAGOS</t>
  </si>
  <si>
    <t>IP LOS LEONES</t>
  </si>
  <si>
    <t>IP PROJAZZ</t>
  </si>
  <si>
    <t>IP PROVIDENCIA</t>
  </si>
  <si>
    <t>IP SANTO TOMAS</t>
  </si>
  <si>
    <t>PONTIFICIA UNIVERSIDAD CATOLICA DE CHILE</t>
  </si>
  <si>
    <t>PONTIFICIA UNIVERSIDAD CATOLICA DE VALPARAISO</t>
  </si>
  <si>
    <t>UNIVERSIDAD ACADEMIA DE HUMANISMO CRISTIANO</t>
  </si>
  <si>
    <t>UNIVERSIDAD ADOLFO IBAÑEZ</t>
  </si>
  <si>
    <t>UNIVERSIDAD ADVENTISTA DE CHILE</t>
  </si>
  <si>
    <t>UNIVERSIDAD ALBERTO HURTADO</t>
  </si>
  <si>
    <t>UNIVERSIDAD ANDRES BELLO</t>
  </si>
  <si>
    <t>UNIVERSIDAD ARTURO PRAT</t>
  </si>
  <si>
    <t>UNIVERSIDAD AUSTRAL DE CHILE</t>
  </si>
  <si>
    <t>UNIVERSIDAD AUTONOMA DE CHILE</t>
  </si>
  <si>
    <t>UNIVERSIDAD BERNARDO O'HIGGINS</t>
  </si>
  <si>
    <t>UNIVERSIDAD BOLIVARIANA</t>
  </si>
  <si>
    <t>UNIVERSIDAD CATOLICA DE LA SANTISIMA CONCEPCION</t>
  </si>
  <si>
    <t>UNIVERSIDAD CATOLICA DE TEMUCO</t>
  </si>
  <si>
    <t>UNIVERSIDAD CATOLICA DEL MAULE</t>
  </si>
  <si>
    <t>UNIVERSIDAD CATOLICA DEL NORTE</t>
  </si>
  <si>
    <t>UNIVERSIDAD CATOLICA SILVA HENRIQUEZ</t>
  </si>
  <si>
    <t>UNIVERSIDAD CENTRAL DE CHILE</t>
  </si>
  <si>
    <t>UNIVERSIDAD DE ACONCAGUA</t>
  </si>
  <si>
    <t>UNIVERSIDAD DE ANTOFAGASTA</t>
  </si>
  <si>
    <t>UNIVERSIDAD DE ARTE Y CIENCIAS SOCIALES ARCIS</t>
  </si>
  <si>
    <t>UNIVERSIDAD DE ARTES, CIENCIAS Y COMUNICACION - UNIACC</t>
  </si>
  <si>
    <t>UNIVERSIDAD DE ATACAMA</t>
  </si>
  <si>
    <t>UNIVERSIDAD DE CHILE</t>
  </si>
  <si>
    <t>UNIVERSIDAD DE CONCEPCION</t>
  </si>
  <si>
    <t>UNIVERSIDAD DE LA FRONTERA</t>
  </si>
  <si>
    <t>UNIVERSIDAD DE LA SERENA</t>
  </si>
  <si>
    <t>UNIVERSIDAD DE LAS AMERICAS</t>
  </si>
  <si>
    <t>UNIVERSIDAD DE LOS ANDES</t>
  </si>
  <si>
    <t>UNIVERSIDAD DE LOS LAGOS</t>
  </si>
  <si>
    <t>UNIVERSIDAD DE MAGALLANES</t>
  </si>
  <si>
    <t>UNIVERSIDAD DE PLAYA ANCHA DE CIENCIAS DE LA EDUCACION</t>
  </si>
  <si>
    <t>UNIVERSIDAD DE SANTIAGO DE CHILE</t>
  </si>
  <si>
    <t>UNIVERSIDAD DE TALCA</t>
  </si>
  <si>
    <t>UNIVERSIDAD DE TARAPACA</t>
  </si>
  <si>
    <t>UNIVERSIDAD DE VALPARAISO</t>
  </si>
  <si>
    <t>UNIVERSIDAD DE VIÑA DEL MAR</t>
  </si>
  <si>
    <t>UNIVERSIDAD DEL BIO-BIO</t>
  </si>
  <si>
    <t>UNIVERSIDAD DEL DESARROLLO</t>
  </si>
  <si>
    <t>UNIVERSIDAD DEL MAR</t>
  </si>
  <si>
    <t>UNIVERSIDAD DEL PACIFICO</t>
  </si>
  <si>
    <t>UNIVERSIDAD DIEGO PORTALES</t>
  </si>
  <si>
    <t>UNIVERSIDAD FINIS TERRAE</t>
  </si>
  <si>
    <t>UNIVERSIDAD GABRIELA MISTRAL</t>
  </si>
  <si>
    <t>UNIVERSIDAD IBEROAMERICANA DE CIENCIAS Y TECNOLOGIA, UNICYT</t>
  </si>
  <si>
    <t>UNIVERSIDAD LA ARAUCANA</t>
  </si>
  <si>
    <t>UNIVERSIDAD LOS LEONES</t>
  </si>
  <si>
    <t>UNIVERSIDAD MAYOR</t>
  </si>
  <si>
    <t>UNIVERSIDAD METROPOLITANA DE CIENCIAS DE LA EDUCACION</t>
  </si>
  <si>
    <t>UNIVERSIDAD PEDRO DE VALDIVIA</t>
  </si>
  <si>
    <t>UNIVERSIDAD SAN SEBASTIAN</t>
  </si>
  <si>
    <t>UNIVERSIDAD SANTO TOMAS</t>
  </si>
  <si>
    <t>UNIVERSIDAD SEK</t>
  </si>
  <si>
    <t>UNIVERSIDAD TECNICA FEDERICO SANTA MARIA</t>
  </si>
  <si>
    <t>UNIVERSIDAD TECNOLOGICA DE CHILE INACAP</t>
  </si>
  <si>
    <t>UNIVERSIDAD TECNOLOGICA METROPOLITANA</t>
  </si>
  <si>
    <t>UNIVERSIDAD UCINF</t>
  </si>
  <si>
    <t>TOTAL CARRERAS</t>
  </si>
  <si>
    <t>TOTAL MATRICULADOS</t>
  </si>
  <si>
    <t>CENTROS DE FORMACION TÉCNICA</t>
  </si>
  <si>
    <t>INSTITUTO PROFESIONAL</t>
  </si>
  <si>
    <t>UNIVERSIDAD</t>
  </si>
  <si>
    <t>TABLA 18.2: NÚMERO DE CONEXIONES A INTERNET POR TIPO DE ACCESO, SEGÚN REGIÓN. 2014</t>
  </si>
  <si>
    <t>Número de conexiones a internet</t>
  </si>
  <si>
    <t>Tipo de acceso</t>
  </si>
  <si>
    <t>FUENTE: Subsecretaría de Telecomunicaciones (Subtel). Series estadísticas.</t>
  </si>
  <si>
    <t>TABLA 18.3: NÚMERO DE CONEXIONES DEDICADAS FIJAS, SEGÚN TIPO DE SUSCRIPTOR. 2009-2014</t>
  </si>
  <si>
    <t>TIPO DE SUSCRIPTOR</t>
  </si>
  <si>
    <t>Residenciales</t>
  </si>
  <si>
    <t>Comerciales</t>
  </si>
  <si>
    <t>Sin segmento</t>
  </si>
  <si>
    <t>FUENTE: Subsecretaría de Telecomunicaciones (Subtel) Series estadísticas.</t>
  </si>
  <si>
    <t>TABLA 18.4: TASA DE CONEXIONES RESIDENCIALES DEDICADAS POR CADA CIEN HABITANTES. 2009-2014</t>
  </si>
  <si>
    <t>País</t>
  </si>
  <si>
    <t>Tasa conexiones residenciales por cada 100 habitantes</t>
  </si>
  <si>
    <t>TABLA 18.5:  NÚMERO DE CONEXIONES RESIDENCIALES DE BANDA ANCHA A INTERNET. 2009-2014</t>
  </si>
  <si>
    <t>Número de conexiones residenciales</t>
  </si>
  <si>
    <t>Residencial &gt; 256 KBPS</t>
  </si>
  <si>
    <t>FUENTE: Subsecretaría de Telecomunicaciones (SUBTEL).</t>
  </si>
  <si>
    <t>TABLA 18.6: PENETRACIÓN DE INTERNET EN LA POBLACIÓN EN PORCENTAJE, SEGÚN LA UNIÓN INTERNACIONAL DE TELECOMUNICACIONES DE LAS NACIONES UNIDAS (UIT). 2009-2014</t>
  </si>
  <si>
    <t>Porcentaje de usuarios con internet</t>
  </si>
  <si>
    <t>Penetración (fija/población)</t>
  </si>
  <si>
    <t>FUENTE: Unión Internacional de Telecomunicaciones de las Naciones Unidas (UIT). Subsecretaría de Telecomunicaciones (Subtel).</t>
  </si>
  <si>
    <t>PAÍS</t>
  </si>
  <si>
    <t>Perú</t>
  </si>
  <si>
    <t>Bolivia</t>
  </si>
  <si>
    <t>Brasil</t>
  </si>
  <si>
    <t>México</t>
  </si>
  <si>
    <t>España</t>
  </si>
  <si>
    <t>Alemania</t>
  </si>
  <si>
    <t>China</t>
  </si>
  <si>
    <t>Australia</t>
  </si>
  <si>
    <t>Japón</t>
  </si>
  <si>
    <t>Inglaterra</t>
  </si>
  <si>
    <t>Francia</t>
  </si>
  <si>
    <t>Corea del Sur</t>
  </si>
  <si>
    <t>TABLA 19.1: NÚMERO DE PERSONAS CON RECONOCIMIENTO DE CALIDAD INDÍGENA (LEY 19.253) POR SEXO Y UNIDAD OPERATIVA, SEGÚN REGIÓN. 2013 - 2014</t>
  </si>
  <si>
    <t>Unidad operativa</t>
  </si>
  <si>
    <t>N° Certificados</t>
  </si>
  <si>
    <t xml:space="preserve">Hombre </t>
  </si>
  <si>
    <t xml:space="preserve">Mujer </t>
  </si>
  <si>
    <t>Dirección regional Arica y Parinacota</t>
  </si>
  <si>
    <t>Subdirección nacional Iquique</t>
  </si>
  <si>
    <t>Oficina de asuntos indígenas San Pedro de Atacama</t>
  </si>
  <si>
    <t>Oficina Conadi Copiapó</t>
  </si>
  <si>
    <t>Oficina de asuntos indígenas Santiago</t>
  </si>
  <si>
    <t>Oficina de asuntos indígenas Isla de Pascua</t>
  </si>
  <si>
    <t>Dirección regional Cañete</t>
  </si>
  <si>
    <t>Subdirección nacional Temuco</t>
  </si>
  <si>
    <t>Dirección regional Valdivia</t>
  </si>
  <si>
    <t>Dirección regional Osorno</t>
  </si>
  <si>
    <t>Oficina Conadi Cohyaique</t>
  </si>
  <si>
    <t>Oficina de asuntos indígenas Punta Arenas</t>
  </si>
  <si>
    <t>FUENTE: Corporación Nacional de Desarrollo Indígena (Conadi).</t>
  </si>
  <si>
    <t>TABLA 19.2: DISTRIBUCIÓN DE POBLACIÓN POR PUEBLO ORIGINARIO, SEGÚN RECONOCIMIENTO DE PUEBLOS ORIGINARIOS (LEY N° 19.253). 2012-2014</t>
  </si>
  <si>
    <t>PUEBLO INDÍGENA</t>
  </si>
  <si>
    <t>Población por pueblo</t>
  </si>
  <si>
    <t>Mapuche</t>
  </si>
  <si>
    <t>Rapa Nui</t>
  </si>
  <si>
    <t>Atacameño</t>
  </si>
  <si>
    <t>Colla</t>
  </si>
  <si>
    <t>Diaguita</t>
  </si>
  <si>
    <t>Kawashkar</t>
  </si>
  <si>
    <t>Yagán</t>
  </si>
  <si>
    <t>TABLA 19.3: NÚMERO DE BECAS INDÍGENAS OTORGADAS POR NIVEL DE EDUCACIÓN Y SEXO SEGÚN REGIÓN. 2009-2014</t>
  </si>
  <si>
    <t>Total regional 2009</t>
  </si>
  <si>
    <t>Educación básica</t>
  </si>
  <si>
    <t>Educación media</t>
  </si>
  <si>
    <t>Educación superior</t>
  </si>
  <si>
    <t>TOTAL REGIONAL 2010</t>
  </si>
  <si>
    <t>Cobertura</t>
  </si>
  <si>
    <t>FUENTE: Corporación Nacional de Desarrollo Indígena (Conadi) - Junta Nacional de Auxilio Escolar y Becas (Junaeb).</t>
  </si>
  <si>
    <t>(CONTINUACIÓN TABLA 19.3)</t>
  </si>
  <si>
    <t>Total regional 2011</t>
  </si>
  <si>
    <t>TOTAL REGIONAL 2012</t>
  </si>
  <si>
    <t>FUENTE: Corporación Nacional de Desarrollo Indígena (Conadi). Junta Nacional de Auxilio Escolar y Becas (Junaeb).</t>
  </si>
  <si>
    <t>Total regional 2013</t>
  </si>
  <si>
    <t>Total regional 2014</t>
  </si>
  <si>
    <t>TABLA 19.4: MONTO DE LA INVERSIÓN EN BECAS INDÍGENAS POR NIVEL DE EDUCACIÓN, SEGÚN REGIÓN. 2009-2014</t>
  </si>
  <si>
    <t>Nivel de educación</t>
  </si>
  <si>
    <t>Media</t>
  </si>
  <si>
    <t>Superior</t>
  </si>
  <si>
    <t>(CONTINUACIÓN TABLA 19.4)</t>
  </si>
  <si>
    <t>TABLA 19.5: NÚMERO DE ALUMNOS INDÍGENAS BENEFICIARIOS DE BECAS INDÍGENAS POR NIVEL DE EDUCACIÓN, SEGÚN PUEBLO ORIGINARIO Y NIVEL DE EDUCACIÓN. 2009-2014</t>
  </si>
  <si>
    <t>PUEBLO ORIGINARIO</t>
  </si>
  <si>
    <t xml:space="preserve">Educación superior </t>
  </si>
  <si>
    <t>Kawhaskar</t>
  </si>
  <si>
    <t>Yagan</t>
  </si>
  <si>
    <t>(CONTINUACIÓN TABLA 19.5)</t>
  </si>
  <si>
    <t>FUENTE: Corporación Nacional de Desarrollo Indígena (Conadi). Unidad de Cultura y Educación.</t>
  </si>
  <si>
    <t>CULTURA 2009</t>
  </si>
  <si>
    <t>CULTURA 2010</t>
  </si>
  <si>
    <t>N° TOTAL</t>
  </si>
  <si>
    <t>Monto Total ($)</t>
  </si>
  <si>
    <t>Tarapacá / Atacama</t>
  </si>
  <si>
    <t>Calama</t>
  </si>
  <si>
    <t>Coquimbo / Valparaíso cont. / Metropolitana / O'Higgins</t>
  </si>
  <si>
    <t>Bíobío</t>
  </si>
  <si>
    <t>Cañete</t>
  </si>
  <si>
    <t>Los Lagos / Aysén</t>
  </si>
  <si>
    <t>Varias</t>
  </si>
  <si>
    <t>Dirección nacional</t>
  </si>
  <si>
    <t>CULTURA 2011</t>
  </si>
  <si>
    <t>CULTURA 2012</t>
  </si>
  <si>
    <t>Dirección Nacional</t>
  </si>
  <si>
    <t>CULTURA 2013</t>
  </si>
  <si>
    <t>TABLA 19.8: NÚMERO DE PROGRAMAS DE FONDO DE EDUCACIÓN POR UNIDAD OPERATIVA Y MONTO DE LA INVERSIÓN, SEGÚN REGIÓN. 2009-2014</t>
  </si>
  <si>
    <t>EDUCACIÓN 2009</t>
  </si>
  <si>
    <t>EDUCACIÓN 2010</t>
  </si>
  <si>
    <t>EDUCACIÓN 2011</t>
  </si>
  <si>
    <t>EDUCACIÓN 2012</t>
  </si>
  <si>
    <t>EDUCACIÓN 2013</t>
  </si>
  <si>
    <t>EDUCACIÓN 2014</t>
  </si>
  <si>
    <t>TABLA 19.9: DISTRIBUCIÓN REGIONAL DE FONDOS CONCURSABLES PARA SUBSIDIOS DE CAPACITACIÓN Y ESPECIALIZACIÓN DE PROFESIONALES Y TÉCNICOS INDÍGENAS POR SEXO, SEGÚN REGIÓN. 2009-2014</t>
  </si>
  <si>
    <t>Hombre</t>
  </si>
  <si>
    <t>Mujer</t>
  </si>
  <si>
    <t>Monto ($)</t>
  </si>
  <si>
    <t>TABLA 19.10: NÚMERO DE PROYECTOS DEL FONDO DE DESARROLLO INDÍGENA (FDI) Y MONTO DE LA INVERSIÓN, SEGÚN REGIÓN Y UNIDAD OPERATIVA. 2009-2014</t>
  </si>
  <si>
    <t>N° proyectos</t>
  </si>
  <si>
    <t>Tarapacá/Atacama</t>
  </si>
  <si>
    <t>Coquimbo/Valparaíso cont./Metropolitana/O'Higgins</t>
  </si>
  <si>
    <t>Los Lagos/Aysén</t>
  </si>
  <si>
    <t>REGISTRO PÚBLICO Y REGIÓN</t>
  </si>
  <si>
    <t>Norte</t>
  </si>
  <si>
    <t>Sur</t>
  </si>
  <si>
    <t>Magallanes y Aysén</t>
  </si>
  <si>
    <t>TABLA 20.1: NÚMERO DE RECINTOS ENTREGADOS POR ENCARGO DE GESTIÓN, SEGÚN REGIÓN 2012-2014</t>
  </si>
  <si>
    <t>FUENTE: Instituto Nacional de Deportes (IND). Departamento de Gestión de Recintos Deportivos.</t>
  </si>
  <si>
    <t>TABLA 20.2: NÚMERO DE PROYECTOS DEL FONDO NACIONAL DE FOMENTO PARA EL DEPORTE APROBADOS Y MONTOS, SEGÚN MODALIDAD DE ASIGNACIÓN. 2014</t>
  </si>
  <si>
    <t>MODALIDAD DE ASIGNACIÓN</t>
  </si>
  <si>
    <t>Inscritos</t>
  </si>
  <si>
    <t>Proyectos (N°)</t>
  </si>
  <si>
    <t>Monto (M$)</t>
  </si>
  <si>
    <t>Asignación directa</t>
  </si>
  <si>
    <t>Concurso artículo 48</t>
  </si>
  <si>
    <t>FUENTE: Instituto Nacional de Deportes (IND). Sistema de administración de proyectos (Sisap) 2014.</t>
  </si>
  <si>
    <t>TABLA 20.3: NÚMERO DE PROYECTOS DEL FONDO NACIONAL DE FOMENTO PARA EL DEPORTE APROBADOS Y MONTO, SEGÚN CATEGORÍA DEPORTIVA. 2014</t>
  </si>
  <si>
    <t>CATEGORÍA DEPORTIVA</t>
  </si>
  <si>
    <t>Formación para el deporte</t>
  </si>
  <si>
    <t>Deporte recreativo</t>
  </si>
  <si>
    <t>Deporte de competición</t>
  </si>
  <si>
    <t>Infraestructura (obra menor)</t>
  </si>
  <si>
    <t>Ciencias del deporte</t>
  </si>
  <si>
    <t>Deporte de alto rendimiento</t>
  </si>
  <si>
    <t>FUENTE: Instituto Nacional de Deportes (IND). Sistema de administración de proyectos (Sisap) 2012.</t>
  </si>
  <si>
    <t>TABLA 20.4: NÚMERO DE PROYECTOS APROBADOS POR EL REGISTRO NACIONAL DE DONACIONES CON FINES DEPORTIVOS A TRAVÉS DEL SISTEMA DE FRANQUICIA TRIBUTARIA Y MONTO TOTAL DEL FINANCIAMIENTO EJECUTADO. 2009-2014</t>
  </si>
  <si>
    <t>PROYECTOS FINANCIADOS Y MONTO EJECUTADO</t>
  </si>
  <si>
    <t>Número de proyectos aprobados</t>
  </si>
  <si>
    <t>N° de proyectos financiados</t>
  </si>
  <si>
    <t>Monto ejecutado MM$</t>
  </si>
  <si>
    <t xml:space="preserve">FUENTE: Instituto Nacional de Deportes (IND). </t>
  </si>
  <si>
    <t>TABLA 20.5: NÚMERO DE ORGANIZACIONES DEPORTIVAS INSCRITAS EN EL REGISTRO, SEGÚN REGIÓN. 2009-2014</t>
  </si>
  <si>
    <t>Organizaciones deportivas inscritas</t>
  </si>
  <si>
    <t>FUENTE: Instituto Nacional de Deportes (IND). Departamento de organizaciones deportivas.</t>
  </si>
  <si>
    <t>Personas beneficiadas</t>
  </si>
  <si>
    <t>Concurso art. 48</t>
  </si>
  <si>
    <t>TABLA 20.7: NÚMERO DE COMUNAS BENEFICIADAS CON LOS PROYECTOS APROBADOS, SEGÚN MODALIDAD DE ASIGNACIÓN. 2010-2014</t>
  </si>
  <si>
    <t xml:space="preserve"> Número de comunas beneficiadas</t>
  </si>
  <si>
    <t>PROGRAMA DE DEPORTE MASIVO</t>
  </si>
  <si>
    <t>Número de competencias</t>
  </si>
  <si>
    <t>Ligas deportivas escolares</t>
  </si>
  <si>
    <t>Juegos deportivos escolares</t>
  </si>
  <si>
    <t>Ligas deportivas de educación superior</t>
  </si>
  <si>
    <t>Sudamericano escolar</t>
  </si>
  <si>
    <t>Juegos de integración</t>
  </si>
  <si>
    <t>Número de personas participantes</t>
  </si>
  <si>
    <t xml:space="preserve">Juegos de integración </t>
  </si>
  <si>
    <t>Juegos sudamericanos</t>
  </si>
  <si>
    <t>Juegos deportivos nacionales</t>
  </si>
  <si>
    <t>Tour IND</t>
  </si>
  <si>
    <t>Hijos de mujeres temporeras</t>
  </si>
  <si>
    <t xml:space="preserve">Recintos nuestros </t>
  </si>
  <si>
    <t xml:space="preserve">Escuelas deportivas </t>
  </si>
  <si>
    <t>Seguridad en el agua</t>
  </si>
  <si>
    <t>Jóvenes en movimiento</t>
  </si>
  <si>
    <t>Parques públicos</t>
  </si>
  <si>
    <t>Recintos militares</t>
  </si>
  <si>
    <t>Senderismo</t>
  </si>
  <si>
    <t xml:space="preserve">Mujer y deportes </t>
  </si>
  <si>
    <t>Escuelas de fútbol</t>
  </si>
  <si>
    <t>Adulto mayor en movimiento</t>
  </si>
  <si>
    <t>Deporte en tu calle</t>
  </si>
  <si>
    <t>Encuentros deportivos de verano</t>
  </si>
  <si>
    <t>Interescolar de atletismo</t>
  </si>
  <si>
    <t>Competencias gestionadas por direcciones regionales</t>
  </si>
  <si>
    <t>Vuelta ciclística</t>
  </si>
  <si>
    <t>TABLA 20.10:  NÚMERO DE DEPORTISTAS EN PROGRAMAS DE ALTO RENDIMIENTO (PRODDAR), POR SEXO, SEGÚN REGIÓN Y DISCIPLINA. 2014</t>
  </si>
  <si>
    <t>REGIÓN Y DISCIPLINA</t>
  </si>
  <si>
    <t>Deportistas en programa PRODDAR</t>
  </si>
  <si>
    <t>Atletismo</t>
  </si>
  <si>
    <t>Levantamiento de pesas</t>
  </si>
  <si>
    <t>Judo</t>
  </si>
  <si>
    <t>Ciclismo</t>
  </si>
  <si>
    <t>Tiro al blanco</t>
  </si>
  <si>
    <t>Balonmano</t>
  </si>
  <si>
    <t>Gimnasia</t>
  </si>
  <si>
    <t>Navegación a vela</t>
  </si>
  <si>
    <t>Remo</t>
  </si>
  <si>
    <t xml:space="preserve">Canotaje </t>
  </si>
  <si>
    <t>Basquetbol</t>
  </si>
  <si>
    <t xml:space="preserve">Boxeo </t>
  </si>
  <si>
    <t>Canotaje</t>
  </si>
  <si>
    <t>Ecuestre</t>
  </si>
  <si>
    <t>Esgrima</t>
  </si>
  <si>
    <t>Esquí náutico</t>
  </si>
  <si>
    <t>Golf</t>
  </si>
  <si>
    <t>Hockey césped</t>
  </si>
  <si>
    <t>Hockey y patinaje</t>
  </si>
  <si>
    <t>Kárate</t>
  </si>
  <si>
    <t>Lucha</t>
  </si>
  <si>
    <t>Deportes Acuáticos</t>
  </si>
  <si>
    <t>Pentathlón</t>
  </si>
  <si>
    <t>Paralímpica</t>
  </si>
  <si>
    <t>Racquetball</t>
  </si>
  <si>
    <t>Ski y Snowboard</t>
  </si>
  <si>
    <t>Taekwondo</t>
  </si>
  <si>
    <t>Tenis de mesa</t>
  </si>
  <si>
    <t>Tenis</t>
  </si>
  <si>
    <t>Tiro al vuelo</t>
  </si>
  <si>
    <t>Tiro con arco</t>
  </si>
  <si>
    <t>Triatlón</t>
  </si>
  <si>
    <t>Voleibol</t>
  </si>
  <si>
    <t>Boxeo</t>
  </si>
  <si>
    <t>TABLA 20.11: NÚMERO DE FUNCIONES DE ESPECTÁCULOS PÚBLICOS DEPORTIVOS, POR TIPO DE ESPECTÁCULO. 2009-2014</t>
  </si>
  <si>
    <t>Fútbol amateur</t>
  </si>
  <si>
    <t>Fútbol profesional</t>
  </si>
  <si>
    <t>Babyfútbol</t>
  </si>
  <si>
    <t>Básquetbol</t>
  </si>
  <si>
    <t>Artes marciales</t>
  </si>
  <si>
    <t>… Información no diponible</t>
  </si>
  <si>
    <t>TABLA 20.12: FUNCIONES DE ESPECTÁCULOS PÚBLICOS DEPORTIVOS POR TIPO DE ESPECTÁCULO, SEGÚN REGIÓN. 2014</t>
  </si>
  <si>
    <t>Vóleibol</t>
  </si>
  <si>
    <t>Gimnasia (exhibición)</t>
  </si>
  <si>
    <t>Artes Marciales</t>
  </si>
  <si>
    <t>Otros Deportes</t>
  </si>
  <si>
    <t>TABLA 20.13: NÚMERO DE ESPECTADORES QUE ASISTEN A LA REALIZACIÓN DE ESPECTÁCULOS PÚBLICOS DEPORTIVOS PAGANDO ENTRADA POR TIPO DE ESPECTÁCULO DEPORTIVO, SEGÚN REGIÓN. 2014</t>
  </si>
  <si>
    <t>TABLA 20.15: NÚMERO DE ASISTENTES A ESPECTÁCULOS PÚBLICOS DEPORTIVOS, PAGANDO ENTRADA, POR TIPO DE ESPECTÁCULO. 2009-2014</t>
  </si>
  <si>
    <t>TABLA 20.16: NÚMERO DE ASISTENTES A ESPECTÁCULOS PÚBLICOS DEPORTIVOS, ENTRADA GRATUITA, POR TIPO DE ESPECTÁCULO. 2009-2014</t>
  </si>
  <si>
    <t>TABLA 20.17: NÚMERO DE ESPECTADORES ASISTENTES A ESPECTÁCULOS PÚBLICOS DEPORTIVOS CON ENTRADA GRATUITA Y PAGADA POR MES, SEGÚN REGIÓN. 2014</t>
  </si>
  <si>
    <t>TABLA 21.1: NÚMERO DE INSCRIPCIONES, CERTIFICADOS , CONSULTAS Y OTROS SERVICIOS REALIZADOS EN EL DEPARTAMENTO DE DERECHOS INTELECTUALES DE LA DIRECCIÓN DE BIBLIOTECAS, ARCHIVOS Y MUSEOS (DIBAM), SEGÚN ÍTEM. 2009-2014</t>
  </si>
  <si>
    <t>INSCRIPCIONES/CERTIFICADOS/CONSULTAS</t>
  </si>
  <si>
    <t>Número de inscripciones en materia de derechos de autor, de derechos conexos y de seudónimos</t>
  </si>
  <si>
    <t>Número de certificados emitidos</t>
  </si>
  <si>
    <t>Número de consultas respondidas por el departamento de derechos intelectuales</t>
  </si>
  <si>
    <t xml:space="preserve">Número de Charlas de difusión, en materias especializadas de Propiedad Intelectual  </t>
  </si>
  <si>
    <t>- No registró movimiento y/o dato no sistematizado</t>
  </si>
  <si>
    <t>FUENTE: Dirección de Bibliotecas, Archivos y Museos (Dibam). Departamento de Derechos intelectuales.</t>
  </si>
  <si>
    <t>TIPO DE REGISTRO</t>
  </si>
  <si>
    <t>Base de datos</t>
  </si>
  <si>
    <t>Contratos/derechos de autor</t>
  </si>
  <si>
    <t>Contratos/derechos conexos</t>
  </si>
  <si>
    <t>Dibujo textil</t>
  </si>
  <si>
    <t>Diseño páginas web</t>
  </si>
  <si>
    <t>Fonogramas</t>
  </si>
  <si>
    <t>Obra artística</t>
  </si>
  <si>
    <t>Obra audiovisual</t>
  </si>
  <si>
    <t>Obra cinematográfica</t>
  </si>
  <si>
    <t>Obra literaria</t>
  </si>
  <si>
    <t>Obra multimedia</t>
  </si>
  <si>
    <t>Obra musical</t>
  </si>
  <si>
    <t>Programa computación</t>
  </si>
  <si>
    <t>Proyecto de arquitectura</t>
  </si>
  <si>
    <t>Proyecto de ingeniería</t>
  </si>
  <si>
    <t>Seudónimos</t>
  </si>
  <si>
    <t>SEXO/TIPO DE REGISTRO DE INSCRIPCIÓN</t>
  </si>
  <si>
    <t>Hombres y mujeres</t>
  </si>
  <si>
    <t>Personas jurídicas y hombres</t>
  </si>
  <si>
    <t>Personas jurídicas y mujeres</t>
  </si>
  <si>
    <t>Personas jurídicas y hombres y mujeres</t>
  </si>
  <si>
    <t>REGIÓN Y NACIONALIDAD</t>
  </si>
  <si>
    <t>Total nacional</t>
  </si>
  <si>
    <t>Total extranjero</t>
  </si>
  <si>
    <t>TABLA 22.1: NÚMERO Y MONTOS DE PROYECTOS POSTULADOS, ELEGIBLES Y SELECCIONADOS, SEGÚN FONDOS CONCURSABLES DEL CONSEJO NACIONAL DE LA CULTURA Y LAS ARTES (CNCA). 2014</t>
  </si>
  <si>
    <t>FONDO</t>
  </si>
  <si>
    <t>Postulados</t>
  </si>
  <si>
    <t>Elegibles</t>
  </si>
  <si>
    <t>Seleccionados</t>
  </si>
  <si>
    <t>Montos $</t>
  </si>
  <si>
    <t>N° Proyectos</t>
  </si>
  <si>
    <t>Fondo nacional de la cultura y las artes (Fondart nacional)</t>
  </si>
  <si>
    <t>Fondo nacional de la cultura y las artes (Fondart regional)</t>
  </si>
  <si>
    <t>Fondo del libro y la lectura</t>
  </si>
  <si>
    <t>Fondo de la música nacional</t>
  </si>
  <si>
    <t>Fondo audiovisual</t>
  </si>
  <si>
    <t xml:space="preserve"> Fomento al Mejoramiento de la Infraestructura Cultural</t>
  </si>
  <si>
    <t>Fomento a organizaciones culturales</t>
  </si>
  <si>
    <t>Fomento del mercado para las artes</t>
  </si>
  <si>
    <t>Magallanes y la Antártica</t>
  </si>
  <si>
    <t>REGIÓN DEL FONDO ENTREGADO</t>
  </si>
  <si>
    <t>Fomento al mejoramiento de la infraestructura cultural</t>
  </si>
  <si>
    <t>Conservación y difusión del patrimonio cultural</t>
  </si>
  <si>
    <t>Desarrollo cultural regional</t>
  </si>
  <si>
    <t>Desarrollo de las culturas indígenas</t>
  </si>
  <si>
    <t>Fomento para la difusión y el mercado de las artes</t>
  </si>
  <si>
    <t>N° de  proyectos</t>
  </si>
  <si>
    <t>FONDO Y AÑO</t>
  </si>
  <si>
    <t>Natural</t>
  </si>
  <si>
    <t>Jurídica</t>
  </si>
  <si>
    <t>Proyectos</t>
  </si>
  <si>
    <t>Recursos</t>
  </si>
  <si>
    <t>Fondart nacional</t>
  </si>
  <si>
    <t>Fondart regional</t>
  </si>
  <si>
    <t>Fondo del libro</t>
  </si>
  <si>
    <t>Fondo de la música</t>
  </si>
  <si>
    <t xml:space="preserve">TABLA 23.1: TOTAL NACIONAL DE LA ECONOMÍA Y TOTAL DE EMPRESAS Y EMPLEO POR INFORMACIÓN DE MUTUALES DE SEGURIDAD, SEGÚN DOMINIO CULTURAL. 2014 </t>
  </si>
  <si>
    <t>DOMINIO CULTURAL</t>
  </si>
  <si>
    <t>Empresas con Seguridad Social</t>
  </si>
  <si>
    <t>Participación de los Empleadores cotizantes sobre el total (%)</t>
  </si>
  <si>
    <t>Trabajadores por Sector en Promedio</t>
  </si>
  <si>
    <t>Participación de los Empleadores Cotizantes en el total (%)</t>
  </si>
  <si>
    <t>TABLA 23.2: NÚMERO DE EMPRESAS, TRABAJADORES, TRABAJADORES PROMEDIO Y REMUNERACIONES PROMEDIO PARA EMPRESAS CREATIVAS ASOCIADO A MUTUALES DE SEGURIDAD, SEGÚN DOMINIO Y SUBDOMINIO CULTURAL. 2014</t>
  </si>
  <si>
    <t>Trabajadores promedio por Empresa y Dominio</t>
  </si>
  <si>
    <t>Artesanias</t>
  </si>
  <si>
    <t>Artesanías</t>
  </si>
  <si>
    <t>Fabricación Insumos</t>
  </si>
  <si>
    <t>Artes Escénicas</t>
  </si>
  <si>
    <t>Artes Musicales</t>
  </si>
  <si>
    <t>Artes Literarias, libros y prensa</t>
  </si>
  <si>
    <t>Editorial Libros</t>
  </si>
  <si>
    <t>Editorial Otros</t>
  </si>
  <si>
    <t>Editorial Periodicos</t>
  </si>
  <si>
    <t>Medios Audiovisuales e Interactivos</t>
  </si>
  <si>
    <t>Filmes y Videos</t>
  </si>
  <si>
    <t>Arquitectura, Diseño y Servicios Creativos</t>
  </si>
  <si>
    <t>Infraestructura y Equipamiento</t>
  </si>
  <si>
    <t>Medios Informáticos</t>
  </si>
  <si>
    <t>TABLA 23.3: NÚMERO DE EMPRESAS, NÚMERO DE TRABAJADORES Y PROMEDIO DE REMUNERACIONES EN EMPRESAS CREATIVAS, SEGÚN REGIÓN. 2014</t>
  </si>
  <si>
    <t xml:space="preserve">Región </t>
  </si>
  <si>
    <t>Trabajadores promedio por Empresa y Sector</t>
  </si>
  <si>
    <t>TABLA 23.4: NÚMERO DE EMPRESAS Y TRABAJADORES COTIZANTES EN MUTUALES, SU PARTICIPACION PROMEDIO POR EMPRESA Y SALARIOS PROMEDIO, SEGÚN SEXO Y DOMINIO Y SUBDOMINIO CULTURAL. 2014</t>
  </si>
  <si>
    <t>Sector</t>
  </si>
  <si>
    <t>Hombres Promedio Por Empresa</t>
  </si>
  <si>
    <t>Mujeres Promedio por Empresa</t>
  </si>
  <si>
    <t>Empresas</t>
  </si>
  <si>
    <t>Trabajadores para el total de empresas por sector</t>
  </si>
  <si>
    <t xml:space="preserve">Promedio de Remuneraciones del Sector (Pesos año corriente 2013) </t>
  </si>
  <si>
    <t>Número Empresas</t>
  </si>
  <si>
    <t>Número trabajadores por Sector en Promedio</t>
  </si>
  <si>
    <t>Número Trabajadores promedio por Empresa y Sector</t>
  </si>
  <si>
    <t>Promedio de Remuneraciones del Sector (Pesos año corriente)</t>
  </si>
  <si>
    <t>EXPORTACIONES TOTAL PAIS 2014 (valor FOB en U$)</t>
  </si>
  <si>
    <t>PARTICIPACIÓN CULTURA EN EXPORTACIONES</t>
  </si>
  <si>
    <t>IMPORTACIONES TOTAL PAIS 2014 (valor CIF en U$)</t>
  </si>
  <si>
    <t>PARTICIPACIÓN CULTURA EN IMPORTACIONES</t>
  </si>
  <si>
    <t>TOTAL PRODUCTOS CREATIVO</t>
  </si>
  <si>
    <t xml:space="preserve">Artes Visuales </t>
  </si>
  <si>
    <t>Artes Literarias, Libros y Prensa</t>
  </si>
  <si>
    <t>NACIONAL SERVICIOS</t>
  </si>
  <si>
    <t>TOTAL SERVICIOS CREATIVOS</t>
  </si>
  <si>
    <t>Fuente Cifras Total Economía: Servicio Nacional de Aduanas</t>
  </si>
  <si>
    <t>DOMINIO, SUBDOMINIO CULTURAL Y TIPO DE PRODUCTO</t>
  </si>
  <si>
    <t>IMPORTACIONES 2013</t>
  </si>
  <si>
    <t>EXPORTACIONES 2013</t>
  </si>
  <si>
    <t>IMPORTACIONES 2014</t>
  </si>
  <si>
    <t>EXPORTACIONES 2014</t>
  </si>
  <si>
    <t>Video Juegos</t>
  </si>
  <si>
    <t>Diarios y Revistas</t>
  </si>
  <si>
    <t>Radio y Televisión</t>
  </si>
  <si>
    <t>EXPORTACIONES2014</t>
  </si>
  <si>
    <t>Resto de América</t>
  </si>
  <si>
    <t>Resto de Europa</t>
  </si>
  <si>
    <t>Resto de Asia</t>
  </si>
  <si>
    <t>US.A.</t>
  </si>
  <si>
    <t>Desconocido</t>
  </si>
  <si>
    <t>DOMINIO/SUBDOMINIO CULTURAL Y TIPO DE PRODUCTO</t>
  </si>
  <si>
    <t>Importación 2014</t>
  </si>
  <si>
    <t>Exportación 2014</t>
  </si>
  <si>
    <t>Hilados de lana</t>
  </si>
  <si>
    <t>Lana cardada o peinada</t>
  </si>
  <si>
    <t>Lana en bruto</t>
  </si>
  <si>
    <t>Madera en bruto.. Las demás ( no coníferas, no de haya, no encina o roble…)</t>
  </si>
  <si>
    <t>Máquinas para el trabajo con Cuero</t>
  </si>
  <si>
    <t>Máquinas para trabajo con Fieltro</t>
  </si>
  <si>
    <t>Marfil trabajado</t>
  </si>
  <si>
    <t>Materiales vegetales</t>
  </si>
  <si>
    <t>Materias vegetales para tallar</t>
  </si>
  <si>
    <t>Piedras preciosas en bruto o trabajadas</t>
  </si>
  <si>
    <t>Pieles curtidas</t>
  </si>
  <si>
    <t>Pigmentos para el acabado de cuero</t>
  </si>
  <si>
    <t>Plata semilbrada</t>
  </si>
  <si>
    <t>Productos ferreos</t>
  </si>
  <si>
    <t>Telares</t>
  </si>
  <si>
    <t>Trenzas en pieza</t>
  </si>
  <si>
    <t>Albumes o libros de estampas para colorear</t>
  </si>
  <si>
    <t>Bolígrafos de pluma y similares</t>
  </si>
  <si>
    <t>Colores para la pintura artística y la enseñanza</t>
  </si>
  <si>
    <t xml:space="preserve">Lápices </t>
  </si>
  <si>
    <t>Pinceles y Brochas para pintura artística</t>
  </si>
  <si>
    <t>Cámaras digitales</t>
  </si>
  <si>
    <t>Cámaras fotográficas y sus insumos</t>
  </si>
  <si>
    <t>Insumo para laboratorio de revelado fotográfico o de cine</t>
  </si>
  <si>
    <t>Papel fotográfico sin impresionar</t>
  </si>
  <si>
    <t>Papel fotosensible</t>
  </si>
  <si>
    <t>Películas fotográfcias sin impresionar</t>
  </si>
  <si>
    <t>Preparaciones químicas para uso fotográfico</t>
  </si>
  <si>
    <t>Videocámaras</t>
  </si>
  <si>
    <t>Aparatos para la Grabación u Reproducción de Sonido</t>
  </si>
  <si>
    <t>Instrumentos musicales</t>
  </si>
  <si>
    <t>Insumos para instrumentos musicales</t>
  </si>
  <si>
    <t>Micrófonos y altavoces</t>
  </si>
  <si>
    <t>Papel de prensa en bobinas u hojas</t>
  </si>
  <si>
    <t>Máquinas de encuadernación</t>
  </si>
  <si>
    <t>Máquinas y aparatos para imprimir</t>
  </si>
  <si>
    <t>Otros papeles para usos gráficos</t>
  </si>
  <si>
    <t>Papel para autocopia</t>
  </si>
  <si>
    <t>Papel para escritura, dibujo o impresiones</t>
  </si>
  <si>
    <t>Tintas para imprimir</t>
  </si>
  <si>
    <t>Aparatos para la Grabación u Reproducción de Imagen y Sonido</t>
  </si>
  <si>
    <t>Cámaras de televisión</t>
  </si>
  <si>
    <t>Cámaras y proyectores de cine</t>
  </si>
  <si>
    <t>Papel soporte para decorar paredes</t>
  </si>
  <si>
    <t>Papel para exhibidores publicitarios</t>
  </si>
  <si>
    <t>Discos, cintas y dispositivos de almacenamiento de datos</t>
  </si>
  <si>
    <t>Máquinas para el procesamiento de datos</t>
  </si>
  <si>
    <t>FUENTE: Servicio Nacional de Aduanas (SNA). Cifras sector cultura y tiempo Libre, en base a listado de códigos de productos culturales entregados por el Consejo Nacional de la Cultura y las Artes (CNCA).</t>
  </si>
  <si>
    <t>Aparatos para la Grabación o Reproducción de Sonido</t>
  </si>
  <si>
    <t>Proyectores de imagen fija</t>
  </si>
  <si>
    <t>Aparatos emisores de radio y televisión</t>
  </si>
  <si>
    <t>Videoconsolas</t>
  </si>
  <si>
    <t>FUENTE: Servicio Nacional de Aduanas (SNA). Cifras Sector Cultura y Tiempo Libre, en base a listado de códigos de productos culturales entregados por el Consejo Nacional de la Cultura y las Artes (CNCA).</t>
  </si>
  <si>
    <t>Antiguedades de más de 100 años</t>
  </si>
  <si>
    <t>Artículso de fiesta</t>
  </si>
  <si>
    <t>Colecciones de zoología</t>
  </si>
  <si>
    <t>Alfombras de lana</t>
  </si>
  <si>
    <t>Artículos de cestería</t>
  </si>
  <si>
    <t>Artículos de joyería o orfebrería de plata o similares</t>
  </si>
  <si>
    <t>Artículos de mesa o  cocina, de madera.</t>
  </si>
  <si>
    <t>Asientos de material vegetal</t>
  </si>
  <si>
    <t>Baúles, portadocumentos, matelines, etc de cuero</t>
  </si>
  <si>
    <t>Bordados</t>
  </si>
  <si>
    <t>Campanas, campanillas, gongos y artículos similares</t>
  </si>
  <si>
    <t>Cuentas de vidrio</t>
  </si>
  <si>
    <t>Estatuillas y otros de cerámica</t>
  </si>
  <si>
    <t>Esterillas, esteras, cañizos  de materia vegetal</t>
  </si>
  <si>
    <t>Estutuillas y otros plateados o similares</t>
  </si>
  <si>
    <t>Manufacturas de perlas o piedras preciosas</t>
  </si>
  <si>
    <t>Marcos de Madera para cuadros, fotografías, espejos, etc.</t>
  </si>
  <si>
    <t>Objetos de madera de adorno o similar</t>
  </si>
  <si>
    <t>Otros simialres a esterillas de material trenzable</t>
  </si>
  <si>
    <t>Palos de Lluvia o agua</t>
  </si>
  <si>
    <t>Papel hecho a mano</t>
  </si>
  <si>
    <t>Tapicería tejida a mano</t>
  </si>
  <si>
    <t>Tejidos de lana o pelo fino</t>
  </si>
  <si>
    <t>Tejidos de metal para prendas de vestir</t>
  </si>
  <si>
    <t>Tejidos de punto</t>
  </si>
  <si>
    <t>Cuadros y pinturas originales de artistas chilenos</t>
  </si>
  <si>
    <t>Esculturas originales de artistas chilenos</t>
  </si>
  <si>
    <t>Esculturas, Pinturas, dibujos y similares</t>
  </si>
  <si>
    <t>Estampas, grabados y fotografías</t>
  </si>
  <si>
    <t>Películas fotografíscas impresinados pero sin revelar</t>
  </si>
  <si>
    <t>Circos y zoológicos</t>
  </si>
  <si>
    <t>Discos de Carácter musical</t>
  </si>
  <si>
    <t>Música manuscrita o impresa, incluso con ilustraciones o</t>
  </si>
  <si>
    <t>Diaris y Revistas</t>
  </si>
  <si>
    <t>Diccionarios y similares</t>
  </si>
  <si>
    <t>Enciclopedias</t>
  </si>
  <si>
    <t>Esferas cartográficas</t>
  </si>
  <si>
    <t>Libros académicos o científicos</t>
  </si>
  <si>
    <t>Libros de enseñanza básica</t>
  </si>
  <si>
    <t>Libros de enseñanza TP</t>
  </si>
  <si>
    <t>Libros de Literatura general</t>
  </si>
  <si>
    <t>Libros de Literatura infantil</t>
  </si>
  <si>
    <t>Libros en hojas sueltas</t>
  </si>
  <si>
    <t>Libros o folletos cartográficos</t>
  </si>
  <si>
    <t xml:space="preserve">Tarjetas postales impresas o ilustradas; tarjetas impresas </t>
  </si>
  <si>
    <t>Películas cinematográficas impresionadas y reveladas</t>
  </si>
  <si>
    <t>Planos o dibujos hechos a mano de arquitectura o topográficos</t>
  </si>
  <si>
    <t>Catálogos comerciales e impresos publicitarios</t>
  </si>
  <si>
    <t>Otros impresos no libros</t>
  </si>
  <si>
    <t>FUENTE: Servicio Nacional de Aduanas (SNA). Cifras sector cultura y tiempo libre, en base a listado de códigos de productos culturales entregados por el Consejo Nacional de la Cultura las Artes (CNCA).</t>
  </si>
  <si>
    <t>Artículos de fiesta</t>
  </si>
  <si>
    <t>Edición libros</t>
  </si>
  <si>
    <t>Edición prensa</t>
  </si>
  <si>
    <t>Imprenta</t>
  </si>
  <si>
    <t>Animación y Videojuegos</t>
  </si>
  <si>
    <t>Servicios Creativos</t>
  </si>
  <si>
    <t>Asesoría legal en propiedad Intelectual</t>
  </si>
  <si>
    <t>MONTO 2014</t>
  </si>
  <si>
    <t>Servicios de grabación de sonido</t>
  </si>
  <si>
    <t>Servicios de postproducción de sonido</t>
  </si>
  <si>
    <t>Servicios de administración de empresas editoras e impresoras</t>
  </si>
  <si>
    <t>Servicios de corrección de estilo en el lenguaje escrito</t>
  </si>
  <si>
    <t>Servicios de edición de publicaciones técnicas</t>
  </si>
  <si>
    <t>Servicios de traducción de textos escritos</t>
  </si>
  <si>
    <t>Servicios de agencias de prensa para periódicos y revistas</t>
  </si>
  <si>
    <t>Servicios de corrección de pruebas de impresión</t>
  </si>
  <si>
    <t>Servicios relacionados con la imprenta</t>
  </si>
  <si>
    <t>Servicios de animación</t>
  </si>
  <si>
    <t>Servicios de filmación de películas (largometrajes, documentales, series, dibujos animados, etc.), para su proyección en salas de cine y televisión.</t>
  </si>
  <si>
    <t>Servicios de postproducción de películas cinematográficas y cintas de video</t>
  </si>
  <si>
    <t>Servicios de producción de originales de programas de radiodifusión</t>
  </si>
  <si>
    <t>Servicios de agencias de prensa para medios audiovisuales</t>
  </si>
  <si>
    <t>Servicios de difusión de televisión satelital por cuenta de empresas de distribución de televisión satelital extranjeras</t>
  </si>
  <si>
    <t>Servicios de medición de rating de televisión abierta y por cable</t>
  </si>
  <si>
    <t>Servicios de producción de originales de programas de televisión</t>
  </si>
  <si>
    <t>Servicios de trabajos originales de autor de guiones para telenovelas y obras de teatro.</t>
  </si>
  <si>
    <t>Servicios de asesoría en arquitectura</t>
  </si>
  <si>
    <t>Servicios de asesoría en arquitectura paisajista para proyectos de recreación y espacios abiertos</t>
  </si>
  <si>
    <t>Servicios de asesoría en arquitectura para proyectos de edificación no residencial.</t>
  </si>
  <si>
    <t>Servicios de asesoría en arquitectura para proyectos de edificación residencial.</t>
  </si>
  <si>
    <t>Servicios de dibujo técnico de ingeniería y arquitectura</t>
  </si>
  <si>
    <t>Servicios de diseño de arquitectura para proyectos de edificación no residencial.</t>
  </si>
  <si>
    <t>Servicios de diseño de arquitectura para proyectos de edificación residencial.</t>
  </si>
  <si>
    <t>Servicios de diseño de interiores</t>
  </si>
  <si>
    <t>Servicios de diseño de vestuario</t>
  </si>
  <si>
    <t>Servicios de diseño gráfico</t>
  </si>
  <si>
    <t>Servicios de diseño industrial</t>
  </si>
  <si>
    <t>Servicios de Asesoría en Estrategia Comunicacional y Publicidad (marketing).</t>
  </si>
  <si>
    <t>Servicios de creación y planificación de publicidad</t>
  </si>
  <si>
    <t>Servicios de diseño publicitario</t>
  </si>
  <si>
    <t>Servicios de filmación de películas cinematográficas para promoción o publicidad (comerciales)</t>
  </si>
  <si>
    <t>Servicios de fotografía publicitaria</t>
  </si>
  <si>
    <t>Servicios de diseño de páginas WEB</t>
  </si>
  <si>
    <t>Servicios de asesoría legal en materia de propiedad intelectual</t>
  </si>
  <si>
    <t>Servicio de licenciamiento y/o arriendo de software.</t>
  </si>
  <si>
    <t>Servicios de administración de redes computacionales, por via remota (Internet)</t>
  </si>
  <si>
    <t>Servicios de apoyo técnico en Computación e Informática (mantenimiento y reparación), por vía remota (Internet)</t>
  </si>
  <si>
    <t>Servicios de asesoría en tecnologías de la información</t>
  </si>
  <si>
    <t>Servicios de diseño de aplicaciones de tecnologías de la información para uso específico del cliente</t>
  </si>
  <si>
    <t>Servicios de diseño de bases de datos</t>
  </si>
  <si>
    <t>Servicios de diseño de redes y sistemas computacionales</t>
  </si>
  <si>
    <t>Servicios de diseño de software original</t>
  </si>
  <si>
    <t>Servicios de evaluación y/o certificación de productos o procesos informáticos</t>
  </si>
  <si>
    <t>Servicios de mensajería de texto, audio y/o video, suministrados mediante plataforma computacional conectada con sistemas de telefonía móvil.</t>
  </si>
  <si>
    <t>Servicios de parametrización de aplicaciones de software pre-existentes</t>
  </si>
  <si>
    <t>Servicios de suministro de aplicaciones computacionales en línea, vía Internet</t>
  </si>
  <si>
    <t>Servicios de suministro de audio en linea por Internet (streaming), para empresas ubicadas en el extranjero</t>
  </si>
  <si>
    <t>Servicios de suministro de audio musical, para empresas ubicadas en el extranjero</t>
  </si>
  <si>
    <t>Servicios de suministro de infraestructura para operar tecnologías de la información</t>
  </si>
  <si>
    <t>Servicios de suministro de juegos en línea por Internet, mediante la modalidad de tarjetas de prepago, para empresas ubicadas en el extranjero</t>
  </si>
  <si>
    <t>Servicios de suministro de sedes ("hosting") para sitios Web</t>
  </si>
  <si>
    <t>Servicios de suministro de vídeo en linea por Internet (streaming), para empresas ubicadas en el extranjero</t>
  </si>
  <si>
    <t>TIPO DE SERVICIO</t>
  </si>
  <si>
    <t>Monto en Miles de Pesos</t>
  </si>
  <si>
    <t xml:space="preserve">GASTO PRESUPUESTARIO TOTAL DEL GOBIERNO CENTRAL </t>
  </si>
  <si>
    <t>Total Presupuesto destinado a Cultura por instituciones culturales</t>
  </si>
  <si>
    <t>Porcentaje del Presupuesto público que se destina a Cultura (CNCA+DIBAM)</t>
  </si>
  <si>
    <t xml:space="preserve">Institución </t>
  </si>
  <si>
    <t xml:space="preserve">Programa </t>
  </si>
  <si>
    <t>Presupuesto en Miles de Pesos</t>
  </si>
  <si>
    <t>TOTAL PRESUPUESTO PÚBLICO EN CULTURA (CNCA + DIBAM)</t>
  </si>
  <si>
    <t>Consejo Nacional de la Cultura y las Artes
Ministerio de Educación</t>
  </si>
  <si>
    <t>CNCA: Programa 01</t>
  </si>
  <si>
    <t xml:space="preserve">Fundación Artesanías de Chile </t>
  </si>
  <si>
    <t>Orquestas Sinfónicas Juveniles e Infantiles de Chile</t>
  </si>
  <si>
    <t>Centro Cultural Palacio La Moneda</t>
  </si>
  <si>
    <t>Corporación Centro Cultural Gabriela Mistral</t>
  </si>
  <si>
    <t>Fundación Internacional Teatro a Mil</t>
  </si>
  <si>
    <t>Corporación Centro Balmaceda 1215</t>
  </si>
  <si>
    <t>Corporación Cultural Matucana 100</t>
  </si>
  <si>
    <t>Sociedad de Escritores de Chile (SECH)</t>
  </si>
  <si>
    <t>Asociación de Pintores y Escultores de Chile</t>
  </si>
  <si>
    <t>CCPLM, para la operación del Museo Violeta Parra</t>
  </si>
  <si>
    <t>Fundación Larraín Echenique</t>
  </si>
  <si>
    <t>Otras Instituciones a las que se tranfiere</t>
  </si>
  <si>
    <t>Parque Cultural de Valparaíso</t>
  </si>
  <si>
    <t>Transferencias a Secretaría y Administración General y Servicio Exterior (MINREL)</t>
  </si>
  <si>
    <t>Actividades de Fomento y Desarrollo Cultural</t>
  </si>
  <si>
    <t>Fomento del Arte en la Educación</t>
  </si>
  <si>
    <t>Fomento y Desarrollo del Patrimonio Nacional</t>
  </si>
  <si>
    <t xml:space="preserve">Red Cultura </t>
  </si>
  <si>
    <t>Fondo del Patrimonio</t>
  </si>
  <si>
    <t>Otros Programa 01 CNCA</t>
  </si>
  <si>
    <t>CNCA: Fondos Culturales y Artísticos (Programa 02)</t>
  </si>
  <si>
    <t>Fondo Nacional de Fomento del Libro y la Lectura</t>
  </si>
  <si>
    <t>Fondo Nacional de Desarrollo Cultural y las Artes (Fondart)</t>
  </si>
  <si>
    <t>Fondo para el Fomento de la Música Nacional</t>
  </si>
  <si>
    <t>Fondo de Fomento Audiovisual</t>
  </si>
  <si>
    <t>Otros Programa 02 CNCA</t>
  </si>
  <si>
    <t>Dirección de Bibliotecas, Archivos y Museos
Ministerio de Educación</t>
  </si>
  <si>
    <t>DIBAM: Programa 01</t>
  </si>
  <si>
    <t>Corporación Parque por la Paz Villa Grimaldi</t>
  </si>
  <si>
    <t>Fundación Arte y Solidaridad</t>
  </si>
  <si>
    <t>Fundación Eduardo Frei Montalva</t>
  </si>
  <si>
    <t>Londres 38 Casa Memoria</t>
  </si>
  <si>
    <t>Museo del Carmen de Maipú</t>
  </si>
  <si>
    <t>Museo San Francisco</t>
  </si>
  <si>
    <t>Fundación Museo de la Memoria</t>
  </si>
  <si>
    <t>Consejo de Monumentos Nacionales (CMN)</t>
  </si>
  <si>
    <t xml:space="preserve">Acciones culturales complementarias </t>
  </si>
  <si>
    <t>Programa de Mejoramiento Integral de Bibliotecas Públicas</t>
  </si>
  <si>
    <t>Otros Programa 01 DIBAM</t>
  </si>
  <si>
    <t>DIBAM: Red de Bibliotecas Públicas (Programa 02)</t>
  </si>
  <si>
    <t xml:space="preserve">FUENTE: Ley de Presupuestos del Sector Público Año 2014. Ley N° 20.713, publicada en el Diario Oficial del 18 de diciembre de 2013. </t>
  </si>
  <si>
    <t>PRESUPUESTO</t>
  </si>
  <si>
    <t>Monto en miles de pesos</t>
  </si>
  <si>
    <t>Gasto presupuestario total del gobierno central</t>
  </si>
  <si>
    <t>Total presupuesto destinado a cultura por instituciones afines a la cultura</t>
  </si>
  <si>
    <t>Porcentaje del presupuesto del Gobierno que se destina a cultura por instituciones afines a la cultura</t>
  </si>
  <si>
    <t>INSTITUCIÓN</t>
  </si>
  <si>
    <t>Programas</t>
  </si>
  <si>
    <t>Presupuesto en miles de pesos</t>
  </si>
  <si>
    <t>TOTAL PRESUPUESTO INSTITUCIONES AFINES A LA CULTURA</t>
  </si>
  <si>
    <t>Biblioteca del Congreso.
Congreso Nacional</t>
  </si>
  <si>
    <t>Presupuesto en Infraestructura Cultural Congreso Nacional</t>
  </si>
  <si>
    <t>Biblioteca del Congreso</t>
  </si>
  <si>
    <t>Consejo Nacional de Televisión.
Ministerio Secretaría General de Gobierno</t>
  </si>
  <si>
    <t>Consejo Nacional de Televisión (CNTV)</t>
  </si>
  <si>
    <t>Fondo de apoyo a programas culturales</t>
  </si>
  <si>
    <t>Fondo antena y medios de recepción satelital</t>
  </si>
  <si>
    <t>Programa de televisión educativa Novasur</t>
  </si>
  <si>
    <t>Otros Programas CNTV</t>
  </si>
  <si>
    <t>Parque Metropolitano.
Ministerio de Vivienda y Urbanismo</t>
  </si>
  <si>
    <t>Presupuesto destinado a cultura Minvu</t>
  </si>
  <si>
    <t>Parque Metropolitano</t>
  </si>
  <si>
    <t>Total presupuesto destinado a cultura por instituciones con programas culturales</t>
  </si>
  <si>
    <t>Porcentaje del presupuesto del Gobierno que se destina a cultura en instituciones con programas culturales</t>
  </si>
  <si>
    <t>TOTAL PRESUPUESTO INSTITUCIONES CON PROGRAMAS CULTURALES</t>
  </si>
  <si>
    <t>Corporación Nacional de Desarrollo Indígena.
Ministerio de Desarrollo Social</t>
  </si>
  <si>
    <t>Presupuesto destinado a cultura, Conadi (Programa 1)</t>
  </si>
  <si>
    <t>Fondo de desarrollo indígena e instrumentos cofinanciados de Apoyo</t>
  </si>
  <si>
    <t>Fondo de cultura y educación indígena y programa de apoyo al fondo</t>
  </si>
  <si>
    <t>Protección del medio ambiente y recursos naturales</t>
  </si>
  <si>
    <t>Consulta a los pueblos indígenas</t>
  </si>
  <si>
    <t>Corporación Nacional Forestal.
Ministerio de Agricultura</t>
  </si>
  <si>
    <t>Presupuesto destinado a cultura, Conaf</t>
  </si>
  <si>
    <t>Áreas Silvestres Protegidas (ASP)</t>
  </si>
  <si>
    <t>Fondo para investigación ley bosque nativo</t>
  </si>
  <si>
    <t>Proyecto Bosque Modelo</t>
  </si>
  <si>
    <t>Presupuesto Municipal en Cultura</t>
  </si>
  <si>
    <t>Programas municipales destinados a cultura</t>
  </si>
  <si>
    <t>Subsecretaría de Agricultura.
Ministerio de Agricultura</t>
  </si>
  <si>
    <t>Presupuesto destinado a Cultura, Subsecretaría de Agricultura</t>
  </si>
  <si>
    <t>Instituto Forestal</t>
  </si>
  <si>
    <t>Centro de Información de Recursos Naturales</t>
  </si>
  <si>
    <t>Subsecretaría de Desarrollo Regional y Administrativo.
Ministerio del Interior</t>
  </si>
  <si>
    <t>Presupuesto infraestructura cultural, Ministerio del Interior</t>
  </si>
  <si>
    <t>Oficina crédito puesta en valor del patrimonio</t>
  </si>
  <si>
    <t>MONTO FNDR EN CULTURA</t>
  </si>
  <si>
    <t>Subsecretaría de Educación.
Ministerio de Educación</t>
  </si>
  <si>
    <t>Presupuesto destinado a cultura y educación digital, Mineduc</t>
  </si>
  <si>
    <t>Fundación Tiempos Nuevos</t>
  </si>
  <si>
    <t>Instituto de Chile</t>
  </si>
  <si>
    <t>Premios Nacionales y Premio Luis Cruz Martínez</t>
  </si>
  <si>
    <t>Consejo de Calificación Cinematográfica</t>
  </si>
  <si>
    <t xml:space="preserve">Intercambios Docentes, Cultural y de Asistencia </t>
  </si>
  <si>
    <t>Programa de Educación Intercultural Bilingüe</t>
  </si>
  <si>
    <t>Centro de Recursos de Aprendizaje (Bibliotecas CRA)</t>
  </si>
  <si>
    <t>Textos Escolares de Educación Básica y Media</t>
  </si>
  <si>
    <t>Informática Educativa en Escuelas y Liceos</t>
  </si>
  <si>
    <t>Subsecretaría de Telecomunicaciones.
Ministerio de Transporte</t>
  </si>
  <si>
    <t>Presupuesto destinado a cultura y educación digital, Ministerio de Transportes</t>
  </si>
  <si>
    <t>Programa Digitaliza Chile</t>
  </si>
  <si>
    <t>Subsecretaría del Medio Ambiente.
Ministerio del Medio Ambiente</t>
  </si>
  <si>
    <t>Subsecretaría de Medio Ambiente (Programa 1)</t>
  </si>
  <si>
    <t>Fondo de protección ambiental</t>
  </si>
  <si>
    <t>Programa Multisectorial e-Parques</t>
  </si>
  <si>
    <t>TABLA 25.4: PRESUPUESTO PÚBLICO EJECUTADO DESTINADO A CULTURA Y TIEMPO LIBRE, SEGÚN INSTITUCIONES CON PROGRAMAS CULTURALES. 2014</t>
  </si>
  <si>
    <t>Gasto presupuestario total del Gobierno central</t>
  </si>
  <si>
    <t>Total ejecutado destinado a cultura por instituciones con programas culturales</t>
  </si>
  <si>
    <t>TOTAL PRESUPUESTO EJECUTADO INSTITUCIONES CON PROGRAMAS CULTURALES</t>
  </si>
  <si>
    <t>Ministerio de Relaciones Exteriores. Dirección General de Relaciones Económicas Internacionales.</t>
  </si>
  <si>
    <t>Programa Concursos</t>
  </si>
  <si>
    <t>Programa Ferias Internacionales</t>
  </si>
  <si>
    <t>Programa Marca Sectorial</t>
  </si>
  <si>
    <t>Programa Plan Sectorial</t>
  </si>
  <si>
    <t>Programa Proyecto Servicios</t>
  </si>
  <si>
    <t>Programa apoyo a agricultura familiar campesina</t>
  </si>
  <si>
    <t>Corporación de Fomento de la Producción. Ministerio de Economía, Fomento y Reconstrucción</t>
  </si>
  <si>
    <t xml:space="preserve">Programa Emprendimiento Local (PEL) y Programa Territorial Integrado (PTI) con destino creativo </t>
  </si>
  <si>
    <t>Servicio de Cooperación Técnica. Ministerio de Economía, Fomento y Reconstrucción</t>
  </si>
  <si>
    <t>Capital Abeja</t>
  </si>
  <si>
    <t>Capital Semilla</t>
  </si>
  <si>
    <t>Servicios de desarrollo empresarial</t>
  </si>
  <si>
    <t>Programas asociativos</t>
  </si>
  <si>
    <t>Dirección de Asuntos Culturales (Dirac)
Secretaría y Administración General y Servicio Exterior.
Ministerio de Relaciones Exteriores</t>
  </si>
  <si>
    <t>Proyectos financiados y gestión operacional</t>
  </si>
  <si>
    <t>Proyectos culturales Concurso de embajadas, consulados, artistas o agrupaciones culturales que ejecutan proyectos en el exterior</t>
  </si>
  <si>
    <t>Apoyo a la difusión de proyectos de artistas chilenos</t>
  </si>
  <si>
    <t>Subsecretaria de Desarrollo Regional y Administrativo. Ministerio del Interior</t>
  </si>
  <si>
    <t>Gestión de Recursos Privados</t>
  </si>
  <si>
    <t>Crédito Tributario por Ley de Donaciones culturales</t>
  </si>
  <si>
    <t>FUENTE: Elaborado por el Consejo Nacional de la Cultura y las Artes (CNCA) a partir de bases de datos de ProChile, la Corporación de Fomento Productivo (Corfo), Servicio de Cooperación Técnica (Sercotec), Fondo Nacional de Desarrollo Regional (FNDR), Dirección de Asuntos Culturales del Ministerio de Relaciones Exteriores (Dirac), y Servicio de Impuestos Internos (SII).</t>
  </si>
  <si>
    <t>TABLA 25.5: DISTRIBUCIÓN PORCENTUAL DEL PRESUPUESTO DESTINADO A CULTURA Y TIEMPO LIBRE, SEGÚN INSTITUCIONES CULTURALES, AFINES A LA CULTURA Y PROGRAMAS CULTURALES. 2014</t>
  </si>
  <si>
    <t>ÁREA</t>
  </si>
  <si>
    <t>Porcentaje del presupuesto del Gobierno que se destina a cultura (CNCA+Dibam)</t>
  </si>
  <si>
    <t>30 años
 y más</t>
  </si>
  <si>
    <t>18 a 29
 años</t>
  </si>
  <si>
    <t>Menor de
18 años</t>
  </si>
  <si>
    <t>Número de aprehendidos</t>
  </si>
  <si>
    <t>Total
aprehendidos</t>
  </si>
  <si>
    <t>TABLA 26.2: NÚMERO DE DETENCIONES POR LEY DE PROPIEDAD INTELECTUAL (CÓDIGO N° 09099 "OTROS DELITOS CONTRA LA LEY DE PROPIEDAD INTELECTUAL") POR SEXO, EDAD, SEGÚN REGIÓN. 2014</t>
  </si>
  <si>
    <t>TABLA 26.3: NÚMERO DE DENUNCIAS POR "FALSIFICACIÓN DE OBRAS PROTEGIDAS" Y "VENTA ILÍCITA DE OBRAS PROTEGIDAS Art. 80 B Ley 17.336", SEGÚN REGIÓN. 2014</t>
  </si>
  <si>
    <t>Aprehendidos cód. 09003</t>
  </si>
  <si>
    <t>Aprehendidos cód. 09002</t>
  </si>
  <si>
    <t>Aprehendidos total</t>
  </si>
  <si>
    <t>TABLA 26.4: NÚMERO DE DETENCIONES POR LEY 17.336, SEGÚN CÓDIGO N° 09002 ¨FALSIFICACIÓN DE OBRAS PROTEGIDAS¨ Y CÓDIGO N° 09003 ASOCIADO A LA GLOSA "VENTA ILÍCITA DE OBRAS PROTEGIDAS", POR SEXO, SEGÚN REGIÓN. 2014</t>
  </si>
  <si>
    <t>Daños o apropiación sobre monumentos nacionales (artículo 38-38 bis Ley N°17.288)</t>
  </si>
  <si>
    <t>Demás delitos contra la Ley de Propiedad Intelectual.</t>
  </si>
  <si>
    <t>Inducir, permitir, facilitar u ocultar una infracción de los derechos de autor o conexos artículo 81 ter. Ley Nº17.336</t>
  </si>
  <si>
    <t>Utilización sin autorización de obras de dominio ajeno por Ley de Propiedad Intelectual artículo 79 A Ley Nº 17.336</t>
  </si>
  <si>
    <t>Venta ilícita de obras protegidas por Ley de Propiedad Intelectual artículo 80 B Ley Nº 17.336</t>
  </si>
  <si>
    <t>Falsificación de obras protegidas por Ley de Propiedad Intelectual artículo 79 C. Ley Nº 17.336</t>
  </si>
  <si>
    <t>Delito</t>
  </si>
  <si>
    <t>REGIÓN POLICIAL EN QUE SE HIZO LA DENUNCIA</t>
  </si>
  <si>
    <t>TABLA 26.5: NÚMERO DE DELITOS INVESTIGADOS POR LA POLICÍA DE INVESTIGACIONES DE CHILE (PDI), DE LA LEY DE PROPIEDAD INTELECTUAL Y LEY DE TRÁFICO ILÍCITO DE BIENES CULTURALES, SEGÚN REGIÓN POLICIAL EN QUE SE HIZO LA DENUNCIA. 2014</t>
  </si>
  <si>
    <t>FUENTE: Policía de Investigaciones de Chile (PDI). Departamento de estadísticas policiales.</t>
  </si>
  <si>
    <t>Natales</t>
  </si>
  <si>
    <t>Aisén</t>
  </si>
  <si>
    <t>Coihaique</t>
  </si>
  <si>
    <t>Rio Bueno</t>
  </si>
  <si>
    <t>La Unión</t>
  </si>
  <si>
    <t>Calbuco</t>
  </si>
  <si>
    <t xml:space="preserve">Tomé </t>
  </si>
  <si>
    <t>Talcahuano</t>
  </si>
  <si>
    <t>Pitrufquén</t>
  </si>
  <si>
    <t>Freire</t>
  </si>
  <si>
    <t>Victoria</t>
  </si>
  <si>
    <t>Las Condes</t>
  </si>
  <si>
    <t>Chiguayante</t>
  </si>
  <si>
    <t>San Pedro de la Paz</t>
  </si>
  <si>
    <t>Coronel</t>
  </si>
  <si>
    <t>Lota</t>
  </si>
  <si>
    <t>Los Angeles</t>
  </si>
  <si>
    <t>Chillan Viejo</t>
  </si>
  <si>
    <t>Cobquecura</t>
  </si>
  <si>
    <t>Bulnes</t>
  </si>
  <si>
    <t>San Javier</t>
  </si>
  <si>
    <t>Buin</t>
  </si>
  <si>
    <t>Puente Alto</t>
  </si>
  <si>
    <t>Colina</t>
  </si>
  <si>
    <t>Quilicura</t>
  </si>
  <si>
    <t>Renca</t>
  </si>
  <si>
    <t>Cerro Navia</t>
  </si>
  <si>
    <t>Pudahuel</t>
  </si>
  <si>
    <t>Quinta Normal</t>
  </si>
  <si>
    <t>Maipú</t>
  </si>
  <si>
    <t>Cerrillos</t>
  </si>
  <si>
    <t>Estación Central</t>
  </si>
  <si>
    <t>Pedro Aguirre Cerda</t>
  </si>
  <si>
    <t>La Cisterna</t>
  </si>
  <si>
    <t>La Pintana</t>
  </si>
  <si>
    <t>La Florida</t>
  </si>
  <si>
    <t>Ñuñoa</t>
  </si>
  <si>
    <t>Lo Barnechea</t>
  </si>
  <si>
    <t>Vitacura</t>
  </si>
  <si>
    <t>Providencia</t>
  </si>
  <si>
    <t>Recoleta</t>
  </si>
  <si>
    <t>Huechuraba</t>
  </si>
  <si>
    <t>Conchalí</t>
  </si>
  <si>
    <t>Independencia</t>
  </si>
  <si>
    <t>Casablanca</t>
  </si>
  <si>
    <t>Viña del Mar</t>
  </si>
  <si>
    <t>Limache</t>
  </si>
  <si>
    <t>Calera</t>
  </si>
  <si>
    <t>San Felipe</t>
  </si>
  <si>
    <t>Demás delitos contra la Ley de Propiedad Intelectual</t>
  </si>
  <si>
    <t>Inducir, permitir, facilitar u ocultar una infracción de los derechos de autor o conexos artículo 81 ter Ley Nº17.336</t>
  </si>
  <si>
    <t>Falsificación de obras protegidas por Ley de Propiedad Intelectual artículo 79 C.Ley Nº 17.336</t>
  </si>
  <si>
    <t>TABLA 26.6: NÚMERO DE DELITOS INVESTIGADOS POR LA POLICÍA DE INVESTIGACIONES DE CHILE (PDI), DE LA LEY DE PROPIEDAD INTELECTUAL Y LEY DE TRÁFICO ILÍCITO DE BIENES CULTURALES, SEGÚN REGIÓN POLICIAL EN QUE SE HIZO LA DENUNCIA Y COMUNA DE OCURRENCIA DEL DELITO. 2014</t>
  </si>
  <si>
    <t>No determinados</t>
  </si>
  <si>
    <t>Cd o Dvd</t>
  </si>
  <si>
    <t>Especies varias</t>
  </si>
  <si>
    <t>Escrituras públicas</t>
  </si>
  <si>
    <t>Propiedades</t>
  </si>
  <si>
    <t>Mercaderías varias</t>
  </si>
  <si>
    <t>Dinero efectivo</t>
  </si>
  <si>
    <t>Decodificadores</t>
  </si>
  <si>
    <t>Bienes Particulares</t>
  </si>
  <si>
    <t>Vehiculo particular</t>
  </si>
  <si>
    <t>Prendas de vestir</t>
  </si>
  <si>
    <t>Juguetes</t>
  </si>
  <si>
    <t>Cosmeticos y perfumes</t>
  </si>
  <si>
    <t>Equipos celulares</t>
  </si>
  <si>
    <t>Artículos deportivos</t>
  </si>
  <si>
    <t>vehiculos motorizados</t>
  </si>
  <si>
    <t>Obras de arte</t>
  </si>
  <si>
    <t>Equipo comunicaciones</t>
  </si>
  <si>
    <t>Equipos computacionales</t>
  </si>
  <si>
    <t>Bienes particulares</t>
  </si>
  <si>
    <t>Bienes fiscales</t>
  </si>
  <si>
    <t>Bienes de uso público</t>
  </si>
  <si>
    <t>Joyas</t>
  </si>
  <si>
    <t>Documentación mercantil</t>
  </si>
  <si>
    <t>Daños o apropiación sobre monumentos nacionales (artículo 38-38 bis Ley 17.288)</t>
  </si>
  <si>
    <t>Utilización sin autorización de obras de dominio ajeno por Ley de Propiedad Intelectual artículo 79 a Ley Nº 17.336</t>
  </si>
  <si>
    <t>Venta ilícita de obras protegidas por Ley de Propiedad Intelectual artículo 81 b Ley Nº 17.336</t>
  </si>
  <si>
    <t>Falsificación de obras protegidas por Ley de Propiedad Intelectual artículo 79 bis.Ley Nº 17.336</t>
  </si>
  <si>
    <t>REGIÓN Y BIEN AFECTADO</t>
  </si>
  <si>
    <t>TABLA 26.7: NÚMERO DE DELITOS INVESTIGADOS POR LA POLICÍA DE INVESTIGACIONES DE CHILE (PDI) DE LA LEY DE PROPIEDAD INTELECTUAL Y LEY DE TRÁFICO ILÍCITO DE BIENES CULTURALES, SEGÚN REGIÓN POLICIAL Y BIEN AFECTADO. 2014</t>
  </si>
  <si>
    <t>Daños o apropiación sobre monumentos nacionales (artículo38-38 bis Ley 17.288)</t>
  </si>
  <si>
    <t>Venta ilícita de obras protegidas por Ley de Propiedad Intelectual artículo 81 b Ley Nº 17.336.</t>
  </si>
  <si>
    <t>Falsificación de obras protegidas por Ley de Propiedad Intelectual artículo 79 bis.Ley Nº 17.336.</t>
  </si>
  <si>
    <t>Detenidos</t>
  </si>
  <si>
    <t>TABLA 26.8: NÚMERO DE DETENIDOS POR LA POLICÍA DE INVESTIGACIONES DE CHILE (PDI) DE LA LEY DE PROPIEDAD INTELECTUAL Y LEY DE TRÁFICO ILÍCITO DE BIENES CULTURALES POR DELITO, SEGÚN REGIÓN POLICIAL. 2014</t>
  </si>
  <si>
    <t>REGIÓN/SEXO</t>
  </si>
  <si>
    <t>TABLA 26.9: NÚMERO DE DETENIDOS POR LA POLICÍA DE INVESTIGACIONES DE CHILE (PDI) DE LEY DE PROPIEDAD INTELECTUAL Y LEY DE TRÁFICO ILÍCITO DE BIENES CULTURALES POR DELITO, SEGÚN REGIÓN POLICIAL Y SEXO. 2014</t>
  </si>
  <si>
    <t>REGIÓN/NACIONALIDAD</t>
  </si>
  <si>
    <t>TABLA 26.10: NÚMERO DE DETENIDOS POR LA LA POLICÍA DE INVESTIGACIONES DE CHILE (PDI) DE LA LEY DE PROPIEDAD INTELECTUAL Y LEY DE TRÁFICO ILÍCITO DE BIENES CULTURALES POR DELITO, SEGÚN REGIÓN POLICIAL Y NACIONALIDAD. 2014</t>
  </si>
  <si>
    <t>51 y más años</t>
  </si>
  <si>
    <t>41 a 50 años</t>
  </si>
  <si>
    <t>31 a 40 años</t>
  </si>
  <si>
    <t>21 a 30 años</t>
  </si>
  <si>
    <t>18 a 20 años</t>
  </si>
  <si>
    <t>16 a 17 años</t>
  </si>
  <si>
    <t>Menos de 16 años</t>
  </si>
  <si>
    <t>REGIÓN/GRUPOS DE EDAD</t>
  </si>
  <si>
    <t>TABLA 26.11: NÚMERO DE DETENIDOS POR LA POLICÍA DE INVESTIGACIONES DE CHILE (PDI) DE LA LEY DE PROPIEDAD INTELECTUAL Y LEY DE TRÁFICO ILÍCITO DE BIENES CULTURALES POR DELITO, SEGÚN REGIÓN POLICIAL Y GRUPOS DE EDAD. 2014</t>
  </si>
  <si>
    <t>FUENTE: Policía de Investigaciones de Chile (PDI). Jefatura Nacional de Delitos Económicos (Jenadec).</t>
  </si>
  <si>
    <t>Brigada Investigadora de Delitos de Propiedad Intelectual</t>
  </si>
  <si>
    <t>Brigada Investigadora del Cibercrimen Valparaíso</t>
  </si>
  <si>
    <t>Brigada Investigadora del Cibercrimen Metropolitana</t>
  </si>
  <si>
    <t>Brigada Investigadora de Lavados de Activos Iquique</t>
  </si>
  <si>
    <t>Brigada Investigadora de Lavados de Activos Metropolitana</t>
  </si>
  <si>
    <t>Brigada Investigadora de Delitos en Recintos Portuarios Valparaíso</t>
  </si>
  <si>
    <t>Brigada Investigadora de Delitos en Recintos Portuarios Iquique</t>
  </si>
  <si>
    <t>Brigada Investigadora de Delitos Económicos Punta Arenas</t>
  </si>
  <si>
    <t>Brigada Investigadora de Delitos Económicos Coyhaique</t>
  </si>
  <si>
    <t>Brigada Investigadora de Delitos Económicos Puerto Montt</t>
  </si>
  <si>
    <t>Brigada Investigadora de Delitos Económicos Osorno</t>
  </si>
  <si>
    <t>Brigada Investigadora de Delitos Económicos Valdivia</t>
  </si>
  <si>
    <t>Brigada Investigadora de Delitos Económicos Temuco</t>
  </si>
  <si>
    <t>Brigada Investigadora de Delitos Económicos Concepción</t>
  </si>
  <si>
    <t>Brigada Investigadora de Delitos Económicos Chillán</t>
  </si>
  <si>
    <t>Brigada Investigadora de Delitos Económicos Linares</t>
  </si>
  <si>
    <t>Brigada Investigadora de Delitos Económicos Talca</t>
  </si>
  <si>
    <t>Brigada Investigadora de Delitos Económicos Rancagua</t>
  </si>
  <si>
    <t>Brigada Investigadora de Delitos Económicos Metropolitana</t>
  </si>
  <si>
    <t>Brigada Investigadora de Delitos Económicos Valparaíso</t>
  </si>
  <si>
    <t>Brigada Investigadora de Delitos Económicos San Antonio</t>
  </si>
  <si>
    <t>Brigada Investigadora de Delitos Económicos Los Andes</t>
  </si>
  <si>
    <t>Brigada Investigadora de Delitos Económicos La Serena</t>
  </si>
  <si>
    <t>Brigada Investigadora de Delitos Económicos Copiapó</t>
  </si>
  <si>
    <t>Brigada Investigadora de Delitos Económicos Antofagasta</t>
  </si>
  <si>
    <t>Brigada Investigadora de Delitos Económicos Iquique</t>
  </si>
  <si>
    <t>Brigada Investigadora de Delitos Económicos Arica</t>
  </si>
  <si>
    <t>Impresoras</t>
  </si>
  <si>
    <t>Carátulas</t>
  </si>
  <si>
    <t>Discos duros y quemadores</t>
  </si>
  <si>
    <t>Notebook</t>
  </si>
  <si>
    <t>Cpu</t>
  </si>
  <si>
    <t>Cd</t>
  </si>
  <si>
    <t>Artículo incautado</t>
  </si>
  <si>
    <t>UNIDAD POLICIAL</t>
  </si>
  <si>
    <t>TABLA 26.12: ARTÍCULOS INCAUTADOS POR LA POLICÍA DE INVESTIGACIONES DE CHILE (PDI) POR INFRACCIÓN A LEY DE PROPIEDAD INTELECTUAL, SEGÚN UNIDAD POLICIAL. 2014</t>
  </si>
  <si>
    <t>Quinchao</t>
  </si>
  <si>
    <t>Castro</t>
  </si>
  <si>
    <t>Puerto Varas</t>
  </si>
  <si>
    <t>San Pablo</t>
  </si>
  <si>
    <t>Panguipulli</t>
  </si>
  <si>
    <t>Corral</t>
  </si>
  <si>
    <t>Traiguén</t>
  </si>
  <si>
    <t>Padre Las Casas</t>
  </si>
  <si>
    <t>Angol</t>
  </si>
  <si>
    <t>Cartagena</t>
  </si>
  <si>
    <t>Viña Del Mar</t>
  </si>
  <si>
    <t>Los Alamos</t>
  </si>
  <si>
    <t>Hualpén</t>
  </si>
  <si>
    <t>San Pedro De La Paz</t>
  </si>
  <si>
    <t>Penco</t>
  </si>
  <si>
    <t>Cabrero</t>
  </si>
  <si>
    <t>San Carlos</t>
  </si>
  <si>
    <t>San Bernardo</t>
  </si>
  <si>
    <t>Villa Alegre</t>
  </si>
  <si>
    <t>Retiro</t>
  </si>
  <si>
    <t>Parral</t>
  </si>
  <si>
    <t>Longaví</t>
  </si>
  <si>
    <t>Yerbas Buenas</t>
  </si>
  <si>
    <t>Constitución</t>
  </si>
  <si>
    <t>Pencahue</t>
  </si>
  <si>
    <t>Curico</t>
  </si>
  <si>
    <t>San Fernando</t>
  </si>
  <si>
    <t>San Vicente</t>
  </si>
  <si>
    <t>Rengo</t>
  </si>
  <si>
    <t>Machali</t>
  </si>
  <si>
    <t>Padre Hurtado</t>
  </si>
  <si>
    <t>Peñaflor</t>
  </si>
  <si>
    <t>Talagante</t>
  </si>
  <si>
    <t>Paine</t>
  </si>
  <si>
    <t>Lampa</t>
  </si>
  <si>
    <t>Lo Prado</t>
  </si>
  <si>
    <t>Lo Espejo</t>
  </si>
  <si>
    <t>El Bosque</t>
  </si>
  <si>
    <t>San Ramón</t>
  </si>
  <si>
    <t>La Granja</t>
  </si>
  <si>
    <t>San Joaquín</t>
  </si>
  <si>
    <t>Peñalolen</t>
  </si>
  <si>
    <t>Macul</t>
  </si>
  <si>
    <t>Tome</t>
  </si>
  <si>
    <t>Nacimiento</t>
  </si>
  <si>
    <t>Chillan</t>
  </si>
  <si>
    <t>Concon</t>
  </si>
  <si>
    <t>Hijuelas</t>
  </si>
  <si>
    <t>Conchali</t>
  </si>
  <si>
    <t>Isla De Pascua</t>
  </si>
  <si>
    <t>El Quisco</t>
  </si>
  <si>
    <t>Villa Alemana</t>
  </si>
  <si>
    <t>Quilpué</t>
  </si>
  <si>
    <t>Puchuncaví</t>
  </si>
  <si>
    <t>Quintero</t>
  </si>
  <si>
    <t>Papudo</t>
  </si>
  <si>
    <t>Los Vilos</t>
  </si>
  <si>
    <t>Alto Del Carmen</t>
  </si>
  <si>
    <t>Vallenar</t>
  </si>
  <si>
    <t>Tierra Amarilla</t>
  </si>
  <si>
    <t>Caldera</t>
  </si>
  <si>
    <t>Cabildo</t>
  </si>
  <si>
    <t>Alto Biobio</t>
  </si>
  <si>
    <t>Alto Hospicio</t>
  </si>
  <si>
    <t>Arica Y Parinacota</t>
  </si>
  <si>
    <t>DELITO</t>
  </si>
  <si>
    <t>NÚMERO DE DETENIDOS</t>
  </si>
  <si>
    <t>REGIÓN Y COMUNA RESIDENCIA</t>
  </si>
  <si>
    <t>TABLA 26.13: CANTIDAD DE DETENIDOS POR LA POLICÍA DE INVESTIGACIONES (PDI) DE LA LEY DE PROPIEDAD INTELECTUAL, LEY DE TRAFICO ILICITO DE BIENES CULTURALES DESGLOSADOS POR REGION POLICIAL Y POR COMUNA RESIDENCIA DETENIDO. 2014</t>
  </si>
  <si>
    <t>DELITOS</t>
  </si>
  <si>
    <t>NÚMERO DE DENUNCIAS</t>
  </si>
  <si>
    <t>FUENTE: Policía de Investigaciones de Chile (PDI). Departamento de estadísticas policiales y análisis SIG.</t>
  </si>
  <si>
    <t>CD O DVD</t>
  </si>
  <si>
    <t>Wquipos computacionales</t>
  </si>
  <si>
    <t>TABLA 26.15: CANTIDAD DE DENUNCIAS DE LA PDI POR  LOS DELITOS DE LA LEY DE PROPIEDAD INTELECTUAL Y LEY DE TRAFICO ILICITO DE BIENES CULTURALES  DESGLOSADOS POR REGION POLICIAL Y POR BIEN AFECTADO. 2014</t>
  </si>
  <si>
    <t>Los Rios</t>
  </si>
  <si>
    <t>Peñalolén</t>
  </si>
  <si>
    <t>REGIÓN Y COMUNA DELITO</t>
  </si>
  <si>
    <t>TABLA 26.16: CANTIDAD DE DENUNCIAS DE LA PDI POR DELITOS DE LA LEY DE PROPIEDAD INTELECTUAL Y LEY DE TRAFICO ILICITO DE BIENES CULTURALES DESGLOSADOS POR REGION POLICIAL Y POR COMUNA DEL DELITO. 2014</t>
  </si>
  <si>
    <t>Utilización sin autorizacion de obras de dominio ajeno por Ley de Propiedad Intelectual</t>
  </si>
  <si>
    <t>Otros delitos contra la Ley de Propiedad Intelectual</t>
  </si>
  <si>
    <t>Delitos contra Ley de Propiedad Intelectual</t>
  </si>
  <si>
    <t>Imputados</t>
  </si>
  <si>
    <t>TABLA 26.17: IMPUTADOS POR INFRACCIÓN A LA LEY 17.336, SEGÚN CORTE DE APELACIÓN. 2014</t>
  </si>
  <si>
    <t>Delitos contra ley de Propiedad Intelectual</t>
  </si>
  <si>
    <t>Condenados</t>
  </si>
  <si>
    <t>TABLA 26.18: CONDENADOS POR INFRACCIÓN A LA LEY 17.336, SEGÚN CORTE DE APELACIÓN. 2014</t>
  </si>
  <si>
    <t>Otros delitos contra la ley de propiedad intelectual</t>
  </si>
  <si>
    <t xml:space="preserve">Delitos contra ley de propiedad intelectual            </t>
  </si>
  <si>
    <t>Utilización sin autorización de obras de dominio ajeno</t>
  </si>
  <si>
    <t>Total Ley 17.336 de Propiedad Intelectual</t>
  </si>
  <si>
    <t>CORTE DE APELACIONES</t>
  </si>
  <si>
    <t xml:space="preserve">                                  </t>
  </si>
  <si>
    <t>TABLA 26.19: CAUSAS INGRESADAS Y TERMINADAS EN JUZGADOS DE GARANTÍA Y DE LETRAS Y GARANTÍA POR INFRACCIÓN A LA LEY DE DE PROPIEDAD INTELECTUAL, SEGÚN CORTE DE APELACIÓN. 2014</t>
  </si>
  <si>
    <t>REGIÓN Y FISCALÍA</t>
  </si>
  <si>
    <t>TABLA  26.20: DELITOS INGRESADOS AL MINISTERIO PÚBLICO EN RELACIÓN A LA LEY DE PROPIEDAD INTELECTUAL, SEGÚN REGIÓN Y FISCALÍA. 2009-2014</t>
  </si>
  <si>
    <t>TABLA 26.21: DELITOS TERMINADOS EN EL MINISTERIO PÚBLICO EN RELACIÓN A LA LEY DE PROPIEDAD INTELECTUAL, SEGÚN REGIÓN Y FISCALÍA. 2009-2014</t>
  </si>
  <si>
    <t>Sentencias definitivas condenatorias Ley 17.336 total delitos contra la propiedad intelectual Código: 9002, 9003, 9004 y 9099</t>
  </si>
  <si>
    <t>TABLA 26.22: SENTENCIAS DEFINITIVAS CONDENATORIAS EN RELACIÓN A LA LEY DE PROPIEDAD INTELECTUAL, SEGÚN REGIÓN Y FISCALÍA. 2009-2014</t>
  </si>
  <si>
    <t>TABLA 13.5: NÚMERO DE SOCIOS DE LA ASOCIACIÓN DE AUTORES NACIONALES DE TEATRO, CINE Y AUDIOVISUALES (ATN), POR SEXO. 2009-2014</t>
  </si>
  <si>
    <t>TABLA 13.9: NÚMERO DE AUTORES QUE GENERARON DERECHOS DE AUTOR POR LA SOCIEDAD DE AUTORES NACIONALES DE TEATRO, CINE Y AUDIOVISUALES (ATN), SEGÚN NACIONALIDAD DEL AUTOR. 2009-2014</t>
  </si>
  <si>
    <t>TABLA 13.10: NÚMERO DE AUTORIZACIONES CONCEDIDAS EN CHILE Y EN EL EXTRANJERO POR LA SOCIEDAD DE AUTORES NACIONALES DE TEATRO, CINE Y AUDIOVISUALES (ATN), SEGÚN TIPO DE OBRA. 2009-2014</t>
  </si>
  <si>
    <t>Coproducciones</t>
  </si>
  <si>
    <t>Número de concursos</t>
  </si>
  <si>
    <t>TABLA 15.21: RECAUDACIÓN DE LA SOCIEDAD DE DERECHOS LITERARIOS (SADEL) POR CONCEPTO DE LICENCIAS REPROGRÁFICAS. 2010-2014</t>
  </si>
  <si>
    <t>TABLA 17.9: NÚMERO TOTAL DE CARRERAS CREATIVAS Y NÚMERO TOTAL DE MATRICULADOS, SEGÚN CENTRO DE EDUCACIÓN SUPERIOR E INSTITUCIÓN QUE LA IMPARTE. 2014</t>
  </si>
  <si>
    <t>TABLA 10.4: NÚMERO DE DOCUMENTOS CONTENIDOS EN LOS ARCHIVOS PÚBLICOS DE LA DIRECCIÓN DE BIBLIOTECAS, ARCHIVOS Y MUSEOS (DIBAM), SEGÚN REGIÓN. 2014</t>
  </si>
  <si>
    <t>TABLA 10.7: DATOS DEL CENTRO NACIONAL DE CONSERVACIÓN Y RESTAURACIÓN DE LA DIRECCIÓN DE BIBLIOTECAS, ARCHIVOS Y MUSEOS (DIBAM). 2009-2014</t>
  </si>
  <si>
    <t>TABLA 10.27: NÚMERO DE PUBLICACIONES Y AUDIOS GENERADOS POR EL CONSEJO NACIONAL DE LA CULTURA Y LAS ARTES (CNCA) SEGÚN TIPO DE PRODUCTO. 2008-2014</t>
  </si>
  <si>
    <t>TABLA 10.30: POSTULACIONES A TESORO HUMANO VIVO (THV), SEGÚN TIPO DE POSTULACIÓN Y REGIÓN. 2009-2014</t>
  </si>
  <si>
    <t>TABLA 11.1: NÚMERO DE ARTESANOS, SEGÚN REGIÓN. 2014</t>
  </si>
  <si>
    <t>TABLA 12.7: NÚMERO DE SOCIOS POR PROFESIÓN U OFICIO (REPORTEROS GRÁFICOS Y CAMARÓGRAFOS) ACTIVOS Y NO ACTIVOS, POR SEXO, SEGÚN REGIÓN. 2014</t>
  </si>
  <si>
    <t>TABLA 12.8: NÚMERO DE CONCURSOS, EXPOSICIONES Y DE VISITANTES A EXPOSICIONES, SEGÚN REGIÓN. 2009-2014</t>
  </si>
  <si>
    <t>FUENTE: Unión de Reporteros Gráficos y Camarógrafos de Chile.</t>
  </si>
  <si>
    <t>(CONCURSO DE CARACTER NACIONAL)</t>
  </si>
  <si>
    <t>TABLA 13.12: MONTO DE DERECHOS DISTRIBUIDOS POR LA SOCIEDAD DE AUTORES NACIONALES DE TEATRO, CINE Y AUDIOVISUALES (ATN), SEGÚN NACIONALIDAD DEL AUTOR. 2009-2014</t>
  </si>
  <si>
    <t>TABLA 14.4: NÚMERO DE OBRAS NACIONALES INSCRITAS EN LA SOCIEDAD CHILENA DEL DERECHO DE AUTOR (SCD). 2009-2014</t>
  </si>
  <si>
    <t>TABLA 14.11: NÚMERO DE SELLOS DE GRABACIÓN. 2013-2014</t>
  </si>
  <si>
    <t>TABLA 14.14: MONTOS DE RECAUDACIÓN Y DISTRIBUCIÓN DE DERECHOS FONOMECÁNICOS POR LA SOCIEDAD CHILENA DEL DERECHO DE AUTOR (SCD). 2009-2014</t>
  </si>
  <si>
    <t>TABLA 15.12: NÚMERO DE TÍTULOS DE LIBROS REGISTRADOS EN EL INTERNATIONAL STANDARD BOOK NUMBER (ISBN), SEGÚN MATERIA. 2009-2014</t>
  </si>
  <si>
    <t>TABLA 15.41: NÚMERO DE ESPECTADORES A RECITALES DE POESÍA, CON ENTRADA GRATUITA Y PAGADA POR MES, SEGÚN REGIÓN. 2014</t>
  </si>
  <si>
    <t>TABLA 15.44: OLIMPIADAS DE ACTUALIDAD POR NÚMERO DE COLEGIOS Y DE REGIONES PARTICIPANTES. 2010-2014</t>
  </si>
  <si>
    <t>TABLA 16.18: NÚMERO DE PERMISIONARIOS DE SERVICIOS LIMITADOS DE TELEVISIÓN. 2009-2014</t>
  </si>
  <si>
    <t>TABLA 16.30: NÚMERO DE ACTORES FAVORECIDOS POR LA DISTRIBUCIÓN DE DERECHOS DE COMUNICACIÓN PÚBLICA DE LA CORPORACIÓN DE ACTORES DE CHILE (CHILEACTORES) POR TIPO DE REPARTO Y SEXO, SEGÚN AFILIACIÓN. 2013-2014</t>
  </si>
  <si>
    <t>TABLA 16.39: MONTOS RECAUDADOS DE PELÍCULAS ESTRENADAS Y EXHIBIDAS, SEGÚN ORIGEN DE LA PELÍCULA (PESOS NOMINALES). 2009-2014</t>
  </si>
  <si>
    <t>Suspenso/    Terror</t>
  </si>
  <si>
    <t>RomÁntica</t>
  </si>
  <si>
    <t>TABLA 18.7: PENETRACIÓN MUNDIAL DE INTERNET POR CADA CIEN HABITANTES, COMPARACIÓN DE VARIOS PAÍSES. 2009-2014</t>
  </si>
  <si>
    <t>TABLA 19.6: NÚMERO DE BECAS OTORGADAS EN POST-GRADO POR SEXO, SEGÚN REGIÓN. 2009-2014</t>
  </si>
  <si>
    <t>TABLA 19.7: NÚMERO DE PROGRAMAS FONDO DE CULTURA POR UNIDAD OPERATIVA Y MONTO DE LA INVERSIÓN, SEGÚN REGIÓN. 2009-2014</t>
  </si>
  <si>
    <t>(CONTINUACIÓN TABLA 19.7)</t>
  </si>
  <si>
    <t>CULTURA 2014</t>
  </si>
  <si>
    <t>(CONTINUACIÓN TABLA 19.8)</t>
  </si>
  <si>
    <t>TABLA 20.14: NÚMERO DE ESPECTADORES  QUE ASISTEN A LA REALIZACIÓN DE ESPECTÁCULOS PÚBLICOS DEPORTIVOS CON ENTRADA GRATUITA POR TIPO DE ESPECTÁCULO DEPORTIVO, SEGÚN REGIÓN. 2014</t>
  </si>
  <si>
    <t xml:space="preserve">TABLA 21.2: NÚMERO DE INSCRIPCIONES EN MATERIA DE DERECHOS DE AUTOR REGISTRADOS EN EL DEPARTAMENTO DE DERECHOS INTELECTUALES (DDI) DE LA DIRECCIÓN DE BIBLIOTECAS, ARCHIVOS Y MUSEOS (DIBAM), SEGÚN TIPO DE REGISTRO. 2009-2014 </t>
  </si>
  <si>
    <t>FUENTE: Datos de empresas y empleo cultural elaborados por el Consejo Nacional de la Cultura y las Artes (CNCA), a partir de datos ofrecidos por la Asociación Chilena de Seguridad (ACHS), el Instituto de Seguridad del Trabajo (IST), la Mutual de Seguridad de la Cámara Chilena de la Construcción (CCHC) y el Instituto de Seguridad Laboral (ISL).</t>
  </si>
  <si>
    <t>FUENTE: Datos de empleo cultural elaborados por el Consejo Nacional de la Cultura y las Artes (CNCA), a partir de datos ofrecidos por la Asociación Chilena de Seguridad (ACHS), el Instituto de Seguridad del Trabajo (IST), la Mutual de Seguridad de la Cámara Chilena de la Construcción (CCHC) y el Instituto de Seguridad Laboral (ISL).</t>
  </si>
  <si>
    <t>TABLA 24.2: IMPORTACIÓN Y EXPORTACIÓN SEGÚN DOMINIO, SUBDOMINIO CULTURAL (MONTO EXPORTACIONES EN US$ FOB E IMPORTACIONES EN US$). 2013- 2014</t>
  </si>
  <si>
    <t>Dólar observado 30 dic 2014: 607,38. Valor utilizado para el cálculo de exportaciones e importaciones de 2014, en pesos corrientes.</t>
  </si>
  <si>
    <t>Dólar observado 30 dic 2013: 523,76. Valor utilizado para el cálculo de exportaciones e importaciones de 2013, en pesos corrientes.</t>
  </si>
  <si>
    <t>Dic 2013: 5,67. Valor utilizado para ajustes de pesos corrientes 2013 a pesos 2014, para exportaciones e importaciones del año 2013.</t>
  </si>
  <si>
    <t xml:space="preserve">TABLA 24.10: EXPORTACIÓN DE BIENES Y PRODUCTOS CULTURALES, POR REGIÓN DE ORIGEN, SEGÚN DOMINIO, SUBDOMINIO CULTURAL (MONTO EN US$ FOB ). 2014 </t>
  </si>
  <si>
    <t>TABLA 24.11: EXPORTACIÓN DE BIENES Y PRODUCTOS CULTURALES, POR REGIÓN DE ORIGEN, SEGÚN DOMINIO, SUBDOMINIO Y TIPO DE PRODUCTO CULTURAL (MONTO EN US$ FOB ). 2014</t>
  </si>
  <si>
    <t>TABLA 24.12: EXPORTACIÓN DE SERVICIOS CULTURALES, SEGÚN DOMINIO Y SUBDOMINIO CULTURAL  (MONTO EN US$ FOB ).  2009 - 2014</t>
  </si>
  <si>
    <t>dólar observado 30 dic 2009: 506</t>
  </si>
  <si>
    <t>dólar observado 30 dic 2010: 468</t>
  </si>
  <si>
    <t>dólar observado 30 dic 2011: 521</t>
  </si>
  <si>
    <t>dólar observado 30 dic 2012: 479</t>
  </si>
  <si>
    <t>dólar observado 30 dic 2013: 524</t>
  </si>
  <si>
    <t>dólar observado 30 dic 2014: 607</t>
  </si>
  <si>
    <t>Dic 2009: 17,3</t>
  </si>
  <si>
    <t>Dic 2010: 14,4</t>
  </si>
  <si>
    <t>Dic 2011: 10,1</t>
  </si>
  <si>
    <t>Dic 2012: 7,8</t>
  </si>
  <si>
    <t>Dic 2013: 5,3</t>
  </si>
  <si>
    <t xml:space="preserve">TABLA 24.17: EXPORTACION DE SERVICIOS CULTURALES POR REGIÓN DE ORIGEN, SEGÚN DOMINIO Y SUBDOMINIO CULTURAL (MONTO EN US$ FOB ). 2014 </t>
  </si>
  <si>
    <t>Venta ilícita de obras protegidas. Art. 80 B Ley 17.336</t>
  </si>
  <si>
    <t>Falsificación de obras protegidas</t>
  </si>
  <si>
    <t>TABLA 26.14: CANTIDAD DE DENUNCIAS DE LA PDI POR EL DELITO DE LA LEY DE PROPIEDAD INTELECTUAL Y LEY DE TRAFICO ILICITO DE BIENES CULTURALES DESGLOSADOS POR REGION POLICIAL. 2014</t>
  </si>
  <si>
    <t>Venta ilicita de obras protegidas por Ley de Propiedad Intelectual Art. 81 b Ley Nº 17.336</t>
  </si>
  <si>
    <t>Utilización sin autorización de obras de dominio ajeno por Ley de Propiedad Intelectual Art 79 a Ley Nº 17.336</t>
  </si>
  <si>
    <t>Daños o apropiación sobre monumentos nacionales (Art. 38-38 bis Ley 17.288)</t>
  </si>
  <si>
    <t>Inducir, permitir, facilitar u ocultar una infracción de los derechos de autor o conexos Art. 81 TER Ley Nº17.336</t>
  </si>
  <si>
    <t>Falsificación de obras protegidas por la Ley de Propiedad Intelectual Art. 79 bis. Ley Nº 17.336</t>
  </si>
  <si>
    <t>Venta ilicita de obras protegidas por la Ley de Propiedad Intelectual Art. 81 b Ley Nº 17.336</t>
  </si>
  <si>
    <t>Venta ilícita de obras protegidas por la Ley de Propiedad Intelectual Art. 81 b Ley Nº 17.336</t>
  </si>
  <si>
    <t>Falsificación de obras protegidas por la Ley de Propiedad Intelectual Art. 79 bis. LEY Nº 17.336</t>
  </si>
  <si>
    <t>Venta ilícita de obras protegidas por Ley de Propiedad Intelectual</t>
  </si>
  <si>
    <t>Utilización sin autorización de obras de dominio ajeno por Ley de Propiedad Intelectual</t>
  </si>
  <si>
    <t>Falsificación de obras protegidas por Ley de Propiedad Intelectual Art. 79 bis. Ley Nº 17.336</t>
  </si>
  <si>
    <t>Otros delitos contra la Ley de Propiedad Intelectual Art. 81 b Ley Nº 17.336</t>
  </si>
  <si>
    <t>Venta ilícita de obras protegidas por Ley de Propiedad Intelectual Art. 81 b Ley Nº 17.336</t>
  </si>
  <si>
    <t>Falsificación de obras protegidas por Ley de Propiedad Intelectual artículo 79 bis. Ley Nº 17.336</t>
  </si>
  <si>
    <t>Utilización de obras en el extranjero</t>
  </si>
  <si>
    <t>TABLA 14.2: NÚMERO Y PORCENTAJE DE AUTORES ASOCIADOS A LA SOCIEDAD CHILENA DEL DERECHO DE AUTOR (SCD), POR SEXO, SEGÚN REGIÓN. 2014</t>
  </si>
  <si>
    <t>TABLA 19.11: NÚMERO DE INSCRIPCIONES EN EL REGISTRO PÚBLICO DE TIERRAS INDÍGENAS EMITIDOS, POR SEXO, SEGÚN REGISTRO PÚBLICO Y REGIÓN. 2009-2014</t>
  </si>
  <si>
    <t>TABLA 26.1: NÚMERO DE DENUNCIAS SIN APREHENDIDOS Y DENUNCIAS CON APREHENDIDOS, Y NÚMERO DE APREHENDIDOS, POR "OTROS DELITOS CONTRA LA LEY DE PROPIEDAD INTELECTUAL", SEGÚN REGIÓN. 2014</t>
  </si>
  <si>
    <t>TABLA 22.4: NÚMERO DE PROYECTOS POSTULADOS Y SELECCIONADOS Y RECURSOS ASIGNADOS POR TIPO DE PERSONALIDAD, SEGÚN FONDO Y AÑO. 2009-2014</t>
  </si>
  <si>
    <t>TABLA 22.5: NÚMERO DE PROYECTOS POSTULADOS Y SELECCIONADOS Y RECURSOS ASIGNADOS POR SEXO, SEGÚN FONDO Y AÑO. 2009-2014</t>
  </si>
  <si>
    <t>TABLA 14.7: NÚMERO DE ASOCIADOS EN LA ASOCIACIÓN GREMIAL DE PRODUCTORES FONOGRÁFICOS DE CHILE (IFPI) POR AÑO. 2011-2014</t>
  </si>
  <si>
    <r>
      <t>TABLA 25.3: PRESUPUESTO PÚBLICO DESTINADO A CULTURA Y TIEMPO LIBRE, SEGÚN INSTITUCIONES CON PROGRAMAS CULTURALES. 2014</t>
    </r>
    <r>
      <rPr>
        <b/>
        <vertAlign val="superscript"/>
        <sz val="9"/>
        <rFont val="Verdana"/>
        <family val="2"/>
      </rPr>
      <t>/1</t>
    </r>
  </si>
  <si>
    <r>
      <t>TABLA 25.2: PRESUPUESTO PÚBLICO DESTINADO A CULTURA Y TIEMPO LIBRE, SEGÚN INSTITUCIONES AFINES A LA CULTURA. 2014</t>
    </r>
    <r>
      <rPr>
        <b/>
        <vertAlign val="superscript"/>
        <sz val="9"/>
        <rFont val="Verdana"/>
        <family val="2"/>
      </rPr>
      <t>/1</t>
    </r>
  </si>
  <si>
    <r>
      <t>TABLA 25.1: PRESUPUESTO PÚBLICO DESTINADO A CULTURA Y TIEMPO LIBRE, SEGÚN INSTITUCIONES CULTURALES. 2014</t>
    </r>
    <r>
      <rPr>
        <b/>
        <vertAlign val="superscript"/>
        <sz val="9"/>
        <rFont val="Verdana"/>
        <family val="2"/>
      </rPr>
      <t>/1</t>
    </r>
  </si>
  <si>
    <r>
      <t xml:space="preserve">TABLA 24.15: DETALLE DE EXPORTACIONES DE SERVICIOS CULTURALES SEGÚN DOMINIO Y SUBDOMINIO CULTURAL (MONTO EN US$ FOB ). 2014 </t>
    </r>
    <r>
      <rPr>
        <b/>
        <vertAlign val="superscript"/>
        <sz val="9"/>
        <rFont val="Verdana"/>
        <family val="2"/>
      </rPr>
      <t xml:space="preserve">/1  </t>
    </r>
  </si>
  <si>
    <r>
      <t>TABLA 24.7: IMPORTACIÓN Y EXPORTACIÓN DE "INSUMOS PARA LA CREACIÓN", SEGÚN DOMINIO, SUBDOMINIO CULTURAL Y TIPO DE PRODUCTO</t>
    </r>
    <r>
      <rPr>
        <b/>
        <vertAlign val="superscript"/>
        <sz val="9"/>
        <rFont val="Verdana"/>
        <family val="2"/>
      </rPr>
      <t xml:space="preserve"> </t>
    </r>
    <r>
      <rPr>
        <b/>
        <sz val="9"/>
        <rFont val="Verdana"/>
        <family val="2"/>
      </rPr>
      <t xml:space="preserve">(MONTO EXPORTACIONES EN US$ FOB E IMPORTACIONES EN US$ CIF). 2014 </t>
    </r>
    <r>
      <rPr>
        <b/>
        <vertAlign val="superscript"/>
        <sz val="9"/>
        <rFont val="Verdana"/>
        <family val="2"/>
      </rPr>
      <t>/1</t>
    </r>
  </si>
  <si>
    <r>
      <t xml:space="preserve">TABLA 24.1: COMERCIO EXTERIOR DE BIENES Y SERVICIOS CULTURALES Y CREATIVOS, SEGÚN DOMINIO CULTURAL. 2014 </t>
    </r>
    <r>
      <rPr>
        <b/>
        <vertAlign val="superscript"/>
        <sz val="9"/>
        <rFont val="Verdana"/>
        <family val="2"/>
      </rPr>
      <t>/1</t>
    </r>
  </si>
  <si>
    <r>
      <t xml:space="preserve">TABLA 23.6: NÚMERO DE EMPRESAS, NÚMERO DE TRABAJADORES Y PROMEDIO DE REMUNERACIONES EN EMPRESAS CREATIVAS, SEGÚN REGIÓN. 2013 </t>
    </r>
    <r>
      <rPr>
        <b/>
        <vertAlign val="superscript"/>
        <sz val="9"/>
        <rFont val="Verdana"/>
        <family val="2"/>
      </rPr>
      <t>/1</t>
    </r>
  </si>
  <si>
    <r>
      <t>TABLA 23.5: NÚMERO DE EMPRESAS, TRABAJADORES, TRABAJADORES PROMEDIO Y REMUNERACIONES PROMEDIO PARA EMPRESAS CREATIVAS ASOCIADO A MUTUALES DE SEGURIDAD, SEGÚN DOMINIO Y SUBDOMINIO CULTURAL. 2013</t>
    </r>
    <r>
      <rPr>
        <b/>
        <vertAlign val="superscript"/>
        <sz val="9"/>
        <rFont val="Verdana"/>
        <family val="2"/>
      </rPr>
      <t>/1</t>
    </r>
  </si>
  <si>
    <r>
      <t>TABLA 22.3: NÚMERO DE PROYECTOS Y MONTOS ADJUDICADOS DEL FONDO NACIONAL DE DESARROLLO CULTURAL Y LAS ARTES (FONDART) PARA CONCURSO REGIONAL, SEGÚN REGIÓN DEL FONDO ENTREGADO. 2014</t>
    </r>
    <r>
      <rPr>
        <b/>
        <vertAlign val="superscript"/>
        <sz val="9"/>
        <rFont val="Verdana"/>
        <family val="2"/>
      </rPr>
      <t>/a/b</t>
    </r>
  </si>
  <si>
    <r>
      <t>TABLA 21.4: INSCRIPCIÓN DE DERECHOS DE AUTOR, DERECHOS CONEXOS Y SEUDÓNIMOS, SEGÚN ORIGEN DE LA SOLICITUD, REGIÓN Y NACIONALIDAD (NACIONAL Y EXTRANJERA). 2009-2014</t>
    </r>
    <r>
      <rPr>
        <b/>
        <vertAlign val="superscript"/>
        <sz val="9"/>
        <rFont val="Verdana"/>
        <family val="2"/>
      </rPr>
      <t>/1</t>
    </r>
  </si>
  <si>
    <r>
      <t>TABLA 21.3: NÚMERO DE INSCRIPCIONES EN MATERIA DE DERECHOS DE AUTOR A NIVEL NACIONAL REGISTRADOS EN EL DEPARTAMENTO DE DERECHOS INTELECTUALES (DDI) DE LA DIRECCIÓN DE BIBLIOTECAS, ARCHIVOS Y MUSEOS (DIBAM), SEGÚN SEXO Y TIPO DE SOLICITANTE. 2009-2014</t>
    </r>
    <r>
      <rPr>
        <b/>
        <vertAlign val="superscript"/>
        <sz val="9"/>
        <rFont val="Verdana"/>
        <family val="2"/>
      </rPr>
      <t>/1</t>
    </r>
  </si>
  <si>
    <r>
      <t>TABLA 20.9: NÚMERO DE PERSONAS PARTICIPANTES EN PROGRAMAS DE DEPORTE MASIVO</t>
    </r>
    <r>
      <rPr>
        <b/>
        <vertAlign val="superscript"/>
        <sz val="9"/>
        <rFont val="Verdana"/>
        <family val="2"/>
      </rPr>
      <t>/1</t>
    </r>
    <r>
      <rPr>
        <b/>
        <sz val="9"/>
        <rFont val="Verdana"/>
        <family val="2"/>
      </rPr>
      <t>, SEGÚN TIPO DE COMPETENCIAS. 2011-2014</t>
    </r>
  </si>
  <si>
    <r>
      <t>TABLA 20.8: NÚMERO DE COMPETENCIAS, SEGÚN PROGRAMA DE DEPORTE MASIVO</t>
    </r>
    <r>
      <rPr>
        <b/>
        <vertAlign val="superscript"/>
        <sz val="9"/>
        <rFont val="Verdana"/>
        <family val="2"/>
      </rPr>
      <t>/1</t>
    </r>
    <r>
      <rPr>
        <b/>
        <sz val="9"/>
        <rFont val="Verdana"/>
        <family val="2"/>
      </rPr>
      <t>. 2012-2014</t>
    </r>
  </si>
  <si>
    <r>
      <t>TABLA 18.1: NÚMERO DE EMPRESAS PROVEEDORAS DE CONEXIÓN A INTERNET POR MODALIDAD, SEGÚN REGIÓN. 2010-2014</t>
    </r>
    <r>
      <rPr>
        <b/>
        <vertAlign val="superscript"/>
        <sz val="9"/>
        <rFont val="Verdana"/>
        <family val="2"/>
      </rPr>
      <t>/1</t>
    </r>
  </si>
  <si>
    <r>
      <t>TABLA 17.7: NÚMERO DE CARRERAS CREATIVAS IMPARTIDAS EN INSTITUCIONES DE EDUCACIÓN SUPERIOR POR GRADO, SEGÚN DOMINIO Y SUBDOMINO CULTURAL. 2014</t>
    </r>
    <r>
      <rPr>
        <b/>
        <vertAlign val="superscript"/>
        <sz val="9"/>
        <rFont val="Verdana"/>
        <family val="2"/>
      </rPr>
      <t>/1</t>
    </r>
  </si>
  <si>
    <r>
      <t>TABLA 17.6: NÚMERO DE CARRERAS IMPARTIDAS Y NÚMERO DE MATRICULADOS EN INSTITUCIONES DE EDUCACIÓN SUPERIOR POR REGIÓN, SEGÚN DOMINIO Y SUBDOMINO CULTURAL. 2014</t>
    </r>
    <r>
      <rPr>
        <b/>
        <vertAlign val="superscript"/>
        <sz val="9"/>
        <rFont val="Verdana"/>
        <family val="2"/>
      </rPr>
      <t>/1</t>
    </r>
  </si>
  <si>
    <r>
      <t>TABLA 17.5: NÚMERO DE MATRÍCULA EN INSTITUCIONES DE EDUCACIÓN SUPERIOR, POR SEXO, SEGÚN DOMINIO Y SUBDOMINIO CULTURAL. 2014</t>
    </r>
    <r>
      <rPr>
        <b/>
        <vertAlign val="superscript"/>
        <sz val="9"/>
        <rFont val="Verdana"/>
        <family val="2"/>
      </rPr>
      <t>/1</t>
    </r>
  </si>
  <si>
    <r>
      <t>TABLA 17.4: NÚMERO DE CARRERAS IMPARTIDAS POR CENTROS DE EDUCACIÓN SUPERIOR POR TIPO DE CARRERA, SEGÚN DOMINIO Y SUBDOMINIO CULTURAL. 2014</t>
    </r>
    <r>
      <rPr>
        <b/>
        <vertAlign val="superscript"/>
        <sz val="9"/>
        <color theme="1"/>
        <rFont val="Verdana"/>
        <family val="2"/>
      </rPr>
      <t>/1</t>
    </r>
  </si>
  <si>
    <r>
      <t>TABLA 16.45: NÚMERO DE ESPECTADORES ANUALES POR MES, SEGÚN REGIÓN. 2014</t>
    </r>
    <r>
      <rPr>
        <b/>
        <vertAlign val="superscript"/>
        <sz val="9"/>
        <rFont val="Verdana"/>
        <family val="2"/>
      </rPr>
      <t>/1</t>
    </r>
  </si>
  <si>
    <r>
      <t>TABLA 16.44: NÚMERO DE ESPECTADORES POR CALIFICACIÓN CINEMATOGRÁFICA DE LA PELÍCULA, SEGÚN REGIÓN. 2014</t>
    </r>
    <r>
      <rPr>
        <b/>
        <vertAlign val="superscript"/>
        <sz val="9"/>
        <rFont val="Verdana"/>
        <family val="2"/>
      </rPr>
      <t>/1</t>
    </r>
  </si>
  <si>
    <r>
      <t>TABLA 16.43: NÚMERO DE ESPECTADORES POR ORIGEN DE LA PELÍCULA, SEGÚN REGIÓN. 2014</t>
    </r>
    <r>
      <rPr>
        <b/>
        <vertAlign val="superscript"/>
        <sz val="9"/>
        <rFont val="Verdana"/>
        <family val="2"/>
      </rPr>
      <t>/1</t>
    </r>
  </si>
  <si>
    <r>
      <t>TABLA 16.42: NÚMERO DE ESPECTADORES, POR ORIGEN DE LA PELÍCULA. 2009-2014</t>
    </r>
    <r>
      <rPr>
        <b/>
        <vertAlign val="superscript"/>
        <sz val="9"/>
        <rFont val="Verdana"/>
        <family val="2"/>
      </rPr>
      <t>/1</t>
    </r>
  </si>
  <si>
    <r>
      <t>TABLA 16.41: NÚMERO DE SALAS DE EXHIBICIÓN Y CAPACIDAD, SEGÚN REGIÓN. 2014</t>
    </r>
    <r>
      <rPr>
        <b/>
        <vertAlign val="superscript"/>
        <sz val="9"/>
        <rFont val="Verdana"/>
        <family val="2"/>
      </rPr>
      <t>/1</t>
    </r>
  </si>
  <si>
    <r>
      <t>TABLA 16.29: RECAUDACIÓN Y DISTRIBUCIÓN DE DERECHOS DE COMUNICACIÓN PÚBLICA DE PRODUCCIONES NACIONALES Y EXTRANJERAS, SEGÚN MEDIO DE EMISIÓN.</t>
    </r>
    <r>
      <rPr>
        <b/>
        <vertAlign val="superscript"/>
        <sz val="9"/>
        <rFont val="Verdana"/>
        <family val="2"/>
      </rPr>
      <t>/1</t>
    </r>
    <r>
      <rPr>
        <b/>
        <sz val="9"/>
        <rFont val="Verdana"/>
        <family val="2"/>
      </rPr>
      <t xml:space="preserve"> 2009-2014</t>
    </r>
  </si>
  <si>
    <r>
      <t>TABLA 16.26: NÚMERO DE EXPLOTACIONES DE PRODUCCIONES NACIONALES Y EXTRANJERAS DE LA CORPORACIÓN DE ACTORES DE CHILE (CHILEACTORES), SEGÚN TIPO DE PRODUCCIÓN. 2009-2014</t>
    </r>
    <r>
      <rPr>
        <b/>
        <vertAlign val="superscript"/>
        <sz val="9"/>
        <rFont val="Verdana"/>
        <family val="2"/>
      </rPr>
      <t>/1</t>
    </r>
  </si>
  <si>
    <r>
      <t>TABLA 16.25: HORAS DE EMISIÓN DE PROGRAMACIÓN CULTURAL</t>
    </r>
    <r>
      <rPr>
        <b/>
        <vertAlign val="superscript"/>
        <sz val="9"/>
        <rFont val="Verdana"/>
        <family val="2"/>
      </rPr>
      <t>/1</t>
    </r>
    <r>
      <rPr>
        <b/>
        <sz val="9"/>
        <rFont val="Verdana"/>
        <family val="2"/>
      </rPr>
      <t xml:space="preserve"> EN TELEVISIÓN ABIERTA, SEGÚN GÉNERO TELEVISIVO. 2010-2014</t>
    </r>
  </si>
  <si>
    <r>
      <t>TABLA 16.17: NÚMERO DE CANALES DE TELEVISIÓN ABIERTA, SEGÚN COBERTURA. 2014</t>
    </r>
    <r>
      <rPr>
        <b/>
        <vertAlign val="superscript"/>
        <sz val="9"/>
        <rFont val="Verdana"/>
        <family val="2"/>
      </rPr>
      <t>/1</t>
    </r>
  </si>
  <si>
    <r>
      <t>TABLA 16.11: NÚMERO DE RADIOEMISORAS POR BANDA DE TRANSMISIÓN, SEGÚN GRUPO DE EDAD DEL PÚBLICO AL QUE LE ASIGNAN PRIMERA PRIORIDAD. 2014</t>
    </r>
    <r>
      <rPr>
        <b/>
        <vertAlign val="superscript"/>
        <sz val="9"/>
        <rFont val="Verdana"/>
        <family val="2"/>
      </rPr>
      <t>/1</t>
    </r>
  </si>
  <si>
    <r>
      <t>TABLA 15.38: PRÉSTAMOS DE MATERIAL BIBLIOGRÁFICO EN FORMATO DIGITAL. 2014</t>
    </r>
    <r>
      <rPr>
        <b/>
        <vertAlign val="superscript"/>
        <sz val="9"/>
        <rFont val="Verdana"/>
        <family val="2"/>
      </rPr>
      <t>/1</t>
    </r>
  </si>
  <si>
    <r>
      <t>TABLA 15.37: PRÉSTAMOS DE MATERIAL BIBLIOGRÁFICO DE BIBLIOTECAS PÚBLICAS DE LA DIRECCIÓN DE BIBLIOTECAS, ARCHIVOS Y MUSEOS (DIBAM) A DOMICILIO, SEGÚN MES. 2009-2014</t>
    </r>
    <r>
      <rPr>
        <b/>
        <vertAlign val="superscript"/>
        <sz val="9"/>
        <rFont val="Verdana"/>
        <family val="2"/>
      </rPr>
      <t>/1</t>
    </r>
  </si>
  <si>
    <r>
      <t>TABLA 15.36: PRÉSTAMOS DE MATERIAL BIBLIOGRÁFICO DE BIBLIOTECAS PÚBLICAS DE LA DIRECCIÓN DE BIBLIOTECAS, ARCHIVOS Y MUSEOS (DIBAM)A DOMICILIO, SEGÚN REGIÓN. 2009-2014</t>
    </r>
    <r>
      <rPr>
        <b/>
        <vertAlign val="superscript"/>
        <sz val="9"/>
        <rFont val="Verdana"/>
        <family val="2"/>
      </rPr>
      <t>/1</t>
    </r>
  </si>
  <si>
    <r>
      <t>TABLA 15.32: NÚMERO DE CONSULTAS POR INTERNET A SITIOS WEB DE LA DIRECCIÓN DE BIBLIOTECAS, ARCHIVOS Y MUSEOS (DIBAM). 2009-2014</t>
    </r>
    <r>
      <rPr>
        <b/>
        <vertAlign val="superscript"/>
        <sz val="9"/>
        <rFont val="Verdana"/>
        <family val="2"/>
      </rPr>
      <t>/1</t>
    </r>
  </si>
  <si>
    <r>
      <t>TABLA 15.31: NÚMERO DE VISITAS A PORTALES DE BIBLIOREDES. 2009-2014</t>
    </r>
    <r>
      <rPr>
        <b/>
        <vertAlign val="superscript"/>
        <sz val="9"/>
        <rFont val="Verdana"/>
        <family val="2"/>
      </rPr>
      <t>/1</t>
    </r>
  </si>
  <si>
    <r>
      <t xml:space="preserve">TABLA 15.30: NÚMERO DE SESIONES DE ACCESO GRATUITO A INTERNET EN LAS BIBLIOTECAS PÚBLICAS DE LA DIRECCIÓN DE BIBLIOTECAS, ARCHIVOS Y MUSEOS (DIBAM). 2009-2014 </t>
    </r>
    <r>
      <rPr>
        <b/>
        <vertAlign val="superscript"/>
        <sz val="9"/>
        <rFont val="Verdana"/>
        <family val="2"/>
      </rPr>
      <t>/1</t>
    </r>
  </si>
  <si>
    <r>
      <t>TABLA 15.28: NÚMERO D</t>
    </r>
    <r>
      <rPr>
        <b/>
        <sz val="9"/>
        <color theme="1"/>
        <rFont val="Verdana"/>
        <family val="2"/>
      </rPr>
      <t>E OBJETOS</t>
    </r>
    <r>
      <rPr>
        <b/>
        <sz val="9"/>
        <color rgb="FF0000FF"/>
        <rFont val="Verdana"/>
        <family val="2"/>
      </rPr>
      <t xml:space="preserve"> </t>
    </r>
    <r>
      <rPr>
        <b/>
        <sz val="9"/>
        <rFont val="Verdana"/>
        <family val="2"/>
      </rPr>
      <t>DIGITALES EN PLATAFORMA DESCUBRE. 2014</t>
    </r>
    <r>
      <rPr>
        <b/>
        <vertAlign val="superscript"/>
        <sz val="9"/>
        <rFont val="Verdana"/>
        <family val="2"/>
      </rPr>
      <t>/1</t>
    </r>
  </si>
  <si>
    <r>
      <t xml:space="preserve">TABLA 15.20: NÚMERO DE TITULOS REGISTRADOS EN EL INTERNATIONAL STANDARD BOOK NUMBER (ISBN) POR UNIVERSIDADES CHILENAS. 2009-2014 </t>
    </r>
    <r>
      <rPr>
        <b/>
        <vertAlign val="superscript"/>
        <sz val="9"/>
        <rFont val="Verdana"/>
        <family val="2"/>
      </rPr>
      <t>/1</t>
    </r>
  </si>
  <si>
    <r>
      <t>TABLA 15.15: NÚMERO DE TÍTULOS AUTOEDITADOS REGISTRADOS EN EL INTERNATIONAL STANDARD BOOK NUMBER (ISBN). 1993-2014</t>
    </r>
    <r>
      <rPr>
        <b/>
        <vertAlign val="superscript"/>
        <sz val="9"/>
        <rFont val="Verdana"/>
        <family val="2"/>
      </rPr>
      <t>/1</t>
    </r>
  </si>
  <si>
    <r>
      <t xml:space="preserve">TABLA 15.8: NÚMERO DE PROYECTOS Y MONTOS ADJUDICADOS POR FONDO DEL LIBRO, SEGÚN LÍNEA Y REGIÓN DE DOMICILIO DEL PARTICIPANTE. 2014 </t>
    </r>
    <r>
      <rPr>
        <b/>
        <vertAlign val="superscript"/>
        <sz val="9"/>
        <rFont val="Verdana"/>
        <family val="2"/>
      </rPr>
      <t>/1/2</t>
    </r>
  </si>
  <si>
    <r>
      <t>TABLA 15.5: NÚMERO DE ESTABLECIMIENTOS EDUCACIONALES Y DE ALUMNOS DE EDUCACIÓN MEDIA BENEFICIADOS POR BIBLIOTECAS CRA</t>
    </r>
    <r>
      <rPr>
        <b/>
        <vertAlign val="superscript"/>
        <sz val="9"/>
        <rFont val="Verdana"/>
        <family val="2"/>
      </rPr>
      <t>/1</t>
    </r>
    <r>
      <rPr>
        <b/>
        <sz val="9"/>
        <rFont val="Verdana"/>
        <family val="2"/>
      </rPr>
      <t>, POR MODALIDAD DEL ESTABLECIMIENTO, SEGÚN REGIÓN. 2014</t>
    </r>
  </si>
  <si>
    <r>
      <t>TABLA 15.4: NÚMERO DE ESTABLECIMIENTOS EDUCACIONALES Y ALUMNOS BENEFICIADOS CON BIBLIOTECAS CRA</t>
    </r>
    <r>
      <rPr>
        <b/>
        <vertAlign val="superscript"/>
        <sz val="9"/>
        <rFont val="Verdana"/>
        <family val="2"/>
      </rPr>
      <t>/1</t>
    </r>
    <r>
      <rPr>
        <b/>
        <sz val="9"/>
        <rFont val="Verdana"/>
        <family val="2"/>
      </rPr>
      <t xml:space="preserve"> POR ENSEÑANZA BÁSICA, SEGÚN REGIÓN. 2014</t>
    </r>
  </si>
  <si>
    <r>
      <t>TABLA 15.3: CANTIDAD DE ESTABLECIMIENTOS EDUCACIONALES CON BIBLIOTECAS CRA</t>
    </r>
    <r>
      <rPr>
        <b/>
        <vertAlign val="superscript"/>
        <sz val="9"/>
        <color theme="1"/>
        <rFont val="Verdana"/>
        <family val="2"/>
      </rPr>
      <t>/1</t>
    </r>
    <r>
      <rPr>
        <b/>
        <sz val="9"/>
        <color theme="1"/>
        <rFont val="Verdana"/>
        <family val="2"/>
      </rPr>
      <t xml:space="preserve"> POR NIVEL EDUCACIONAL, SEGÚN REGIONES. 2014</t>
    </r>
    <r>
      <rPr>
        <b/>
        <vertAlign val="superscript"/>
        <sz val="9"/>
        <color theme="1"/>
        <rFont val="Verdana"/>
        <family val="2"/>
      </rPr>
      <t>/2</t>
    </r>
    <r>
      <rPr>
        <b/>
        <sz val="9"/>
        <color theme="1"/>
        <rFont val="Verdana"/>
        <family val="2"/>
      </rPr>
      <t xml:space="preserve"> </t>
    </r>
  </si>
  <si>
    <r>
      <t>TABLA 15.2: EVOLUCIÓN DE LA COBERTURA DE LAS BIBLIOTECAS CRA</t>
    </r>
    <r>
      <rPr>
        <b/>
        <vertAlign val="superscript"/>
        <sz val="9"/>
        <color theme="1"/>
        <rFont val="Verdana"/>
        <family val="2"/>
      </rPr>
      <t>/1</t>
    </r>
    <r>
      <rPr>
        <b/>
        <sz val="9"/>
        <color theme="1"/>
        <rFont val="Verdana"/>
        <family val="2"/>
      </rPr>
      <t xml:space="preserve"> POR ENSEÑANZA BÁSICA (REGULAR). 2002-2014</t>
    </r>
  </si>
  <si>
    <r>
      <t>TABLA 15.1: EVOLUCIÓN DE LA COBERTURA DE LAS BIBLIOTECAS CRA</t>
    </r>
    <r>
      <rPr>
        <b/>
        <vertAlign val="superscript"/>
        <sz val="9"/>
        <color theme="1"/>
        <rFont val="Verdana"/>
        <family val="2"/>
      </rPr>
      <t>/1</t>
    </r>
    <r>
      <rPr>
        <b/>
        <sz val="9"/>
        <color theme="1"/>
        <rFont val="Verdana"/>
        <family val="2"/>
      </rPr>
      <t xml:space="preserve"> POR ENSEÑANZA MEDIA (REGULAR). 1994-2014 </t>
    </r>
    <r>
      <rPr>
        <b/>
        <vertAlign val="superscript"/>
        <sz val="9"/>
        <color theme="1"/>
        <rFont val="Verdana"/>
        <family val="2"/>
      </rPr>
      <t>/2</t>
    </r>
  </si>
  <si>
    <r>
      <t>TABLA 14.35: CANTIDAD DE DISCOS MUSICALES MÁS DESCARGADOS DESDE EL SITIO WEB PORTALDISC. 2014</t>
    </r>
    <r>
      <rPr>
        <b/>
        <vertAlign val="superscript"/>
        <sz val="9"/>
        <color theme="1"/>
        <rFont val="Verdana"/>
        <family val="2"/>
      </rPr>
      <t>/1</t>
    </r>
  </si>
  <si>
    <r>
      <t>TABLA 14.34: LISTADO DE LOS DIEZ ARTISTAS MUSICALES MÁS DESCARGADOS DESDE EL SITIO WEB PORTALDISC. 2014</t>
    </r>
    <r>
      <rPr>
        <b/>
        <vertAlign val="superscript"/>
        <sz val="9"/>
        <color theme="1"/>
        <rFont val="Verdana"/>
        <family val="2"/>
      </rPr>
      <t>/1</t>
    </r>
  </si>
  <si>
    <r>
      <t xml:space="preserve">TABLA 14.33: NÚMERO DE DISCOS MUSICALES REGISTRADOS EN EL SITIO WEB PORTALDISC POR MODALIDAD DE DESCARGA, SEGÚN GENERO. 2014 </t>
    </r>
    <r>
      <rPr>
        <b/>
        <vertAlign val="superscript"/>
        <sz val="9"/>
        <rFont val="Verdana"/>
        <family val="2"/>
      </rPr>
      <t>/1</t>
    </r>
  </si>
  <si>
    <r>
      <t>TABLA 14.32: CANTIDAD DE DISCOS MUSICALES DESCARGADOS DESDE EL SITIO WEB PORTALDISC, SEGÚN REGIÓN. 2009-2014</t>
    </r>
    <r>
      <rPr>
        <b/>
        <vertAlign val="superscript"/>
        <sz val="9"/>
        <color theme="1"/>
        <rFont val="Verdana"/>
        <family val="2"/>
      </rPr>
      <t>/1</t>
    </r>
  </si>
  <si>
    <r>
      <t>TABLA 14.24: NÚMERO DE ESPECTÁCULOS EMPADRONADOS POR LA SOCIEDAD CHILENA DEL DERECHO DE AUTOR (SCD), SEGÚN MODALIDAD DE ACCESO. 2014</t>
    </r>
    <r>
      <rPr>
        <b/>
        <vertAlign val="superscript"/>
        <sz val="9"/>
        <rFont val="Verdana"/>
        <family val="2"/>
      </rPr>
      <t>/1</t>
    </r>
  </si>
  <si>
    <r>
      <t>TABLA 14.21: NÚMERO DE USUARIOS SEGÚN TIPO DE ESTABLECIMIENTO. 2014</t>
    </r>
    <r>
      <rPr>
        <b/>
        <vertAlign val="superscript"/>
        <sz val="9"/>
        <rFont val="Verdana"/>
        <family val="2"/>
      </rPr>
      <t>/1</t>
    </r>
  </si>
  <si>
    <r>
      <t>TABLA 11.5: NÓMINA DE PRODUCTOS ARTESANALES CON SELLO DE EXCELENCIA DEL CONSEJO NACIONAL DE LA CULTURA Y LAS ARTES (CNCA) Y CON RECONOCIMIENTO UNESCO POR DISCIPLINA, REGIÓN Y COMUNA. 2014</t>
    </r>
    <r>
      <rPr>
        <b/>
        <vertAlign val="superscript"/>
        <sz val="9"/>
        <rFont val="Verdana"/>
        <family val="2"/>
      </rPr>
      <t>/1</t>
    </r>
  </si>
  <si>
    <r>
      <t>TABLA 11.4: DISTRIBUCIÓN REGIONAL DE OBJETOS DE ARTESANÍA CON SELLO DE EXCELENCIA DEL CONSEJO NACIONAL DE LA CULTURA Y LAS ARTES (CNCA) Y RECONOCIMIENTO UNESCO. 2008-2014</t>
    </r>
    <r>
      <rPr>
        <b/>
        <vertAlign val="superscript"/>
        <sz val="9"/>
        <rFont val="Verdana"/>
        <family val="2"/>
      </rPr>
      <t>/1</t>
    </r>
  </si>
  <si>
    <r>
      <t>TABLA 10.50: RECURSOS CULTURALES SEGÚN LAS ÁREAS SILVESTRES PROTEGIDAS (ASP). 2014</t>
    </r>
    <r>
      <rPr>
        <b/>
        <vertAlign val="superscript"/>
        <sz val="9"/>
        <rFont val="Verdana"/>
        <family val="2"/>
      </rPr>
      <t>/1</t>
    </r>
  </si>
  <si>
    <r>
      <t>TABLA 10.49: ESPECIES PRIORITARIAS EN FAUNA, SUJETAS AL PLAN NACIONAL DE CONSERVACIÓN (PNC) POR AÑO DE ELABORACIÓN Y ESTADO DE CONSERVACIÓN, SEGÚN REGIÓN DE SECRETARÍA TÉCNICA. 2014</t>
    </r>
    <r>
      <rPr>
        <b/>
        <vertAlign val="superscript"/>
        <sz val="9"/>
        <rFont val="Verdana"/>
        <family val="2"/>
      </rPr>
      <t>/1</t>
    </r>
  </si>
  <si>
    <r>
      <t>TABLA 10.48: ESPECIES PRIORITARIAS EN FLORA, SUJETAS AL PLAN NACIONAL DE CONSERVACIÓN (PNC) POR AÑO DE ELABORACIÓN Y ESTADO DE CONSERVACIÓN, SEGÚN REGIÓN DE SECRETARÍA TÉCNICA. 2014</t>
    </r>
    <r>
      <rPr>
        <b/>
        <vertAlign val="superscript"/>
        <sz val="9"/>
        <rFont val="Verdana"/>
        <family val="2"/>
      </rPr>
      <t>/1</t>
    </r>
  </si>
  <si>
    <r>
      <t>TABLA 10.40: NÓMINA DE SANTUARIOS DE LA NATURALEZA DECLARADOS, SEGÚN REGIÓN. 2014</t>
    </r>
    <r>
      <rPr>
        <b/>
        <vertAlign val="superscript"/>
        <sz val="9"/>
        <rFont val="Verdana"/>
        <family val="2"/>
      </rPr>
      <t>/1</t>
    </r>
  </si>
  <si>
    <r>
      <t>TABLA 10.37: NÚMERO DE VISITAS EN EL DÍA DEL PATRIMONIO CULTURAL EN LA REGIÓN METROPOLITANA Y OTRAS REGIONES DEL PAÍS. 2014</t>
    </r>
    <r>
      <rPr>
        <b/>
        <vertAlign val="superscript"/>
        <sz val="9"/>
        <rFont val="Verdana"/>
        <family val="2"/>
      </rPr>
      <t>/1</t>
    </r>
  </si>
  <si>
    <r>
      <t>TABLA 10.36: NÚMERO DE INMUEBLES Y ACTIVIDADES REALIZADAS EN EL DÍA DEL PATRIMONIO CULTURAL EN EL PAÍS. 2014</t>
    </r>
    <r>
      <rPr>
        <b/>
        <vertAlign val="superscript"/>
        <sz val="9"/>
        <rFont val="Verdana"/>
        <family val="2"/>
      </rPr>
      <t>/1</t>
    </r>
  </si>
  <si>
    <r>
      <t>TABLA 10.35: ACERVOS CULTURALES REGISTRADOS EN SIGPA</t>
    </r>
    <r>
      <rPr>
        <b/>
        <vertAlign val="superscript"/>
        <sz val="9"/>
        <color theme="1"/>
        <rFont val="Verdana"/>
        <family val="2"/>
      </rPr>
      <t>/1</t>
    </r>
    <r>
      <rPr>
        <b/>
        <sz val="9"/>
        <color theme="1"/>
        <rFont val="Verdana"/>
        <family val="2"/>
      </rPr>
      <t>, SEGÚN ÁMBITO DEL PATRIMONIO CULTURAL INMATERIAL Y TIPO DE ACERVO. 2011-2014</t>
    </r>
  </si>
  <si>
    <r>
      <t>TABLA 10.34: ACERVOS CULTURALES REGISTRADOS EN SIGPA</t>
    </r>
    <r>
      <rPr>
        <b/>
        <vertAlign val="superscript"/>
        <sz val="9"/>
        <color theme="1"/>
        <rFont val="Verdana"/>
        <family val="2"/>
      </rPr>
      <t xml:space="preserve">/1 </t>
    </r>
    <r>
      <rPr>
        <b/>
        <sz val="9"/>
        <color theme="1"/>
        <rFont val="Verdana"/>
        <family val="2"/>
      </rPr>
      <t>SEGÚN REGIÓN Y TIPO DE ACERVO. 2011-2014</t>
    </r>
  </si>
  <si>
    <r>
      <t xml:space="preserve">TABLA 10.31: EXPEDIENTES DE POSTULACIÓN AL INVENTARIO DEL PATRIMONIO CULTURAL INMATERIAL EN CHILE RECIBIDOS POR EL CONSEJO NACIONAL DE LA CULTURA Y LAS ARTES (CNCA), SEGÚN ÁMBITO DE PATRIMONIO INMATERIAL Y REGIÓN. 2013-2014 </t>
    </r>
    <r>
      <rPr>
        <b/>
        <vertAlign val="superscript"/>
        <sz val="9"/>
        <color theme="1"/>
        <rFont val="Verdana"/>
        <family val="2"/>
      </rPr>
      <t>/1</t>
    </r>
  </si>
  <si>
    <r>
      <t>TABLA 10.26: MATERIAL AUDIOVISUAL GENERADO POR EL CONSEJO NACIONAL DE LA CULTURA Y LAS ARTES (CNCA) SEGÚN AÑO DE EDICIÓN, PROGRAMA O PROYECTO Y TIPO DE MATERIAL. 2010-2014</t>
    </r>
    <r>
      <rPr>
        <b/>
        <vertAlign val="superscript"/>
        <sz val="9"/>
        <color theme="1"/>
        <rFont val="Verdana"/>
        <family val="2"/>
      </rPr>
      <t xml:space="preserve">/1 </t>
    </r>
  </si>
  <si>
    <r>
      <t>Metropolitana</t>
    </r>
    <r>
      <rPr>
        <vertAlign val="superscript"/>
        <sz val="9"/>
        <rFont val="Verdana"/>
        <family val="2"/>
      </rPr>
      <t>/1</t>
    </r>
  </si>
  <si>
    <r>
      <t>Metropolitana</t>
    </r>
    <r>
      <rPr>
        <vertAlign val="superscript"/>
        <sz val="9"/>
        <rFont val="Verdana"/>
        <family val="2"/>
      </rPr>
      <t>/2</t>
    </r>
  </si>
  <si>
    <r>
      <t>Metropolitana</t>
    </r>
    <r>
      <rPr>
        <vertAlign val="superscript"/>
        <sz val="9"/>
        <rFont val="Verdana"/>
        <family val="2"/>
      </rPr>
      <t>/3</t>
    </r>
  </si>
  <si>
    <r>
      <t>Metropolitana</t>
    </r>
    <r>
      <rPr>
        <vertAlign val="superscript"/>
        <sz val="9"/>
        <rFont val="Verdana"/>
        <family val="2"/>
      </rPr>
      <t>/4</t>
    </r>
  </si>
  <si>
    <r>
      <rPr>
        <b/>
        <sz val="9"/>
        <rFont val="Verdana"/>
        <family val="2"/>
      </rPr>
      <t>1</t>
    </r>
    <r>
      <rPr>
        <sz val="9"/>
        <rFont val="Verdana"/>
        <family val="2"/>
      </rPr>
      <t xml:space="preserve"> Fiscalía Centro Norte</t>
    </r>
  </si>
  <si>
    <r>
      <rPr>
        <b/>
        <sz val="9"/>
        <rFont val="Verdana"/>
        <family val="2"/>
      </rPr>
      <t>2</t>
    </r>
    <r>
      <rPr>
        <sz val="9"/>
        <rFont val="Verdana"/>
        <family val="2"/>
      </rPr>
      <t xml:space="preserve"> Fiscalía Oriente</t>
    </r>
  </si>
  <si>
    <r>
      <rPr>
        <b/>
        <sz val="9"/>
        <rFont val="Verdana"/>
        <family val="2"/>
      </rPr>
      <t>3</t>
    </r>
    <r>
      <rPr>
        <sz val="9"/>
        <rFont val="Verdana"/>
        <family val="2"/>
      </rPr>
      <t xml:space="preserve"> Fiscalía Occidente</t>
    </r>
  </si>
  <si>
    <r>
      <rPr>
        <b/>
        <sz val="9"/>
        <rFont val="Verdana"/>
        <family val="2"/>
      </rPr>
      <t>4</t>
    </r>
    <r>
      <rPr>
        <sz val="9"/>
        <rFont val="Verdana"/>
        <family val="2"/>
      </rPr>
      <t xml:space="preserve"> Fiscalía Sur</t>
    </r>
  </si>
  <si>
    <r>
      <t>2009</t>
    </r>
    <r>
      <rPr>
        <b/>
        <vertAlign val="superscript"/>
        <sz val="9"/>
        <rFont val="Verdana"/>
        <family val="2"/>
      </rPr>
      <t>/R</t>
    </r>
  </si>
  <si>
    <r>
      <t>2010</t>
    </r>
    <r>
      <rPr>
        <b/>
        <vertAlign val="superscript"/>
        <sz val="9"/>
        <rFont val="Verdana"/>
        <family val="2"/>
      </rPr>
      <t>/R</t>
    </r>
  </si>
  <si>
    <r>
      <t>2011</t>
    </r>
    <r>
      <rPr>
        <b/>
        <vertAlign val="superscript"/>
        <sz val="9"/>
        <rFont val="Verdana"/>
        <family val="2"/>
      </rPr>
      <t>/R</t>
    </r>
  </si>
  <si>
    <r>
      <t>2012</t>
    </r>
    <r>
      <rPr>
        <b/>
        <vertAlign val="superscript"/>
        <sz val="9"/>
        <rFont val="Verdana"/>
        <family val="2"/>
      </rPr>
      <t>/R</t>
    </r>
  </si>
  <si>
    <r>
      <t>2013</t>
    </r>
    <r>
      <rPr>
        <b/>
        <vertAlign val="superscript"/>
        <sz val="9"/>
        <rFont val="Verdana"/>
        <family val="2"/>
      </rPr>
      <t>/R</t>
    </r>
  </si>
  <si>
    <r>
      <rPr>
        <b/>
        <sz val="9"/>
        <rFont val="Verdana"/>
        <family val="2"/>
      </rPr>
      <t>R</t>
    </r>
    <r>
      <rPr>
        <sz val="9"/>
        <rFont val="Verdana"/>
        <family val="2"/>
      </rPr>
      <t xml:space="preserve"> Cifras rectificadas por informante.</t>
    </r>
  </si>
  <si>
    <r>
      <rPr>
        <b/>
        <sz val="9"/>
        <rFont val="Verdana"/>
        <family val="2"/>
      </rPr>
      <t xml:space="preserve">1 </t>
    </r>
    <r>
      <rPr>
        <sz val="9"/>
        <rFont val="Verdana"/>
        <family val="2"/>
      </rPr>
      <t>Fiscalía</t>
    </r>
    <r>
      <rPr>
        <b/>
        <sz val="9"/>
        <rFont val="Verdana"/>
        <family val="2"/>
      </rPr>
      <t xml:space="preserve"> </t>
    </r>
    <r>
      <rPr>
        <sz val="9"/>
        <rFont val="Verdana"/>
        <family val="2"/>
      </rPr>
      <t>Centro Norte</t>
    </r>
  </si>
  <si>
    <r>
      <rPr>
        <b/>
        <sz val="9"/>
        <rFont val="Verdana"/>
        <family val="2"/>
      </rPr>
      <t xml:space="preserve">2 </t>
    </r>
    <r>
      <rPr>
        <sz val="9"/>
        <rFont val="Verdana"/>
        <family val="2"/>
      </rPr>
      <t>Fiscalía</t>
    </r>
    <r>
      <rPr>
        <b/>
        <sz val="9"/>
        <rFont val="Verdana"/>
        <family val="2"/>
      </rPr>
      <t xml:space="preserve"> </t>
    </r>
    <r>
      <rPr>
        <sz val="9"/>
        <rFont val="Verdana"/>
        <family val="2"/>
      </rPr>
      <t>Oriente</t>
    </r>
  </si>
  <si>
    <r>
      <rPr>
        <b/>
        <sz val="9"/>
        <rFont val="Verdana"/>
        <family val="2"/>
      </rPr>
      <t xml:space="preserve">3 </t>
    </r>
    <r>
      <rPr>
        <sz val="9"/>
        <rFont val="Verdana"/>
        <family val="2"/>
      </rPr>
      <t>Fiscalía</t>
    </r>
    <r>
      <rPr>
        <b/>
        <sz val="9"/>
        <rFont val="Verdana"/>
        <family val="2"/>
      </rPr>
      <t xml:space="preserve"> </t>
    </r>
    <r>
      <rPr>
        <sz val="9"/>
        <rFont val="Verdana"/>
        <family val="2"/>
      </rPr>
      <t>Occidente</t>
    </r>
  </si>
  <si>
    <r>
      <rPr>
        <b/>
        <sz val="9"/>
        <rFont val="Verdana"/>
        <family val="2"/>
      </rPr>
      <t xml:space="preserve">4 </t>
    </r>
    <r>
      <rPr>
        <sz val="9"/>
        <rFont val="Verdana"/>
        <family val="2"/>
      </rPr>
      <t>Fiscalía</t>
    </r>
    <r>
      <rPr>
        <b/>
        <sz val="9"/>
        <rFont val="Verdana"/>
        <family val="2"/>
      </rPr>
      <t xml:space="preserve"> </t>
    </r>
    <r>
      <rPr>
        <sz val="9"/>
        <rFont val="Verdana"/>
        <family val="2"/>
      </rPr>
      <t>Sur</t>
    </r>
  </si>
  <si>
    <r>
      <t xml:space="preserve">Se ignora </t>
    </r>
    <r>
      <rPr>
        <vertAlign val="superscript"/>
        <sz val="9"/>
        <rFont val="Verdana"/>
        <family val="2"/>
      </rPr>
      <t>/1</t>
    </r>
  </si>
  <si>
    <r>
      <rPr>
        <b/>
        <sz val="9"/>
        <rFont val="Verdana"/>
        <family val="2"/>
      </rPr>
      <t>1</t>
    </r>
    <r>
      <rPr>
        <sz val="9"/>
        <rFont val="Verdana"/>
        <family val="2"/>
      </rPr>
      <t xml:space="preserve"> No es posible obtener desagración del dato.</t>
    </r>
  </si>
  <si>
    <r>
      <rPr>
        <b/>
        <sz val="9"/>
        <rFont val="Verdana"/>
        <family val="2"/>
      </rPr>
      <t>1</t>
    </r>
    <r>
      <rPr>
        <sz val="9"/>
        <rFont val="Verdana"/>
        <family val="2"/>
      </rPr>
      <t xml:space="preserve"> No fue posible obtener desagración del dato.</t>
    </r>
  </si>
  <si>
    <r>
      <t>Dvd</t>
    </r>
    <r>
      <rPr>
        <b/>
        <vertAlign val="superscript"/>
        <sz val="9"/>
        <rFont val="Verdana"/>
        <family val="2"/>
      </rPr>
      <t>/1</t>
    </r>
  </si>
  <si>
    <r>
      <t>DVD, Juegos Consolas</t>
    </r>
    <r>
      <rPr>
        <b/>
        <vertAlign val="superscript"/>
        <sz val="9"/>
        <rFont val="Verdana"/>
        <family val="2"/>
      </rPr>
      <t>/2</t>
    </r>
  </si>
  <si>
    <r>
      <rPr>
        <b/>
        <sz val="9"/>
        <rFont val="Verdana"/>
        <family val="2"/>
      </rPr>
      <t>1</t>
    </r>
    <r>
      <rPr>
        <sz val="9"/>
        <rFont val="Verdana"/>
        <family val="2"/>
      </rPr>
      <t xml:space="preserve"> Dvd se refiere a todo los dvd, menos el del juegos de consola.</t>
    </r>
  </si>
  <si>
    <r>
      <rPr>
        <b/>
        <sz val="9"/>
        <rFont val="Verdana"/>
        <family val="2"/>
      </rPr>
      <t xml:space="preserve">2 </t>
    </r>
    <r>
      <rPr>
        <sz val="9"/>
        <rFont val="Verdana"/>
        <family val="2"/>
      </rPr>
      <t>DVD, Juegos Consolas, se refiere solo a juegos.</t>
    </r>
  </si>
  <si>
    <r>
      <t>REGIÓN POLICIAL DE LA DENUNCIA Y COMUNA DE OCURRENCIA DEL DELITO</t>
    </r>
    <r>
      <rPr>
        <b/>
        <vertAlign val="superscript"/>
        <sz val="9"/>
        <rFont val="Verdana"/>
        <family val="2"/>
      </rPr>
      <t>/1</t>
    </r>
  </si>
  <si>
    <r>
      <t xml:space="preserve">Se ignora </t>
    </r>
    <r>
      <rPr>
        <vertAlign val="superscript"/>
        <sz val="9"/>
        <rFont val="Verdana"/>
        <family val="2"/>
      </rPr>
      <t>/2</t>
    </r>
  </si>
  <si>
    <r>
      <rPr>
        <b/>
        <sz val="9"/>
        <rFont val="Verdana"/>
        <family val="2"/>
      </rPr>
      <t>1</t>
    </r>
    <r>
      <rPr>
        <sz val="9"/>
        <rFont val="Verdana"/>
        <family val="2"/>
      </rPr>
      <t xml:space="preserve"> Para cada región policial, se incluyen todas las denuncias efectuadas en cada una de ellas, en tanto que las comunas corresponden a la locaciones en las cuales ocurrieron los delitos. A causa de ello, puede suceder que las comunas informadas dentro de cada región, puedan no correponder con la región en la cual se encuentra clasificada.</t>
    </r>
  </si>
  <si>
    <r>
      <rPr>
        <b/>
        <sz val="9"/>
        <rFont val="Verdana"/>
        <family val="2"/>
      </rPr>
      <t>2</t>
    </r>
    <r>
      <rPr>
        <sz val="9"/>
        <rFont val="Verdana"/>
        <family val="2"/>
      </rPr>
      <t xml:space="preserve"> No es posible obtener desagración del dato.</t>
    </r>
  </si>
  <si>
    <r>
      <t>Presupuesto desarrollo cultural de ProChile</t>
    </r>
    <r>
      <rPr>
        <b/>
        <vertAlign val="superscript"/>
        <sz val="9"/>
        <rFont val="Verdana"/>
        <family val="2"/>
      </rPr>
      <t>/1 /2</t>
    </r>
  </si>
  <si>
    <r>
      <t>Presupuesto desarrollo cultural de Corfo</t>
    </r>
    <r>
      <rPr>
        <b/>
        <vertAlign val="superscript"/>
        <sz val="9"/>
        <rFont val="Verdana"/>
        <family val="2"/>
      </rPr>
      <t>/1</t>
    </r>
  </si>
  <si>
    <r>
      <t xml:space="preserve">Apoyo al sector audiovisual </t>
    </r>
    <r>
      <rPr>
        <vertAlign val="superscript"/>
        <sz val="9"/>
        <rFont val="Verdana"/>
        <family val="2"/>
      </rPr>
      <t>/3</t>
    </r>
  </si>
  <si>
    <r>
      <t>Sercotec</t>
    </r>
    <r>
      <rPr>
        <b/>
        <vertAlign val="superscript"/>
        <sz val="9"/>
        <rFont val="Verdana"/>
        <family val="2"/>
      </rPr>
      <t>/1 /4</t>
    </r>
  </si>
  <si>
    <r>
      <t>Presupuesto destinado a Cultura Dirac</t>
    </r>
    <r>
      <rPr>
        <b/>
        <vertAlign val="superscript"/>
        <sz val="9"/>
        <rFont val="Verdana"/>
        <family val="2"/>
      </rPr>
      <t>/1</t>
    </r>
  </si>
  <si>
    <r>
      <t xml:space="preserve">Fondo Nacional de Desarrollo Regional </t>
    </r>
    <r>
      <rPr>
        <b/>
        <vertAlign val="superscript"/>
        <sz val="9"/>
        <rFont val="Verdana"/>
        <family val="2"/>
      </rPr>
      <t>/1 /5</t>
    </r>
  </si>
  <si>
    <r>
      <t xml:space="preserve">Fondo Nacional de Desarrollo Regional (programas e infraestructura) </t>
    </r>
    <r>
      <rPr>
        <vertAlign val="superscript"/>
        <sz val="9"/>
        <rFont val="Verdana"/>
        <family val="2"/>
      </rPr>
      <t>/5</t>
    </r>
  </si>
  <si>
    <r>
      <t>Crédito tributario por Ley de Donaciones Culturales</t>
    </r>
    <r>
      <rPr>
        <b/>
        <vertAlign val="superscript"/>
        <sz val="9"/>
        <rFont val="Verdana"/>
        <family val="2"/>
      </rPr>
      <t>/6</t>
    </r>
  </si>
  <si>
    <r>
      <rPr>
        <b/>
        <sz val="9"/>
        <rFont val="Verdana"/>
        <family val="2"/>
      </rPr>
      <t xml:space="preserve">1 </t>
    </r>
    <r>
      <rPr>
        <sz val="9"/>
        <rFont val="Verdana"/>
        <family val="2"/>
      </rPr>
      <t>Montos no han sido extraidos directamente desde la Ley de Presupuesto, sino de consultas a las instituciones descritas: ProChile, Corfo, Sercotec, Dirac, FNDR y SII.</t>
    </r>
  </si>
  <si>
    <r>
      <rPr>
        <b/>
        <sz val="9"/>
        <rFont val="Verdana"/>
        <family val="2"/>
      </rPr>
      <t>2</t>
    </r>
    <r>
      <rPr>
        <sz val="9"/>
        <rFont val="Verdana"/>
        <family val="2"/>
      </rPr>
      <t xml:space="preserve"> ProChile atendió el 2014 los siguientes sectores, según programa. 1) Concursos: Audiovisual, editorial, videojuegos, animación, artes visuales, narativa gráfica, cine publicitario y música; 2) Ferias Internacionales: audiovisual, editorial y videojuego; 3) Marca sectorial: audiovisual y cine publicitarios; 4) Plan Sectorial: audiovisual, video juegos, animación e industria de la moda; 5) Proyecto servicios: audiovisual, editorial y multisectorial; 6) Programa apoyo a agricultura familiar campesina: artesanía. Al mismo tiempo, ProChile desarrolló el 2014 el Programa de Apoyo a la Gestión y el programa Convenio con CNCA, para el área editorial y de artes visuales; an ambos casos, no existió presupuesto asignado.</t>
    </r>
  </si>
  <si>
    <r>
      <rPr>
        <b/>
        <sz val="9"/>
        <rFont val="Verdana"/>
        <family val="2"/>
      </rPr>
      <t>3</t>
    </r>
    <r>
      <rPr>
        <sz val="9"/>
        <rFont val="Verdana"/>
        <family val="2"/>
      </rPr>
      <t xml:space="preserve"> Apoyo al sector audiovisual considera programas de Corfo destinados a Fomento al Cine (Fondo Concurso de Cine) y de Distribución audiovisual.</t>
    </r>
  </si>
  <si>
    <r>
      <rPr>
        <b/>
        <sz val="9"/>
        <rFont val="Verdana"/>
        <family val="2"/>
      </rPr>
      <t>4</t>
    </r>
    <r>
      <rPr>
        <sz val="9"/>
        <rFont val="Verdana"/>
        <family val="2"/>
      </rPr>
      <t xml:space="preserve"> Sercotec atendió durante el año 2014 diversos sectores, según programa. Para el caso de Capital Semilla y Capital Abeja, se consideró específicamente la fabricación de muebles, textiles, calzados y prendas de vestir no artesanales; servicios informáticos; y televisión, medios radiales o escritos.</t>
    </r>
  </si>
  <si>
    <r>
      <rPr>
        <b/>
        <sz val="9"/>
        <rFont val="Verdana"/>
        <family val="2"/>
      </rPr>
      <t xml:space="preserve">5 </t>
    </r>
    <r>
      <rPr>
        <sz val="9"/>
        <rFont val="Verdana"/>
        <family val="2"/>
      </rPr>
      <t>FNDR, de carácter transversal, relacionado al desarrollo de programas e infraestructura cultural, al que pueden postular instituciones de diversos ámbitos de gestión. Para el cálculo se consideran los montos solicitados para el año 2013, por las iniciativas del Consejo Nacional de la Cultura y las Artes (CNCA), la Dirección de Bibliotecas, Archivos y Museos (Dibam) y la Direción de Arquitectura del Ministerio de Obras Públicas (MOP). Se incluye esta última en cuanto sus iniciativas se enmarcan en el ámbito de la cultura y el patrimonio.</t>
    </r>
  </si>
  <si>
    <r>
      <rPr>
        <b/>
        <sz val="9"/>
        <rFont val="Verdana"/>
        <family val="2"/>
      </rPr>
      <t xml:space="preserve">6 </t>
    </r>
    <r>
      <rPr>
        <sz val="9"/>
        <rFont val="Verdana"/>
        <family val="2"/>
      </rPr>
      <t>La cifra de crédito tributario mediante Ley de Donaciones Culturales corresponde al 50% del monto total declarado por los donantes, cifra que para el año 2013 alcanzó la suma de $21.956.642.473 según revisión 2015 efectuada por el SII. Al momento de  la edición de esta publicación, el Servicio de Impuestos Internos (SII), no había liberado la cifra correspondiente al año calendario 2014.</t>
    </r>
  </si>
  <si>
    <r>
      <t>Programas municipales destinados a Cultura</t>
    </r>
    <r>
      <rPr>
        <vertAlign val="superscript"/>
        <sz val="9"/>
        <rFont val="Verdana"/>
        <family val="2"/>
      </rPr>
      <t>/2</t>
    </r>
  </si>
  <si>
    <r>
      <t>Presupuesto FNDR 2% destinado a Cultura</t>
    </r>
    <r>
      <rPr>
        <vertAlign val="superscript"/>
        <sz val="9"/>
        <rFont val="Verdana"/>
        <family val="2"/>
      </rPr>
      <t>/3</t>
    </r>
  </si>
  <si>
    <r>
      <t xml:space="preserve">Universidad de Chile </t>
    </r>
    <r>
      <rPr>
        <vertAlign val="superscript"/>
        <sz val="9"/>
        <color theme="1"/>
        <rFont val="Calibri"/>
        <family val="2"/>
        <scheme val="minor"/>
      </rPr>
      <t>/4</t>
    </r>
  </si>
  <si>
    <r>
      <rPr>
        <b/>
        <sz val="9"/>
        <rFont val="Verdana"/>
        <family val="2"/>
      </rPr>
      <t xml:space="preserve">1 </t>
    </r>
    <r>
      <rPr>
        <sz val="9"/>
        <rFont val="Verdana"/>
        <family val="2"/>
      </rPr>
      <t>Todas las cifras, excepto cuando se indique, corresponden a las ofrecidas por la ley aprobada de presupuestos del sector público 2014. Todas las cifras, excepto cuando se indique, están en miles de pesos nominales 2014.</t>
    </r>
  </si>
  <si>
    <r>
      <rPr>
        <b/>
        <sz val="9"/>
        <rFont val="Verdana"/>
        <family val="2"/>
      </rPr>
      <t xml:space="preserve">2 </t>
    </r>
    <r>
      <rPr>
        <sz val="9"/>
        <rFont val="Verdana"/>
        <family val="2"/>
      </rPr>
      <t>El monto es obtenido de la suma de los gastos municipales de 345 comunas del país. Fuente: Subsecretaría de Desarrollo Regional y Administrativo (SUBDERE ) para 2014.</t>
    </r>
  </si>
  <si>
    <r>
      <rPr>
        <b/>
        <sz val="9"/>
        <rFont val="Verdana"/>
        <family val="2"/>
      </rPr>
      <t xml:space="preserve">3 </t>
    </r>
    <r>
      <rPr>
        <sz val="9"/>
        <rFont val="Verdana"/>
        <family val="2"/>
      </rPr>
      <t>FNDR relacionado a la asignación del 2% del presupuesto regional destinado al desarrollo de actividades en el ámbito de la cultura, que efectúen las municipalidades, otras entidades públicas y/o instituciones privadas sin fines de lucro.</t>
    </r>
  </si>
  <si>
    <r>
      <rPr>
        <b/>
        <sz val="9"/>
        <rFont val="Verdana"/>
        <family val="2"/>
      </rPr>
      <t xml:space="preserve">4 </t>
    </r>
    <r>
      <rPr>
        <sz val="9"/>
        <rFont val="Verdana"/>
        <family val="2"/>
      </rPr>
      <t>En la ley de presupuestos del sector público 2014 se establece que este monto representa el financiamiento mínimo destinado a la Orquesta Sinfónica de Chile, el Ballet Nacional y la Camerata Vocal de la Universidad de Chile.</t>
    </r>
  </si>
  <si>
    <r>
      <t xml:space="preserve">Corporación Cultural Municipalidad de Santiago </t>
    </r>
    <r>
      <rPr>
        <vertAlign val="superscript"/>
        <sz val="9"/>
        <rFont val="Verdana"/>
        <family val="2"/>
      </rPr>
      <t>/2</t>
    </r>
  </si>
  <si>
    <r>
      <t xml:space="preserve">Fondo de Fomento al Arte en la Educación </t>
    </r>
    <r>
      <rPr>
        <vertAlign val="superscript"/>
        <sz val="9"/>
        <rFont val="Verdana"/>
        <family val="2"/>
      </rPr>
      <t>/3</t>
    </r>
  </si>
  <si>
    <r>
      <t xml:space="preserve">Conjuntos Artísticos Estables </t>
    </r>
    <r>
      <rPr>
        <vertAlign val="superscript"/>
        <sz val="9"/>
        <rFont val="Verdana"/>
        <family val="2"/>
      </rPr>
      <t>/4</t>
    </r>
  </si>
  <si>
    <r>
      <t xml:space="preserve">Centros Culturales </t>
    </r>
    <r>
      <rPr>
        <vertAlign val="superscript"/>
        <sz val="9"/>
        <rFont val="Verdana"/>
        <family val="2"/>
      </rPr>
      <t>/5</t>
    </r>
  </si>
  <si>
    <r>
      <t xml:space="preserve">Teatros Regionales </t>
    </r>
    <r>
      <rPr>
        <vertAlign val="superscript"/>
        <sz val="9"/>
        <rFont val="Verdana"/>
        <family val="2"/>
      </rPr>
      <t>/6</t>
    </r>
  </si>
  <si>
    <r>
      <rPr>
        <b/>
        <sz val="9"/>
        <rFont val="Verdana"/>
        <family val="2"/>
      </rPr>
      <t xml:space="preserve">1 </t>
    </r>
    <r>
      <rPr>
        <sz val="9"/>
        <rFont val="Verdana"/>
        <family val="2"/>
      </rPr>
      <t>Todas las cifras, excepto cuando se indique, corresponden a las ofrecidas por la ley aprobada de presupuestos del sector público 2014. Todas las cifras, excepto cuando se indique están en miles de pesos nominales 2014.</t>
    </r>
  </si>
  <si>
    <r>
      <rPr>
        <b/>
        <sz val="9"/>
        <rFont val="Verdana"/>
        <family val="2"/>
      </rPr>
      <t xml:space="preserve">2 </t>
    </r>
    <r>
      <rPr>
        <sz val="9"/>
        <rFont val="Verdana"/>
        <family val="2"/>
      </rPr>
      <t>Administra el Teatro Municipal de Santiago.</t>
    </r>
  </si>
  <si>
    <r>
      <rPr>
        <b/>
        <sz val="9"/>
        <rFont val="Verdana"/>
        <family val="2"/>
      </rPr>
      <t xml:space="preserve">3 </t>
    </r>
    <r>
      <rPr>
        <sz val="9"/>
        <rFont val="Verdana"/>
        <family val="2"/>
      </rPr>
      <t>Corresponde a la denominación fondo concursable para escuelas artísticas del 2011.</t>
    </r>
  </si>
  <si>
    <r>
      <rPr>
        <b/>
        <sz val="9"/>
        <rFont val="Verdana"/>
        <family val="2"/>
      </rPr>
      <t xml:space="preserve">4 </t>
    </r>
    <r>
      <rPr>
        <sz val="9"/>
        <rFont val="Verdana"/>
        <family val="2"/>
      </rPr>
      <t>Incluye transferencias a la Orquesta de Cámara de Chile y al Ballet Folclórico Nacional.</t>
    </r>
  </si>
  <si>
    <r>
      <rPr>
        <b/>
        <sz val="9"/>
        <rFont val="Verdana"/>
        <family val="2"/>
      </rPr>
      <t>5</t>
    </r>
    <r>
      <rPr>
        <sz val="9"/>
        <rFont val="Verdana"/>
        <family val="2"/>
      </rPr>
      <t xml:space="preserve"> Recursos destinados a la construcción o habilitación de Centros Culturales.</t>
    </r>
  </si>
  <si>
    <r>
      <rPr>
        <b/>
        <sz val="9"/>
        <rFont val="Verdana"/>
        <family val="2"/>
      </rPr>
      <t>6</t>
    </r>
    <r>
      <rPr>
        <sz val="9"/>
        <rFont val="Verdana"/>
        <family val="2"/>
      </rPr>
      <t xml:space="preserve"> Recursos destinados a la construcción, habilitación y/o equipamiento de teatros regionales.</t>
    </r>
  </si>
  <si>
    <r>
      <t xml:space="preserve">Mercancía extranjera nacionalizada </t>
    </r>
    <r>
      <rPr>
        <b/>
        <vertAlign val="superscript"/>
        <sz val="9"/>
        <rFont val="Verdana"/>
        <family val="2"/>
      </rPr>
      <t>/1</t>
    </r>
  </si>
  <si>
    <r>
      <rPr>
        <b/>
        <sz val="9"/>
        <rFont val="Verdana"/>
        <family val="2"/>
      </rPr>
      <t>1</t>
    </r>
    <r>
      <rPr>
        <sz val="9"/>
        <rFont val="Verdana"/>
        <family val="2"/>
      </rPr>
      <t xml:space="preserve"> Debido a que todos los compromisos de exportaciones se realizan con una cantidad fija de productos (ej. un comerciante en Francia acordó recibir 1.000 unidades de cajas de leche), en el caso que el productor de leche (con quien acordó el envío) haya logrado conseguir únicamente un total de 900 unidades, debe adquirir las 100 unidades restantes con otro productor (ej,. Argentina) e incluirlas para completar la cantidad acordada. Estas 100 unidades de leche salen de Chile con el código de Mercancía extranjera nacionalizada porque llegan directamente al embarque para salir del país.</t>
    </r>
  </si>
  <si>
    <r>
      <t xml:space="preserve">Mercancía extranjera nacionalizada </t>
    </r>
    <r>
      <rPr>
        <b/>
        <vertAlign val="superscript"/>
        <sz val="9"/>
        <rFont val="Verdana"/>
        <family val="2"/>
      </rPr>
      <t>/1 /2</t>
    </r>
  </si>
  <si>
    <r>
      <rPr>
        <b/>
        <sz val="9"/>
        <rFont val="Verdana"/>
        <family val="2"/>
      </rPr>
      <t>2</t>
    </r>
    <r>
      <rPr>
        <sz val="9"/>
        <rFont val="Verdana"/>
        <family val="2"/>
      </rPr>
      <t xml:space="preserve"> Glosario de términos de Comercio Exterior, del Servicio Nacional de Aduanas:
Mercancía Nacionalizada: Es la mercancía extranjera cuya importación se ha consumado legalmente, esto es cuando terminada la tramitación fiscal, queda a la libre disposición de los interesados.</t>
    </r>
  </si>
  <si>
    <r>
      <t>País</t>
    </r>
    <r>
      <rPr>
        <b/>
        <vertAlign val="superscript"/>
        <sz val="9"/>
        <rFont val="Verdana"/>
        <family val="2"/>
      </rPr>
      <t>/2</t>
    </r>
  </si>
  <si>
    <r>
      <rPr>
        <b/>
        <sz val="9"/>
        <rFont val="Verdana"/>
        <family val="2"/>
      </rPr>
      <t xml:space="preserve">1 </t>
    </r>
    <r>
      <rPr>
        <sz val="9"/>
        <rFont val="Verdana"/>
        <family val="2"/>
      </rPr>
      <t>Los totales se calcularon a partir del valor FOB (Free on Board-Libre a bordo) en dólares (US$) 2014.</t>
    </r>
  </si>
  <si>
    <r>
      <rPr>
        <b/>
        <sz val="9"/>
        <rFont val="Verdana"/>
        <family val="2"/>
      </rPr>
      <t xml:space="preserve">2 </t>
    </r>
    <r>
      <rPr>
        <sz val="9"/>
        <rFont val="Verdana"/>
        <family val="2"/>
      </rPr>
      <t>Esta categoría contiene además, regiones como: resto de América, resto de Europa y resto de Asia y además, continentes como: Oceanía y África.</t>
    </r>
  </si>
  <si>
    <r>
      <rPr>
        <b/>
        <sz val="9"/>
        <color indexed="8"/>
        <rFont val="Verdana"/>
        <family val="2"/>
      </rPr>
      <t xml:space="preserve">1 </t>
    </r>
    <r>
      <rPr>
        <sz val="9"/>
        <color indexed="8"/>
        <rFont val="Verdana"/>
        <family val="2"/>
      </rPr>
      <t>Los totales se calcularon a partir del valor FOB (Free on Board-Libre a bordo) y CIF (Cost, Insurance &amp; Freight-Costo, Seguro y Flete) en dólares (US$) 2014.</t>
    </r>
  </si>
  <si>
    <r>
      <t xml:space="preserve">Merc. Extranjera nacionalizada </t>
    </r>
    <r>
      <rPr>
        <b/>
        <vertAlign val="superscript"/>
        <sz val="9"/>
        <rFont val="Verdana"/>
        <family val="2"/>
      </rPr>
      <t>/1</t>
    </r>
  </si>
  <si>
    <r>
      <rPr>
        <b/>
        <sz val="9"/>
        <rFont val="Verdana"/>
        <family val="2"/>
      </rPr>
      <t xml:space="preserve">1 </t>
    </r>
    <r>
      <rPr>
        <sz val="9"/>
        <rFont val="Verdana"/>
        <family val="2"/>
      </rPr>
      <t>Los totales se calcularon a partir del valor FOB (Free on Board-Libre a bordo) y CIF (Cost, Insurance &amp; Freight-Costo, Seguro y Flete) en dólares (US$) 2014.</t>
    </r>
  </si>
  <si>
    <r>
      <rPr>
        <b/>
        <sz val="9"/>
        <rFont val="Verdana"/>
        <family val="2"/>
      </rPr>
      <t xml:space="preserve">1 </t>
    </r>
    <r>
      <rPr>
        <sz val="9"/>
        <rFont val="Verdana"/>
        <family val="2"/>
      </rPr>
      <t>Los totales se calcularon a partir del valor FOB (Free on Board-Libre a bordo) en dólares (US$) 2013.</t>
    </r>
  </si>
  <si>
    <r>
      <t>País</t>
    </r>
    <r>
      <rPr>
        <b/>
        <vertAlign val="superscript"/>
        <sz val="9"/>
        <rFont val="Verdana"/>
        <family val="2"/>
      </rPr>
      <t>2</t>
    </r>
  </si>
  <si>
    <r>
      <t xml:space="preserve">Patrimonio </t>
    </r>
    <r>
      <rPr>
        <b/>
        <vertAlign val="superscript"/>
        <sz val="9"/>
        <color indexed="8"/>
        <rFont val="Verdana"/>
        <family val="2"/>
      </rPr>
      <t>/1</t>
    </r>
  </si>
  <si>
    <r>
      <t xml:space="preserve">Patrimonio </t>
    </r>
    <r>
      <rPr>
        <vertAlign val="superscript"/>
        <sz val="9"/>
        <color indexed="8"/>
        <rFont val="Verdana"/>
        <family val="2"/>
      </rPr>
      <t>/1</t>
    </r>
  </si>
  <si>
    <r>
      <t xml:space="preserve">Artesanía </t>
    </r>
    <r>
      <rPr>
        <b/>
        <vertAlign val="superscript"/>
        <sz val="9"/>
        <color indexed="8"/>
        <rFont val="Verdana"/>
        <family val="2"/>
      </rPr>
      <t>/2</t>
    </r>
  </si>
  <si>
    <r>
      <t xml:space="preserve">Artesanía </t>
    </r>
    <r>
      <rPr>
        <vertAlign val="superscript"/>
        <sz val="9"/>
        <color indexed="8"/>
        <rFont val="Verdana"/>
        <family val="2"/>
      </rPr>
      <t>/2</t>
    </r>
  </si>
  <si>
    <r>
      <t xml:space="preserve">Circo </t>
    </r>
    <r>
      <rPr>
        <vertAlign val="superscript"/>
        <sz val="9"/>
        <color indexed="8"/>
        <rFont val="Verdana"/>
        <family val="2"/>
      </rPr>
      <t>/3</t>
    </r>
  </si>
  <si>
    <r>
      <t xml:space="preserve">Artes Visuales </t>
    </r>
    <r>
      <rPr>
        <b/>
        <vertAlign val="superscript"/>
        <sz val="9"/>
        <color indexed="8"/>
        <rFont val="Verdana"/>
        <family val="2"/>
      </rPr>
      <t>/4</t>
    </r>
  </si>
  <si>
    <r>
      <t xml:space="preserve">Artes Visuales </t>
    </r>
    <r>
      <rPr>
        <vertAlign val="superscript"/>
        <sz val="9"/>
        <color indexed="8"/>
        <rFont val="Verdana"/>
        <family val="2"/>
      </rPr>
      <t>/4</t>
    </r>
  </si>
  <si>
    <r>
      <t xml:space="preserve">Fotografía </t>
    </r>
    <r>
      <rPr>
        <vertAlign val="superscript"/>
        <sz val="9"/>
        <color indexed="8"/>
        <rFont val="Verdana"/>
        <family val="2"/>
      </rPr>
      <t>/5</t>
    </r>
  </si>
  <si>
    <r>
      <t xml:space="preserve">Música </t>
    </r>
    <r>
      <rPr>
        <vertAlign val="superscript"/>
        <sz val="9"/>
        <color indexed="8"/>
        <rFont val="Verdana"/>
        <family val="2"/>
      </rPr>
      <t>/6</t>
    </r>
  </si>
  <si>
    <r>
      <t xml:space="preserve">Diarios y Revistas </t>
    </r>
    <r>
      <rPr>
        <vertAlign val="superscript"/>
        <sz val="9"/>
        <color indexed="8"/>
        <rFont val="Verdana"/>
        <family val="2"/>
      </rPr>
      <t>/7</t>
    </r>
  </si>
  <si>
    <r>
      <t xml:space="preserve">Editorial </t>
    </r>
    <r>
      <rPr>
        <vertAlign val="superscript"/>
        <sz val="9"/>
        <color indexed="8"/>
        <rFont val="Verdana"/>
        <family val="2"/>
      </rPr>
      <t>/8</t>
    </r>
  </si>
  <si>
    <r>
      <t xml:space="preserve">Audiovisual </t>
    </r>
    <r>
      <rPr>
        <vertAlign val="superscript"/>
        <sz val="9"/>
        <color indexed="8"/>
        <rFont val="Verdana"/>
        <family val="2"/>
      </rPr>
      <t>/9</t>
    </r>
  </si>
  <si>
    <r>
      <t xml:space="preserve">Radio y Televisión </t>
    </r>
    <r>
      <rPr>
        <vertAlign val="superscript"/>
        <sz val="9"/>
        <color indexed="8"/>
        <rFont val="Verdana"/>
        <family val="2"/>
      </rPr>
      <t>/10</t>
    </r>
  </si>
  <si>
    <r>
      <t xml:space="preserve">Arquitectura </t>
    </r>
    <r>
      <rPr>
        <vertAlign val="superscript"/>
        <sz val="9"/>
        <color indexed="8"/>
        <rFont val="Verdana"/>
        <family val="2"/>
      </rPr>
      <t>/11</t>
    </r>
  </si>
  <si>
    <r>
      <t xml:space="preserve">Diseño </t>
    </r>
    <r>
      <rPr>
        <vertAlign val="superscript"/>
        <sz val="9"/>
        <color indexed="8"/>
        <rFont val="Verdana"/>
        <family val="2"/>
      </rPr>
      <t>/12</t>
    </r>
  </si>
  <si>
    <r>
      <t xml:space="preserve">Publicidad </t>
    </r>
    <r>
      <rPr>
        <vertAlign val="superscript"/>
        <sz val="9"/>
        <color indexed="8"/>
        <rFont val="Verdana"/>
        <family val="2"/>
      </rPr>
      <t>/13</t>
    </r>
  </si>
  <si>
    <r>
      <rPr>
        <b/>
        <sz val="9"/>
        <rFont val="Verdana"/>
        <family val="2"/>
      </rPr>
      <t>4</t>
    </r>
    <r>
      <rPr>
        <sz val="9"/>
        <rFont val="Verdana"/>
        <family val="2"/>
      </rPr>
      <t xml:space="preserve"> Incluye Objetos de arte originales ejecutados por artistas chilenos en el extranjero e importados por ellos; Máquinas y aparatos para imprimir, heliográficos (huecograbado); partes y accesorios; Colores para la pintura artística, la enseñanza, la pintura de carteles, para matizar o para entretenimiento y colores similares, en pastillas, tubos, botes, frascos o en formas o envases  similares; Lápices, minas, pasteles, carboncillos, tizas para escribir o dibujar y jaboncillos (tizas) de sastre; Pinturas y dibujos, hechos totalmente a mano, excepto los dibujos de la partida 49.06 y artículos manufacturados decorados a mano; collages y cuadros similares; Grabados, estampas y litografías originales; Obras originales de estatuaria o escultura, de cualquier  materia.</t>
    </r>
  </si>
  <si>
    <r>
      <rPr>
        <b/>
        <sz val="9"/>
        <rFont val="Verdana"/>
        <family val="2"/>
      </rPr>
      <t>5</t>
    </r>
    <r>
      <rPr>
        <sz val="9"/>
        <rFont val="Verdana"/>
        <family val="2"/>
      </rPr>
      <t xml:space="preserve"> Incluye Estampas, grabados y fotografías; Cámaras fotográficas, con sus partes y accesorios; películas de fotografía en rollos; Películas fotográficas en rollos, sensibilizadas, sin impresionar, excepto las de papel, cartón o textiles; Películas fotográficas  autorrevelables en rollos, sensibilizadas, sin impresionar; papel fotográfico sensibilizado; Flashes, lámparas y sus partes y accesorios; Lámparas y cubos, de destello y similares; Objetivos, para cámaras, proyectores o ampliadoras o reductoras fotográficos o cinematográficos; aparatos fotográficos desechables; Proyectores de imagen fija, ampliadoras o reductoras, sus partes y accesorios;  Ampliadores o reductoras, fotográficas; Estampas, grabados, fotografías y tarjetas postales.</t>
    </r>
  </si>
  <si>
    <r>
      <rPr>
        <b/>
        <sz val="9"/>
        <rFont val="Verdana"/>
        <family val="2"/>
      </rPr>
      <t>6</t>
    </r>
    <r>
      <rPr>
        <sz val="9"/>
        <rFont val="Verdana"/>
        <family val="2"/>
      </rPr>
      <t xml:space="preserve">  Incluye Música manuscrita o impresa, incluso con ilustraciones o encuadernado; Pianos, incluso automáticos; clavecines y demás instrumentos de cuerda con teclado; Instrumentos musicales en los que el sonido se produzca o tenga que amplificarse  léctricamente (por ejemplo: órganos, guitarras, acordeones); Cajas de música, orquestriones, organillos, pájaros cantores, sierras musicales y demás instrumentos musicales no comprendidos en otra partida de este Capítulo; reclamos de cualquier clase; silbatos, cuernos y demás instrumentos de boca, de llamada o aviso; Los demás instrumentos musicales de cuerda (por ejemplo: guitarras, violines, arpas; Partes (por ejemplo, mecanismos de cajas de música) y accesorios (por ejemplo: tarjetas, discos y rollos para aparatos mecánicos) de instrumentos musicales; metrónomos y diapasones de cualquier tipo; Micrófonos y sus soportes; altavoces (altoparlantes), incluso montados en sus cajas; auriculares, incluidos los de casco, estén o no combinados con micrófono, y juegos o conjuntos constituidos por un micrófono y uno o varios altavoces (altoparlantes); amplificadores eléctricos de audiofrecuencia; equipos eléctricos para amplificación de sonido.Equipos eléctricos de amplificación de sonido; Aparatos de grabación de sonido; aparatos de reproducción de sonido; aparatos de grabación y reproducción de sonido; Discos, cintas, dispositivos de almacenamiento permanente de datos a base de semiconductores, tarjetas inteligentes («smart cards») y demás soportes para grabar sonido o grabaciones análogas, grabados o no, incluso las matrices y moldes galvánicos para fabricación de discos, excepto los productos del Capítulo 37.</t>
    </r>
  </si>
  <si>
    <r>
      <rPr>
        <b/>
        <sz val="9"/>
        <rFont val="Verdana"/>
        <family val="2"/>
      </rPr>
      <t>7</t>
    </r>
    <r>
      <rPr>
        <sz val="9"/>
        <rFont val="Verdana"/>
        <family val="2"/>
      </rPr>
      <t xml:space="preserve"> Incluye diarios y publicaciones periódicas; revistas infantiles, de deportes y de modas; papel prensa en bobinas y en hojas</t>
    </r>
  </si>
  <si>
    <r>
      <rPr>
        <b/>
        <sz val="9"/>
        <rFont val="Verdana"/>
        <family val="2"/>
      </rPr>
      <t>11</t>
    </r>
    <r>
      <rPr>
        <sz val="9"/>
        <rFont val="Verdana"/>
        <family val="2"/>
      </rPr>
      <t xml:space="preserve"> Incluye 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r>
  </si>
  <si>
    <r>
      <t xml:space="preserve">NACIONAL PRODUCTOS </t>
    </r>
    <r>
      <rPr>
        <b/>
        <vertAlign val="superscript"/>
        <sz val="9"/>
        <rFont val="Verdana"/>
        <family val="2"/>
      </rPr>
      <t>/2</t>
    </r>
  </si>
  <si>
    <r>
      <rPr>
        <b/>
        <sz val="9"/>
        <rFont val="Verdana"/>
        <family val="2"/>
      </rPr>
      <t>1</t>
    </r>
    <r>
      <rPr>
        <sz val="9"/>
        <rFont val="Verdana"/>
        <family val="2"/>
      </rPr>
      <t xml:space="preserve"> Los totales se calcularon a partir de valor FOB (Free on Board-Libre a bordo) y CIF (Cost, Insurance &amp; Freight-Costo, Seguro y Flete) en dólares (US$) 2014.</t>
    </r>
  </si>
  <si>
    <r>
      <rPr>
        <b/>
        <sz val="9"/>
        <rFont val="Verdana"/>
        <family val="2"/>
      </rPr>
      <t>2</t>
    </r>
    <r>
      <rPr>
        <sz val="9"/>
        <rFont val="Verdana"/>
        <family val="2"/>
      </rPr>
      <t xml:space="preserve"> Las cifras Total Economía han sido extraídas desde el Servicio Nacional de Aduanas</t>
    </r>
  </si>
  <si>
    <r>
      <t xml:space="preserve">Promedio de Remuneraciones del Sector (Pesos año base 2014) </t>
    </r>
    <r>
      <rPr>
        <b/>
        <vertAlign val="superscript"/>
        <sz val="9"/>
        <rFont val="Verdana"/>
        <family val="2"/>
      </rPr>
      <t>/2</t>
    </r>
  </si>
  <si>
    <r>
      <rPr>
        <b/>
        <sz val="9"/>
        <rFont val="Verdana"/>
        <family val="2"/>
      </rPr>
      <t>1</t>
    </r>
    <r>
      <rPr>
        <sz val="9"/>
        <rFont val="Verdana"/>
        <family val="2"/>
      </rPr>
      <t xml:space="preserve"> Se han rectificado datos entregados en el 2013 que entregaban como promedio de remuneraciones un valor que se aproximaba a los 530.000 en promedio para el secto creativo</t>
    </r>
  </si>
  <si>
    <r>
      <rPr>
        <b/>
        <sz val="9"/>
        <rFont val="Verdana"/>
        <family val="2"/>
      </rPr>
      <t>2</t>
    </r>
    <r>
      <rPr>
        <sz val="9"/>
        <rFont val="Verdana"/>
        <family val="2"/>
      </rPr>
      <t xml:space="preserve"> El valor 2013 con año base 2014 ha sido calculado usando el Indice de Variación Dic 2013 entregado por el INE: 5,27</t>
    </r>
  </si>
  <si>
    <r>
      <t xml:space="preserve">Promedio de Remuneraciones del Sector (Pesos base año 2014) </t>
    </r>
    <r>
      <rPr>
        <b/>
        <vertAlign val="superscript"/>
        <sz val="9"/>
        <color theme="1"/>
        <rFont val="Verdana"/>
        <family val="2"/>
      </rPr>
      <t>/2</t>
    </r>
  </si>
  <si>
    <r>
      <rPr>
        <b/>
        <sz val="9"/>
        <color theme="1"/>
        <rFont val="Verdana"/>
        <family val="2"/>
      </rPr>
      <t>1</t>
    </r>
    <r>
      <rPr>
        <sz val="9"/>
        <color theme="1"/>
        <rFont val="Verdana"/>
        <family val="2"/>
      </rPr>
      <t xml:space="preserve"> Se han rectificado datos entregados en el 2013 que entregaban como promedio de remuneraciones un valor que se aproximaba a los 530.000 en promedio para el secto creativo.</t>
    </r>
  </si>
  <si>
    <r>
      <rPr>
        <b/>
        <sz val="9"/>
        <rFont val="Verdana"/>
        <family val="2"/>
      </rPr>
      <t>2</t>
    </r>
    <r>
      <rPr>
        <sz val="9"/>
        <rFont val="Verdana"/>
        <family val="2"/>
      </rPr>
      <t xml:space="preserve"> El valor 2013 con año base 2014 ha sido calculado usando el Indice de Variación Dic 2013 entregado por el INE: 5,27.</t>
    </r>
  </si>
  <si>
    <r>
      <t xml:space="preserve">Empresas </t>
    </r>
    <r>
      <rPr>
        <b/>
        <vertAlign val="superscript"/>
        <sz val="9"/>
        <rFont val="Verdana"/>
        <family val="2"/>
      </rPr>
      <t>/1</t>
    </r>
  </si>
  <si>
    <r>
      <t xml:space="preserve">Trabajadores hombres </t>
    </r>
    <r>
      <rPr>
        <b/>
        <vertAlign val="superscript"/>
        <sz val="9"/>
        <color theme="1"/>
        <rFont val="Verdana"/>
        <family val="2"/>
      </rPr>
      <t>/2 /3</t>
    </r>
  </si>
  <si>
    <r>
      <t xml:space="preserve">Trabajadoras Mujeres </t>
    </r>
    <r>
      <rPr>
        <b/>
        <vertAlign val="superscript"/>
        <sz val="9"/>
        <color theme="1"/>
        <rFont val="Verdana"/>
        <family val="2"/>
      </rPr>
      <t>/2 /3</t>
    </r>
  </si>
  <si>
    <r>
      <t xml:space="preserve">Salario Promedio Hombres (Pesos Corrientes 2014) </t>
    </r>
    <r>
      <rPr>
        <b/>
        <vertAlign val="superscript"/>
        <sz val="9"/>
        <color theme="1"/>
        <rFont val="Verdana"/>
        <family val="2"/>
      </rPr>
      <t>/4</t>
    </r>
  </si>
  <si>
    <r>
      <t xml:space="preserve">Salario Promedio Mujeres (Precios Corrientes 2014) </t>
    </r>
    <r>
      <rPr>
        <b/>
        <vertAlign val="superscript"/>
        <sz val="9"/>
        <color theme="1"/>
        <rFont val="Verdana"/>
        <family val="2"/>
      </rPr>
      <t>/4</t>
    </r>
  </si>
  <si>
    <r>
      <rPr>
        <b/>
        <sz val="9"/>
        <rFont val="Verdana"/>
        <family val="2"/>
      </rPr>
      <t>1</t>
    </r>
    <r>
      <rPr>
        <sz val="9"/>
        <rFont val="Verdana"/>
        <family val="2"/>
      </rPr>
      <t xml:space="preserve"> El número total de empresas fue obtenido a partir del número de empresas y empleados hombres y mujeres  inscritas e inscritos en alguna de las mutuales de seguridad y que cumplen con pertenecer a alguno de los 57 códigos de actividad seleccionados por el CNCA como creativos o culturales. </t>
    </r>
  </si>
  <si>
    <r>
      <rPr>
        <b/>
        <sz val="9"/>
        <rFont val="Verdana"/>
        <family val="2"/>
      </rPr>
      <t>2</t>
    </r>
    <r>
      <rPr>
        <sz val="9"/>
        <rFont val="Verdana"/>
        <family val="2"/>
      </rPr>
      <t xml:space="preserve"> El método empleado para obtener el número total de trabajadores hombres y mujeres por dominio y subdominio, ha sido el siguiente: calculando el promedio de trabajadores anuales hombres y mujeres por empresa (suma de trabajadores hombre en el año dividido por 12 y suma de trabajadoras mujeres en el año dividido por 12) y luego sumando el promedio de trabajadores hombres por empresa en Dominio y Subdominio, lo mismo para las mujeres. </t>
    </r>
  </si>
  <si>
    <r>
      <rPr>
        <b/>
        <sz val="9"/>
        <rFont val="Verdana"/>
        <family val="2"/>
      </rPr>
      <t>3</t>
    </r>
    <r>
      <rPr>
        <sz val="9"/>
        <rFont val="Verdana"/>
        <family val="2"/>
      </rPr>
      <t xml:space="preserve"> Se debe considerar que las empresas  pueden entragar el dato de empleados sin diferenciar por sexo. Para este año el % de datos sin información por sexo alcanzó a un 6,7% del total de empleados. Estos datos sin información de sexo no han sido considerados en los cálculos de la presente tabla. </t>
    </r>
  </si>
  <si>
    <r>
      <rPr>
        <b/>
        <sz val="9"/>
        <rFont val="Verdana"/>
        <family val="2"/>
      </rPr>
      <t>4</t>
    </r>
    <r>
      <rPr>
        <sz val="9"/>
        <rFont val="Verdana"/>
        <family val="2"/>
      </rPr>
      <t xml:space="preserve"> El método utilizado para obtener remuneraciones promedio por dominio y subdominio ha sido calculando las remuneraciones promedio para hombres y mujeres de cada empresa  (suma de remuneraciones totales en el año dividido por el total trabajadores en el año de cada empresa) y luego calculando un promedio ponderado para hombres y mujeres de cada Dominio y Subdominio  en función de la suma de cada empresa que la compone por el numero de trabajadores hombres y mujeres promedio que tuvo durante el año. </t>
    </r>
  </si>
  <si>
    <r>
      <t xml:space="preserve">Trabajadores por Sector en Promedio </t>
    </r>
    <r>
      <rPr>
        <b/>
        <vertAlign val="superscript"/>
        <sz val="9"/>
        <rFont val="Verdana"/>
        <family val="2"/>
      </rPr>
      <t>/2</t>
    </r>
  </si>
  <si>
    <r>
      <t xml:space="preserve">Promedio de Remuneraciones del Sector </t>
    </r>
    <r>
      <rPr>
        <b/>
        <vertAlign val="superscript"/>
        <sz val="9"/>
        <rFont val="Verdana"/>
        <family val="2"/>
      </rPr>
      <t>/3</t>
    </r>
  </si>
  <si>
    <r>
      <rPr>
        <b/>
        <sz val="9"/>
        <rFont val="Verdana"/>
        <family val="2"/>
      </rPr>
      <t>1</t>
    </r>
    <r>
      <rPr>
        <sz val="9"/>
        <rFont val="Verdana"/>
        <family val="2"/>
      </rPr>
      <t xml:space="preserve"> El número total de empresas fue obtenido a partir del número de empresas y empleados inscritas e inscritos en alguna de las mutuales de seguridad y que cumplen con pertenecer a alguno de los 57 códigos de actividad seleccionados por el CNCA como creativos o culturales. </t>
    </r>
  </si>
  <si>
    <r>
      <rPr>
        <b/>
        <sz val="9"/>
        <rFont val="Verdana"/>
        <family val="2"/>
      </rPr>
      <t>2</t>
    </r>
    <r>
      <rPr>
        <sz val="9"/>
        <rFont val="Verdana"/>
        <family val="2"/>
      </rPr>
      <t xml:space="preserve"> El método empleado para obtener el número total de trabajadores por región, ha sido el siguiente: calculando el promedio de trabajadores anuales por empresa (suma de trabajadores en el año dividido por 12) y luego sumar el promedio de trabajadores por empresa en cada región. </t>
    </r>
  </si>
  <si>
    <r>
      <rPr>
        <b/>
        <sz val="9"/>
        <rFont val="Verdana"/>
        <family val="2"/>
      </rPr>
      <t>3</t>
    </r>
    <r>
      <rPr>
        <sz val="9"/>
        <rFont val="Verdana"/>
        <family val="2"/>
      </rPr>
      <t xml:space="preserve"> El método utilizado para obtener remuneraciones promedio por región ha sido calculando las remuneraciones promedio de cada empresa de la región (suma de remuneraciones totales en el año dividido por el total trabajadores en el año de cada empresa) y luego calculando un promedio ponderado de cada región en función de la suma de cada empresa que la compone por el numero de trabajadores promedio que tuvo durante el año. </t>
    </r>
  </si>
  <si>
    <r>
      <t xml:space="preserve">Empresas </t>
    </r>
    <r>
      <rPr>
        <b/>
        <vertAlign val="superscript"/>
        <sz val="9"/>
        <color theme="1"/>
        <rFont val="Verdana"/>
        <family val="2"/>
      </rPr>
      <t>/1</t>
    </r>
  </si>
  <si>
    <r>
      <t xml:space="preserve">Trabajadores para el total de empresas del sector </t>
    </r>
    <r>
      <rPr>
        <b/>
        <vertAlign val="superscript"/>
        <sz val="9"/>
        <color theme="1"/>
        <rFont val="Verdana"/>
        <family val="2"/>
      </rPr>
      <t>/2</t>
    </r>
  </si>
  <si>
    <r>
      <t xml:space="preserve">Promedio de Remuneraciones </t>
    </r>
    <r>
      <rPr>
        <b/>
        <vertAlign val="superscript"/>
        <sz val="9"/>
        <color theme="1"/>
        <rFont val="Verdana"/>
        <family val="2"/>
      </rPr>
      <t>/3</t>
    </r>
  </si>
  <si>
    <r>
      <rPr>
        <b/>
        <sz val="9"/>
        <rFont val="Verdana"/>
        <family val="2"/>
      </rPr>
      <t>2</t>
    </r>
    <r>
      <rPr>
        <sz val="9"/>
        <rFont val="Verdana"/>
        <family val="2"/>
      </rPr>
      <t xml:space="preserve"> El método empleado para obtener el número total de trabajadores por dominio y subdominio, ha sido el siguiente: calculando el promedio de trabajadores anuales por empresa (suma de trabajadores en el año dividido por 12) y luego sumar el promedio de trabajadores por empresa en cada dominio y subdominio. </t>
    </r>
  </si>
  <si>
    <r>
      <rPr>
        <b/>
        <sz val="9"/>
        <rFont val="Verdana"/>
        <family val="2"/>
      </rPr>
      <t>3</t>
    </r>
    <r>
      <rPr>
        <sz val="9"/>
        <rFont val="Verdana"/>
        <family val="2"/>
      </rPr>
      <t xml:space="preserve"> El método utilizado para obtener remuneraciones promedio por dominio y subdominio  ha sido calculando las remuneraciones promedio de cada empresa  (suma de remuneraciones totales en el año dividido por el total trabajadores en el año de cada empresa) y luego calculando un promedio ponderado de cada dominio y subdominio en función de la suma de cada empresa que la compone por el numero de trabajadores promedio que tuvo durante el año. </t>
    </r>
  </si>
  <si>
    <r>
      <t xml:space="preserve">Total economía </t>
    </r>
    <r>
      <rPr>
        <b/>
        <vertAlign val="superscript"/>
        <sz val="9"/>
        <color theme="1"/>
        <rFont val="Verdana"/>
        <family val="2"/>
      </rPr>
      <t>/1</t>
    </r>
  </si>
  <si>
    <r>
      <t xml:space="preserve">Total general en sector creativo </t>
    </r>
    <r>
      <rPr>
        <b/>
        <vertAlign val="superscript"/>
        <sz val="9"/>
        <color theme="1"/>
        <rFont val="Verdana"/>
        <family val="2"/>
      </rPr>
      <t xml:space="preserve">/2 </t>
    </r>
  </si>
  <si>
    <r>
      <t xml:space="preserve">Patrimonio </t>
    </r>
    <r>
      <rPr>
        <vertAlign val="superscript"/>
        <sz val="9"/>
        <color theme="1"/>
        <rFont val="Verdana"/>
        <family val="2"/>
      </rPr>
      <t>/3</t>
    </r>
  </si>
  <si>
    <r>
      <t xml:space="preserve">Artesanias </t>
    </r>
    <r>
      <rPr>
        <vertAlign val="superscript"/>
        <sz val="9"/>
        <color theme="1"/>
        <rFont val="Verdana"/>
        <family val="2"/>
      </rPr>
      <t>/4</t>
    </r>
  </si>
  <si>
    <r>
      <t xml:space="preserve">Artes Visuales </t>
    </r>
    <r>
      <rPr>
        <vertAlign val="superscript"/>
        <sz val="9"/>
        <color theme="1"/>
        <rFont val="Verdana"/>
        <family val="2"/>
      </rPr>
      <t>/5</t>
    </r>
  </si>
  <si>
    <r>
      <t xml:space="preserve">Artes Escénicas </t>
    </r>
    <r>
      <rPr>
        <vertAlign val="superscript"/>
        <sz val="9"/>
        <color theme="1"/>
        <rFont val="Verdana"/>
        <family val="2"/>
      </rPr>
      <t>/6</t>
    </r>
  </si>
  <si>
    <r>
      <t xml:space="preserve">Artes Musicales </t>
    </r>
    <r>
      <rPr>
        <vertAlign val="superscript"/>
        <sz val="9"/>
        <color theme="1"/>
        <rFont val="Verdana"/>
        <family val="2"/>
      </rPr>
      <t>/7</t>
    </r>
  </si>
  <si>
    <r>
      <t xml:space="preserve">Artes Literarias, libros y prensa </t>
    </r>
    <r>
      <rPr>
        <vertAlign val="superscript"/>
        <sz val="9"/>
        <color theme="1"/>
        <rFont val="Verdana"/>
        <family val="2"/>
      </rPr>
      <t>/8</t>
    </r>
  </si>
  <si>
    <r>
      <t xml:space="preserve">Medios Audiovisuales e Interactivos </t>
    </r>
    <r>
      <rPr>
        <vertAlign val="superscript"/>
        <sz val="9"/>
        <color theme="1"/>
        <rFont val="Verdana"/>
        <family val="2"/>
      </rPr>
      <t>/9</t>
    </r>
  </si>
  <si>
    <r>
      <t xml:space="preserve">Arquitectura, Diseño y Servicios Creativos </t>
    </r>
    <r>
      <rPr>
        <vertAlign val="superscript"/>
        <sz val="9"/>
        <color theme="1"/>
        <rFont val="Verdana"/>
        <family val="2"/>
      </rPr>
      <t>/10</t>
    </r>
  </si>
  <si>
    <r>
      <t xml:space="preserve">Infraestructura y Equipamiento </t>
    </r>
    <r>
      <rPr>
        <vertAlign val="superscript"/>
        <sz val="9"/>
        <color theme="1"/>
        <rFont val="Verdana"/>
        <family val="2"/>
      </rPr>
      <t>/11</t>
    </r>
  </si>
  <si>
    <r>
      <t xml:space="preserve">Educación </t>
    </r>
    <r>
      <rPr>
        <vertAlign val="superscript"/>
        <sz val="9"/>
        <color theme="1"/>
        <rFont val="Verdana"/>
        <family val="2"/>
      </rPr>
      <t>/12</t>
    </r>
  </si>
  <si>
    <r>
      <rPr>
        <b/>
        <sz val="9"/>
        <color theme="1"/>
        <rFont val="Verdana"/>
        <family val="2"/>
      </rPr>
      <t>1</t>
    </r>
    <r>
      <rPr>
        <sz val="9"/>
        <color theme="1"/>
        <rFont val="Verdana"/>
        <family val="2"/>
      </rPr>
      <t xml:space="preserve"> Los datos de empreasas y empleo de total economía han sido tomados de la Superintendencia de Seguridad Social en función del numero de empresas cotizantes</t>
    </r>
  </si>
  <si>
    <r>
      <rPr>
        <b/>
        <sz val="9"/>
        <color rgb="FF000000"/>
        <rFont val="Verdana"/>
        <family val="2"/>
      </rPr>
      <t>2</t>
    </r>
    <r>
      <rPr>
        <sz val="9"/>
        <color rgb="FF000000"/>
        <rFont val="Verdana"/>
        <family val="2"/>
      </rPr>
      <t xml:space="preserve"> Corresponde al número total de empresas y empleados inscritos en alguna de las mutuales de seguridad y que cumplen con pertenecer a alguno de los 57 códigos de actividad seleccionados por el CNCA como creativos o culturales. El método usado para obtener el Número de trabajadores ha sido calcular el promedio de trabajadores anuales por empresa cultura (suma trabajadores en el año /12) y luego sumar los trabajadores pertencientes a un mismo dominio cultural.</t>
    </r>
  </si>
  <si>
    <r>
      <rPr>
        <b/>
        <sz val="9"/>
        <color rgb="FF000000"/>
        <rFont val="Verdana"/>
        <family val="2"/>
      </rPr>
      <t xml:space="preserve">3 </t>
    </r>
    <r>
      <rPr>
        <sz val="9"/>
        <color rgb="FF000000"/>
        <rFont val="Verdana"/>
        <family val="2"/>
      </rPr>
      <t>Incluye actividades de bibliotecas y archivos, actividades de museos, actividades de jardines botánicos y zoológicos.</t>
    </r>
  </si>
  <si>
    <r>
      <rPr>
        <b/>
        <sz val="9"/>
        <color rgb="FF000000"/>
        <rFont val="Verdana"/>
        <family val="2"/>
      </rPr>
      <t>4</t>
    </r>
    <r>
      <rPr>
        <sz val="9"/>
        <color rgb="FF000000"/>
        <rFont val="Verdana"/>
        <family val="2"/>
      </rPr>
      <t xml:space="preserve"> Incluye comercio al por menor de artículos típicos (artesanías).</t>
    </r>
  </si>
  <si>
    <r>
      <rPr>
        <b/>
        <sz val="9"/>
        <color rgb="FF000000"/>
        <rFont val="Verdana"/>
        <family val="2"/>
      </rPr>
      <t xml:space="preserve">5 </t>
    </r>
    <r>
      <rPr>
        <sz val="9"/>
        <color rgb="FF000000"/>
        <rFont val="Verdana"/>
        <family val="2"/>
      </rPr>
      <t>Incluye artes visuales con comercio al por menor de antigüedades, actividades de subasta (martilleros), galerías de arte. Incluye comercio al por menor de artículos fotográficos, servicios de revelado, actividades de fotografías publicitarias y otras actividades de fotografía. Incluye  fabricación de instrumentos de óptica no clasificados previsamente (N.C.P) y equipos fotográficos.</t>
    </r>
  </si>
  <si>
    <r>
      <rPr>
        <b/>
        <sz val="9"/>
        <color rgb="FF000000"/>
        <rFont val="Verdana"/>
        <family val="2"/>
      </rPr>
      <t xml:space="preserve">6 </t>
    </r>
    <r>
      <rPr>
        <sz val="9"/>
        <color rgb="FF000000"/>
        <rFont val="Verdana"/>
        <family val="2"/>
      </rPr>
      <t>Incluye espectáculos circenses, de títeres u otros similares. Incluye  instructores de danza. Incluye servicios de producción teatral y otros No Clasificados Previamente (N.C.P).</t>
    </r>
  </si>
  <si>
    <r>
      <rPr>
        <b/>
        <sz val="9"/>
        <color rgb="FF000000"/>
        <rFont val="Verdana"/>
        <family val="2"/>
      </rPr>
      <t>7</t>
    </r>
    <r>
      <rPr>
        <sz val="9"/>
        <color rgb="FF000000"/>
        <rFont val="Verdana"/>
        <family val="2"/>
      </rPr>
      <t xml:space="preserve"> Incluye edición de grabaciones, reproducción de grabaciones, venta al por menor de instrumentos musicales (casa de música), servicios de producción de recitales y otros eventos musicales masivos, agencias de venta de billetes de teatro, salas de concierto y de teatro, venta al por menor de discos, cassettes, dvd y videos, actividades empresariales de artistas, actividades artísticas, funciones de artistas, actores, músicos, conferencistas, entre otras relacionadas. Incluye fabricación de instrumentos de música.</t>
    </r>
  </si>
  <si>
    <r>
      <rPr>
        <b/>
        <sz val="9"/>
        <color rgb="FF000000"/>
        <rFont val="Verdana"/>
        <family val="2"/>
      </rPr>
      <t>8</t>
    </r>
    <r>
      <rPr>
        <sz val="9"/>
        <color rgb="FF000000"/>
        <rFont val="Verdana"/>
        <family val="2"/>
      </rPr>
      <t xml:space="preserve"> Incluye edición principalmente de libros ,otras actividades de edición, impresión principalmente de libros, venta al por mayor de libros, comercio al por menor de libros. Incluye edición, venta al por mayor de revistas y periódicos, comercio al por menor de revistas y diarios. Incluye otras actividades de edición.</t>
    </r>
  </si>
  <si>
    <r>
      <rPr>
        <b/>
        <sz val="9"/>
        <color rgb="FF000000"/>
        <rFont val="Verdana"/>
        <family val="2"/>
      </rPr>
      <t>9</t>
    </r>
    <r>
      <rPr>
        <sz val="9"/>
        <color rgb="FF000000"/>
        <rFont val="Verdana"/>
        <family val="2"/>
      </rPr>
      <t xml:space="preserve"> Incluye principalmente producción de películas cinematográficas, distribución de cine y exhibición de filmes y videocintas. También agencias de contratación de actores, contratación de actores para cine, tv, y teatro y agencias de noticias. Incluye arriendo de videos, juegos de video y equipos reproductores de video, música y similares. Incluye actividades de televisión, servicios de televisión no abierta. Incluye actividades de radio, fabricación de transmisores de radio y televisión, aparatos para telefonía y telegrafía con hilos, fabricación de receptores (radio y tv), aparatos de grabación y reproducción (audio y video).</t>
    </r>
  </si>
  <si>
    <r>
      <rPr>
        <b/>
        <sz val="9"/>
        <color rgb="FF000000"/>
        <rFont val="Verdana"/>
        <family val="2"/>
      </rPr>
      <t xml:space="preserve">10 </t>
    </r>
    <r>
      <rPr>
        <sz val="9"/>
        <color rgb="FF000000"/>
        <rFont val="Verdana"/>
        <family val="2"/>
      </rPr>
      <t>Incluye servicios de arquitectura y técnico relacionado. Incluye  diseñadores de vestuario, de interiores y otros diseñadores. Incluye empresas de publicidad y servicios personales de publicidad.</t>
    </r>
  </si>
  <si>
    <r>
      <rPr>
        <b/>
        <sz val="9"/>
        <color rgb="FF000000"/>
        <rFont val="Verdana"/>
        <family val="2"/>
      </rPr>
      <t>11</t>
    </r>
    <r>
      <rPr>
        <sz val="9"/>
        <color rgb="FF000000"/>
        <rFont val="Verdana"/>
        <family val="2"/>
      </rPr>
      <t xml:space="preserve"> Incluye comercio al por menor de computadoras, softwares y suministros, proveedores de internet, centros de acceso a internet, asesores y consultores en informática (software).</t>
    </r>
  </si>
  <si>
    <r>
      <rPr>
        <b/>
        <sz val="9"/>
        <color rgb="FF000000"/>
        <rFont val="Verdana"/>
        <family val="2"/>
      </rPr>
      <t>12</t>
    </r>
    <r>
      <rPr>
        <sz val="9"/>
        <color rgb="FF000000"/>
        <rFont val="Verdana"/>
        <family val="2"/>
      </rPr>
      <t xml:space="preserve"> Incluye investigaciones y desarrollo experimental - ciencias sociales y humanidades y educación extraescolar (escuela de conducción, música, modelaje, etc.). </t>
    </r>
  </si>
  <si>
    <r>
      <t>2010</t>
    </r>
    <r>
      <rPr>
        <vertAlign val="superscript"/>
        <sz val="9"/>
        <rFont val="Verdana"/>
        <family val="2"/>
      </rPr>
      <t>/a</t>
    </r>
  </si>
  <si>
    <r>
      <rPr>
        <b/>
        <sz val="9"/>
        <rFont val="Verdana"/>
        <family val="2"/>
      </rPr>
      <t xml:space="preserve">a </t>
    </r>
    <r>
      <rPr>
        <sz val="9"/>
        <rFont val="Verdana"/>
        <family val="2"/>
      </rPr>
      <t>Proyectos persona natural sin identificación del postulante.</t>
    </r>
  </si>
  <si>
    <r>
      <rPr>
        <b/>
        <sz val="9"/>
        <rFont val="Verdana"/>
        <family val="2"/>
      </rPr>
      <t>a</t>
    </r>
    <r>
      <rPr>
        <sz val="9"/>
        <rFont val="Verdana"/>
        <family val="2"/>
      </rPr>
      <t xml:space="preserve"> El presente cuadro da cuenta de los proyectos seleccionados por región y modalidad Fondart regional. La distribución regional de los seleccionados se realiza a partir de la región a la que pertenece el fondo entregado.</t>
    </r>
  </si>
  <si>
    <r>
      <rPr>
        <b/>
        <sz val="9"/>
        <rFont val="Verdana"/>
        <family val="2"/>
      </rPr>
      <t xml:space="preserve">b </t>
    </r>
    <r>
      <rPr>
        <sz val="9"/>
        <rFont val="Verdana"/>
        <family val="2"/>
      </rPr>
      <t>El número de proyectos y de monto adjudicado por línea, corresponden a la suma total de los concursos durante la convocatoria del año.</t>
    </r>
  </si>
  <si>
    <r>
      <rPr>
        <b/>
        <sz val="9"/>
        <rFont val="Verdana"/>
        <family val="2"/>
      </rPr>
      <t>1</t>
    </r>
    <r>
      <rPr>
        <sz val="9"/>
        <rFont val="Verdana"/>
        <family val="2"/>
      </rPr>
      <t xml:space="preserve"> Investigación y actividades formativas 2011, pasó a llamarse Formación e investigación en 2012.</t>
    </r>
  </si>
  <si>
    <r>
      <rPr>
        <b/>
        <sz val="9"/>
        <rFont val="Verdana"/>
        <family val="2"/>
      </rPr>
      <t xml:space="preserve">2 </t>
    </r>
    <r>
      <rPr>
        <sz val="9"/>
        <rFont val="Verdana"/>
        <family val="2"/>
      </rPr>
      <t>Creación incorpora la línea fomento de las artes y fomento de la artesanía.</t>
    </r>
  </si>
  <si>
    <r>
      <rPr>
        <b/>
        <sz val="9"/>
        <rFont val="Verdana"/>
        <family val="2"/>
      </rPr>
      <t xml:space="preserve">3 </t>
    </r>
    <r>
      <rPr>
        <sz val="9"/>
        <rFont val="Verdana"/>
        <family val="2"/>
      </rPr>
      <t>Ventanilla Abierta.</t>
    </r>
  </si>
  <si>
    <r>
      <t>TABLA 22.2: NÚMERO DE PROYECTOS Y MONTOS ADJUDICADOS DEL FONDO NACIONAL DE DESARROLLO CULTURAL Y LAS ARTES (FONDART) PARA CONCURSO NACIONAL, SEGÚN REGIÓN. 2014</t>
    </r>
    <r>
      <rPr>
        <b/>
        <vertAlign val="superscript"/>
        <sz val="9"/>
        <rFont val="Verdana"/>
        <family val="2"/>
      </rPr>
      <t>/a/b</t>
    </r>
  </si>
  <si>
    <r>
      <t>Arica y Parinacota</t>
    </r>
    <r>
      <rPr>
        <vertAlign val="superscript"/>
        <sz val="9"/>
        <rFont val="Verdana"/>
        <family val="2"/>
      </rPr>
      <t>/2</t>
    </r>
  </si>
  <si>
    <r>
      <rPr>
        <b/>
        <sz val="9"/>
        <rFont val="Verdana"/>
        <family val="2"/>
      </rPr>
      <t>1</t>
    </r>
    <r>
      <rPr>
        <sz val="9"/>
        <rFont val="Verdana"/>
        <family val="2"/>
      </rPr>
      <t xml:space="preserve"> Se refiere a los datos del domicilio de la persona, natural o jurídica, que aparecerá como titular de los derechos que se inscriben y que pueden solicitarse desde el extranjero o por medio de un mandatario residente en el país.</t>
    </r>
  </si>
  <si>
    <r>
      <rPr>
        <b/>
        <sz val="9"/>
        <rFont val="Verdana"/>
        <family val="2"/>
      </rPr>
      <t xml:space="preserve">2 </t>
    </r>
    <r>
      <rPr>
        <sz val="9"/>
        <rFont val="Verdana"/>
        <family val="2"/>
      </rPr>
      <t>El informe no dispone de información para la Región de Arica y Parinacota.</t>
    </r>
  </si>
  <si>
    <r>
      <rPr>
        <b/>
        <sz val="9"/>
        <rFont val="Verdana"/>
        <family val="2"/>
      </rPr>
      <t>1</t>
    </r>
    <r>
      <rPr>
        <sz val="9"/>
        <rFont val="Verdana"/>
        <family val="2"/>
      </rPr>
      <t xml:space="preserve"> Las cifras dan cuenta de la forma en que concurren los solicitantes en una misma solicitud y no del número de personas que participan de ella. Por tanto, refiere a las combinaciones probables en que concurren distintos titulares, según género o estructura institucional en una misma inscripción, lo que dependerá de la libre asociación que ellos puedan definir al efecto como titulares de los derechos. No se contemplan por tanto, los casos en los que concurren miembros del mismo sexo en situación de asociatividad (hombres con hombres o mujeres con mujeres). </t>
    </r>
  </si>
  <si>
    <r>
      <t>Número de Informes especializados elaborados</t>
    </r>
    <r>
      <rPr>
        <b/>
        <vertAlign val="superscript"/>
        <sz val="9"/>
        <rFont val="Verdana"/>
        <family val="2"/>
      </rPr>
      <t xml:space="preserve"> /1</t>
    </r>
  </si>
  <si>
    <r>
      <rPr>
        <b/>
        <sz val="9"/>
        <rFont val="Verdana"/>
        <family val="2"/>
      </rPr>
      <t>1</t>
    </r>
    <r>
      <rPr>
        <sz val="9"/>
        <rFont val="Verdana"/>
        <family val="2"/>
      </rPr>
      <t xml:space="preserve">  Corresponde a la elaboración de Informes especializados que son entregados a diferentes Tribunales,  servicios públicos y personas que los soliciten directamente al Departamento de Derechos Intelectuales.</t>
    </r>
  </si>
  <si>
    <r>
      <t>Entradas pagadas y gratuitas</t>
    </r>
    <r>
      <rPr>
        <b/>
        <vertAlign val="superscript"/>
        <sz val="9"/>
        <rFont val="Verdana"/>
        <family val="2"/>
      </rPr>
      <t>/1</t>
    </r>
  </si>
  <si>
    <r>
      <rPr>
        <b/>
        <sz val="9"/>
        <rFont val="Verdana"/>
        <family val="2"/>
      </rPr>
      <t xml:space="preserve">1 </t>
    </r>
    <r>
      <rPr>
        <sz val="9"/>
        <rFont val="Verdana"/>
        <family val="2"/>
      </rPr>
      <t>Los datos se refieren exclusivamente al movimiento registrado por los teatros, centros culturales y similares que respondieron la Encuesta INE, declarando haber presentado espectáculos deportivos por lo menos una vez en el año.</t>
    </r>
  </si>
  <si>
    <r>
      <t>Entrada gratuita</t>
    </r>
    <r>
      <rPr>
        <b/>
        <vertAlign val="superscript"/>
        <sz val="9"/>
        <rFont val="Verdana"/>
        <family val="2"/>
      </rPr>
      <t>/1</t>
    </r>
  </si>
  <si>
    <r>
      <rPr>
        <b/>
        <sz val="9"/>
        <rFont val="Verdana"/>
        <family val="2"/>
      </rPr>
      <t xml:space="preserve">1 </t>
    </r>
    <r>
      <rPr>
        <sz val="9"/>
        <rFont val="Verdana"/>
        <family val="2"/>
      </rPr>
      <t>Los datos se refieren exclusivamente al movimiento registrado por los estadios, centros deportivos, complejos deportivos y similares que respondieron la Encuesta INE, declarando haber presentado espectáculos deportivos por lo menos una vez en el año.</t>
    </r>
  </si>
  <si>
    <r>
      <t>Entrada pagada</t>
    </r>
    <r>
      <rPr>
        <b/>
        <vertAlign val="superscript"/>
        <sz val="9"/>
        <rFont val="Verdana"/>
        <family val="2"/>
      </rPr>
      <t>/1</t>
    </r>
  </si>
  <si>
    <r>
      <rPr>
        <b/>
        <sz val="9"/>
        <rFont val="Verdana"/>
        <family val="2"/>
      </rPr>
      <t xml:space="preserve">1 </t>
    </r>
    <r>
      <rPr>
        <sz val="9"/>
        <rFont val="Verdana"/>
        <family val="2"/>
      </rPr>
      <t>Los datos refieren exclusivamente al movimiento registrado por los estadios, centros deportivos, complejos deportivos y similares que respondieron la Encuesta INE, declarando haber presentado espectáculos deportivos por lo menos una vez en el año.</t>
    </r>
  </si>
  <si>
    <r>
      <t>Entrada pagada</t>
    </r>
    <r>
      <rPr>
        <b/>
        <vertAlign val="superscript"/>
        <sz val="9"/>
        <color theme="1"/>
        <rFont val="Verdana"/>
        <family val="2"/>
      </rPr>
      <t>/1</t>
    </r>
  </si>
  <si>
    <r>
      <t>Funciones</t>
    </r>
    <r>
      <rPr>
        <b/>
        <vertAlign val="superscript"/>
        <sz val="9"/>
        <color theme="1"/>
        <rFont val="Verdana"/>
        <family val="2"/>
      </rPr>
      <t>/1</t>
    </r>
  </si>
  <si>
    <r>
      <t>Funciones</t>
    </r>
    <r>
      <rPr>
        <b/>
        <vertAlign val="superscript"/>
        <sz val="9"/>
        <rFont val="Verdana"/>
        <family val="2"/>
      </rPr>
      <t>/1</t>
    </r>
  </si>
  <si>
    <r>
      <t>TIPO DE COMPETENCIAS</t>
    </r>
    <r>
      <rPr>
        <b/>
        <vertAlign val="superscript"/>
        <sz val="9"/>
        <rFont val="Verdana"/>
        <family val="2"/>
      </rPr>
      <t>/2</t>
    </r>
  </si>
  <si>
    <r>
      <rPr>
        <b/>
        <sz val="9"/>
        <rFont val="Verdana"/>
        <family val="2"/>
      </rPr>
      <t xml:space="preserve">1 </t>
    </r>
    <r>
      <rPr>
        <sz val="9"/>
        <rFont val="Verdana"/>
        <family val="2"/>
      </rPr>
      <t>En el año 2012 cambió de nombre de "deporte competitivo" a "deporte masivo", aumentando las categorías existentes al año 2011.</t>
    </r>
  </si>
  <si>
    <r>
      <rPr>
        <b/>
        <sz val="9"/>
        <rFont val="Verdana"/>
        <family val="2"/>
      </rPr>
      <t xml:space="preserve">2 </t>
    </r>
    <r>
      <rPr>
        <sz val="9"/>
        <rFont val="Verdana"/>
        <family val="2"/>
      </rPr>
      <t>En el año 2013, se implementan los programas "juegos deportivos nacionales" y "encuentros deportivos de verano".</t>
    </r>
  </si>
  <si>
    <r>
      <t>Juegos deportivos nacionales</t>
    </r>
    <r>
      <rPr>
        <vertAlign val="superscript"/>
        <sz val="9"/>
        <rFont val="Verdana"/>
        <family val="2"/>
      </rPr>
      <t>/2</t>
    </r>
  </si>
  <si>
    <r>
      <rPr>
        <b/>
        <sz val="9"/>
        <rFont val="Verdana"/>
        <family val="2"/>
      </rPr>
      <t xml:space="preserve">1 </t>
    </r>
    <r>
      <rPr>
        <sz val="9"/>
        <rFont val="Verdana"/>
        <family val="2"/>
      </rPr>
      <t>Cambió de nombre de "deporte competitivo" a "deporte masivo", aumentando las categorías existentes al año 2011.</t>
    </r>
  </si>
  <si>
    <r>
      <rPr>
        <b/>
        <sz val="9"/>
        <rFont val="Verdana"/>
        <family val="2"/>
      </rPr>
      <t xml:space="preserve">2 </t>
    </r>
    <r>
      <rPr>
        <sz val="9"/>
        <rFont val="Verdana"/>
        <family val="2"/>
      </rPr>
      <t>No se dispone de información para el programa juegos deportivos nacionales durante el año 2012, debido a que comenzó a implementarse en el año 2013.</t>
    </r>
  </si>
  <si>
    <r>
      <t>2011</t>
    </r>
    <r>
      <rPr>
        <b/>
        <vertAlign val="superscript"/>
        <sz val="9"/>
        <rFont val="Verdana"/>
        <family val="2"/>
      </rPr>
      <t>/1</t>
    </r>
  </si>
  <si>
    <r>
      <t>2012</t>
    </r>
    <r>
      <rPr>
        <b/>
        <vertAlign val="superscript"/>
        <sz val="9"/>
        <rFont val="Verdana"/>
        <family val="2"/>
      </rPr>
      <t>/2</t>
    </r>
  </si>
  <si>
    <r>
      <rPr>
        <b/>
        <sz val="9"/>
        <rFont val="Verdana"/>
        <family val="2"/>
      </rPr>
      <t xml:space="preserve">1 </t>
    </r>
    <r>
      <rPr>
        <sz val="9"/>
        <rFont val="Verdana"/>
        <family val="2"/>
      </rPr>
      <t>El año 2011 contiene información hasta el mes de junio del año 2012.</t>
    </r>
  </si>
  <si>
    <r>
      <rPr>
        <b/>
        <sz val="9"/>
        <rFont val="Verdana"/>
        <family val="2"/>
      </rPr>
      <t xml:space="preserve">2 </t>
    </r>
    <r>
      <rPr>
        <sz val="9"/>
        <rFont val="Verdana"/>
        <family val="2"/>
      </rPr>
      <t>El año 2012 contiene información hasta el mes de abril del año 2013.</t>
    </r>
  </si>
  <si>
    <r>
      <t>Centro Sur</t>
    </r>
    <r>
      <rPr>
        <b/>
        <vertAlign val="superscript"/>
        <sz val="9"/>
        <rFont val="Verdana"/>
        <family val="2"/>
      </rPr>
      <t>/1</t>
    </r>
  </si>
  <si>
    <r>
      <t>Insular Rapa Nui</t>
    </r>
    <r>
      <rPr>
        <b/>
        <vertAlign val="superscript"/>
        <sz val="9"/>
        <rFont val="Verdana"/>
        <family val="2"/>
      </rPr>
      <t>/2</t>
    </r>
  </si>
  <si>
    <r>
      <t xml:space="preserve">1 </t>
    </r>
    <r>
      <rPr>
        <sz val="9"/>
        <rFont val="Verdana"/>
        <family val="2"/>
      </rPr>
      <t>Dado que existen inscripciones en RPT Centro Sur y Sur de Comunidades Indígenas y Partes de comunidades, no se cuenta con información desagregada por sexo para estos sectores.</t>
    </r>
  </si>
  <si>
    <r>
      <rPr>
        <b/>
        <sz val="9"/>
        <rFont val="Verdana"/>
        <family val="2"/>
      </rPr>
      <t xml:space="preserve">2 </t>
    </r>
    <r>
      <rPr>
        <sz val="9"/>
        <rFont val="Verdana"/>
        <family val="2"/>
      </rPr>
      <t>EL RPTI Insular Rapa Nui, comprende las tierras correspondientes a la provincia Isla de Pascua de la Región de Valparaíso.</t>
    </r>
  </si>
  <si>
    <r>
      <t>Hombre</t>
    </r>
    <r>
      <rPr>
        <b/>
        <vertAlign val="superscript"/>
        <sz val="9"/>
        <rFont val="Verdana"/>
        <family val="2"/>
      </rPr>
      <t>/1</t>
    </r>
  </si>
  <si>
    <r>
      <rPr>
        <b/>
        <sz val="9"/>
        <rFont val="Verdana"/>
        <family val="2"/>
      </rPr>
      <t xml:space="preserve">1  </t>
    </r>
    <r>
      <rPr>
        <sz val="9"/>
        <rFont val="Verdana"/>
        <family val="2"/>
      </rPr>
      <t xml:space="preserve">La institución no dispone del total de la información desagregada por sexo para el año 2013. </t>
    </r>
  </si>
  <si>
    <r>
      <t>EIB</t>
    </r>
    <r>
      <rPr>
        <b/>
        <vertAlign val="superscript"/>
        <sz val="9"/>
        <rFont val="Verdana"/>
        <family val="2"/>
      </rPr>
      <t>/1</t>
    </r>
  </si>
  <si>
    <r>
      <t>EIB</t>
    </r>
    <r>
      <rPr>
        <b/>
        <vertAlign val="superscript"/>
        <sz val="9"/>
        <rFont val="Verdana"/>
        <family val="2"/>
      </rPr>
      <t>/1</t>
    </r>
    <r>
      <rPr>
        <b/>
        <sz val="9"/>
        <rFont val="Verdana"/>
        <family val="2"/>
      </rPr>
      <t xml:space="preserve"> ($)</t>
    </r>
  </si>
  <si>
    <r>
      <t>CAP</t>
    </r>
    <r>
      <rPr>
        <b/>
        <vertAlign val="superscript"/>
        <sz val="9"/>
        <rFont val="Verdana"/>
        <family val="2"/>
      </rPr>
      <t>/2</t>
    </r>
  </si>
  <si>
    <r>
      <t>CAP</t>
    </r>
    <r>
      <rPr>
        <b/>
        <vertAlign val="superscript"/>
        <sz val="9"/>
        <rFont val="Verdana"/>
        <family val="2"/>
      </rPr>
      <t>/2</t>
    </r>
    <r>
      <rPr>
        <b/>
        <sz val="9"/>
        <rFont val="Verdana"/>
        <family val="2"/>
      </rPr>
      <t xml:space="preserve"> ($)</t>
    </r>
  </si>
  <si>
    <r>
      <rPr>
        <b/>
        <sz val="9"/>
        <rFont val="Verdana"/>
        <family val="2"/>
      </rPr>
      <t>1</t>
    </r>
    <r>
      <rPr>
        <sz val="9"/>
        <rFont val="Verdana"/>
        <family val="2"/>
      </rPr>
      <t xml:space="preserve"> EIB: Programa de Aplicación del Diseño Curricular y pedagógico Intercultural Bilingüe (EIB).</t>
    </r>
  </si>
  <si>
    <r>
      <rPr>
        <b/>
        <sz val="9"/>
        <rFont val="Verdana"/>
        <family val="2"/>
      </rPr>
      <t>2</t>
    </r>
    <r>
      <rPr>
        <sz val="9"/>
        <rFont val="Verdana"/>
        <family val="2"/>
      </rPr>
      <t xml:space="preserve"> CAP: Programa Subsidio a la Capacitación y Especialización de Indígenas.</t>
    </r>
  </si>
  <si>
    <r>
      <t>DIF</t>
    </r>
    <r>
      <rPr>
        <b/>
        <vertAlign val="superscript"/>
        <sz val="9"/>
        <rFont val="Verdana"/>
        <family val="2"/>
      </rPr>
      <t>/1</t>
    </r>
  </si>
  <si>
    <r>
      <t>DIF</t>
    </r>
    <r>
      <rPr>
        <b/>
        <vertAlign val="superscript"/>
        <sz val="9"/>
        <rFont val="Verdana"/>
        <family val="2"/>
      </rPr>
      <t>/1</t>
    </r>
    <r>
      <rPr>
        <b/>
        <sz val="9"/>
        <rFont val="Verdana"/>
        <family val="2"/>
      </rPr>
      <t xml:space="preserve"> ($)</t>
    </r>
  </si>
  <si>
    <r>
      <t>LEN</t>
    </r>
    <r>
      <rPr>
        <b/>
        <vertAlign val="superscript"/>
        <sz val="9"/>
        <rFont val="Verdana"/>
        <family val="2"/>
      </rPr>
      <t>/2</t>
    </r>
  </si>
  <si>
    <r>
      <t>LEN</t>
    </r>
    <r>
      <rPr>
        <b/>
        <vertAlign val="superscript"/>
        <sz val="9"/>
        <rFont val="Verdana"/>
        <family val="2"/>
      </rPr>
      <t>/2</t>
    </r>
    <r>
      <rPr>
        <b/>
        <sz val="9"/>
        <rFont val="Verdana"/>
        <family val="2"/>
      </rPr>
      <t xml:space="preserve"> ($)</t>
    </r>
  </si>
  <si>
    <r>
      <t>PAT</t>
    </r>
    <r>
      <rPr>
        <b/>
        <vertAlign val="superscript"/>
        <sz val="9"/>
        <rFont val="Verdana"/>
        <family val="2"/>
      </rPr>
      <t>/3</t>
    </r>
  </si>
  <si>
    <r>
      <t>PAT</t>
    </r>
    <r>
      <rPr>
        <b/>
        <vertAlign val="superscript"/>
        <sz val="9"/>
        <rFont val="Verdana"/>
        <family val="2"/>
      </rPr>
      <t>/3</t>
    </r>
    <r>
      <rPr>
        <b/>
        <sz val="9"/>
        <rFont val="Verdana"/>
        <family val="2"/>
      </rPr>
      <t xml:space="preserve"> ($)</t>
    </r>
  </si>
  <si>
    <r>
      <rPr>
        <b/>
        <sz val="9"/>
        <rFont val="Verdana"/>
        <family val="2"/>
      </rPr>
      <t>1</t>
    </r>
    <r>
      <rPr>
        <sz val="9"/>
        <rFont val="Verdana"/>
        <family val="2"/>
      </rPr>
      <t xml:space="preserve"> DIF: Programa de Difusión y Fomento de las Culturas Indígenas.</t>
    </r>
  </si>
  <si>
    <r>
      <rPr>
        <b/>
        <sz val="9"/>
        <rFont val="Verdana"/>
        <family val="2"/>
      </rPr>
      <t>2</t>
    </r>
    <r>
      <rPr>
        <sz val="9"/>
        <rFont val="Verdana"/>
        <family val="2"/>
      </rPr>
      <t xml:space="preserve"> LEN: Programa de Recuperación y Revitalización de las Lenguas Indígenas.</t>
    </r>
  </si>
  <si>
    <r>
      <rPr>
        <b/>
        <sz val="9"/>
        <rFont val="Verdana"/>
        <family val="2"/>
      </rPr>
      <t>3</t>
    </r>
    <r>
      <rPr>
        <sz val="9"/>
        <rFont val="Verdana"/>
        <family val="2"/>
      </rPr>
      <t xml:space="preserve"> PAT: Programa Manejo y Protección del Patrimonio Cultural Indígena.</t>
    </r>
  </si>
  <si>
    <r>
      <t>2009</t>
    </r>
    <r>
      <rPr>
        <b/>
        <vertAlign val="superscript"/>
        <sz val="9"/>
        <rFont val="Verdana"/>
        <family val="2"/>
      </rPr>
      <t>/1</t>
    </r>
  </si>
  <si>
    <r>
      <t>2010</t>
    </r>
    <r>
      <rPr>
        <b/>
        <vertAlign val="superscript"/>
        <sz val="9"/>
        <rFont val="Verdana"/>
        <family val="2"/>
      </rPr>
      <t>/1</t>
    </r>
  </si>
  <si>
    <r>
      <rPr>
        <b/>
        <sz val="9"/>
        <rFont val="Verdana"/>
        <family val="2"/>
      </rPr>
      <t xml:space="preserve">1 </t>
    </r>
    <r>
      <rPr>
        <sz val="9"/>
        <rFont val="Verdana"/>
        <family val="2"/>
      </rPr>
      <t>No se dispone de información desagregada por sexo para este año.</t>
    </r>
  </si>
  <si>
    <r>
      <t>Valparaíso (continental)</t>
    </r>
    <r>
      <rPr>
        <b/>
        <vertAlign val="superscript"/>
        <sz val="9"/>
        <rFont val="Verdana"/>
        <family val="2"/>
      </rPr>
      <t>/1</t>
    </r>
  </si>
  <si>
    <r>
      <t>Valparaíso (insular)</t>
    </r>
    <r>
      <rPr>
        <b/>
        <vertAlign val="superscript"/>
        <sz val="9"/>
        <rFont val="Verdana"/>
        <family val="2"/>
      </rPr>
      <t>/2</t>
    </r>
  </si>
  <si>
    <r>
      <rPr>
        <b/>
        <sz val="9"/>
        <rFont val="Verdana"/>
        <family val="2"/>
      </rPr>
      <t>1</t>
    </r>
    <r>
      <rPr>
        <sz val="9"/>
        <rFont val="Verdana"/>
        <family val="2"/>
      </rPr>
      <t xml:space="preserve"> Excluye la comuna de Isla de Pascua.</t>
    </r>
  </si>
  <si>
    <r>
      <rPr>
        <b/>
        <sz val="9"/>
        <rFont val="Verdana"/>
        <family val="2"/>
      </rPr>
      <t xml:space="preserve">2 </t>
    </r>
    <r>
      <rPr>
        <sz val="9"/>
        <rFont val="Verdana"/>
        <family val="2"/>
      </rPr>
      <t>Sólo considera la comuna de Isla de Pascua.</t>
    </r>
  </si>
  <si>
    <r>
      <t>PENETRACIÓN INTERNET (FIJO+MÓVIL)/POBL POR CADA 100 HABS.</t>
    </r>
    <r>
      <rPr>
        <b/>
        <vertAlign val="superscript"/>
        <sz val="9"/>
        <rFont val="Verdana"/>
        <family val="2"/>
      </rPr>
      <t>/1</t>
    </r>
  </si>
  <si>
    <r>
      <t>2013</t>
    </r>
    <r>
      <rPr>
        <b/>
        <vertAlign val="superscript"/>
        <sz val="9"/>
        <rFont val="Verdana"/>
        <family val="2"/>
      </rPr>
      <t>/2</t>
    </r>
  </si>
  <si>
    <r>
      <rPr>
        <b/>
        <sz val="9"/>
        <rFont val="Verdana"/>
        <family val="2"/>
      </rPr>
      <t xml:space="preserve">1 </t>
    </r>
    <r>
      <rPr>
        <sz val="9"/>
        <rFont val="Verdana"/>
        <family val="2"/>
      </rPr>
      <t xml:space="preserve">Los datos de penetraciones UIT (fijo+móvil) provienen de la suma de los indicadores: Fixed (wired)-broadband subscriptions per 100 inhabitants  y Wireless-broadband subscriptions per 100 inhabitants. </t>
    </r>
  </si>
  <si>
    <r>
      <rPr>
        <b/>
        <sz val="9"/>
        <rFont val="Verdana"/>
        <family val="2"/>
      </rPr>
      <t xml:space="preserve">2 </t>
    </r>
    <r>
      <rPr>
        <sz val="9"/>
        <rFont val="Verdana"/>
        <family val="2"/>
      </rPr>
      <t>Se omitieron los datos en determinados años y países que no reportaron información para algún indicador. Los datos de Chile se encuentran actualizados de acuerdo a las series estadísticas existentes.</t>
    </r>
  </si>
  <si>
    <r>
      <t>R</t>
    </r>
    <r>
      <rPr>
        <sz val="9"/>
        <rFont val="Verdana"/>
        <family val="2"/>
      </rPr>
      <t xml:space="preserve"> Cifras rectificadas</t>
    </r>
  </si>
  <si>
    <r>
      <rPr>
        <b/>
        <sz val="9"/>
        <rFont val="Verdana"/>
        <family val="2"/>
      </rPr>
      <t>R</t>
    </r>
    <r>
      <rPr>
        <sz val="9"/>
        <rFont val="Verdana"/>
        <family val="2"/>
      </rPr>
      <t xml:space="preserve"> Cifra rectificada por el informante.</t>
    </r>
  </si>
  <si>
    <r>
      <t>Modalidad dedicada</t>
    </r>
    <r>
      <rPr>
        <b/>
        <vertAlign val="superscript"/>
        <sz val="9"/>
        <rFont val="Verdana"/>
        <family val="2"/>
      </rPr>
      <t>/1</t>
    </r>
  </si>
  <si>
    <r>
      <rPr>
        <b/>
        <sz val="9"/>
        <rFont val="Verdana"/>
        <family val="2"/>
      </rPr>
      <t>1</t>
    </r>
    <r>
      <rPr>
        <sz val="9"/>
        <rFont val="Verdana"/>
        <family val="2"/>
      </rPr>
      <t xml:space="preserve"> La modalidad dedicada corresponde al número de clientes con conexión punto a punto y las tecnologías de acceso por DLS, cable móden y WLL, entre otros. Las empresas identificadas a nivel nacional no están presentes en todas las regiones.</t>
    </r>
  </si>
  <si>
    <r>
      <t>Modalidad dedicada fija</t>
    </r>
    <r>
      <rPr>
        <b/>
        <vertAlign val="superscript"/>
        <sz val="9"/>
        <rFont val="Verdana"/>
        <family val="2"/>
      </rPr>
      <t>/1</t>
    </r>
  </si>
  <si>
    <r>
      <t>Modalidad 3G</t>
    </r>
    <r>
      <rPr>
        <b/>
        <vertAlign val="superscript"/>
        <sz val="9"/>
        <rFont val="Verdana"/>
        <family val="2"/>
      </rPr>
      <t>/2</t>
    </r>
  </si>
  <si>
    <r>
      <t>TOTAL</t>
    </r>
    <r>
      <rPr>
        <b/>
        <vertAlign val="superscript"/>
        <sz val="9"/>
        <rFont val="Verdana"/>
        <family val="2"/>
      </rPr>
      <t>/3</t>
    </r>
  </si>
  <si>
    <r>
      <rPr>
        <b/>
        <sz val="9"/>
        <rFont val="Verdana"/>
        <family val="2"/>
      </rPr>
      <t xml:space="preserve">2 </t>
    </r>
    <r>
      <rPr>
        <sz val="9"/>
        <rFont val="Verdana"/>
        <family val="2"/>
      </rPr>
      <t>Las conexiones móviles dedicadas (3G) se encuentran disponibles sólo a nivel nacional, sin apertura por región.</t>
    </r>
  </si>
  <si>
    <r>
      <rPr>
        <b/>
        <sz val="9"/>
        <rFont val="Verdana"/>
        <family val="2"/>
      </rPr>
      <t>3</t>
    </r>
    <r>
      <rPr>
        <sz val="9"/>
        <rFont val="Verdana"/>
        <family val="2"/>
      </rPr>
      <t xml:space="preserve"> El total vertical general no cuadra porque en él se incluyen las conexiones móviles dedicadas (3G), sin apertura por región.</t>
    </r>
  </si>
  <si>
    <r>
      <t>Modalidad fija</t>
    </r>
    <r>
      <rPr>
        <b/>
        <vertAlign val="superscript"/>
        <sz val="9"/>
        <rFont val="Verdana"/>
        <family val="2"/>
      </rPr>
      <t>/2</t>
    </r>
  </si>
  <si>
    <r>
      <t>Modalidadmóvil</t>
    </r>
    <r>
      <rPr>
        <b/>
        <vertAlign val="superscript"/>
        <sz val="9"/>
        <rFont val="Verdana"/>
        <family val="2"/>
      </rPr>
      <t>/3</t>
    </r>
  </si>
  <si>
    <r>
      <t>TOTAL</t>
    </r>
    <r>
      <rPr>
        <b/>
        <vertAlign val="superscript"/>
        <sz val="9"/>
        <rFont val="Verdana"/>
        <family val="2"/>
      </rPr>
      <t>/4</t>
    </r>
  </si>
  <si>
    <r>
      <rPr>
        <b/>
        <sz val="9"/>
        <rFont val="Verdana"/>
        <family val="2"/>
      </rPr>
      <t xml:space="preserve">1 </t>
    </r>
    <r>
      <rPr>
        <sz val="9"/>
        <rFont val="Verdana"/>
        <family val="2"/>
      </rPr>
      <t xml:space="preserve">Total de empresas que informaron a Subtel al mes de diciembre a cada año.
</t>
    </r>
  </si>
  <si>
    <r>
      <rPr>
        <b/>
        <sz val="9"/>
        <rFont val="Verdana"/>
        <family val="2"/>
      </rPr>
      <t xml:space="preserve">2 </t>
    </r>
    <r>
      <rPr>
        <sz val="9"/>
        <rFont val="Verdana"/>
        <family val="2"/>
      </rPr>
      <t>La modalidad dedicada corresponde al número de clientes con conexión punto a punto y las tecnologías de acceso por DLS, cable móden y WLL, entre otros. Las empresas identificadas a nivel nacional no están presentes en todas las regiones.</t>
    </r>
  </si>
  <si>
    <r>
      <rPr>
        <b/>
        <sz val="9"/>
        <rFont val="Verdana"/>
        <family val="2"/>
      </rPr>
      <t xml:space="preserve">3 </t>
    </r>
    <r>
      <rPr>
        <sz val="9"/>
        <rFont val="Verdana"/>
        <family val="2"/>
      </rPr>
      <t>Las conexiones móviles dedicadas (3G) se encuentran disponibles sólo a nivel nacional, sin apertura por región.</t>
    </r>
  </si>
  <si>
    <r>
      <rPr>
        <b/>
        <sz val="9"/>
        <rFont val="Verdana"/>
        <family val="2"/>
      </rPr>
      <t xml:space="preserve">4 </t>
    </r>
    <r>
      <rPr>
        <sz val="9"/>
        <rFont val="Verdana"/>
        <family val="2"/>
      </rPr>
      <t>Los totales presentados por cada modalidad, no responden a la totalización individual de cada región sino más bien al total nacional respecto a cada categoría. Esto se debe a que una misma empresa puede prestar servicios en más de una región, contabilizandose por separado.</t>
    </r>
  </si>
  <si>
    <r>
      <rPr>
        <b/>
        <sz val="9"/>
        <color theme="1"/>
        <rFont val="Verdana"/>
        <family val="2"/>
      </rPr>
      <t>1</t>
    </r>
    <r>
      <rPr>
        <sz val="9"/>
        <color theme="1"/>
        <rFont val="Verdana"/>
        <family val="2"/>
      </rPr>
      <t xml:space="preserve"> Los centros de educación superior incluyen institutos profesionales, centros de formación técnica y universidades chilenas.</t>
    </r>
  </si>
  <si>
    <r>
      <t>Ranking de ventas</t>
    </r>
    <r>
      <rPr>
        <b/>
        <vertAlign val="superscript"/>
        <sz val="9"/>
        <rFont val="Verdana"/>
        <family val="2"/>
      </rPr>
      <t>/1</t>
    </r>
  </si>
  <si>
    <r>
      <t>Calificación</t>
    </r>
    <r>
      <rPr>
        <b/>
        <vertAlign val="superscript"/>
        <sz val="9"/>
        <rFont val="Verdana"/>
        <family val="2"/>
      </rPr>
      <t>/2</t>
    </r>
  </si>
  <si>
    <r>
      <rPr>
        <b/>
        <sz val="9"/>
        <rFont val="Verdana"/>
        <family val="2"/>
      </rPr>
      <t xml:space="preserve">1 </t>
    </r>
    <r>
      <rPr>
        <sz val="9"/>
        <rFont val="Verdana"/>
        <family val="2"/>
      </rPr>
      <t>Ranking de venta de entradas de películas nacionales en orden descendente.</t>
    </r>
  </si>
  <si>
    <r>
      <rPr>
        <b/>
        <sz val="9"/>
        <rFont val="Verdana"/>
        <family val="2"/>
      </rPr>
      <t>2</t>
    </r>
    <r>
      <rPr>
        <sz val="9"/>
        <rFont val="Verdana"/>
        <family val="2"/>
      </rPr>
      <t xml:space="preserve"> Calificación de clasificación por edades para cine: TE "Todo Espectador", M14 "Mayores de 14 años", TE+7 "Todo Espectador y mayores de 7 años".</t>
    </r>
  </si>
  <si>
    <r>
      <rPr>
        <b/>
        <sz val="9"/>
        <rFont val="Verdana"/>
        <family val="2"/>
      </rPr>
      <t xml:space="preserve">1 </t>
    </r>
    <r>
      <rPr>
        <sz val="9"/>
        <rFont val="Verdana"/>
        <family val="2"/>
      </rPr>
      <t>Ranking de venta de entradas en orden descendente</t>
    </r>
  </si>
  <si>
    <r>
      <rPr>
        <b/>
        <sz val="9"/>
        <rFont val="Verdana"/>
        <family val="2"/>
      </rPr>
      <t xml:space="preserve">2 </t>
    </r>
    <r>
      <rPr>
        <sz val="9"/>
        <rFont val="Verdana"/>
        <family val="2"/>
      </rPr>
      <t>Calificación de películas, según edades: TE "Todo Espectador", M14 "Mayores de 14 años", TE+7 "Todo Espectador y mayores de 7 años".</t>
    </r>
  </si>
  <si>
    <r>
      <t>Género</t>
    </r>
    <r>
      <rPr>
        <b/>
        <vertAlign val="superscript"/>
        <sz val="9"/>
        <rFont val="Verdana"/>
        <family val="2"/>
      </rPr>
      <t>/1</t>
    </r>
  </si>
  <si>
    <r>
      <rPr>
        <b/>
        <sz val="9"/>
        <rFont val="Verdana"/>
        <family val="2"/>
      </rPr>
      <t xml:space="preserve">1 </t>
    </r>
    <r>
      <rPr>
        <sz val="9"/>
        <rFont val="Verdana"/>
        <family val="2"/>
      </rPr>
      <t>Los géneros indicados corresponden a datos entregados por Cadic en el Informe Anual de Cultura y Tiempo Libre 2004.</t>
    </r>
  </si>
  <si>
    <r>
      <t>Aysén</t>
    </r>
    <r>
      <rPr>
        <vertAlign val="superscript"/>
        <sz val="9"/>
        <rFont val="Verdana"/>
        <family val="2"/>
      </rPr>
      <t>/2</t>
    </r>
  </si>
  <si>
    <r>
      <rPr>
        <b/>
        <sz val="9"/>
        <rFont val="Verdana"/>
        <family val="2"/>
      </rPr>
      <t>1</t>
    </r>
    <r>
      <rPr>
        <sz val="9"/>
        <rFont val="Verdana"/>
        <family val="2"/>
      </rPr>
      <t xml:space="preserve"> Los datos se refieren a los cines que informaron a Cadic haber tenido movimiento al menos una vez en el año.</t>
    </r>
  </si>
  <si>
    <r>
      <rPr>
        <b/>
        <sz val="9"/>
        <rFont val="Verdana"/>
        <family val="2"/>
      </rPr>
      <t>2</t>
    </r>
    <r>
      <rPr>
        <sz val="9"/>
        <rFont val="Verdana"/>
        <family val="2"/>
      </rPr>
      <t xml:space="preserve"> La región de Aysén no dispone de información exahustiva, debido a que sólo se consideraron eventos especiales donde se proyectaron películas, sin mayor información.</t>
    </r>
  </si>
  <si>
    <r>
      <rPr>
        <b/>
        <sz val="9"/>
        <rFont val="Verdana"/>
        <family val="2"/>
      </rPr>
      <t xml:space="preserve">2 </t>
    </r>
    <r>
      <rPr>
        <sz val="9"/>
        <rFont val="Verdana"/>
        <family val="2"/>
      </rPr>
      <t>No se dispone de mayor desagregación de información para estas regiones debido a que los registros son proporcionados por una empresa externa a Cadic.</t>
    </r>
  </si>
  <si>
    <r>
      <t>Coproducciones</t>
    </r>
    <r>
      <rPr>
        <b/>
        <vertAlign val="superscript"/>
        <sz val="9"/>
        <rFont val="Verdana"/>
        <family val="2"/>
      </rPr>
      <t>/2</t>
    </r>
  </si>
  <si>
    <r>
      <rPr>
        <b/>
        <sz val="9"/>
        <rFont val="Verdana"/>
        <family val="2"/>
      </rPr>
      <t>2</t>
    </r>
    <r>
      <rPr>
        <sz val="9"/>
        <rFont val="Verdana"/>
        <family val="2"/>
      </rPr>
      <t xml:space="preserve"> Para el año 2014 no se dispuso de información respecto a coproducciones, debido a que aquellas en las que intervino Chile, fueron clasificadas en la categoría "Chile".</t>
    </r>
  </si>
  <si>
    <r>
      <rPr>
        <b/>
        <sz val="9"/>
        <rFont val="Verdana"/>
        <family val="2"/>
      </rPr>
      <t xml:space="preserve">1 </t>
    </r>
    <r>
      <rPr>
        <sz val="9"/>
        <rFont val="Verdana"/>
        <family val="2"/>
      </rPr>
      <t>Cadic no dispone de información respecto a los factores que pudieron incidir en la variación de cifras desde el año 2009 a 2010.</t>
    </r>
  </si>
  <si>
    <r>
      <rPr>
        <b/>
        <sz val="9"/>
        <rFont val="Verdana"/>
        <family val="2"/>
      </rPr>
      <t>2</t>
    </r>
    <r>
      <rPr>
        <sz val="9"/>
        <rFont val="Verdana"/>
        <family val="2"/>
      </rPr>
      <t xml:space="preserve"> Las coproducciones en que intervino Chile durante el año 2014, fueron clasificadas en la categoría "Chile".</t>
    </r>
  </si>
  <si>
    <r>
      <rPr>
        <b/>
        <sz val="9"/>
        <rFont val="Verdana"/>
        <family val="2"/>
      </rPr>
      <t xml:space="preserve">1 </t>
    </r>
    <r>
      <rPr>
        <sz val="9"/>
        <rFont val="Verdana"/>
        <family val="2"/>
      </rPr>
      <t>Los datos refieren exclusivamente al movimiento registrado por los teatros, centros culturales y similares que respondieron la Encuesta de Espectáculos Públicos (EEP) realizada por el INE, declarando haber presentado espectáculos de funciones de video por lo menos una vez en el año.</t>
    </r>
  </si>
  <si>
    <r>
      <t xml:space="preserve">Europa </t>
    </r>
    <r>
      <rPr>
        <vertAlign val="superscript"/>
        <sz val="9"/>
        <rFont val="Verdana"/>
        <family val="2"/>
      </rPr>
      <t>/1</t>
    </r>
  </si>
  <si>
    <r>
      <rPr>
        <b/>
        <sz val="9"/>
        <rFont val="Verdana"/>
        <family val="2"/>
      </rPr>
      <t>1</t>
    </r>
    <r>
      <rPr>
        <sz val="9"/>
        <rFont val="Verdana"/>
        <family val="2"/>
      </rPr>
      <t xml:space="preserve"> El aumento de las películas de origen europeo exihibidas durante el año 2014 parece afectar en el aumento en las recaudaciones durante ese año.</t>
    </r>
  </si>
  <si>
    <r>
      <t xml:space="preserve">EEUU </t>
    </r>
    <r>
      <rPr>
        <b/>
        <vertAlign val="superscript"/>
        <sz val="9"/>
        <rFont val="Verdana"/>
        <family val="2"/>
      </rPr>
      <t>/1</t>
    </r>
  </si>
  <si>
    <r>
      <rPr>
        <b/>
        <sz val="9"/>
        <rFont val="Verdana"/>
        <family val="2"/>
      </rPr>
      <t>1</t>
    </r>
    <r>
      <rPr>
        <sz val="9"/>
        <rFont val="Verdana"/>
        <family val="2"/>
      </rPr>
      <t xml:space="preserve"> El informante señala que, desde este año, cambió el criterio de clasificación considerándose en la categoría EEUU sólo las películas filmadas y desarrolladas en Estados Unidos. Por este motivo, esta categoría presenta una baja respecto al año 2013.</t>
    </r>
  </si>
  <si>
    <r>
      <t>Oferta</t>
    </r>
    <r>
      <rPr>
        <b/>
        <vertAlign val="superscript"/>
        <sz val="9"/>
        <rFont val="Verdana"/>
        <family val="2"/>
      </rPr>
      <t>/1</t>
    </r>
  </si>
  <si>
    <r>
      <t>Consumo</t>
    </r>
    <r>
      <rPr>
        <b/>
        <vertAlign val="superscript"/>
        <sz val="9"/>
        <rFont val="Verdana"/>
        <family val="2"/>
      </rPr>
      <t>/2</t>
    </r>
  </si>
  <si>
    <r>
      <rPr>
        <b/>
        <sz val="9"/>
        <rFont val="Verdana"/>
        <family val="2"/>
      </rPr>
      <t xml:space="preserve">1 </t>
    </r>
    <r>
      <rPr>
        <sz val="9"/>
        <rFont val="Verdana"/>
        <family val="2"/>
      </rPr>
      <t>Cantidad de horas anuales emitidas.</t>
    </r>
  </si>
  <si>
    <r>
      <rPr>
        <b/>
        <sz val="9"/>
        <rFont val="Verdana"/>
        <family val="2"/>
      </rPr>
      <t xml:space="preserve">2 </t>
    </r>
    <r>
      <rPr>
        <sz val="9"/>
        <rFont val="Verdana"/>
        <family val="2"/>
      </rPr>
      <t>Cantidad de horas promedio de consumo anual.</t>
    </r>
  </si>
  <si>
    <r>
      <rPr>
        <b/>
        <sz val="9"/>
        <rFont val="Verdana"/>
        <family val="2"/>
      </rPr>
      <t>2</t>
    </r>
    <r>
      <rPr>
        <sz val="9"/>
        <rFont val="Verdana"/>
        <family val="2"/>
      </rPr>
      <t xml:space="preserve"> Cantidad de horas promedio de consumo anual.</t>
    </r>
  </si>
  <si>
    <r>
      <t>Consumo infantil 4 - 12 años</t>
    </r>
    <r>
      <rPr>
        <b/>
        <vertAlign val="superscript"/>
        <sz val="9"/>
        <rFont val="Verdana"/>
        <family val="2"/>
      </rPr>
      <t>/1</t>
    </r>
  </si>
  <si>
    <r>
      <rPr>
        <b/>
        <sz val="9"/>
        <rFont val="Verdana"/>
        <family val="2"/>
      </rPr>
      <t xml:space="preserve">1 </t>
    </r>
    <r>
      <rPr>
        <sz val="9"/>
        <rFont val="Verdana"/>
        <family val="2"/>
      </rPr>
      <t>Cantidad de horas promedio de consumo anual.</t>
    </r>
  </si>
  <si>
    <r>
      <t>Horas</t>
    </r>
    <r>
      <rPr>
        <b/>
        <vertAlign val="superscript"/>
        <sz val="9"/>
        <rFont val="Verdana"/>
        <family val="2"/>
      </rPr>
      <t>/1</t>
    </r>
  </si>
  <si>
    <r>
      <rPr>
        <b/>
        <sz val="9"/>
        <rFont val="Verdana"/>
        <family val="2"/>
      </rPr>
      <t xml:space="preserve">1 </t>
    </r>
    <r>
      <rPr>
        <sz val="9"/>
        <rFont val="Verdana"/>
        <family val="2"/>
      </rPr>
      <t>Cantidad de horas promedio de consumo anual por persona.</t>
    </r>
  </si>
  <si>
    <r>
      <t>2013</t>
    </r>
    <r>
      <rPr>
        <b/>
        <vertAlign val="superscript"/>
        <sz val="9"/>
        <rFont val="Verdana"/>
        <family val="2"/>
      </rPr>
      <t>/1</t>
    </r>
  </si>
  <si>
    <r>
      <rPr>
        <b/>
        <sz val="9"/>
        <rFont val="Verdana"/>
        <family val="2"/>
      </rPr>
      <t xml:space="preserve">1 </t>
    </r>
    <r>
      <rPr>
        <sz val="9"/>
        <rFont val="Verdana"/>
        <family val="2"/>
      </rPr>
      <t>Durante el año 2013 se efectuaron dos repartos.</t>
    </r>
  </si>
  <si>
    <r>
      <t>2011</t>
    </r>
    <r>
      <rPr>
        <b/>
        <vertAlign val="superscript"/>
        <sz val="9"/>
        <rFont val="Verdana"/>
        <family val="2"/>
      </rPr>
      <t>/2</t>
    </r>
  </si>
  <si>
    <r>
      <t>2012</t>
    </r>
    <r>
      <rPr>
        <b/>
        <vertAlign val="superscript"/>
        <sz val="9"/>
        <rFont val="Verdana"/>
        <family val="2"/>
      </rPr>
      <t>/3</t>
    </r>
  </si>
  <si>
    <r>
      <t>2013</t>
    </r>
    <r>
      <rPr>
        <b/>
        <vertAlign val="superscript"/>
        <sz val="9"/>
        <rFont val="Verdana"/>
        <family val="2"/>
      </rPr>
      <t>/4</t>
    </r>
  </si>
  <si>
    <r>
      <t>TOTAL RECAUDACIÓN</t>
    </r>
    <r>
      <rPr>
        <b/>
        <vertAlign val="superscript"/>
        <sz val="9"/>
        <rFont val="Verdana"/>
        <family val="2"/>
      </rPr>
      <t>/5</t>
    </r>
  </si>
  <si>
    <r>
      <t>TOTAL DISTRIBUCIÓN</t>
    </r>
    <r>
      <rPr>
        <b/>
        <vertAlign val="superscript"/>
        <sz val="9"/>
        <rFont val="Verdana"/>
        <family val="2"/>
      </rPr>
      <t>/6</t>
    </r>
  </si>
  <si>
    <r>
      <rPr>
        <b/>
        <sz val="9"/>
        <rFont val="Verdana"/>
        <family val="2"/>
      </rPr>
      <t>1</t>
    </r>
    <r>
      <rPr>
        <sz val="9"/>
        <rFont val="Verdana"/>
        <family val="2"/>
      </rPr>
      <t xml:space="preserve"> Como medios de emisión se consideran: televisión; cable; transporte; cine; hoteles entre otros.</t>
    </r>
  </si>
  <si>
    <r>
      <rPr>
        <b/>
        <sz val="9"/>
        <rFont val="Verdana"/>
        <family val="2"/>
      </rPr>
      <t>2</t>
    </r>
    <r>
      <rPr>
        <sz val="9"/>
        <rFont val="Verdana"/>
        <family val="2"/>
      </rPr>
      <t xml:space="preserve"> Durante el año 2011 no se percibió recaudación por juicios en contra de usuarios por incumplimiento de la Ley 20.243. Con la puesta en marcha de la ley 20.243 se demandó a los canales y usuarios menores para el pago según tarifas actuales. El proceso de demanda y litigio en el que se encontraban hasta junio de este año, significó que efectivamente en el año 2011 no se recibieran dineros, por lo tanto no existió distribución. Chileactores, como agrupación, pudo seguir funcionando el año 2011 por donación de actores de teleseries grandes. El acuerdo conseguido entre los canales y otros usuarios  con Chileactores, les significará recaudar durante 2012 todo lo adeudado desde el año 2009, dinero que fué distribuido desde Enero a Diciembre de 2013.</t>
    </r>
  </si>
  <si>
    <r>
      <rPr>
        <b/>
        <sz val="9"/>
        <rFont val="Verdana"/>
        <family val="2"/>
      </rPr>
      <t>3</t>
    </r>
    <r>
      <rPr>
        <sz val="9"/>
        <rFont val="Verdana"/>
        <family val="2"/>
      </rPr>
      <t xml:space="preserve"> Desde el 2012 se incluye la composicion de la recaudacion según usuario de la comunicación.</t>
    </r>
  </si>
  <si>
    <r>
      <rPr>
        <b/>
        <sz val="9"/>
        <rFont val="Verdana"/>
        <family val="2"/>
      </rPr>
      <t>4</t>
    </r>
    <r>
      <rPr>
        <sz val="9"/>
        <rFont val="Verdana"/>
        <family val="2"/>
      </rPr>
      <t xml:space="preserve"> Durante el año 2012 se concluyeron y firmaron los contratos con los distintos usuarios, por tanto en el 2013 se efectuaron los repartos de los valores 2009-2011 y el reparto correspondiente a la recaudación del año 2012.</t>
    </r>
  </si>
  <si>
    <r>
      <rPr>
        <b/>
        <sz val="9"/>
        <rFont val="Verdana"/>
        <family val="2"/>
      </rPr>
      <t>5</t>
    </r>
    <r>
      <rPr>
        <sz val="9"/>
        <rFont val="Verdana"/>
        <family val="2"/>
      </rPr>
      <t xml:space="preserve"> Los ingresos por administración equivalen a una tasa de administración promedio obtenida una vez deducido el total de ingresos por inversiones.</t>
    </r>
  </si>
  <si>
    <r>
      <rPr>
        <b/>
        <sz val="9"/>
        <rFont val="Verdana"/>
        <family val="2"/>
      </rPr>
      <t>6</t>
    </r>
    <r>
      <rPr>
        <sz val="9"/>
        <rFont val="Verdana"/>
        <family val="2"/>
      </rPr>
      <t xml:space="preserve"> Distribuciones liquidadas a intérpretes.</t>
    </r>
  </si>
  <si>
    <r>
      <t>2009</t>
    </r>
    <r>
      <rPr>
        <b/>
        <vertAlign val="superscript"/>
        <sz val="9"/>
        <rFont val="Verdana"/>
        <family val="2"/>
      </rPr>
      <t>/2</t>
    </r>
  </si>
  <si>
    <r>
      <t>2010</t>
    </r>
    <r>
      <rPr>
        <b/>
        <vertAlign val="superscript"/>
        <sz val="9"/>
        <rFont val="Verdana"/>
        <family val="2"/>
      </rPr>
      <t>/2</t>
    </r>
  </si>
  <si>
    <r>
      <rPr>
        <b/>
        <sz val="9"/>
        <rFont val="Verdana"/>
        <family val="2"/>
      </rPr>
      <t xml:space="preserve">1 </t>
    </r>
    <r>
      <rPr>
        <sz val="9"/>
        <rFont val="Verdana"/>
        <family val="2"/>
      </rPr>
      <t>Dependiendo de la información obtenida, las explotaciones son consideradas por capítulos o como una sola explotación.</t>
    </r>
  </si>
  <si>
    <r>
      <rPr>
        <b/>
        <sz val="9"/>
        <rFont val="Verdana"/>
        <family val="2"/>
      </rPr>
      <t xml:space="preserve">2 </t>
    </r>
    <r>
      <rPr>
        <sz val="9"/>
        <rFont val="Verdana"/>
        <family val="2"/>
      </rPr>
      <t>Para los años 2009, 2010 y 2011 no se dispone de información desagregada para diferenciar las producciones entre nacionales y extranjeras.</t>
    </r>
  </si>
  <si>
    <r>
      <t>Oferta</t>
    </r>
    <r>
      <rPr>
        <b/>
        <vertAlign val="superscript"/>
        <sz val="9"/>
        <color theme="1"/>
        <rFont val="Verdana"/>
        <family val="2"/>
      </rPr>
      <t>/2</t>
    </r>
  </si>
  <si>
    <r>
      <t>Consumo</t>
    </r>
    <r>
      <rPr>
        <b/>
        <vertAlign val="superscript"/>
        <sz val="9"/>
        <color theme="1"/>
        <rFont val="Verdana"/>
        <family val="2"/>
      </rPr>
      <t>/3</t>
    </r>
  </si>
  <si>
    <r>
      <rPr>
        <b/>
        <sz val="9"/>
        <rFont val="Verdana"/>
        <family val="2"/>
      </rPr>
      <t xml:space="preserve">1 </t>
    </r>
    <r>
      <rPr>
        <sz val="9"/>
        <rFont val="Verdana"/>
        <family val="2"/>
      </rPr>
      <t>La definición de lo que se entiende como programación cultural está dada por la norma referida a dicha programación:
Normas sobre la obligación de las concesionarias de radiodifusión televisiva de libre recepción de transmitir un mínimo de programas culturales a la semana: […] Para los efectos de dar cumplimiento a esta norma, serán considerados culturales los programas de alta calidad que se refieran a las artes y las ciencias, así como aquellos destinados a promover y difundir el patrimonio universal, y en particular nuestro patrimonio e identidad nacional.
a. Por arte se entenderán todas las expresiones literarias, plásticas, audiovisuales, musicales y arquitectónicas, así como sus combinaciones.
b. Por ciencia se entenderán todos aquellos cuerpos de ideas y conocimientos contenidos en las llamadas ciencias exactas, naturales y sociales, incluyendo disciplinas como la historia, el derecho y la filosofía, tanto en sus expresiones propiamente científicas como tecnológicas.
c. Por patrimonio -como expresión de nuestra identidad- se entenderá el conjunto de bienes materiales, inmateriales y naturales valorados socialmente, por lo que ameritan ser conocidos, apreciados y transmitidos de una generación a otra. Comprende bienes muebles e inmuebles que son testimonio del talento creativo de intelectuales, artistas y científicos; edificaciones y conjuntos urbanos y sitios de valor histórico, paisajístico y artístico; los modos de vida propios de las diversas identidades vivas y pasadas, con sus tradiciones y expresiones, como también las evidencias geológicas y de la diversidad geográfica y biológica.</t>
    </r>
  </si>
  <si>
    <r>
      <rPr>
        <b/>
        <sz val="9"/>
        <color theme="1"/>
        <rFont val="Verdana"/>
        <family val="2"/>
      </rPr>
      <t xml:space="preserve">2 </t>
    </r>
    <r>
      <rPr>
        <sz val="9"/>
        <color theme="1"/>
        <rFont val="Verdana"/>
        <family val="2"/>
      </rPr>
      <t>Número de horas anuales emitidas.</t>
    </r>
  </si>
  <si>
    <r>
      <rPr>
        <b/>
        <sz val="9"/>
        <color theme="1"/>
        <rFont val="Verdana"/>
        <family val="2"/>
      </rPr>
      <t xml:space="preserve">3 </t>
    </r>
    <r>
      <rPr>
        <sz val="9"/>
        <color theme="1"/>
        <rFont val="Verdana"/>
        <family val="2"/>
      </rPr>
      <t>Número de horas promedio de consumo anual.</t>
    </r>
  </si>
  <si>
    <r>
      <t>Horas</t>
    </r>
    <r>
      <rPr>
        <b/>
        <vertAlign val="superscript"/>
        <sz val="9"/>
        <rFont val="Verdana"/>
        <family val="2"/>
      </rPr>
      <t>/3</t>
    </r>
  </si>
  <si>
    <r>
      <rPr>
        <b/>
        <sz val="9"/>
        <rFont val="Verdana"/>
        <family val="2"/>
      </rPr>
      <t xml:space="preserve">3 </t>
    </r>
    <r>
      <rPr>
        <sz val="9"/>
        <rFont val="Verdana"/>
        <family val="2"/>
      </rPr>
      <t>El total de horas de oferta infantil no considerado programación adolescente, por cuanto dentro de las definiciones del estudio programación infantil, son espacio para menores de 12 años.</t>
    </r>
  </si>
  <si>
    <r>
      <rPr>
        <b/>
        <sz val="9"/>
        <rFont val="Verdana"/>
        <family val="2"/>
      </rPr>
      <t>1</t>
    </r>
    <r>
      <rPr>
        <sz val="9"/>
        <rFont val="Verdana"/>
        <family val="2"/>
      </rPr>
      <t xml:space="preserve"> Número de horas anuales emitidas.</t>
    </r>
  </si>
  <si>
    <r>
      <rPr>
        <b/>
        <sz val="9"/>
        <rFont val="Verdana"/>
        <family val="2"/>
      </rPr>
      <t xml:space="preserve">2 </t>
    </r>
    <r>
      <rPr>
        <sz val="9"/>
        <rFont val="Verdana"/>
        <family val="2"/>
      </rPr>
      <t>Número de horas promedio de consumo anual.</t>
    </r>
  </si>
  <si>
    <r>
      <rPr>
        <b/>
        <sz val="9"/>
        <rFont val="Verdana"/>
        <family val="2"/>
      </rPr>
      <t xml:space="preserve">1 </t>
    </r>
    <r>
      <rPr>
        <sz val="9"/>
        <rFont val="Verdana"/>
        <family val="2"/>
      </rPr>
      <t>Número de horas anuales emitidas.</t>
    </r>
  </si>
  <si>
    <r>
      <rPr>
        <b/>
        <sz val="9"/>
        <rFont val="Verdana"/>
        <family val="2"/>
      </rPr>
      <t>2</t>
    </r>
    <r>
      <rPr>
        <sz val="9"/>
        <rFont val="Verdana"/>
        <family val="2"/>
      </rPr>
      <t xml:space="preserve"> Número de horas promedio de consumo anual.</t>
    </r>
  </si>
  <si>
    <r>
      <rPr>
        <b/>
        <sz val="9"/>
        <rFont val="Verdana"/>
        <family val="2"/>
      </rPr>
      <t xml:space="preserve">1 </t>
    </r>
    <r>
      <rPr>
        <sz val="9"/>
        <rFont val="Verdana"/>
        <family val="2"/>
      </rPr>
      <t>Número de horas anuales emitidas. Este valor no incluye la categoría de género denominada “Continuidad”.</t>
    </r>
  </si>
  <si>
    <r>
      <t>Continuidad</t>
    </r>
    <r>
      <rPr>
        <vertAlign val="superscript"/>
        <sz val="9"/>
        <rFont val="Verdana"/>
        <family val="2"/>
      </rPr>
      <t>/3</t>
    </r>
  </si>
  <si>
    <r>
      <t>Infomerciales</t>
    </r>
    <r>
      <rPr>
        <vertAlign val="superscript"/>
        <sz val="9"/>
        <rFont val="Verdana"/>
        <family val="2"/>
      </rPr>
      <t>/4</t>
    </r>
  </si>
  <si>
    <r>
      <rPr>
        <b/>
        <sz val="9"/>
        <rFont val="Verdana"/>
        <family val="2"/>
      </rPr>
      <t>1</t>
    </r>
    <r>
      <rPr>
        <sz val="9"/>
        <rFont val="Verdana"/>
        <family val="2"/>
      </rPr>
      <t xml:space="preserve"> Corresponde al número total de horas anuales emitidas de acuerdo a cada género televisivo.</t>
    </r>
  </si>
  <si>
    <r>
      <rPr>
        <b/>
        <sz val="9"/>
        <rFont val="Verdana"/>
        <family val="2"/>
      </rPr>
      <t>2</t>
    </r>
    <r>
      <rPr>
        <sz val="9"/>
        <rFont val="Verdana"/>
        <family val="2"/>
      </rPr>
      <t xml:space="preserve"> Se define como el número de horas promedio de consumo anual. La cantidad de horas de consumo de las audiencias son entregadas por la empresa Time Ibope a través del estudio People meter.</t>
    </r>
  </si>
  <si>
    <r>
      <rPr>
        <b/>
        <sz val="9"/>
        <rFont val="Verdana"/>
        <family val="2"/>
      </rPr>
      <t xml:space="preserve">3 </t>
    </r>
    <r>
      <rPr>
        <sz val="9"/>
        <rFont val="Verdana"/>
        <family val="2"/>
      </rPr>
      <t>Durante el año 2014 no se midió la programación de continuidad.</t>
    </r>
  </si>
  <si>
    <r>
      <rPr>
        <b/>
        <sz val="9"/>
        <rFont val="Verdana"/>
        <family val="2"/>
      </rPr>
      <t xml:space="preserve">4 </t>
    </r>
    <r>
      <rPr>
        <sz val="9"/>
        <rFont val="Verdana"/>
        <family val="2"/>
      </rPr>
      <t>Para el año 2014 el género Infomerciales se encuentra contenida en la categoría de publicidad.</t>
    </r>
  </si>
  <si>
    <r>
      <rPr>
        <b/>
        <sz val="9"/>
        <rFont val="Verdana"/>
        <family val="2"/>
      </rPr>
      <t>1</t>
    </r>
    <r>
      <rPr>
        <sz val="9"/>
        <rFont val="Verdana"/>
        <family val="2"/>
      </rPr>
      <t xml:space="preserve"> Número de horas anuales emitidas. Este valor no incluye la categoría de género denominada “Continuidad”.</t>
    </r>
  </si>
  <si>
    <r>
      <t>UHF</t>
    </r>
    <r>
      <rPr>
        <vertAlign val="superscript"/>
        <sz val="9"/>
        <rFont val="Verdana"/>
        <family val="2"/>
      </rPr>
      <t>/2</t>
    </r>
  </si>
  <si>
    <r>
      <rPr>
        <b/>
        <sz val="9"/>
        <rFont val="Verdana"/>
        <family val="2"/>
      </rPr>
      <t xml:space="preserve">1 </t>
    </r>
    <r>
      <rPr>
        <sz val="9"/>
        <rFont val="Verdana"/>
        <family val="2"/>
      </rPr>
      <t>La Ley vigente no contempla la distinción de coberturas geográficas para efectos de otorgar la concesión por lo que la categorización aquí presentada, no representa un criterio determinante, ya que solo responde al establecimiento de un orden interno para la categorización de las actuales concesiones.</t>
    </r>
  </si>
  <si>
    <r>
      <rPr>
        <b/>
        <sz val="9"/>
        <rFont val="Verdana"/>
        <family val="2"/>
      </rPr>
      <t xml:space="preserve">2 </t>
    </r>
    <r>
      <rPr>
        <sz val="9"/>
        <rFont val="Verdana"/>
        <family val="2"/>
      </rPr>
      <t>Sólo tiene cobertura regional.</t>
    </r>
  </si>
  <si>
    <r>
      <t>TAMAÑO DE LA EMPRESA</t>
    </r>
    <r>
      <rPr>
        <b/>
        <vertAlign val="superscript"/>
        <sz val="9"/>
        <rFont val="Verdana"/>
        <family val="2"/>
      </rPr>
      <t>/1</t>
    </r>
  </si>
  <si>
    <r>
      <t>TOTAL</t>
    </r>
    <r>
      <rPr>
        <b/>
        <vertAlign val="superscript"/>
        <sz val="9"/>
        <rFont val="Verdana"/>
        <family val="2"/>
      </rPr>
      <t>/2</t>
    </r>
  </si>
  <si>
    <r>
      <rPr>
        <b/>
        <sz val="9"/>
        <rFont val="Verdana"/>
        <family val="2"/>
      </rPr>
      <t>1</t>
    </r>
    <r>
      <rPr>
        <sz val="9"/>
        <rFont val="Verdana"/>
        <family val="2"/>
      </rPr>
      <t xml:space="preserve"> Clasificación adaptada por el INE, en función del número de trabajadores declarados en la encuesta.</t>
    </r>
  </si>
  <si>
    <r>
      <rPr>
        <b/>
        <sz val="9"/>
        <rFont val="Verdana"/>
        <family val="2"/>
      </rPr>
      <t>2</t>
    </r>
    <r>
      <rPr>
        <sz val="9"/>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</si>
  <si>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t>TOTAL</t>
    </r>
    <r>
      <rPr>
        <b/>
        <vertAlign val="superscript"/>
        <sz val="9"/>
        <rFont val="Verdana"/>
        <family val="2"/>
      </rPr>
      <t>/1/2</t>
    </r>
  </si>
  <si>
    <r>
      <rPr>
        <b/>
        <sz val="9"/>
        <rFont val="Verdana"/>
        <family val="2"/>
      </rPr>
      <t>1</t>
    </r>
    <r>
      <rPr>
        <sz val="9"/>
        <rFont val="Verdana"/>
        <family val="2"/>
      </rPr>
      <t xml:space="preserve"> Corresponde a las emisoras que respondieron la Encuesta Anual de Radios, declarando haber transmitido durante el año 2014.</t>
    </r>
  </si>
  <si>
    <r>
      <t>Personal de las radioemisoras</t>
    </r>
    <r>
      <rPr>
        <b/>
        <vertAlign val="superscript"/>
        <sz val="9"/>
        <rFont val="Verdana"/>
        <family val="2"/>
      </rPr>
      <t>/1</t>
    </r>
  </si>
  <si>
    <r>
      <t>Total</t>
    </r>
    <r>
      <rPr>
        <b/>
        <vertAlign val="superscript"/>
        <sz val="9"/>
        <rFont val="Verdana"/>
        <family val="2"/>
      </rPr>
      <t>/2</t>
    </r>
  </si>
  <si>
    <r>
      <rPr>
        <b/>
        <sz val="9"/>
        <rFont val="Verdana"/>
        <family val="2"/>
      </rPr>
      <t xml:space="preserve">1 </t>
    </r>
    <r>
      <rPr>
        <sz val="9"/>
        <rFont val="Verdana"/>
        <family val="2"/>
      </rPr>
      <t>Corresponde a las emisoras que respondieron la Encuesta Anual de Radios, declarando haber transmitido durante el año 2014.</t>
    </r>
  </si>
  <si>
    <r>
      <t>Total</t>
    </r>
    <r>
      <rPr>
        <b/>
        <vertAlign val="superscript"/>
        <sz val="9"/>
        <rFont val="Verdana"/>
        <family val="2"/>
      </rPr>
      <t>/1</t>
    </r>
  </si>
  <si>
    <r>
      <t>Mínima Cobertura</t>
    </r>
    <r>
      <rPr>
        <b/>
        <vertAlign val="superscript"/>
        <sz val="9"/>
        <rFont val="Verdana"/>
        <family val="2"/>
      </rPr>
      <t>/2</t>
    </r>
  </si>
  <si>
    <r>
      <rPr>
        <b/>
        <sz val="9"/>
        <rFont val="Verdana"/>
        <family val="2"/>
      </rPr>
      <t>1</t>
    </r>
    <r>
      <rPr>
        <sz val="9"/>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</si>
  <si>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9"/>
        <rFont val="Verdana"/>
        <family val="2"/>
      </rPr>
      <t>2</t>
    </r>
    <r>
      <rPr>
        <sz val="9"/>
        <rFont val="Verdana"/>
        <family val="2"/>
      </rPr>
      <t xml:space="preserve"> A contar del año 2010 las radioemisoras de Minima Cobertura se rigen por la nueva ley 20.433 de radios comunitarias.</t>
    </r>
  </si>
  <si>
    <r>
      <t>Señales de radiodifusión operativas (%)</t>
    </r>
    <r>
      <rPr>
        <b/>
        <vertAlign val="superscript"/>
        <sz val="9"/>
        <rFont val="Verdana"/>
        <family val="2"/>
      </rPr>
      <t>/1/2</t>
    </r>
  </si>
  <si>
    <r>
      <t>Mínima Cobertura</t>
    </r>
    <r>
      <rPr>
        <b/>
        <vertAlign val="superscript"/>
        <sz val="9"/>
        <rFont val="Verdana"/>
        <family val="2"/>
      </rPr>
      <t>/4</t>
    </r>
  </si>
  <si>
    <r>
      <rPr>
        <b/>
        <sz val="9"/>
        <rFont val="Verdana"/>
        <family val="2"/>
      </rPr>
      <t>2</t>
    </r>
    <r>
      <rPr>
        <sz val="9"/>
        <rFont val="Verdana"/>
        <family val="2"/>
      </rPr>
      <t xml:space="preserve"> Los porcentajes de este cuadro están basados en los valores netos del cuadro 16.8</t>
    </r>
  </si>
  <si>
    <r>
      <rPr>
        <b/>
        <sz val="9"/>
        <rFont val="Verdana"/>
        <family val="2"/>
      </rPr>
      <t>3</t>
    </r>
    <r>
      <rPr>
        <sz val="9"/>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</si>
  <si>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9"/>
        <rFont val="Verdana"/>
        <family val="2"/>
      </rPr>
      <t>4</t>
    </r>
    <r>
      <rPr>
        <sz val="9"/>
        <rFont val="Verdana"/>
        <family val="2"/>
      </rPr>
      <t xml:space="preserve"> A contar del año 2010 las radioemisoras de Minima Cobertura se rigen por la nueva ley 20.433 de radios comunitarias.</t>
    </r>
  </si>
  <si>
    <r>
      <t>CONCESIONES DE RADIODIFUSIÓN OPERATIVAS</t>
    </r>
    <r>
      <rPr>
        <b/>
        <vertAlign val="superscript"/>
        <sz val="9"/>
        <rFont val="Verdana"/>
        <family val="2"/>
      </rPr>
      <t>/1</t>
    </r>
  </si>
  <si>
    <r>
      <t>Mínima Cobertura</t>
    </r>
    <r>
      <rPr>
        <b/>
        <vertAlign val="superscript"/>
        <sz val="9"/>
        <rFont val="Verdana"/>
        <family val="2"/>
      </rPr>
      <t>/3</t>
    </r>
  </si>
  <si>
    <r>
      <rPr>
        <b/>
        <sz val="9"/>
        <rFont val="Verdana"/>
        <family val="2"/>
      </rPr>
      <t>3</t>
    </r>
    <r>
      <rPr>
        <sz val="9"/>
        <rFont val="Verdana"/>
        <family val="2"/>
      </rPr>
      <t xml:space="preserve"> A contar del año 2010 las radioemisoras de Minima Cobertura se rigen por la nueva ley 20.433 de radios comunitarias.</t>
    </r>
  </si>
  <si>
    <r>
      <t>Señales de radiodifusión operativas</t>
    </r>
    <r>
      <rPr>
        <b/>
        <vertAlign val="superscript"/>
        <sz val="9"/>
        <rFont val="Verdana"/>
        <family val="2"/>
      </rPr>
      <t>/1</t>
    </r>
  </si>
  <si>
    <r>
      <t>Señales de radiodifusión</t>
    </r>
    <r>
      <rPr>
        <b/>
        <vertAlign val="superscript"/>
        <sz val="9"/>
        <rFont val="Verdana"/>
        <family val="2"/>
      </rPr>
      <t>/1/2</t>
    </r>
  </si>
  <si>
    <r>
      <rPr>
        <b/>
        <sz val="9"/>
        <rFont val="Verdana"/>
        <family val="2"/>
      </rPr>
      <t>1</t>
    </r>
    <r>
      <rPr>
        <sz val="9"/>
        <rFont val="Verdana"/>
        <family val="2"/>
      </rPr>
      <t xml:space="preserve"> Refiere a las señales de radiodifusión  autorizadas por Subtel según concurso de la Ley General de Telecomunicaciones. </t>
    </r>
  </si>
  <si>
    <r>
      <rPr>
        <b/>
        <sz val="9"/>
        <rFont val="Verdana"/>
        <family val="2"/>
      </rPr>
      <t>2</t>
    </r>
    <r>
      <rPr>
        <sz val="9"/>
        <rFont val="Verdana"/>
        <family val="2"/>
      </rPr>
      <t xml:space="preserve"> Corresponde a las emisoras que respondieron la encuesta anual de radios, declarando haber transmitido durante el año 2014</t>
    </r>
  </si>
  <si>
    <r>
      <t>N° de radios con transmisión exclusiva online</t>
    </r>
    <r>
      <rPr>
        <vertAlign val="superscript"/>
        <sz val="9"/>
        <rFont val="Verdana"/>
        <family val="2"/>
      </rPr>
      <t>/1</t>
    </r>
  </si>
  <si>
    <r>
      <t>N° de radios de frecuencia AM/FM con señal online</t>
    </r>
    <r>
      <rPr>
        <vertAlign val="superscript"/>
        <sz val="9"/>
        <rFont val="Verdana"/>
        <family val="2"/>
      </rPr>
      <t>/2</t>
    </r>
  </si>
  <si>
    <r>
      <t>N° de sitios de venta de música online</t>
    </r>
    <r>
      <rPr>
        <vertAlign val="superscript"/>
        <sz val="9"/>
        <rFont val="Verdana"/>
        <family val="2"/>
      </rPr>
      <t>/3</t>
    </r>
  </si>
  <si>
    <r>
      <rPr>
        <b/>
        <sz val="9"/>
        <rFont val="Verdana"/>
        <family val="2"/>
      </rPr>
      <t>1</t>
    </r>
    <r>
      <rPr>
        <sz val="9"/>
        <rFont val="Verdana"/>
        <family val="2"/>
      </rPr>
      <t xml:space="preserve"> Corresponde a las radioemisoras licenciadas que han suscrito contrato de autorización de difusión pública de música conforme a la legislación vigente, pero que no corresponden necesariamente al universo.</t>
    </r>
  </si>
  <si>
    <r>
      <rPr>
        <b/>
        <sz val="9"/>
        <rFont val="Verdana"/>
        <family val="2"/>
      </rPr>
      <t>2</t>
    </r>
    <r>
      <rPr>
        <sz val="9"/>
        <rFont val="Verdana"/>
        <family val="2"/>
      </rPr>
      <t xml:space="preserve"> Radioemisoras identificadas. Estas no corresponden necesariamente al universo.</t>
    </r>
  </si>
  <si>
    <r>
      <rPr>
        <b/>
        <sz val="9"/>
        <rFont val="Verdana"/>
        <family val="2"/>
      </rPr>
      <t>3</t>
    </r>
    <r>
      <rPr>
        <sz val="9"/>
        <rFont val="Verdana"/>
        <family val="2"/>
      </rPr>
      <t xml:space="preserve"> Licenciados, existen sitios donde se vende música pero con entrega en formatos físicos.</t>
    </r>
  </si>
  <si>
    <r>
      <t>2014</t>
    </r>
    <r>
      <rPr>
        <b/>
        <vertAlign val="superscript"/>
        <sz val="9"/>
        <rFont val="Verdana"/>
        <family val="2"/>
      </rPr>
      <t>/1</t>
    </r>
  </si>
  <si>
    <r>
      <t xml:space="preserve">Los Ríos </t>
    </r>
    <r>
      <rPr>
        <vertAlign val="superscript"/>
        <sz val="9"/>
        <rFont val="Verdana"/>
        <family val="2"/>
      </rPr>
      <t>/R</t>
    </r>
  </si>
  <si>
    <r>
      <rPr>
        <b/>
        <sz val="9"/>
        <rFont val="Verdana"/>
        <family val="2"/>
      </rPr>
      <t xml:space="preserve">1 </t>
    </r>
    <r>
      <rPr>
        <sz val="9"/>
        <rFont val="Verdana"/>
        <family val="2"/>
      </rPr>
      <t>Información a diciembre de 2014.</t>
    </r>
  </si>
  <si>
    <r>
      <rPr>
        <b/>
        <sz val="9"/>
        <rFont val="Verdana"/>
        <family val="2"/>
      </rPr>
      <t>1</t>
    </r>
    <r>
      <rPr>
        <sz val="9"/>
        <rFont val="Verdana"/>
        <family val="2"/>
      </rPr>
      <t xml:space="preserve"> Línea nueva apoyo a la comercialización.</t>
    </r>
  </si>
  <si>
    <r>
      <rPr>
        <b/>
        <sz val="9"/>
        <rFont val="Verdana"/>
        <family val="2"/>
      </rPr>
      <t>2</t>
    </r>
    <r>
      <rPr>
        <sz val="9"/>
        <rFont val="Verdana"/>
        <family val="2"/>
      </rPr>
      <t xml:space="preserve"> Línea nueva apoyo a la exhibición de cine nacional.</t>
    </r>
  </si>
  <si>
    <r>
      <rPr>
        <b/>
        <sz val="9"/>
        <rFont val="Verdana"/>
        <family val="2"/>
      </rPr>
      <t xml:space="preserve">3 </t>
    </r>
    <r>
      <rPr>
        <sz val="9"/>
        <rFont val="Verdana"/>
        <family val="2"/>
      </rPr>
      <t>Difusión y promoción de obras audiovisuales nacionales e implementación de equipamiento se llama para este concurso difusión e implementación de equipamiento.</t>
    </r>
  </si>
  <si>
    <r>
      <rPr>
        <b/>
        <sz val="9"/>
        <rFont val="Verdana"/>
        <family val="2"/>
      </rPr>
      <t xml:space="preserve">4 </t>
    </r>
    <r>
      <rPr>
        <sz val="9"/>
        <rFont val="Verdana"/>
        <family val="2"/>
      </rPr>
      <t>Producción de obras audiovisuales de largometraje y mediometraje pasó a llamarse producción audiovisual para este concurso.</t>
    </r>
  </si>
  <si>
    <r>
      <rPr>
        <b/>
        <sz val="9"/>
        <rFont val="Verdana"/>
        <family val="2"/>
      </rPr>
      <t xml:space="preserve">5 </t>
    </r>
    <r>
      <rPr>
        <sz val="9"/>
        <rFont val="Verdana"/>
        <family val="2"/>
      </rPr>
      <t>Investigación y actividades formativas en este concurso se llama investigación.</t>
    </r>
  </si>
  <si>
    <r>
      <rPr>
        <b/>
        <sz val="9"/>
        <rFont val="Verdana"/>
        <family val="2"/>
      </rPr>
      <t>6</t>
    </r>
    <r>
      <rPr>
        <sz val="9"/>
        <rFont val="Verdana"/>
        <family val="2"/>
      </rPr>
      <t xml:space="preserve"> Corresponde a la antigua categoría: becas.</t>
    </r>
  </si>
  <si>
    <r>
      <rPr>
        <b/>
        <sz val="9"/>
        <rFont val="Verdana"/>
        <family val="2"/>
      </rPr>
      <t xml:space="preserve">7 </t>
    </r>
    <r>
      <rPr>
        <sz val="9"/>
        <rFont val="Verdana"/>
        <family val="2"/>
      </rPr>
      <t>La categoría "Otro" incluye a proyectos cuyos postulantes tienen domicilio en el extranjero y otros que según base de datos aparece sin registro de dirección.</t>
    </r>
  </si>
  <si>
    <r>
      <t>Número de Colegios</t>
    </r>
    <r>
      <rPr>
        <b/>
        <vertAlign val="superscript"/>
        <sz val="9"/>
        <rFont val="Verdana"/>
        <family val="2"/>
      </rPr>
      <t>/1</t>
    </r>
  </si>
  <si>
    <r>
      <rPr>
        <b/>
        <sz val="9"/>
        <rFont val="Verdana"/>
        <family val="2"/>
      </rPr>
      <t>1</t>
    </r>
    <r>
      <rPr>
        <sz val="9"/>
        <rFont val="Verdana"/>
        <family val="2"/>
      </rPr>
      <t xml:space="preserve"> No se dispone diferenciado en municipal, subvencionado o privado.</t>
    </r>
  </si>
  <si>
    <r>
      <rPr>
        <b/>
        <sz val="9"/>
        <rFont val="Verdana"/>
        <family val="2"/>
      </rPr>
      <t xml:space="preserve">1 </t>
    </r>
    <r>
      <rPr>
        <sz val="9"/>
        <rFont val="Verdana"/>
        <family val="2"/>
      </rPr>
      <t>Las cifras dan cuenta del número de socios existentes hasta el 19 de junio del 2014.</t>
    </r>
  </si>
  <si>
    <r>
      <rPr>
        <b/>
        <sz val="9"/>
        <rFont val="Verdana"/>
        <family val="2"/>
      </rPr>
      <t xml:space="preserve">1 </t>
    </r>
    <r>
      <rPr>
        <sz val="9"/>
        <rFont val="Verdana"/>
        <family val="2"/>
      </rPr>
      <t>Los datos refieren exclusivamente al movimiento registrado por los teatros, centros culturales y similares que respondieron la Encuesta INE, declarando haber presentado espectáculos de artes escénicas por lo menos una vez en el año.</t>
    </r>
  </si>
  <si>
    <r>
      <t>Recitales de poesía</t>
    </r>
    <r>
      <rPr>
        <b/>
        <vertAlign val="superscript"/>
        <sz val="9"/>
        <rFont val="Verdana"/>
        <family val="2"/>
      </rPr>
      <t>/1</t>
    </r>
  </si>
  <si>
    <r>
      <rPr>
        <b/>
        <sz val="9"/>
        <rFont val="Verdana"/>
        <family val="2"/>
      </rPr>
      <t>1</t>
    </r>
    <r>
      <rPr>
        <sz val="9"/>
        <rFont val="Verdana"/>
        <family val="2"/>
      </rPr>
      <t xml:space="preserve"> La BP Digital es un servicio distinto al entregado en las bibliotecas públicas de regiones, que no considera una distribución regional.</t>
    </r>
  </si>
  <si>
    <r>
      <rPr>
        <b/>
        <sz val="9"/>
        <rFont val="Verdana"/>
        <family val="2"/>
      </rPr>
      <t xml:space="preserve">1 </t>
    </r>
    <r>
      <rPr>
        <sz val="9"/>
        <rFont val="Verdana"/>
        <family val="2"/>
      </rPr>
      <t>Incluye hombres y mujeres, y sólo préstamos a domicilio. No se incluyen los préstamos en sala, ya que el sistema de cómputos para esta variable correspondía a una estimación de baja confiabilidad. Incluye Biblioteca de Santiago. Los datos de usuarios, préstamos y colecciones de bibliotecas públicas  se vieron afectados por cambios de plataforma de ingreso, pasando de las planillas manuales a registros automatizados. Este proceso se mantiene en desarrollo y genera temporalmente dos sistemas de registros que dificultan la continuidad y comparación de estos datos con años anteriores, es por esto que se informan los registros de las bibliotecas públicas que circulan automatizadas, obteniendo así datos fidedignos.</t>
    </r>
  </si>
  <si>
    <r>
      <rPr>
        <b/>
        <sz val="9"/>
        <rFont val="Verdana"/>
        <family val="2"/>
      </rPr>
      <t xml:space="preserve">1 </t>
    </r>
    <r>
      <rPr>
        <sz val="9"/>
        <rFont val="Verdana"/>
        <family val="2"/>
      </rPr>
      <t>Incluye hombres y mujeres, y sólo préstamos a domicilio. No se incluyen los préstamos en sala, ya que el sistema de cómputos para esta variable correspondía a una estimación de baja confiabilidad. Los datos de usuarios, préstamos y colecciones de bibliotecas públicas se vieron afectados por cambios de plataforma de ingreso, pasando de las planillas manuales a registros automatizados. Este proceso se mantiene en desarrollo y genera temporalmente dos sistemas de registros que dificultan la continuidad y comparación de estos datos con años anteriores, es por esto que se informan los registros de las bibliotecas públicas que circulan automatizadas, obteniendo así datos fidedignos.</t>
    </r>
  </si>
  <si>
    <r>
      <rPr>
        <b/>
        <sz val="9"/>
        <rFont val="Verdana"/>
        <family val="2"/>
      </rPr>
      <t xml:space="preserve">2 </t>
    </r>
    <r>
      <rPr>
        <sz val="9"/>
        <rFont val="Verdana"/>
        <family val="2"/>
      </rPr>
      <t>Incluye Biblioteca de Santiago.</t>
    </r>
  </si>
  <si>
    <t>Número de visitas presenciales Biblioteca Nacional / 1</t>
  </si>
  <si>
    <r>
      <t>Número de usuarios que asiste a actividades culturales en la Biblioteca Nacional</t>
    </r>
    <r>
      <rPr>
        <vertAlign val="superscript"/>
        <sz val="9"/>
        <rFont val="Verdana"/>
        <family val="2"/>
      </rPr>
      <t>/2</t>
    </r>
  </si>
  <si>
    <r>
      <rPr>
        <b/>
        <sz val="9"/>
        <rFont val="Verdana"/>
        <family val="2"/>
      </rPr>
      <t xml:space="preserve">1 </t>
    </r>
    <r>
      <rPr>
        <sz val="9"/>
        <rFont val="Verdana"/>
        <family val="2"/>
      </rPr>
      <t xml:space="preserve">En 2014 se implementaron contadores de tránsito en los ingresos del edificio, que cuentan </t>
    </r>
    <r>
      <rPr>
        <sz val="9"/>
        <color rgb="FF0000FF"/>
        <rFont val="Verdana"/>
        <family val="2"/>
      </rPr>
      <t>"</t>
    </r>
    <r>
      <rPr>
        <sz val="9"/>
        <rFont val="Verdana"/>
        <family val="2"/>
      </rPr>
      <t>cantidad de visitas". Este dato incluye los asistentes a actividades de Extensión Cultural y descuenta un promedio de tres ingresos diarios para el personal que trabaja en el edificio. Esta cifra NO es comparable con el año anterior, porque en años anteriores se ha contabilizado la cantidad de usuarios/as que consultaron material bibliográfico en los salones de la BN, los que para 2014 fueron 106.127.</t>
    </r>
  </si>
  <si>
    <r>
      <rPr>
        <b/>
        <sz val="9"/>
        <rFont val="Verdana"/>
        <family val="2"/>
      </rPr>
      <t xml:space="preserve">2 </t>
    </r>
    <r>
      <rPr>
        <sz val="9"/>
        <rFont val="Verdana"/>
        <family val="2"/>
      </rPr>
      <t>Para el año 2013, sólo fueron considerados los asistentes a las actividades realizadas en la Sala América, Sala  Ercilla y visitas guiadas de la Biblioteca Nacional. No se incluye los asistentes a las exposiciones o visitantes del edificio, debido a que no se cuenta con cifras exactas.</t>
    </r>
  </si>
  <si>
    <r>
      <t>Total</t>
    </r>
    <r>
      <rPr>
        <b/>
        <vertAlign val="superscript"/>
        <sz val="9"/>
        <rFont val="Verdana"/>
        <family val="2"/>
      </rPr>
      <t>/1 /2</t>
    </r>
  </si>
  <si>
    <r>
      <rPr>
        <b/>
        <sz val="9"/>
        <rFont val="Verdana"/>
        <family val="2"/>
      </rPr>
      <t>1</t>
    </r>
    <r>
      <rPr>
        <sz val="9"/>
        <rFont val="Verdana"/>
        <family val="2"/>
      </rPr>
      <t xml:space="preserve"> Se informan usuarios activos, los que corresponden a los usuarios registrados que han solicitado un préstamo durante el año 2014.</t>
    </r>
  </si>
  <si>
    <r>
      <rPr>
        <b/>
        <sz val="9"/>
        <rFont val="Verdana"/>
        <family val="2"/>
      </rPr>
      <t>2</t>
    </r>
    <r>
      <rPr>
        <sz val="9"/>
        <rFont val="Verdana"/>
        <family val="2"/>
      </rPr>
      <t xml:space="preserve"> En 2009 se inició la migración gradual de las bibliotecas públicas a nuevo sistema de registro automatizado que incluye usuarios y préstamos. Los datos de usuarios, préstamos y colecciones de bibliotecas públicas se vieron afectados por cambios de plataforma de ingreso, pasando de las planillas manuales a registros automatizados. Este proceso se mantiene en desarrollo y genera temporalmente dos sistemas de registros que dificultan la continuidad y comparación de estos datos con años anteriores, es por esto que se informan los registros de las bibliotecas públicas que circulan automatizadas, obteniendo así datos fidedignos.</t>
    </r>
  </si>
  <si>
    <r>
      <t>SITIO WEB</t>
    </r>
    <r>
      <rPr>
        <b/>
        <vertAlign val="superscript"/>
        <sz val="9"/>
        <rFont val="Verdana"/>
        <family val="2"/>
      </rPr>
      <t>/1</t>
    </r>
  </si>
  <si>
    <r>
      <t>Memoria Chilena</t>
    </r>
    <r>
      <rPr>
        <vertAlign val="superscript"/>
        <sz val="9"/>
        <rFont val="Verdana"/>
        <family val="2"/>
      </rPr>
      <t>/2</t>
    </r>
  </si>
  <si>
    <r>
      <t>Chile para Niños</t>
    </r>
    <r>
      <rPr>
        <vertAlign val="superscript"/>
        <sz val="9"/>
        <rFont val="Verdana"/>
        <family val="2"/>
      </rPr>
      <t>/3</t>
    </r>
  </si>
  <si>
    <r>
      <t>Museo Nacional de Bellas Artes</t>
    </r>
    <r>
      <rPr>
        <vertAlign val="superscript"/>
        <sz val="9"/>
        <rFont val="Verdana"/>
        <family val="2"/>
      </rPr>
      <t>/4</t>
    </r>
  </si>
  <si>
    <r>
      <t>Artistas Plásticos Chilenos</t>
    </r>
    <r>
      <rPr>
        <vertAlign val="superscript"/>
        <sz val="9"/>
        <rFont val="Verdana"/>
        <family val="2"/>
      </rPr>
      <t>/5</t>
    </r>
  </si>
  <si>
    <r>
      <t>Fotografía Patrimonial</t>
    </r>
    <r>
      <rPr>
        <vertAlign val="superscript"/>
        <sz val="9"/>
        <rFont val="Verdana"/>
        <family val="2"/>
      </rPr>
      <t>/6</t>
    </r>
  </si>
  <si>
    <r>
      <t>Zona Didactica Museos</t>
    </r>
    <r>
      <rPr>
        <vertAlign val="superscript"/>
        <sz val="9"/>
        <rFont val="Verdana"/>
        <family val="2"/>
      </rPr>
      <t>/7</t>
    </r>
  </si>
  <si>
    <r>
      <rPr>
        <b/>
        <sz val="9"/>
        <rFont val="Verdana"/>
        <family val="2"/>
      </rPr>
      <t xml:space="preserve">1 </t>
    </r>
    <r>
      <rPr>
        <sz val="9"/>
        <rFont val="Verdana"/>
        <family val="2"/>
      </rPr>
      <t>En algunos sitios Web sólo se muestran datos para el año 2013 y 2014, debido a que el año 2009 se contaba con un sistema que distorsionaba mucho las mediciones realizadas y por lo tanto sus resultados no eran muy representativos del nivel de actividad de estos sitios.</t>
    </r>
  </si>
  <si>
    <r>
      <rPr>
        <b/>
        <sz val="9"/>
        <rFont val="Verdana"/>
        <family val="2"/>
      </rPr>
      <t xml:space="preserve">2 </t>
    </r>
    <r>
      <rPr>
        <sz val="9"/>
        <rFont val="Verdana"/>
        <family val="2"/>
      </rPr>
      <t>Sitio web: www.memoriachilena.cl</t>
    </r>
  </si>
  <si>
    <r>
      <rPr>
        <b/>
        <sz val="9"/>
        <rFont val="Verdana"/>
        <family val="2"/>
      </rPr>
      <t xml:space="preserve">3 </t>
    </r>
    <r>
      <rPr>
        <sz val="9"/>
        <rFont val="Verdana"/>
        <family val="2"/>
      </rPr>
      <t>Sitio web: www.chileparaninos.cl</t>
    </r>
  </si>
  <si>
    <r>
      <rPr>
        <b/>
        <sz val="9"/>
        <rFont val="Verdana"/>
        <family val="2"/>
      </rPr>
      <t xml:space="preserve">4 </t>
    </r>
    <r>
      <rPr>
        <sz val="9"/>
        <rFont val="Verdana"/>
        <family val="2"/>
      </rPr>
      <t>Sitio web: www.mnba.cl</t>
    </r>
  </si>
  <si>
    <r>
      <rPr>
        <b/>
        <sz val="9"/>
        <rFont val="Verdana"/>
        <family val="2"/>
      </rPr>
      <t xml:space="preserve">5 </t>
    </r>
    <r>
      <rPr>
        <sz val="9"/>
        <rFont val="Verdana"/>
        <family val="2"/>
      </rPr>
      <t>Sitio web: www.artistasplasticoschilenos.cl</t>
    </r>
  </si>
  <si>
    <r>
      <rPr>
        <b/>
        <sz val="9"/>
        <rFont val="Verdana"/>
        <family val="2"/>
      </rPr>
      <t xml:space="preserve">6 </t>
    </r>
    <r>
      <rPr>
        <sz val="9"/>
        <rFont val="Verdana"/>
        <family val="2"/>
      </rPr>
      <t>Sitio web: www.fotografiapatrimonial.cl</t>
    </r>
  </si>
  <si>
    <r>
      <rPr>
        <b/>
        <sz val="9"/>
        <rFont val="Verdana"/>
        <family val="2"/>
      </rPr>
      <t xml:space="preserve">7 </t>
    </r>
    <r>
      <rPr>
        <sz val="9"/>
        <rFont val="Verdana"/>
        <family val="2"/>
      </rPr>
      <t>Sitio web: www.zonadidacticamuseos.cl</t>
    </r>
  </si>
  <si>
    <r>
      <t>Número de consultas remotas Plataforma Descubre</t>
    </r>
    <r>
      <rPr>
        <vertAlign val="superscript"/>
        <sz val="9"/>
        <rFont val="Verdana"/>
        <family val="2"/>
      </rPr>
      <t>/2</t>
    </r>
  </si>
  <si>
    <r>
      <t>Número de consultas remotas al Catálogo Bibliográfico DIBAM</t>
    </r>
    <r>
      <rPr>
        <vertAlign val="superscript"/>
        <sz val="9"/>
        <rFont val="Verdana"/>
        <family val="2"/>
      </rPr>
      <t>/3</t>
    </r>
  </si>
  <si>
    <r>
      <t>Memorias del Siglo XX</t>
    </r>
    <r>
      <rPr>
        <vertAlign val="superscript"/>
        <sz val="9"/>
        <rFont val="Verdana"/>
        <family val="2"/>
      </rPr>
      <t>/4</t>
    </r>
  </si>
  <si>
    <r>
      <t>Memorias del Siglo XX</t>
    </r>
    <r>
      <rPr>
        <vertAlign val="superscript"/>
        <sz val="9"/>
        <rFont val="Verdana"/>
        <family val="2"/>
      </rPr>
      <t>/5</t>
    </r>
  </si>
  <si>
    <r>
      <t>Portal Dibam</t>
    </r>
    <r>
      <rPr>
        <vertAlign val="superscript"/>
        <sz val="9"/>
        <rFont val="Verdana"/>
        <family val="2"/>
      </rPr>
      <t>/4</t>
    </r>
  </si>
  <si>
    <r>
      <t>Portal Dibam</t>
    </r>
    <r>
      <rPr>
        <vertAlign val="superscript"/>
        <sz val="9"/>
        <rFont val="Verdana"/>
        <family val="2"/>
      </rPr>
      <t>/5</t>
    </r>
  </si>
  <si>
    <r>
      <t xml:space="preserve">1 </t>
    </r>
    <r>
      <rPr>
        <sz val="9"/>
        <rFont val="Verdana"/>
        <family val="2"/>
      </rPr>
      <t>La estructura de la tabla cambia a la presentada el 2013, de acuerdo a lo sugerido por el informante.</t>
    </r>
  </si>
  <si>
    <r>
      <rPr>
        <b/>
        <sz val="9"/>
        <rFont val="Verdana"/>
        <family val="2"/>
      </rPr>
      <t>2</t>
    </r>
    <r>
      <rPr>
        <sz val="9"/>
        <rFont val="Verdana"/>
        <family val="2"/>
      </rPr>
      <t xml:space="preserve"> Agrupa las consultas a los catálogos: Bibliográfico BN, Digital BN y Mini Sitios de Memoria Chilena</t>
    </r>
  </si>
  <si>
    <r>
      <rPr>
        <b/>
        <sz val="9"/>
        <rFont val="Verdana"/>
        <family val="2"/>
      </rPr>
      <t>3</t>
    </r>
    <r>
      <rPr>
        <sz val="9"/>
        <rFont val="Verdana"/>
        <family val="2"/>
      </rPr>
      <t xml:space="preserve"> Consultas remotas al sitio www.bncatalogo.cl que agrupa todos los catálogos bibliográficos de DIBAM</t>
    </r>
  </si>
  <si>
    <r>
      <rPr>
        <b/>
        <sz val="9"/>
        <rFont val="Verdana"/>
        <family val="2"/>
      </rPr>
      <t>4</t>
    </r>
    <r>
      <rPr>
        <sz val="9"/>
        <rFont val="Verdana"/>
        <family val="2"/>
      </rPr>
      <t xml:space="preserve"> Páginas visitadas.</t>
    </r>
  </si>
  <si>
    <r>
      <rPr>
        <b/>
        <sz val="9"/>
        <rFont val="Verdana"/>
        <family val="2"/>
      </rPr>
      <t>5</t>
    </r>
    <r>
      <rPr>
        <sz val="9"/>
        <rFont val="Verdana"/>
        <family val="2"/>
      </rPr>
      <t xml:space="preserve"> IP o usuarios únicos.</t>
    </r>
  </si>
  <si>
    <r>
      <rPr>
        <b/>
        <sz val="9"/>
        <rFont val="Verdana"/>
        <family val="2"/>
      </rPr>
      <t xml:space="preserve">1 </t>
    </r>
    <r>
      <rPr>
        <sz val="9"/>
        <rFont val="Verdana"/>
        <family val="2"/>
      </rPr>
      <t>Corresponde a las sesiones de internet presenciales y wifi, realizadas durante el año, por los usuarios del programa biblioredes en las bibliotecas públicas en convenio con la Dibam.</t>
    </r>
  </si>
  <si>
    <r>
      <t xml:space="preserve">SESIONES DE ACCESO GRATUITO A INTERNET </t>
    </r>
    <r>
      <rPr>
        <b/>
        <vertAlign val="superscript"/>
        <sz val="9"/>
        <rFont val="Verdana"/>
        <family val="2"/>
      </rPr>
      <t>/2</t>
    </r>
  </si>
  <si>
    <r>
      <rPr>
        <b/>
        <sz val="9"/>
        <rFont val="Verdana"/>
        <family val="2"/>
      </rPr>
      <t>1</t>
    </r>
    <r>
      <rPr>
        <sz val="9"/>
        <rFont val="Verdana"/>
        <family val="2"/>
      </rPr>
      <t xml:space="preserve"> Corresponde a las sesiones de internet realizadas durante el año, por los usuarios del programa biblioredes en las bibliotecas públicas en convenio con la Dibam.</t>
    </r>
  </si>
  <si>
    <r>
      <rPr>
        <b/>
        <sz val="9"/>
        <rFont val="Verdana"/>
        <family val="2"/>
      </rPr>
      <t>2</t>
    </r>
    <r>
      <rPr>
        <sz val="9"/>
        <rFont val="Verdana"/>
        <family val="2"/>
      </rPr>
      <t xml:space="preserve"> Corresponde a sesiones presenciales y wifi en bibliotecas de todo Chile</t>
    </r>
  </si>
  <si>
    <r>
      <t>Número de usuarios nuevos registrados en bibliotecas públicas</t>
    </r>
    <r>
      <rPr>
        <vertAlign val="superscript"/>
        <sz val="9"/>
        <rFont val="Verdana"/>
        <family val="2"/>
      </rPr>
      <t>/1</t>
    </r>
  </si>
  <si>
    <r>
      <rPr>
        <b/>
        <sz val="9"/>
        <rFont val="Verdana"/>
        <family val="2"/>
      </rPr>
      <t>1</t>
    </r>
    <r>
      <rPr>
        <sz val="9"/>
        <rFont val="Verdana"/>
        <family val="2"/>
      </rPr>
      <t xml:space="preserve"> Corresponde a socios activos de la red de bibliotecas públicas el 2013.</t>
    </r>
  </si>
  <si>
    <r>
      <rPr>
        <b/>
        <sz val="9"/>
        <rFont val="Verdana"/>
        <family val="2"/>
      </rPr>
      <t>1</t>
    </r>
    <r>
      <rPr>
        <sz val="9"/>
        <rFont val="Verdana"/>
        <family val="2"/>
      </rPr>
      <t xml:space="preserve"> Desde 2014 los registros digitales se consultan a través de la Plataforma Decubre de la Biblioteca Nacional, la que incluye el material disponible en el catálogo bibliográfico, catálogo digital y temas de Memoria Chilena. La cantidad de objetos NO se debe sumar a la cantidad de registros, porque éstos están contenidos dentro de los registros. Este total agrupa los objetos digitales contenidos en los minis sitios de Memoria Chilena y del Catálogo Digital de la BN.</t>
    </r>
  </si>
  <si>
    <r>
      <t>Ejemplares</t>
    </r>
    <r>
      <rPr>
        <b/>
        <vertAlign val="superscript"/>
        <sz val="9"/>
        <rFont val="Verdana"/>
        <family val="2"/>
      </rPr>
      <t>/1</t>
    </r>
  </si>
  <si>
    <r>
      <rPr>
        <b/>
        <sz val="9"/>
        <rFont val="Verdana"/>
        <family val="2"/>
      </rPr>
      <t>1</t>
    </r>
    <r>
      <rPr>
        <sz val="9"/>
        <rFont val="Verdana"/>
        <family val="2"/>
      </rPr>
      <t xml:space="preserve"> Ejemplares ingresados al sistema Aleph de las bibliotecas públicas que se encuentran circulando automatizadas por colección.</t>
    </r>
  </si>
  <si>
    <r>
      <rPr>
        <b/>
        <sz val="9"/>
        <rFont val="Verdana"/>
        <family val="2"/>
      </rPr>
      <t>1</t>
    </r>
    <r>
      <rPr>
        <sz val="9"/>
        <rFont val="Verdana"/>
        <family val="2"/>
      </rPr>
      <t xml:space="preserve"> Ejemplares ingresados al sistema Aleph de las bibliotecas públicas que se encuentran circulando automatizadas por materia al 2014.</t>
    </r>
  </si>
  <si>
    <r>
      <t>TIPO DE COLECCIÓN</t>
    </r>
    <r>
      <rPr>
        <b/>
        <vertAlign val="superscript"/>
        <sz val="9"/>
        <rFont val="Verdana"/>
        <family val="2"/>
      </rPr>
      <t>/1</t>
    </r>
  </si>
  <si>
    <r>
      <t>Ejemplares</t>
    </r>
    <r>
      <rPr>
        <b/>
        <vertAlign val="superscript"/>
        <sz val="9"/>
        <rFont val="Verdana"/>
        <family val="2"/>
      </rPr>
      <t>/2</t>
    </r>
  </si>
  <si>
    <r>
      <rPr>
        <b/>
        <sz val="9"/>
        <rFont val="Verdana"/>
        <family val="2"/>
      </rPr>
      <t xml:space="preserve">1 </t>
    </r>
    <r>
      <rPr>
        <sz val="9"/>
        <rFont val="Verdana"/>
        <family val="2"/>
      </rPr>
      <t>Colecciones itemizadas por las bibliotecas públicas automatizadas.</t>
    </r>
  </si>
  <si>
    <r>
      <rPr>
        <b/>
        <sz val="9"/>
        <rFont val="Verdana"/>
        <family val="2"/>
      </rPr>
      <t>2</t>
    </r>
    <r>
      <rPr>
        <sz val="9"/>
        <rFont val="Verdana"/>
        <family val="2"/>
      </rPr>
      <t xml:space="preserve"> Ejemplares: es la cantidad de volúmenes que se imprime, adquiere, distribuye  de un título u obra. </t>
    </r>
  </si>
  <si>
    <r>
      <t>2013</t>
    </r>
    <r>
      <rPr>
        <vertAlign val="superscript"/>
        <sz val="9"/>
        <rFont val="Verdana"/>
        <family val="2"/>
      </rPr>
      <t>/1</t>
    </r>
  </si>
  <si>
    <r>
      <rPr>
        <b/>
        <sz val="9"/>
        <rFont val="Verdana"/>
        <family val="2"/>
      </rPr>
      <t xml:space="preserve">1 </t>
    </r>
    <r>
      <rPr>
        <sz val="9"/>
        <rFont val="Verdana"/>
        <family val="2"/>
      </rPr>
      <t>Se incorporan para este conteo, servicios de internet pertenecientes a cárceles, laboratorios de capacitación Dibam y bibliotecas con acceso wifi incoporadas durante el año 2014. Todos estos servicios dan acceso a internet y se consideran para el conteo de las metas institucionales del año 2014.</t>
    </r>
  </si>
  <si>
    <r>
      <t>Servicios móviles</t>
    </r>
    <r>
      <rPr>
        <b/>
        <vertAlign val="superscript"/>
        <sz val="9"/>
        <rFont val="Verdana"/>
        <family val="2"/>
      </rPr>
      <t>/1</t>
    </r>
  </si>
  <si>
    <r>
      <rPr>
        <b/>
        <sz val="9"/>
        <rFont val="Verdana"/>
        <family val="2"/>
      </rPr>
      <t xml:space="preserve">1 </t>
    </r>
    <r>
      <rPr>
        <sz val="9"/>
        <rFont val="Verdana"/>
        <family val="2"/>
      </rPr>
      <t>Medios de transporte acondicionados para ofrecer los servicios de biblioteca pública.</t>
    </r>
  </si>
  <si>
    <r>
      <t>Total bibliotecas públicas</t>
    </r>
    <r>
      <rPr>
        <b/>
        <vertAlign val="superscript"/>
        <sz val="9"/>
        <rFont val="Verdana"/>
        <family val="2"/>
      </rPr>
      <t>/1 /2</t>
    </r>
  </si>
  <si>
    <r>
      <rPr>
        <b/>
        <sz val="9"/>
        <rFont val="Verdana"/>
        <family val="2"/>
      </rPr>
      <t>1</t>
    </r>
    <r>
      <rPr>
        <sz val="9"/>
        <rFont val="Verdana"/>
        <family val="2"/>
      </rPr>
      <t xml:space="preserve"> La biblioteca pública municipal o comunal es la biblioteca principal de la comuna y en muchos casos cumple la función de biblioteca “madre” cuando de ella dependen bibliotecas filiales. La biblioteca central  es responsable de entregar la asesoría y capacitación al personal de la biblioteca filial. </t>
    </r>
  </si>
  <si>
    <r>
      <rPr>
        <b/>
        <sz val="9"/>
        <rFont val="Verdana"/>
        <family val="2"/>
      </rPr>
      <t xml:space="preserve">2 </t>
    </r>
    <r>
      <rPr>
        <sz val="9"/>
        <rFont val="Verdana"/>
        <family val="2"/>
      </rPr>
      <t>En este cuadro se contabilizan las bibliotecas operativas o activas del sistema, por tanto pueden existir diferencias con la cifras presentadas el año anterior, debido a cierres y cambios.</t>
    </r>
  </si>
  <si>
    <r>
      <rPr>
        <b/>
        <sz val="9"/>
        <rFont val="Verdana"/>
        <family val="2"/>
      </rPr>
      <t xml:space="preserve">1 </t>
    </r>
    <r>
      <rPr>
        <sz val="9"/>
        <rFont val="Verdana"/>
        <family val="2"/>
      </rPr>
      <t>Fueron consideradas por año, todas aquellas universidades que registraron a su nombre, al menos un título.</t>
    </r>
  </si>
  <si>
    <r>
      <t>Porcentaje</t>
    </r>
    <r>
      <rPr>
        <b/>
        <vertAlign val="superscript"/>
        <sz val="9"/>
        <rFont val="Verdana"/>
        <family val="2"/>
      </rPr>
      <t>/2</t>
    </r>
  </si>
  <si>
    <r>
      <rPr>
        <b/>
        <sz val="9"/>
        <rFont val="Verdana"/>
        <family val="2"/>
      </rPr>
      <t>1</t>
    </r>
    <r>
      <rPr>
        <sz val="9"/>
        <rFont val="Verdana"/>
        <family val="2"/>
      </rPr>
      <t xml:space="preserve"> Las autoediciones son aquellas publicaciones en que el editor responsable es el propio autor.</t>
    </r>
  </si>
  <si>
    <r>
      <rPr>
        <b/>
        <sz val="9"/>
        <rFont val="Verdana"/>
        <family val="2"/>
      </rPr>
      <t xml:space="preserve">2 </t>
    </r>
    <r>
      <rPr>
        <sz val="9"/>
        <rFont val="Verdana"/>
        <family val="2"/>
      </rPr>
      <t>Los datos se refieren al porcentaje de autoediciones en relación al total de títulos registrados cada año.</t>
    </r>
  </si>
  <si>
    <r>
      <rPr>
        <b/>
        <sz val="9"/>
        <rFont val="Verdana"/>
        <family val="2"/>
      </rPr>
      <t xml:space="preserve">1 </t>
    </r>
    <r>
      <rPr>
        <sz val="9"/>
        <rFont val="Verdana"/>
        <family val="2"/>
      </rPr>
      <t>Cifra rectificada por el informante.</t>
    </r>
  </si>
  <si>
    <r>
      <rPr>
        <b/>
        <sz val="9"/>
        <rFont val="Verdana"/>
        <family val="2"/>
      </rPr>
      <t xml:space="preserve">1 </t>
    </r>
    <r>
      <rPr>
        <sz val="9"/>
        <rFont val="Verdana"/>
        <family val="2"/>
      </rPr>
      <t>A diferencia del Fondart regional, este fondo cuenta sólo con una instancia de selección nacional. La distribución regional de los seleccionados se realiza a partir de la dirección inscrita por el postulante.</t>
    </r>
  </si>
  <si>
    <r>
      <rPr>
        <b/>
        <sz val="9"/>
        <rFont val="Verdana"/>
        <family val="2"/>
      </rPr>
      <t xml:space="preserve">2 </t>
    </r>
    <r>
      <rPr>
        <sz val="9"/>
        <rFont val="Verdana"/>
        <family val="2"/>
      </rPr>
      <t>El número de proyectos y de monto adjudicado por línea, corresponde a la suma total de los concursos durante el año.</t>
    </r>
  </si>
  <si>
    <r>
      <rPr>
        <b/>
        <sz val="9"/>
        <rFont val="Verdana"/>
        <family val="2"/>
      </rPr>
      <t xml:space="preserve">3 </t>
    </r>
    <r>
      <rPr>
        <sz val="9"/>
        <rFont val="Verdana"/>
        <family val="2"/>
      </rPr>
      <t>La categoría "Otro" incluye a proyectos cuyos postulantes tienen domicilio en el extranjero y otros que según base de datos aparece sin registro de dirección.</t>
    </r>
  </si>
  <si>
    <r>
      <rPr>
        <b/>
        <sz val="9"/>
        <rFont val="Verdana"/>
        <family val="2"/>
      </rPr>
      <t xml:space="preserve">4 </t>
    </r>
    <r>
      <rPr>
        <sz val="9"/>
        <rFont val="Verdana"/>
        <family val="2"/>
      </rPr>
      <t>Fomento a la industria y su internacionalización se llama fomento a la industria del libro y se elimina la línea fomento del libro.</t>
    </r>
  </si>
  <si>
    <r>
      <rPr>
        <b/>
        <sz val="9"/>
        <rFont val="Verdana"/>
        <family val="2"/>
      </rPr>
      <t xml:space="preserve">5 </t>
    </r>
    <r>
      <rPr>
        <sz val="9"/>
        <rFont val="Verdana"/>
        <family val="2"/>
      </rPr>
      <t>Línea corresponde a ventanilla abierta fondo del libro</t>
    </r>
  </si>
  <si>
    <r>
      <rPr>
        <b/>
        <sz val="9"/>
        <color theme="1"/>
        <rFont val="Verdana"/>
        <family val="2"/>
      </rPr>
      <t>1</t>
    </r>
    <r>
      <rPr>
        <sz val="9"/>
        <color theme="1"/>
        <rFont val="Verdana"/>
        <family val="2"/>
      </rPr>
      <t xml:space="preserve"> Centro de Recursos para el Aprendizaje</t>
    </r>
  </si>
  <si>
    <r>
      <rPr>
        <b/>
        <sz val="9"/>
        <rFont val="Verdana"/>
        <family val="2"/>
      </rPr>
      <t>1</t>
    </r>
    <r>
      <rPr>
        <sz val="9"/>
        <rFont val="Verdana"/>
        <family val="2"/>
      </rPr>
      <t xml:space="preserve"> Centro de Recursos para el Aprendizaje</t>
    </r>
  </si>
  <si>
    <r>
      <t>Media</t>
    </r>
    <r>
      <rPr>
        <b/>
        <vertAlign val="superscript"/>
        <sz val="9"/>
        <color theme="1"/>
        <rFont val="Verdana"/>
        <family val="2"/>
      </rPr>
      <t>/3</t>
    </r>
  </si>
  <si>
    <r>
      <rPr>
        <b/>
        <sz val="9"/>
        <color theme="1"/>
        <rFont val="Verdana"/>
        <family val="2"/>
      </rPr>
      <t xml:space="preserve">2 </t>
    </r>
    <r>
      <rPr>
        <sz val="9"/>
        <color theme="1"/>
        <rFont val="Verdana"/>
        <family val="2"/>
      </rPr>
      <t>Corresponde a lo informado en el periodo 2014. Este registro existe desde el año 1994.</t>
    </r>
  </si>
  <si>
    <r>
      <rPr>
        <b/>
        <sz val="9"/>
        <color theme="1"/>
        <rFont val="Verdana"/>
        <family val="2"/>
      </rPr>
      <t>3</t>
    </r>
    <r>
      <rPr>
        <sz val="9"/>
        <color theme="1"/>
        <rFont val="Verdana"/>
        <family val="2"/>
      </rPr>
      <t xml:space="preserve"> Para Educación Media se consideran establecimientos Científico-Humanista y Técnicos profesionales.</t>
    </r>
  </si>
  <si>
    <r>
      <t xml:space="preserve">2002-2004 </t>
    </r>
    <r>
      <rPr>
        <vertAlign val="superscript"/>
        <sz val="9"/>
        <color theme="1"/>
        <rFont val="Verdana"/>
        <family val="2"/>
      </rPr>
      <t>/2</t>
    </r>
  </si>
  <si>
    <r>
      <rPr>
        <b/>
        <sz val="9"/>
        <color theme="1"/>
        <rFont val="Verdana"/>
        <family val="2"/>
      </rPr>
      <t>2</t>
    </r>
    <r>
      <rPr>
        <sz val="9"/>
        <color theme="1"/>
        <rFont val="Verdana"/>
        <family val="2"/>
      </rPr>
      <t xml:space="preserve">  Las cifras del periodo 2002 a 2004 no se encuentran desagregadas. Corresponden al número de CRA implementados en Escuelas focalizadas en Categoría Crítica por la División de Educación.</t>
    </r>
  </si>
  <si>
    <r>
      <rPr>
        <b/>
        <sz val="9"/>
        <color theme="1"/>
        <rFont val="Verdana"/>
        <family val="2"/>
      </rPr>
      <t>2</t>
    </r>
    <r>
      <rPr>
        <sz val="9"/>
        <color theme="1"/>
        <rFont val="Verdana"/>
        <family val="2"/>
      </rPr>
      <t xml:space="preserve">  La serie de datos no considera los años 1996, 1998, 2002 y 2006 debido a que, en el caso de los dos primeros (1996 y 1998) se priorizó la entrega de material didáctico instrumental a los Liceos con CRA, y el fortalecimiento de los ya constituidos. En el caso de los dos segundos (2002 y 2006), no se implementaron nuevos CRA por razones presupuestarias.</t>
    </r>
  </si>
  <si>
    <r>
      <rPr>
        <b/>
        <sz val="9"/>
        <color theme="1"/>
        <rFont val="Verdana"/>
        <family val="2"/>
      </rPr>
      <t xml:space="preserve">1 </t>
    </r>
    <r>
      <rPr>
        <sz val="9"/>
        <color theme="1"/>
        <rFont val="Verdana"/>
        <family val="2"/>
      </rPr>
      <t>Las cifras consideradas en la tabla corresponden a descargas realizadas dentro y fuera de Chile.</t>
    </r>
  </si>
  <si>
    <r>
      <rPr>
        <b/>
        <sz val="9"/>
        <color theme="1"/>
        <rFont val="Verdana"/>
        <family val="2"/>
      </rPr>
      <t>1</t>
    </r>
    <r>
      <rPr>
        <sz val="9"/>
        <color theme="1"/>
        <rFont val="Verdana"/>
        <family val="2"/>
      </rPr>
      <t xml:space="preserve"> Estas cifras consideran información desde el año 2009 a 2014.</t>
    </r>
  </si>
  <si>
    <r>
      <rPr>
        <sz val="9"/>
        <rFont val="Verdana"/>
        <family val="2"/>
      </rPr>
      <t>Sin información</t>
    </r>
    <r>
      <rPr>
        <vertAlign val="superscript"/>
        <sz val="9"/>
        <rFont val="Verdana"/>
        <family val="2"/>
      </rPr>
      <t>/</t>
    </r>
    <r>
      <rPr>
        <b/>
        <vertAlign val="superscript"/>
        <sz val="9"/>
        <rFont val="Verdana"/>
        <family val="2"/>
      </rPr>
      <t>2</t>
    </r>
  </si>
  <si>
    <r>
      <rPr>
        <b/>
        <sz val="9"/>
        <color theme="1"/>
        <rFont val="Verdana"/>
        <family val="2"/>
      </rPr>
      <t xml:space="preserve">1 </t>
    </r>
    <r>
      <rPr>
        <sz val="9"/>
        <color theme="1"/>
        <rFont val="Verdana"/>
        <family val="2"/>
      </rPr>
      <t>En esta tabla se consideran únicamente las descargas realizadas desde Chile.</t>
    </r>
  </si>
  <si>
    <r>
      <rPr>
        <b/>
        <sz val="9"/>
        <color theme="1"/>
        <rFont val="Verdana"/>
        <family val="2"/>
      </rPr>
      <t>2</t>
    </r>
    <r>
      <rPr>
        <sz val="9"/>
        <color theme="1"/>
        <rFont val="Calibri"/>
        <family val="2"/>
        <scheme val="minor"/>
      </rPr>
      <t xml:space="preserve"> </t>
    </r>
    <r>
      <rPr>
        <sz val="9"/>
        <color theme="1"/>
        <rFont val="Verdana"/>
        <family val="2"/>
      </rPr>
      <t>Esta categoría contiene registros sin identificador territorial.</t>
    </r>
  </si>
  <si>
    <r>
      <rPr>
        <b/>
        <sz val="9"/>
        <rFont val="Verdana"/>
        <family val="2"/>
      </rPr>
      <t xml:space="preserve">1 </t>
    </r>
    <r>
      <rPr>
        <sz val="9"/>
        <rFont val="Verdana"/>
        <family val="2"/>
      </rPr>
      <t>Los datos refieren exclusivamente al movimiento registrado por los teatros, centros culturales y similares que respondieron la encuesta INE, declarando haber presentado espectáculos musicales por lo menos una vez en el año.</t>
    </r>
  </si>
  <si>
    <r>
      <t>Entrada gratuita</t>
    </r>
    <r>
      <rPr>
        <b/>
        <vertAlign val="superscript"/>
        <sz val="9"/>
        <color theme="1"/>
        <rFont val="Verdana"/>
        <family val="2"/>
      </rPr>
      <t>/1</t>
    </r>
  </si>
  <si>
    <r>
      <rPr>
        <b/>
        <sz val="9"/>
        <rFont val="Verdana"/>
        <family val="2"/>
      </rPr>
      <t>1</t>
    </r>
    <r>
      <rPr>
        <sz val="9"/>
        <rFont val="Verdana"/>
        <family val="2"/>
      </rPr>
      <t xml:space="preserve"> Espectáculos empadronados: corresponden a los espectáculos que la SCD ha registrado para el cobro de derechos de autor. Los espectáculos a empadronar se han seleccionado a partir de la revisión de prensa nacional y regional, cartelera nacional y regional de espectáculos.</t>
    </r>
  </si>
  <si>
    <r>
      <t xml:space="preserve">Radios en cobro regular de frecuencia AM/FM </t>
    </r>
    <r>
      <rPr>
        <vertAlign val="superscript"/>
        <sz val="9"/>
        <rFont val="Verdana"/>
        <family val="2"/>
      </rPr>
      <t>/2</t>
    </r>
  </si>
  <si>
    <r>
      <rPr>
        <b/>
        <sz val="9"/>
        <rFont val="Verdana"/>
        <family val="2"/>
      </rPr>
      <t xml:space="preserve">1 </t>
    </r>
    <r>
      <rPr>
        <sz val="9"/>
        <rFont val="Verdana"/>
        <family val="2"/>
      </rPr>
      <t>Los usuarios corresponden a todo el país. El cobro regular corresponde al que se le hace a usuarios que pagan en forma mensual.</t>
    </r>
  </si>
  <si>
    <r>
      <rPr>
        <b/>
        <sz val="9"/>
        <rFont val="Verdana"/>
        <family val="2"/>
      </rPr>
      <t>2</t>
    </r>
    <r>
      <rPr>
        <sz val="9"/>
        <rFont val="Verdana"/>
        <family val="2"/>
      </rPr>
      <t xml:space="preserve"> Las radios con cobertura nacional se contabilizan como 1 y no por el número de sus repetidoras.</t>
    </r>
  </si>
  <si>
    <r>
      <t>Ventas (miles de pesos)</t>
    </r>
    <r>
      <rPr>
        <b/>
        <vertAlign val="superscript"/>
        <sz val="9"/>
        <rFont val="Verdana"/>
        <family val="2"/>
      </rPr>
      <t>/1</t>
    </r>
  </si>
  <si>
    <r>
      <rPr>
        <b/>
        <sz val="9"/>
        <rFont val="Verdana"/>
        <family val="2"/>
      </rPr>
      <t xml:space="preserve">1 </t>
    </r>
    <r>
      <rPr>
        <sz val="9"/>
        <rFont val="Verdana"/>
        <family val="2"/>
      </rPr>
      <t>Las cifras entregadas están basadas en las ventas a mayoristas de la industria discográfica, por lo cual no consideran el cobro de IVA (19%) ni el margen bruto que recarga la cadena de distribución minorista. Valores nominales.</t>
    </r>
  </si>
  <si>
    <r>
      <t>MC</t>
    </r>
    <r>
      <rPr>
        <vertAlign val="superscript"/>
        <sz val="9"/>
        <rFont val="Verdana"/>
        <family val="2"/>
      </rPr>
      <t>/2</t>
    </r>
  </si>
  <si>
    <r>
      <t xml:space="preserve">Single </t>
    </r>
    <r>
      <rPr>
        <vertAlign val="superscript"/>
        <sz val="9"/>
        <rFont val="Verdana"/>
        <family val="2"/>
      </rPr>
      <t>/3</t>
    </r>
  </si>
  <si>
    <r>
      <t xml:space="preserve">Ventas digitales </t>
    </r>
    <r>
      <rPr>
        <vertAlign val="superscript"/>
        <sz val="9"/>
        <rFont val="Verdana"/>
        <family val="2"/>
      </rPr>
      <t>/4</t>
    </r>
  </si>
  <si>
    <r>
      <rPr>
        <b/>
        <sz val="9"/>
        <rFont val="Verdana"/>
        <family val="2"/>
      </rPr>
      <t>1</t>
    </r>
    <r>
      <rPr>
        <sz val="9"/>
        <rFont val="Verdana"/>
        <family val="2"/>
      </rPr>
      <t xml:space="preserve"> Las cifras entregadas se basan en las ventas a mayoristas de la industria discográfica, por lo cual no consideran el cobro de IVA (19%) ni el margen bruto que recarga la cadena de distribución minorista. Valores nominales.</t>
    </r>
  </si>
  <si>
    <r>
      <rPr>
        <b/>
        <sz val="9"/>
        <rFont val="Verdana"/>
        <family val="2"/>
      </rPr>
      <t>2</t>
    </r>
    <r>
      <rPr>
        <sz val="9"/>
        <rFont val="Verdana"/>
        <family val="2"/>
      </rPr>
      <t xml:space="preserve"> Música cassette.</t>
    </r>
  </si>
  <si>
    <r>
      <rPr>
        <b/>
        <sz val="9"/>
        <rFont val="Verdana"/>
        <family val="2"/>
      </rPr>
      <t>3</t>
    </r>
    <r>
      <rPr>
        <sz val="9"/>
        <rFont val="Verdana"/>
        <family val="2"/>
      </rPr>
      <t xml:space="preserve"> El formato single contiene 4 o menos tracks (excluyendo remixers) y su duración no es de más de 20 minutos. </t>
    </r>
  </si>
  <si>
    <r>
      <rPr>
        <b/>
        <sz val="9"/>
        <rFont val="Verdana"/>
        <family val="2"/>
      </rPr>
      <t>4</t>
    </r>
    <r>
      <rPr>
        <sz val="9"/>
        <rFont val="Verdana"/>
        <family val="2"/>
      </rPr>
      <t xml:space="preserve"> Las ventas digitales no consideran unidades vendidas sino venta cibernética, por cuanto no implican ventas físicas.</t>
    </r>
  </si>
  <si>
    <r>
      <t>2012</t>
    </r>
    <r>
      <rPr>
        <b/>
        <vertAlign val="superscript"/>
        <sz val="9"/>
        <rFont val="Verdana"/>
        <family val="2"/>
      </rPr>
      <t>/1</t>
    </r>
  </si>
  <si>
    <r>
      <rPr>
        <b/>
        <sz val="9"/>
        <rFont val="Verdana"/>
        <family val="2"/>
      </rPr>
      <t xml:space="preserve">1 </t>
    </r>
    <r>
      <rPr>
        <sz val="9"/>
        <rFont val="Verdana"/>
        <family val="2"/>
      </rPr>
      <t>Los totales brutos se presentan en valores nominales.</t>
    </r>
  </si>
  <si>
    <r>
      <t>RUBRO Y SELLO</t>
    </r>
    <r>
      <rPr>
        <b/>
        <vertAlign val="superscript"/>
        <sz val="9"/>
        <rFont val="Verdana"/>
        <family val="2"/>
      </rPr>
      <t>/1</t>
    </r>
  </si>
  <si>
    <r>
      <rPr>
        <b/>
        <sz val="9"/>
        <rFont val="Verdana"/>
        <family val="2"/>
      </rPr>
      <t xml:space="preserve">1 </t>
    </r>
    <r>
      <rPr>
        <sz val="9"/>
        <rFont val="Verdana"/>
        <family val="2"/>
      </rPr>
      <t>Los rubros corresponden a las áreas de recaudación tanto de derechos autorales como conexos. La entidad que maneja estos conceptos es la Sociedad Chilena del Derecho de autor (SCD).</t>
    </r>
  </si>
  <si>
    <r>
      <rPr>
        <b/>
        <sz val="9"/>
        <rFont val="Verdana"/>
        <family val="2"/>
      </rPr>
      <t xml:space="preserve">2 </t>
    </r>
    <r>
      <rPr>
        <sz val="9"/>
        <rFont val="Verdana"/>
        <family val="2"/>
      </rPr>
      <t>Los totales brutos se presentan en valores nominales.</t>
    </r>
  </si>
  <si>
    <r>
      <t>Monto (pesos)</t>
    </r>
    <r>
      <rPr>
        <b/>
        <vertAlign val="superscript"/>
        <sz val="9"/>
        <rFont val="Verdana"/>
        <family val="2"/>
      </rPr>
      <t>/1</t>
    </r>
  </si>
  <si>
    <r>
      <rPr>
        <b/>
        <sz val="9"/>
        <rFont val="Verdana"/>
        <family val="2"/>
      </rPr>
      <t xml:space="preserve">1 </t>
    </r>
    <r>
      <rPr>
        <sz val="9"/>
        <rFont val="Verdana"/>
        <family val="2"/>
      </rPr>
      <t>Los montos corresponden a valores nominales.</t>
    </r>
  </si>
  <si>
    <r>
      <rPr>
        <b/>
        <sz val="9"/>
        <rFont val="Verdana"/>
        <family val="2"/>
      </rPr>
      <t>1</t>
    </r>
    <r>
      <rPr>
        <sz val="9"/>
        <rFont val="Verdana"/>
        <family val="2"/>
      </rPr>
      <t xml:space="preserve"> Los montos corresponden a valores nominales.</t>
    </r>
  </si>
  <si>
    <r>
      <t>2014</t>
    </r>
    <r>
      <rPr>
        <b/>
        <vertAlign val="superscript"/>
        <sz val="9"/>
        <rFont val="Verdana"/>
        <family val="2"/>
      </rPr>
      <t>/2</t>
    </r>
  </si>
  <si>
    <r>
      <rPr>
        <b/>
        <sz val="9"/>
        <rFont val="Verdana"/>
        <family val="2"/>
      </rPr>
      <t>1</t>
    </r>
    <r>
      <rPr>
        <sz val="9"/>
        <rFont val="Verdana"/>
        <family val="2"/>
      </rPr>
      <t xml:space="preserve"> El número de sellos corresponde a los que editaron discos durante el año 2013 y se levanta a través de la Encuesta de producción 2013.</t>
    </r>
  </si>
  <si>
    <r>
      <rPr>
        <b/>
        <sz val="9"/>
        <rFont val="Verdana"/>
        <family val="2"/>
      </rPr>
      <t>2</t>
    </r>
    <r>
      <rPr>
        <sz val="9"/>
        <rFont val="Verdana"/>
        <family val="2"/>
      </rPr>
      <t xml:space="preserve"> El número de sellos corresponde al levantamiento realizado en el marco del Catastro de Agentes culturales para la música, identificando la totalidad de sellos que existen en el país.</t>
    </r>
  </si>
  <si>
    <r>
      <rPr>
        <b/>
        <sz val="9"/>
        <rFont val="Verdana"/>
        <family val="2"/>
      </rPr>
      <t>1</t>
    </r>
    <r>
      <rPr>
        <sz val="9"/>
        <rFont val="Verdana"/>
        <family val="2"/>
      </rPr>
      <t xml:space="preserve"> La categoría "Otro" incluye a proyectos cuyos postulantes tienen domicilio en el extranjero y otros que según base de datos aparece sin registro de dirección.</t>
    </r>
  </si>
  <si>
    <r>
      <t>Sin información</t>
    </r>
    <r>
      <rPr>
        <b/>
        <vertAlign val="superscript"/>
        <sz val="9"/>
        <rFont val="Verdana"/>
        <family val="2"/>
      </rPr>
      <t>/1</t>
    </r>
  </si>
  <si>
    <r>
      <rPr>
        <b/>
        <sz val="9"/>
        <rFont val="Verdana"/>
        <family val="2"/>
      </rPr>
      <t xml:space="preserve">1 </t>
    </r>
    <r>
      <rPr>
        <sz val="9"/>
        <rFont val="Verdana"/>
        <family val="2"/>
      </rPr>
      <t xml:space="preserve">En la categoría sin información figuran las sucesiones de derechos, pues cuando un autor muere, el derecho pasa a la sucesión. </t>
    </r>
  </si>
  <si>
    <r>
      <t xml:space="preserve">TOTAL </t>
    </r>
    <r>
      <rPr>
        <b/>
        <vertAlign val="superscript"/>
        <sz val="9"/>
        <rFont val="Verdana"/>
        <family val="2"/>
      </rPr>
      <t>/1</t>
    </r>
  </si>
  <si>
    <r>
      <t>Los Ríos</t>
    </r>
    <r>
      <rPr>
        <vertAlign val="superscript"/>
        <sz val="9"/>
        <rFont val="Verdana"/>
        <family val="2"/>
      </rPr>
      <t>/2</t>
    </r>
  </si>
  <si>
    <r>
      <t>Sin Información</t>
    </r>
    <r>
      <rPr>
        <vertAlign val="superscript"/>
        <sz val="9"/>
        <rFont val="Verdana"/>
        <family val="2"/>
      </rPr>
      <t>/3</t>
    </r>
  </si>
  <si>
    <r>
      <rPr>
        <b/>
        <sz val="9"/>
        <rFont val="Verdana"/>
        <family val="2"/>
      </rPr>
      <t>1</t>
    </r>
    <r>
      <rPr>
        <sz val="9"/>
        <rFont val="Verdana"/>
        <family val="2"/>
      </rPr>
      <t xml:space="preserve"> Este total incluye la categoria sin información, no así los subtotales por sexo.</t>
    </r>
  </si>
  <si>
    <r>
      <rPr>
        <b/>
        <sz val="9"/>
        <rFont val="Verdana"/>
        <family val="2"/>
      </rPr>
      <t>2</t>
    </r>
    <r>
      <rPr>
        <sz val="9"/>
        <rFont val="Verdana"/>
        <family val="2"/>
      </rPr>
      <t xml:space="preserve"> Las regiones Arica y Parinacota y Los Ríos no presentan datos debido a que ambas no figuran en el sistema de gestión de la SCD. Los autores provenientes de estas regiones han sido informados en las regiones agrupadas bajo la antigua clasificación regional. </t>
    </r>
  </si>
  <si>
    <r>
      <rPr>
        <b/>
        <sz val="9"/>
        <rFont val="Verdana"/>
        <family val="2"/>
      </rPr>
      <t>3</t>
    </r>
    <r>
      <rPr>
        <sz val="9"/>
        <rFont val="Verdana"/>
        <family val="2"/>
      </rPr>
      <t xml:space="preserve"> La categoría Sin Información contiene información que no se ha podido desagregar según sexo, por ejemplo las sucesiones.</t>
    </r>
  </si>
  <si>
    <r>
      <t>Arica y Parinacota</t>
    </r>
    <r>
      <rPr>
        <vertAlign val="superscript"/>
        <sz val="9"/>
        <rFont val="Verdana"/>
        <family val="2"/>
      </rPr>
      <t>/1</t>
    </r>
  </si>
  <si>
    <r>
      <t>Sin información</t>
    </r>
    <r>
      <rPr>
        <vertAlign val="superscript"/>
        <sz val="9"/>
        <rFont val="Verdana"/>
        <family val="2"/>
      </rPr>
      <t>/2</t>
    </r>
  </si>
  <si>
    <r>
      <rPr>
        <b/>
        <sz val="9"/>
        <rFont val="Verdana"/>
        <family val="2"/>
      </rPr>
      <t>1</t>
    </r>
    <r>
      <rPr>
        <sz val="9"/>
        <rFont val="Verdana"/>
        <family val="2"/>
      </rPr>
      <t xml:space="preserve"> Las regiones Arica y Parinacota y Los Ríos no presentan datos debido a que ambas no figuran en el sistema de gestión de la SCD. Los autores provenientes de estas regiones han sido informados en las regiones agrupadas bajo la antigua clasificación regional. </t>
    </r>
  </si>
  <si>
    <r>
      <rPr>
        <b/>
        <sz val="9"/>
        <rFont val="Verdana"/>
        <family val="2"/>
      </rPr>
      <t xml:space="preserve">2 </t>
    </r>
    <r>
      <rPr>
        <sz val="9"/>
        <rFont val="Verdana"/>
        <family val="2"/>
      </rPr>
      <t>Esta categoría contiene información respecto al número de asociados a la SCD que no ha podido ser desagregada según región.</t>
    </r>
  </si>
  <si>
    <r>
      <rPr>
        <b/>
        <sz val="9"/>
        <rFont val="Verdana"/>
        <family val="2"/>
      </rPr>
      <t>1</t>
    </r>
    <r>
      <rPr>
        <sz val="9"/>
        <rFont val="Verdana"/>
        <family val="2"/>
      </rPr>
      <t xml:space="preserve"> Los datos refieren exclusivamente al movimiento registrado por los teatros, centros culturales y similares que respondieron la Encuesta INE, declarando haber presentado espectáculos de artes escénicas por lo menos una vez en el año.</t>
    </r>
  </si>
  <si>
    <r>
      <rPr>
        <b/>
        <sz val="9"/>
        <rFont val="Verdana"/>
        <family val="2"/>
      </rPr>
      <t>1</t>
    </r>
    <r>
      <rPr>
        <sz val="9"/>
        <rFont val="Verdana"/>
        <family val="2"/>
      </rPr>
      <t xml:space="preserve"> El aumento en autores extranjeros durante el año 2012 se debe que a ese año se distribuyó un monto remanente correspondiente al año 2011.</t>
    </r>
  </si>
  <si>
    <r>
      <t>Sin información territorial</t>
    </r>
    <r>
      <rPr>
        <vertAlign val="superscript"/>
        <sz val="9"/>
        <rFont val="Verdana"/>
        <family val="2"/>
      </rPr>
      <t xml:space="preserve"> /1</t>
    </r>
  </si>
  <si>
    <r>
      <rPr>
        <b/>
        <sz val="9"/>
        <rFont val="Verdana"/>
        <family val="2"/>
      </rPr>
      <t xml:space="preserve">1 </t>
    </r>
    <r>
      <rPr>
        <sz val="9"/>
        <rFont val="Verdana"/>
        <family val="2"/>
      </rPr>
      <t>Los datos no se pueden relacionar a alguna región del país, ya que no tienen comuna o ciudad de origen.</t>
    </r>
  </si>
  <si>
    <r>
      <t>Sin información territorial</t>
    </r>
    <r>
      <rPr>
        <vertAlign val="superscript"/>
        <sz val="9"/>
        <rFont val="Verdana"/>
        <family val="2"/>
      </rPr>
      <t xml:space="preserve"> /3</t>
    </r>
  </si>
  <si>
    <r>
      <rPr>
        <b/>
        <sz val="9"/>
        <rFont val="Verdana"/>
        <family val="2"/>
      </rPr>
      <t xml:space="preserve">1 </t>
    </r>
    <r>
      <rPr>
        <sz val="9"/>
        <rFont val="Verdana"/>
        <family val="2"/>
      </rPr>
      <t>La institución no dispone de regitros para el año 2013.</t>
    </r>
  </si>
  <si>
    <r>
      <rPr>
        <b/>
        <sz val="9"/>
        <rFont val="Verdana"/>
        <family val="2"/>
      </rPr>
      <t xml:space="preserve">2 </t>
    </r>
    <r>
      <rPr>
        <sz val="9"/>
        <rFont val="Verdana"/>
        <family val="2"/>
      </rPr>
      <t>La institución no dispone de regitros para el año 2014.</t>
    </r>
  </si>
  <si>
    <r>
      <rPr>
        <b/>
        <sz val="9"/>
        <rFont val="Verdana"/>
        <family val="2"/>
      </rPr>
      <t>3</t>
    </r>
    <r>
      <rPr>
        <sz val="9"/>
        <rFont val="Verdana"/>
        <family val="2"/>
      </rPr>
      <t xml:space="preserve"> Los datos no se pueden relacionar a alguna región del país, ya que no tienen comuna o ciudad de origen.</t>
    </r>
  </si>
  <si>
    <r>
      <t xml:space="preserve">2011 </t>
    </r>
    <r>
      <rPr>
        <vertAlign val="superscript"/>
        <sz val="9"/>
        <rFont val="Verdana"/>
        <family val="2"/>
      </rPr>
      <t>/1</t>
    </r>
  </si>
  <si>
    <r>
      <t xml:space="preserve">1 </t>
    </r>
    <r>
      <rPr>
        <sz val="9"/>
        <rFont val="Verdana"/>
        <family val="2"/>
      </rPr>
      <t>El año 2011 no dispone de información desagregada por región.</t>
    </r>
  </si>
  <si>
    <r>
      <rPr>
        <b/>
        <sz val="9"/>
        <rFont val="Verdana"/>
        <family val="2"/>
      </rPr>
      <t xml:space="preserve">1 </t>
    </r>
    <r>
      <rPr>
        <sz val="9"/>
        <rFont val="Verdana"/>
        <family val="2"/>
      </rPr>
      <t xml:space="preserve">El monto recibido en el año 2009 por concepto de distribución extranjera no se distribuyó porque las sociedades que lo enviaron no informaron a quiénes pertenecían esos montos, a pesar de que se les solicitó información en reiteradas ocasiones. Es por este motivo que en este ítem, para este año, no aparecen estos montos distribuidos. Esos montos se guardan para los próximos cinco años y en cuanto se recibe la información se procede a distribuir y luego liquidar al autor. En caso de no recibirse información, estos montos pasa al Ministerio de Educación salvo que el consejo directivo en acuerdo de consejo decida destinarlo a algún ítem regulado por nuestros estatutos. </t>
    </r>
  </si>
  <si>
    <r>
      <rPr>
        <b/>
        <sz val="9"/>
        <rFont val="Verdana"/>
        <family val="2"/>
      </rPr>
      <t>2</t>
    </r>
    <r>
      <rPr>
        <sz val="9"/>
        <rFont val="Verdana"/>
        <family val="2"/>
      </rPr>
      <t xml:space="preserve"> La variación de la cifra de recaudaciones del año 2013 varía respecto a la cifra reportada el año anterior,  debido a que está sujeto al número de licencias solicitadas anualmente.</t>
    </r>
  </si>
  <si>
    <r>
      <t>RECAUDACIÓN</t>
    </r>
    <r>
      <rPr>
        <b/>
        <vertAlign val="superscript"/>
        <sz val="9"/>
        <rFont val="Verdana"/>
        <family val="2"/>
      </rPr>
      <t>/1</t>
    </r>
  </si>
  <si>
    <r>
      <t>2009</t>
    </r>
    <r>
      <rPr>
        <b/>
        <vertAlign val="superscript"/>
        <sz val="9"/>
        <rFont val="Verdana"/>
        <family val="2"/>
      </rPr>
      <t>/4</t>
    </r>
  </si>
  <si>
    <r>
      <t>Recaudación nacional</t>
    </r>
    <r>
      <rPr>
        <b/>
        <vertAlign val="superscript"/>
        <sz val="9"/>
        <rFont val="Verdana"/>
        <family val="2"/>
      </rPr>
      <t>/2</t>
    </r>
  </si>
  <si>
    <r>
      <t>Recaudación extranjera</t>
    </r>
    <r>
      <rPr>
        <b/>
        <vertAlign val="superscript"/>
        <sz val="9"/>
        <rFont val="Verdana"/>
        <family val="2"/>
      </rPr>
      <t>/3</t>
    </r>
  </si>
  <si>
    <r>
      <rPr>
        <b/>
        <sz val="9"/>
        <rFont val="Verdana"/>
        <family val="2"/>
      </rPr>
      <t>1</t>
    </r>
    <r>
      <rPr>
        <sz val="9"/>
        <rFont val="Verdana"/>
        <family val="2"/>
      </rPr>
      <t xml:space="preserve"> Incluye recaudación por concepto de obras nacionales y extranjeras (derechos recibidos desde el extranjero).</t>
    </r>
  </si>
  <si>
    <r>
      <rPr>
        <b/>
        <sz val="9"/>
        <rFont val="Verdana"/>
        <family val="2"/>
      </rPr>
      <t>2</t>
    </r>
    <r>
      <rPr>
        <sz val="9"/>
        <rFont val="Verdana"/>
        <family val="2"/>
      </rPr>
      <t xml:space="preserve"> Recaudación nacional: recaudación de derechos de artistas nacionales y extranjeros en territorio de Chile.</t>
    </r>
  </si>
  <si>
    <r>
      <rPr>
        <b/>
        <sz val="9"/>
        <rFont val="Verdana"/>
        <family val="2"/>
      </rPr>
      <t xml:space="preserve">3 </t>
    </r>
    <r>
      <rPr>
        <sz val="9"/>
        <rFont val="Verdana"/>
        <family val="2"/>
      </rPr>
      <t>Recaudación extranjera: recaudación de derechos de artistas nacionales en territorio extranjero que se envía por otras sociedades hermanas a Creaimagen, para su distribución entre sus asociados.</t>
    </r>
  </si>
  <si>
    <r>
      <rPr>
        <b/>
        <sz val="9"/>
        <rFont val="Verdana"/>
        <family val="2"/>
      </rPr>
      <t xml:space="preserve">4 </t>
    </r>
    <r>
      <rPr>
        <sz val="9"/>
        <rFont val="Verdana"/>
        <family val="2"/>
      </rPr>
      <t>Para el año 2009 sólo se dispone de información sobre recaudación extranejera, en moneda euro.</t>
    </r>
  </si>
  <si>
    <r>
      <t>Utilización de obras en Chile</t>
    </r>
    <r>
      <rPr>
        <vertAlign val="superscript"/>
        <sz val="9"/>
        <rFont val="Verdana"/>
        <family val="2"/>
      </rPr>
      <t>/1</t>
    </r>
  </si>
  <si>
    <r>
      <rPr>
        <b/>
        <sz val="9"/>
        <rFont val="Verdana"/>
        <family val="2"/>
      </rPr>
      <t>1</t>
    </r>
    <r>
      <rPr>
        <sz val="9"/>
        <rFont val="Verdana"/>
        <family val="2"/>
      </rPr>
      <t xml:space="preserve"> Incluye obras nacionales y extranjeras.</t>
    </r>
  </si>
  <si>
    <r>
      <t>N°</t>
    </r>
    <r>
      <rPr>
        <b/>
        <vertAlign val="superscript"/>
        <sz val="9"/>
        <rFont val="Verdana"/>
        <family val="2"/>
      </rPr>
      <t>/2</t>
    </r>
  </si>
  <si>
    <r>
      <t>Año de entrega reconocimiento UNESCO</t>
    </r>
    <r>
      <rPr>
        <b/>
        <vertAlign val="superscript"/>
        <sz val="9"/>
        <rFont val="Verdana"/>
        <family val="2"/>
      </rPr>
      <t>/3</t>
    </r>
  </si>
  <si>
    <r>
      <rPr>
        <b/>
        <sz val="9"/>
        <rFont val="Verdana"/>
        <family val="2"/>
      </rPr>
      <t xml:space="preserve">1 </t>
    </r>
    <r>
      <rPr>
        <sz val="9"/>
        <rFont val="Verdana"/>
        <family val="2"/>
      </rPr>
      <t>Unesco: United Nations Educational, Scientific and Cultural Organization, por sus siglas en inglés Organización de las Naciones Unidas para la Educación, la Ciencia y la Cultura.</t>
    </r>
  </si>
  <si>
    <r>
      <rPr>
        <b/>
        <sz val="9"/>
        <rFont val="Verdana"/>
        <family val="2"/>
      </rPr>
      <t xml:space="preserve">2 </t>
    </r>
    <r>
      <rPr>
        <sz val="9"/>
        <rFont val="Verdana"/>
        <family val="2"/>
      </rPr>
      <t>Ordenado según número correlativo de registro interno en el Consejo Nacional de la Cultura y las Artes.</t>
    </r>
  </si>
  <si>
    <r>
      <rPr>
        <b/>
        <sz val="9"/>
        <rFont val="Verdana"/>
        <family val="2"/>
      </rPr>
      <t>3</t>
    </r>
    <r>
      <rPr>
        <sz val="9"/>
        <rFont val="Verdana"/>
        <family val="2"/>
      </rPr>
      <t xml:space="preserve"> Durante el año 2014 se realizó la selección y entrega del "Reconocimiento Unesco".</t>
    </r>
  </si>
  <si>
    <r>
      <t>N° de artesanías con Sello de Excelencia Nacional CNCA</t>
    </r>
    <r>
      <rPr>
        <b/>
        <vertAlign val="superscript"/>
        <sz val="9"/>
        <rFont val="Verdana"/>
        <family val="2"/>
      </rPr>
      <t>/2</t>
    </r>
    <r>
      <rPr>
        <b/>
        <sz val="9"/>
        <rFont val="Verdana"/>
        <family val="2"/>
      </rPr>
      <t xml:space="preserve"> (2008-2013)</t>
    </r>
  </si>
  <si>
    <r>
      <t>N° de artesanías con Sello Excelencia Nacional y Reconocimiento UNESCO</t>
    </r>
    <r>
      <rPr>
        <b/>
        <vertAlign val="superscript"/>
        <sz val="9"/>
        <rFont val="Verdana"/>
        <family val="2"/>
      </rPr>
      <t>/3</t>
    </r>
    <r>
      <rPr>
        <b/>
        <sz val="9"/>
        <rFont val="Verdana"/>
        <family val="2"/>
      </rPr>
      <t xml:space="preserve"> (2008 - 2014)</t>
    </r>
    <r>
      <rPr>
        <b/>
        <vertAlign val="superscript"/>
        <sz val="9"/>
        <rFont val="Verdana"/>
        <family val="2"/>
      </rPr>
      <t>/a</t>
    </r>
  </si>
  <si>
    <r>
      <rPr>
        <b/>
        <sz val="9"/>
        <rFont val="Verdana"/>
        <family val="2"/>
      </rPr>
      <t xml:space="preserve">2 </t>
    </r>
    <r>
      <rPr>
        <sz val="9"/>
        <rFont val="Verdana"/>
        <family val="2"/>
      </rPr>
      <t>El objetivo principal de la distinción Sello de Excelencia es relevar la excelencia y calidad de nuestras artesanías según los parámetros del Reconocimiento de Excelencia de la Unesco para productos artesanales del  Mercosur: excelencia, autenticidad, innovación, respeto por el medio ambiente y potencial comercializable. Se postula al reconocimiento, siendo el Comité Nacional del World Craft Council, formado por el área de artesanía del Consejo Nacional de la Cultura y las Artes y el programa de artesanía de la Pontificia Universidad Católica de Chile, el que selecciona los productos a premiar, a través de un proceso de selección anual.</t>
    </r>
  </si>
  <si>
    <r>
      <rPr>
        <b/>
        <sz val="9"/>
        <rFont val="Verdana"/>
        <family val="2"/>
      </rPr>
      <t xml:space="preserve">3 </t>
    </r>
    <r>
      <rPr>
        <sz val="9"/>
        <rFont val="Verdana"/>
        <family val="2"/>
      </rPr>
      <t>Reconocimiento de excelencia de Unesco para productos artesanales del Cono Sur que tiene por finalidad estimular a los artesanos y artesanas a producir productos de calidad utilizando técnicas y temas tradicionales de manera original, a fin de asegurar la permanencia y desarrollo sostenible de esta actividad en el mundo contemporáneo. Participan los países de Paraguay, Argentina, Uruguay, Chile y, desde la última version del 2012, Brasil. La selección de las piezas es bi anual y se realiza en función de criterios de excelencia, autenticidad, innovación y comercialización; y bajo las condiciones de respeto por el medio ambiente y responsabilidad social. Los países participantes postulan piezas a este reconocimiento.</t>
    </r>
  </si>
  <si>
    <r>
      <rPr>
        <b/>
        <sz val="9"/>
        <rFont val="Verdana"/>
        <family val="2"/>
      </rPr>
      <t>a</t>
    </r>
    <r>
      <rPr>
        <sz val="9"/>
        <rFont val="Verdana"/>
        <family val="2"/>
      </rPr>
      <t xml:space="preserve"> Durante los años 2009, 2011 y 2013 no hubo entrega del reconocimiento "Sello de excelencia nacional y reconocimiento Unesco" porque la certificación se realiza cada dos años.</t>
    </r>
  </si>
  <si>
    <r>
      <t>INDAP</t>
    </r>
    <r>
      <rPr>
        <b/>
        <vertAlign val="superscript"/>
        <sz val="9"/>
        <rFont val="Verdana"/>
        <family val="2"/>
      </rPr>
      <t>/1</t>
    </r>
  </si>
  <si>
    <r>
      <rPr>
        <b/>
        <sz val="9"/>
        <rFont val="Verdana"/>
        <family val="2"/>
      </rPr>
      <t>1</t>
    </r>
    <r>
      <rPr>
        <sz val="9"/>
        <rFont val="Verdana"/>
        <family val="2"/>
      </rPr>
      <t xml:space="preserve"> Corresponde a los registros integrados de los "Programa de desarrollo territorial indígena" (PDTI), "Programa agropecuario para eld esarrollo integral de los pequeños productores campesinos o productores campesinos del secano de la región de Coquimbo" (PADIS) y  "Programa de desarrollo local (PRODESAL)"</t>
    </r>
  </si>
  <si>
    <r>
      <rPr>
        <b/>
        <sz val="9"/>
        <rFont val="Verdana"/>
        <family val="2"/>
      </rPr>
      <t xml:space="preserve">1 </t>
    </r>
    <r>
      <rPr>
        <sz val="9"/>
        <rFont val="Verdana"/>
        <family val="2"/>
      </rPr>
      <t>Fiscalía</t>
    </r>
    <r>
      <rPr>
        <b/>
        <sz val="9"/>
        <rFont val="Verdana"/>
        <family val="2"/>
      </rPr>
      <t xml:space="preserve"> </t>
    </r>
    <r>
      <rPr>
        <sz val="9"/>
        <rFont val="Verdana"/>
        <family val="2"/>
      </rPr>
      <t>Centro Norte.</t>
    </r>
  </si>
  <si>
    <r>
      <rPr>
        <b/>
        <sz val="9"/>
        <rFont val="Verdana"/>
        <family val="2"/>
      </rPr>
      <t xml:space="preserve">2 </t>
    </r>
    <r>
      <rPr>
        <sz val="9"/>
        <rFont val="Verdana"/>
        <family val="2"/>
      </rPr>
      <t>Fiscalía</t>
    </r>
    <r>
      <rPr>
        <b/>
        <sz val="9"/>
        <rFont val="Verdana"/>
        <family val="2"/>
      </rPr>
      <t xml:space="preserve"> </t>
    </r>
    <r>
      <rPr>
        <sz val="9"/>
        <rFont val="Verdana"/>
        <family val="2"/>
      </rPr>
      <t>Oriente.</t>
    </r>
  </si>
  <si>
    <r>
      <rPr>
        <b/>
        <sz val="9"/>
        <rFont val="Verdana"/>
        <family val="2"/>
      </rPr>
      <t xml:space="preserve">3 </t>
    </r>
    <r>
      <rPr>
        <sz val="9"/>
        <rFont val="Verdana"/>
        <family val="2"/>
      </rPr>
      <t>Fiscalía</t>
    </r>
    <r>
      <rPr>
        <b/>
        <sz val="9"/>
        <rFont val="Verdana"/>
        <family val="2"/>
      </rPr>
      <t xml:space="preserve"> </t>
    </r>
    <r>
      <rPr>
        <sz val="9"/>
        <rFont val="Verdana"/>
        <family val="2"/>
      </rPr>
      <t>Occidente.</t>
    </r>
  </si>
  <si>
    <r>
      <rPr>
        <b/>
        <sz val="9"/>
        <rFont val="Verdana"/>
        <family val="2"/>
      </rPr>
      <t xml:space="preserve">4 </t>
    </r>
    <r>
      <rPr>
        <sz val="9"/>
        <rFont val="Verdana"/>
        <family val="2"/>
      </rPr>
      <t>Fiscalía</t>
    </r>
    <r>
      <rPr>
        <b/>
        <sz val="9"/>
        <rFont val="Verdana"/>
        <family val="2"/>
      </rPr>
      <t xml:space="preserve"> </t>
    </r>
    <r>
      <rPr>
        <sz val="9"/>
        <rFont val="Verdana"/>
        <family val="2"/>
      </rPr>
      <t>Sur.</t>
    </r>
  </si>
  <si>
    <r>
      <rPr>
        <b/>
        <sz val="9"/>
        <rFont val="Verdana"/>
        <family val="2"/>
      </rPr>
      <t xml:space="preserve">R </t>
    </r>
    <r>
      <rPr>
        <sz val="9"/>
        <rFont val="Verdana"/>
        <family val="2"/>
      </rPr>
      <t>Cifras rectificadas por informante.</t>
    </r>
  </si>
  <si>
    <r>
      <t>Zeal</t>
    </r>
    <r>
      <rPr>
        <vertAlign val="superscript"/>
        <sz val="9"/>
        <rFont val="Verdana"/>
        <family val="2"/>
      </rPr>
      <t>/1</t>
    </r>
  </si>
  <si>
    <r>
      <rPr>
        <b/>
        <sz val="9"/>
        <rFont val="Verdana"/>
        <family val="2"/>
      </rPr>
      <t xml:space="preserve">1 </t>
    </r>
    <r>
      <rPr>
        <sz val="9"/>
        <rFont val="Verdana"/>
        <family val="2"/>
      </rPr>
      <t xml:space="preserve">Zeal: Zona de Extensión y Apoyo Logístico en Valparaíso. </t>
    </r>
  </si>
  <si>
    <r>
      <t>ADUANA Y AVANZADA</t>
    </r>
    <r>
      <rPr>
        <b/>
        <vertAlign val="superscript"/>
        <sz val="9"/>
        <rFont val="Verdana"/>
        <family val="2"/>
      </rPr>
      <t>/1</t>
    </r>
  </si>
  <si>
    <r>
      <t>Zeal</t>
    </r>
    <r>
      <rPr>
        <vertAlign val="superscript"/>
        <sz val="9"/>
        <rFont val="Verdana"/>
        <family val="2"/>
      </rPr>
      <t>/2</t>
    </r>
  </si>
  <si>
    <r>
      <rPr>
        <b/>
        <sz val="9"/>
        <rFont val="Verdana"/>
        <family val="2"/>
      </rPr>
      <t xml:space="preserve">1 </t>
    </r>
    <r>
      <rPr>
        <sz val="9"/>
        <rFont val="Verdana"/>
        <family val="2"/>
      </rPr>
      <t>El término Avanzada refiere a la infraestructura dependiente de la ADUANA que consta de andenes de revisión para automóviles, buses y camiones.</t>
    </r>
  </si>
  <si>
    <r>
      <rPr>
        <b/>
        <sz val="9"/>
        <rFont val="Verdana"/>
        <family val="2"/>
      </rPr>
      <t xml:space="preserve">2 </t>
    </r>
    <r>
      <rPr>
        <sz val="9"/>
        <rFont val="Verdana"/>
        <family val="2"/>
      </rPr>
      <t xml:space="preserve">Zeal: Zona de Extensión y Apoyo Logístico en Valparaíso. </t>
    </r>
  </si>
  <si>
    <r>
      <t>AVANZADA</t>
    </r>
    <r>
      <rPr>
        <b/>
        <vertAlign val="superscript"/>
        <sz val="9"/>
        <rFont val="Verdana"/>
        <family val="2"/>
      </rPr>
      <t>/1</t>
    </r>
  </si>
  <si>
    <r>
      <rPr>
        <b/>
        <sz val="9"/>
        <rFont val="Verdana"/>
        <family val="2"/>
      </rPr>
      <t>1</t>
    </r>
    <r>
      <rPr>
        <sz val="9"/>
        <rFont val="Verdana"/>
        <family val="2"/>
      </rPr>
      <t xml:space="preserve"> El término Avanzada refiere a la infraestructura dependiente de la ADUANA que consta de andenes de revisión para automóviles, buses y camiones.</t>
    </r>
  </si>
  <si>
    <r>
      <t>REGIÓN Y UNIDAD DEL SNASPE</t>
    </r>
    <r>
      <rPr>
        <b/>
        <vertAlign val="superscript"/>
        <sz val="9"/>
        <rFont val="Verdana"/>
        <family val="2"/>
      </rPr>
      <t>/1</t>
    </r>
  </si>
  <si>
    <r>
      <t>S.N. Laguna el Peral</t>
    </r>
    <r>
      <rPr>
        <vertAlign val="superscript"/>
        <sz val="9"/>
        <rFont val="Verdana"/>
        <family val="2"/>
      </rPr>
      <t>/2</t>
    </r>
  </si>
  <si>
    <r>
      <t>R.N. Mañihuales</t>
    </r>
    <r>
      <rPr>
        <vertAlign val="superscript"/>
        <sz val="9"/>
        <rFont val="Verdana"/>
        <family val="2"/>
      </rPr>
      <t>/2</t>
    </r>
  </si>
  <si>
    <r>
      <t>A.P. Cerro Huemules</t>
    </r>
    <r>
      <rPr>
        <vertAlign val="superscript"/>
        <sz val="9"/>
        <rFont val="Verdana"/>
        <family val="2"/>
      </rPr>
      <t>/2</t>
    </r>
  </si>
  <si>
    <r>
      <rPr>
        <b/>
        <sz val="9"/>
        <rFont val="Verdana"/>
        <family val="2"/>
      </rPr>
      <t xml:space="preserve">1 </t>
    </r>
    <r>
      <rPr>
        <sz val="9"/>
        <rFont val="Verdana"/>
        <family val="2"/>
      </rPr>
      <t>Parque nacional: P.N, reserva nacional: R.N, monumento nacional: NM y área protegida: AP.</t>
    </r>
  </si>
  <si>
    <r>
      <rPr>
        <b/>
        <sz val="9"/>
        <rFont val="Verdana"/>
        <family val="2"/>
      </rPr>
      <t xml:space="preserve">2 </t>
    </r>
    <r>
      <rPr>
        <sz val="9"/>
        <rFont val="Verdana"/>
        <family val="2"/>
      </rPr>
      <t>Estas unidades no forman parte del Snaspe, no obstante, son administradas por Conaf.</t>
    </r>
  </si>
  <si>
    <r>
      <t>Menores de edad</t>
    </r>
    <r>
      <rPr>
        <b/>
        <vertAlign val="superscript"/>
        <sz val="9"/>
        <rFont val="Verdana"/>
        <family val="2"/>
      </rPr>
      <t>/3</t>
    </r>
  </si>
  <si>
    <r>
      <t>Adultos</t>
    </r>
    <r>
      <rPr>
        <b/>
        <vertAlign val="superscript"/>
        <sz val="9"/>
        <rFont val="Verdana"/>
        <family val="2"/>
      </rPr>
      <t>/3</t>
    </r>
  </si>
  <si>
    <r>
      <t>Adultos mayores</t>
    </r>
    <r>
      <rPr>
        <b/>
        <vertAlign val="superscript"/>
        <sz val="9"/>
        <rFont val="Verdana"/>
        <family val="2"/>
      </rPr>
      <t>/3</t>
    </r>
  </si>
  <si>
    <r>
      <t>S.N. Laguna El Peral</t>
    </r>
    <r>
      <rPr>
        <vertAlign val="superscript"/>
        <sz val="9"/>
        <rFont val="Verdana"/>
        <family val="2"/>
      </rPr>
      <t>/2</t>
    </r>
  </si>
  <si>
    <r>
      <rPr>
        <b/>
        <sz val="9"/>
        <rFont val="Verdana"/>
        <family val="2"/>
      </rPr>
      <t xml:space="preserve">1 </t>
    </r>
    <r>
      <rPr>
        <sz val="9"/>
        <rFont val="Verdana"/>
        <family val="2"/>
      </rPr>
      <t>Parque nacional: P.N, reserva nacional: R.N, monumento nacional: MN.</t>
    </r>
  </si>
  <si>
    <r>
      <rPr>
        <b/>
        <sz val="9"/>
        <rFont val="Verdana"/>
        <family val="2"/>
      </rPr>
      <t xml:space="preserve">3 </t>
    </r>
    <r>
      <rPr>
        <sz val="9"/>
        <rFont val="Verdana"/>
        <family val="2"/>
      </rPr>
      <t>Categoría de Menores de edad: 0-17 años, Adultos es una categoría compuesta por hombres de 18 a 64 años y mujeres de18 a 59 años y Adultos mayores, definidos como mujeres mayores de 60 años y hombres mayores de 65 años.</t>
    </r>
  </si>
  <si>
    <r>
      <t xml:space="preserve">REGIÓN Y UNIDAD DEL SNASPE </t>
    </r>
    <r>
      <rPr>
        <b/>
        <vertAlign val="superscript"/>
        <sz val="9"/>
        <rFont val="Verdana"/>
        <family val="2"/>
      </rPr>
      <t>/1</t>
    </r>
  </si>
  <si>
    <r>
      <rPr>
        <b/>
        <sz val="9"/>
        <rFont val="Verdana"/>
        <family val="2"/>
      </rPr>
      <t xml:space="preserve">1 </t>
    </r>
    <r>
      <rPr>
        <sz val="9"/>
        <rFont val="Verdana"/>
        <family val="2"/>
      </rPr>
      <t>Parque nacional: P.N, reserva nacional: R.N, monumento nacional: M.N.</t>
    </r>
  </si>
  <si>
    <r>
      <rPr>
        <b/>
        <sz val="9"/>
        <rFont val="Verdana"/>
        <family val="2"/>
      </rPr>
      <t>2</t>
    </r>
    <r>
      <rPr>
        <sz val="9"/>
        <rFont val="Verdana"/>
        <family val="2"/>
      </rPr>
      <t xml:space="preserve"> Estas unidades no forman parte del Snaspe, no obstante, son administradas por Conaf.</t>
    </r>
  </si>
  <si>
    <r>
      <t>Tipo de catastro</t>
    </r>
    <r>
      <rPr>
        <b/>
        <vertAlign val="superscript"/>
        <sz val="9"/>
        <rFont val="Verdana"/>
        <family val="2"/>
      </rPr>
      <t>/2</t>
    </r>
    <r>
      <rPr>
        <b/>
        <sz val="9"/>
        <rFont val="Verdana"/>
        <family val="2"/>
      </rPr>
      <t xml:space="preserve"> (nuevo/actualizado)</t>
    </r>
  </si>
  <si>
    <r>
      <rPr>
        <b/>
        <sz val="9"/>
        <rFont val="Verdana"/>
        <family val="2"/>
      </rPr>
      <t>1</t>
    </r>
    <r>
      <rPr>
        <sz val="9"/>
        <rFont val="Verdana"/>
        <family val="2"/>
      </rPr>
      <t xml:space="preserve"> Sin modificaciones respecto del año 2013.</t>
    </r>
  </si>
  <si>
    <r>
      <rPr>
        <b/>
        <sz val="9"/>
        <rFont val="Verdana"/>
        <family val="2"/>
      </rPr>
      <t xml:space="preserve">2 </t>
    </r>
    <r>
      <rPr>
        <sz val="9"/>
        <rFont val="Verdana"/>
        <family val="2"/>
      </rPr>
      <t>Catastros antiguos: con información actualizada al 2015.  Incluye el patrimonio cultural aledaño a las Áreas Silvestres Protegidas.</t>
    </r>
  </si>
  <si>
    <r>
      <t>Estado de conservación</t>
    </r>
    <r>
      <rPr>
        <b/>
        <vertAlign val="superscript"/>
        <sz val="9"/>
        <rFont val="Verdana"/>
        <family val="2"/>
      </rPr>
      <t>/2</t>
    </r>
  </si>
  <si>
    <r>
      <t>Pingüino de Humboldt</t>
    </r>
    <r>
      <rPr>
        <vertAlign val="superscript"/>
        <sz val="9"/>
        <rFont val="Verdana"/>
        <family val="2"/>
      </rPr>
      <t>/3</t>
    </r>
  </si>
  <si>
    <r>
      <t>Zorro de Darwin</t>
    </r>
    <r>
      <rPr>
        <vertAlign val="superscript"/>
        <sz val="9"/>
        <rFont val="Verdana"/>
        <family val="2"/>
      </rPr>
      <t>/3</t>
    </r>
  </si>
  <si>
    <r>
      <rPr>
        <b/>
        <sz val="9"/>
        <rFont val="Verdana"/>
        <family val="2"/>
      </rPr>
      <t>1</t>
    </r>
    <r>
      <rPr>
        <sz val="9"/>
        <rFont val="Verdana"/>
        <family val="2"/>
      </rPr>
      <t xml:space="preserve"> Sin modificaciones respecto del año 2013</t>
    </r>
  </si>
  <si>
    <r>
      <rPr>
        <b/>
        <sz val="9"/>
        <rFont val="Verdana"/>
        <family val="2"/>
      </rPr>
      <t xml:space="preserve">2 </t>
    </r>
    <r>
      <rPr>
        <sz val="9"/>
        <rFont val="Verdana"/>
        <family val="2"/>
      </rPr>
      <t>Abreviaciones RCEP1:Reglamento de clasificación de especies (RCE), proceso n°1 (P1); RCEP2: Reglamento de clasificación de especies (RCE), proceso n°2 (P2); RCEP5: Reglamento de clasificación de especies (RCE), proceso n°5 (P5); RCEP7: Reglamento de clasificación de especies (RCE),  proceso n°7 (P7); RCEP9: Reglamento de clasificación de especies (RCE), proceso n°9 (P9) .</t>
    </r>
  </si>
  <si>
    <r>
      <rPr>
        <b/>
        <sz val="9"/>
        <rFont val="Verdana"/>
        <family val="2"/>
      </rPr>
      <t>3</t>
    </r>
    <r>
      <rPr>
        <sz val="9"/>
        <rFont val="Verdana"/>
        <family val="2"/>
      </rPr>
      <t xml:space="preserve"> Otras especies protegidas. No se dispone de mayor información.</t>
    </r>
  </si>
  <si>
    <r>
      <rPr>
        <b/>
        <sz val="9"/>
        <rFont val="Verdana"/>
        <family val="2"/>
      </rPr>
      <t xml:space="preserve">2 </t>
    </r>
    <r>
      <rPr>
        <sz val="9"/>
        <rFont val="Verdana"/>
        <family val="2"/>
      </rPr>
      <t>Abreviaciones Q: Queñoa de precordillera; QA: Queñoa de altura; RCEP1:Reglamento de clasificación de especies (RCE), proceso n°1 (P1); RCEP2: Reglamento de clasificación de especies (RCE), proceso n°2 (P2); RCEP3: Reglamento de clasificación de especies (RCE), proceso n°3 (P3); RCEP7: Reglamento de clasificación de especies (RCE),  proceso n°7 (P7); RCEP9: Reglamento de clasificación de especies (RCE), proceso n°9 (P9).</t>
    </r>
  </si>
  <si>
    <r>
      <t>Sitios Ramsar</t>
    </r>
    <r>
      <rPr>
        <b/>
        <vertAlign val="superscript"/>
        <sz val="9"/>
        <rFont val="Verdana"/>
        <family val="2"/>
      </rPr>
      <t>/1</t>
    </r>
  </si>
  <si>
    <r>
      <rPr>
        <b/>
        <sz val="9"/>
        <rFont val="Verdana"/>
        <family val="2"/>
      </rPr>
      <t>1</t>
    </r>
    <r>
      <rPr>
        <sz val="9"/>
        <rFont val="Verdana"/>
        <family val="2"/>
      </rPr>
      <t xml:space="preserve"> Los sitios Ramsar se definen como: "extensiones de marismas, pantanos y turberas, o superficies cubiertas de aguas, sean éstas de régimen natural o artificial, permanentes o temporales, estancadas o corrientes, dulces salobres o saladas, incluidas las extensiones de agua marina cuya profundidad en marea baja no exceda de seis metros y que se encuentren relevadas en el marco de esta convención" (Ramsar).</t>
    </r>
  </si>
  <si>
    <r>
      <t>TIPO DE BIÓSFERA</t>
    </r>
    <r>
      <rPr>
        <b/>
        <vertAlign val="superscript"/>
        <sz val="9"/>
        <rFont val="Verdana"/>
        <family val="2"/>
      </rPr>
      <t>/1</t>
    </r>
  </si>
  <si>
    <r>
      <rPr>
        <b/>
        <sz val="9"/>
        <rFont val="Verdana"/>
        <family val="2"/>
      </rPr>
      <t>1</t>
    </r>
    <r>
      <rPr>
        <sz val="9"/>
        <rFont val="Verdana"/>
        <family val="2"/>
      </rPr>
      <t xml:space="preserve"> Definición de Reserva de la Biófera:"zonas de ecosistémas terrestres o costero/marinos, o una combinación de los mismos, reconocidas en el plano internacional como tales en el marco del Programa sobre el Hombre y la Biósfera (MAB) de la UNESCO".</t>
    </r>
  </si>
  <si>
    <r>
      <t>Reserva Nacional Pingüino de Humboldt</t>
    </r>
    <r>
      <rPr>
        <vertAlign val="superscript"/>
        <sz val="9"/>
        <rFont val="Verdana"/>
        <family val="2"/>
      </rPr>
      <t>/1</t>
    </r>
  </si>
  <si>
    <r>
      <rPr>
        <b/>
        <sz val="9"/>
        <color rgb="FF000000"/>
        <rFont val="Verdana"/>
        <family val="2"/>
      </rPr>
      <t xml:space="preserve">1 </t>
    </r>
    <r>
      <rPr>
        <sz val="9"/>
        <color rgb="FF000000"/>
        <rFont val="Verdana"/>
        <family val="2"/>
      </rPr>
      <t xml:space="preserve">Los Terrenos de la reserva abarcan la III y IV región, pero la administración está a cargo de la IV región. </t>
    </r>
  </si>
  <si>
    <r>
      <t>Parque Nacional Pan de Azúcar</t>
    </r>
    <r>
      <rPr>
        <vertAlign val="superscript"/>
        <sz val="9"/>
        <rFont val="Verdana"/>
        <family val="2"/>
      </rPr>
      <t>/1</t>
    </r>
  </si>
  <si>
    <r>
      <t>Parque Nacional Las Palmas de Cocalán</t>
    </r>
    <r>
      <rPr>
        <vertAlign val="superscript"/>
        <sz val="9"/>
        <rFont val="Verdana"/>
        <family val="2"/>
      </rPr>
      <t>/2</t>
    </r>
  </si>
  <si>
    <r>
      <t>Parque Nacional Nahuelbuta</t>
    </r>
    <r>
      <rPr>
        <vertAlign val="superscript"/>
        <sz val="9"/>
        <rFont val="Verdana"/>
        <family val="2"/>
      </rPr>
      <t>/3</t>
    </r>
  </si>
  <si>
    <r>
      <t>Parque Nacional Bernardo O'Higgins</t>
    </r>
    <r>
      <rPr>
        <vertAlign val="superscript"/>
        <sz val="9"/>
        <rFont val="Verdana"/>
        <family val="2"/>
      </rPr>
      <t>/4</t>
    </r>
  </si>
  <si>
    <r>
      <rPr>
        <b/>
        <sz val="9"/>
        <color rgb="FF000000"/>
        <rFont val="Verdana"/>
        <family val="2"/>
      </rPr>
      <t>1</t>
    </r>
    <r>
      <rPr>
        <sz val="9"/>
        <color rgb="FF000000"/>
        <rFont val="Verdana"/>
        <family val="2"/>
      </rPr>
      <t xml:space="preserve"> Los Terrenos del parque abarcan la II y III región, pero la administración está a cargo de la III región.</t>
    </r>
  </si>
  <si>
    <r>
      <t xml:space="preserve">2 </t>
    </r>
    <r>
      <rPr>
        <sz val="9"/>
        <color rgb="FF000000"/>
        <rFont val="Verdana"/>
        <family val="2"/>
      </rPr>
      <t>En propiedad privada, no administrado por CONAF.</t>
    </r>
  </si>
  <si>
    <r>
      <rPr>
        <b/>
        <sz val="9"/>
        <color rgb="FF000000"/>
        <rFont val="Verdana"/>
        <family val="2"/>
      </rPr>
      <t xml:space="preserve">3 </t>
    </r>
    <r>
      <rPr>
        <sz val="9"/>
        <color rgb="FF000000"/>
        <rFont val="Verdana"/>
        <family val="2"/>
      </rPr>
      <t>Los Terrenos del parque abarcan la VII y IX región, pero la administración está a cargo de la IX región.</t>
    </r>
  </si>
  <si>
    <r>
      <t xml:space="preserve">4 </t>
    </r>
    <r>
      <rPr>
        <sz val="9"/>
        <color rgb="FF000000"/>
        <rFont val="Verdana"/>
        <family val="2"/>
      </rPr>
      <t>Los terrenos del parque abarcan la XI y XII región, pero su administración está a cargo de la XII región.</t>
    </r>
  </si>
  <si>
    <r>
      <t>Componente</t>
    </r>
    <r>
      <rPr>
        <b/>
        <vertAlign val="superscript"/>
        <sz val="9"/>
        <rFont val="Verdana"/>
        <family val="2"/>
      </rPr>
      <t>/2</t>
    </r>
  </si>
  <si>
    <r>
      <t>Categoría</t>
    </r>
    <r>
      <rPr>
        <b/>
        <vertAlign val="superscript"/>
        <sz val="9"/>
        <rFont val="Verdana"/>
        <family val="2"/>
      </rPr>
      <t>/3</t>
    </r>
  </si>
  <si>
    <r>
      <t>Mueble/inmueble</t>
    </r>
    <r>
      <rPr>
        <b/>
        <vertAlign val="superscript"/>
        <sz val="9"/>
        <rFont val="Verdana"/>
        <family val="2"/>
      </rPr>
      <t>/4</t>
    </r>
  </si>
  <si>
    <r>
      <rPr>
        <b/>
        <sz val="9"/>
        <rFont val="Verdana"/>
        <family val="2"/>
      </rPr>
      <t>1</t>
    </r>
    <r>
      <rPr>
        <sz val="9"/>
        <rFont val="Verdana"/>
        <family val="2"/>
      </rPr>
      <t xml:space="preserve"> Durante el año 2014 no se efectuaron registros de santuarios de la naturaleza.</t>
    </r>
  </si>
  <si>
    <r>
      <rPr>
        <b/>
        <sz val="9"/>
        <rFont val="Verdana"/>
        <family val="2"/>
      </rPr>
      <t xml:space="preserve">2 </t>
    </r>
    <r>
      <rPr>
        <sz val="9"/>
        <rFont val="Verdana"/>
        <family val="2"/>
      </rPr>
      <t xml:space="preserve">Debido a que los componentes permiten representar distintas piezas de un mismo monumento, hay regiones en las cuales no existe información al respecto, debido a que la declaratoria se asocia a monumentos independientes entre sí.   </t>
    </r>
  </si>
  <si>
    <r>
      <rPr>
        <b/>
        <sz val="9"/>
        <rFont val="Verdana"/>
        <family val="2"/>
      </rPr>
      <t>3</t>
    </r>
    <r>
      <rPr>
        <sz val="9"/>
        <rFont val="Verdana"/>
        <family val="2"/>
      </rPr>
      <t xml:space="preserve"> Definiciones de categoría: MH : Monumentos Históricos; ZT : Zonas Típicas; SN: Santuario de la Naturaleza.</t>
    </r>
  </si>
  <si>
    <r>
      <rPr>
        <b/>
        <sz val="9"/>
        <rFont val="Verdana"/>
        <family val="2"/>
      </rPr>
      <t xml:space="preserve">4 </t>
    </r>
    <r>
      <rPr>
        <sz val="9"/>
        <rFont val="Verdana"/>
        <family val="2"/>
      </rPr>
      <t xml:space="preserve">Abreviación de categoría: Mueble: M e Inmueble: I </t>
    </r>
  </si>
  <si>
    <r>
      <rPr>
        <b/>
        <sz val="9"/>
        <rFont val="Verdana"/>
        <family val="2"/>
      </rPr>
      <t>1</t>
    </r>
    <r>
      <rPr>
        <sz val="9"/>
        <rFont val="Verdana"/>
        <family val="2"/>
      </rPr>
      <t xml:space="preserve"> No se dispone de información para el periodo 2014 debido a que no se registró en todas las unidades y de forma sistemática, el número de charlas de educación ambiental dictadas durante el año.</t>
    </r>
  </si>
  <si>
    <r>
      <rPr>
        <b/>
        <sz val="9"/>
        <rFont val="Verdana"/>
        <family val="2"/>
      </rPr>
      <t xml:space="preserve">1 </t>
    </r>
    <r>
      <rPr>
        <sz val="9"/>
        <rFont val="Verdana"/>
        <family val="2"/>
      </rPr>
      <t>El día del Patrimonio Cultural se realizó durante el mes de mayo del año 2014.</t>
    </r>
  </si>
  <si>
    <r>
      <t xml:space="preserve">TOTAL </t>
    </r>
    <r>
      <rPr>
        <b/>
        <vertAlign val="superscript"/>
        <sz val="9"/>
        <rFont val="Verdana"/>
        <family val="2"/>
      </rPr>
      <t>/2</t>
    </r>
  </si>
  <si>
    <r>
      <rPr>
        <b/>
        <sz val="9"/>
        <color theme="1"/>
        <rFont val="Verdana"/>
        <family val="2"/>
      </rPr>
      <t>1</t>
    </r>
    <r>
      <rPr>
        <sz val="9"/>
        <color theme="1"/>
        <rFont val="Verdana"/>
        <family val="2"/>
      </rPr>
      <t xml:space="preserve"> SIGPA, Sistema de Información para la Gestión Patrimonial</t>
    </r>
  </si>
  <si>
    <r>
      <rPr>
        <b/>
        <sz val="9"/>
        <color theme="1"/>
        <rFont val="Verdana"/>
        <family val="2"/>
      </rPr>
      <t>2</t>
    </r>
    <r>
      <rPr>
        <sz val="9"/>
        <color theme="1"/>
        <rFont val="Verdana"/>
        <family val="2"/>
      </rPr>
      <t xml:space="preserve"> Existen 108 casos perdidos pues no se consigna ámbito de patrimonio cultural inmaterial en el registro. Estos registros no se consideraron en los totales descritos en la tabla.</t>
    </r>
  </si>
  <si>
    <r>
      <rPr>
        <b/>
        <sz val="9"/>
        <color theme="1"/>
        <rFont val="Verdana"/>
        <family val="2"/>
      </rPr>
      <t>2</t>
    </r>
    <r>
      <rPr>
        <sz val="9"/>
        <color theme="1"/>
        <rFont val="Verdana"/>
        <family val="2"/>
      </rPr>
      <t xml:space="preserve"> Existen 10 casos perdidos pues no se consigna región en el registro. Estos registros no se consideraron en los totales descritos en la tabla.</t>
    </r>
  </si>
  <si>
    <r>
      <t>Tarapacá, Antofagasta, Atacama, Coquimbo, Valparaíso, Metropolitana</t>
    </r>
    <r>
      <rPr>
        <vertAlign val="superscript"/>
        <sz val="9"/>
        <color theme="1"/>
        <rFont val="Verdana"/>
        <family val="2"/>
      </rPr>
      <t>/1 /2</t>
    </r>
  </si>
  <si>
    <r>
      <t>Coquimbo, Valparaíso, Metropolitana, O'Higgins, Maule, Biobío</t>
    </r>
    <r>
      <rPr>
        <vertAlign val="superscript"/>
        <sz val="9"/>
        <color theme="1"/>
        <rFont val="Verdana"/>
        <family val="2"/>
      </rPr>
      <t>/1 /3</t>
    </r>
  </si>
  <si>
    <r>
      <rPr>
        <b/>
        <sz val="9"/>
        <color theme="1"/>
        <rFont val="Verdana"/>
        <family val="2"/>
      </rPr>
      <t xml:space="preserve">1 </t>
    </r>
    <r>
      <rPr>
        <sz val="9"/>
        <color theme="1"/>
        <rFont val="Verdana"/>
        <family val="2"/>
      </rPr>
      <t>Existen expedientes que refieren a manifestaciones del Patrimonio Cultural Inmaterial presentes en más de una región o un conjunto de éstas.</t>
    </r>
  </si>
  <si>
    <r>
      <rPr>
        <b/>
        <sz val="9"/>
        <color theme="1"/>
        <rFont val="Verdana"/>
        <family val="2"/>
      </rPr>
      <t>2</t>
    </r>
    <r>
      <rPr>
        <sz val="9"/>
        <color theme="1"/>
        <rFont val="Verdana"/>
        <family val="2"/>
      </rPr>
      <t xml:space="preserve"> Corresponde a Bailes Chinos.</t>
    </r>
  </si>
  <si>
    <r>
      <rPr>
        <b/>
        <sz val="9"/>
        <color theme="1"/>
        <rFont val="Verdana"/>
        <family val="2"/>
      </rPr>
      <t>3</t>
    </r>
    <r>
      <rPr>
        <sz val="9"/>
        <color theme="1"/>
        <rFont val="Verdana"/>
        <family val="2"/>
      </rPr>
      <t xml:space="preserve"> Corresponde a Canto a lo Poeta.</t>
    </r>
  </si>
  <si>
    <r>
      <t>Biobío, Araucanía, Los Ríos, Los Lagos</t>
    </r>
    <r>
      <rPr>
        <b/>
        <vertAlign val="superscript"/>
        <sz val="9"/>
        <color theme="1"/>
        <rFont val="Verdana"/>
        <family val="2"/>
      </rPr>
      <t>/2</t>
    </r>
  </si>
  <si>
    <r>
      <rPr>
        <b/>
        <sz val="9"/>
        <color theme="1"/>
        <rFont val="Verdana"/>
        <family val="2"/>
      </rPr>
      <t>1</t>
    </r>
    <r>
      <rPr>
        <sz val="9"/>
        <color theme="1"/>
        <rFont val="Verdana"/>
        <family val="2"/>
      </rPr>
      <t xml:space="preserve"> La ausencia de ámbitos del patrimonio cultural inmaterial en esta tabla se debe a que no cuentan con expediente para alguno de los años publicados.</t>
    </r>
  </si>
  <si>
    <r>
      <rPr>
        <b/>
        <sz val="9"/>
        <color theme="1"/>
        <rFont val="Verdana"/>
        <family val="2"/>
      </rPr>
      <t xml:space="preserve">2 </t>
    </r>
    <r>
      <rPr>
        <sz val="9"/>
        <color theme="1"/>
        <rFont val="Verdana"/>
        <family val="2"/>
      </rPr>
      <t>Existen expedientes que refieren a manifestaciones del Patrimonio Cultural Inmaterial presentes en más de una región o un conjunto de éstas.</t>
    </r>
  </si>
  <si>
    <r>
      <rPr>
        <b/>
        <sz val="9"/>
        <color theme="1"/>
        <rFont val="Verdana"/>
        <family val="2"/>
      </rPr>
      <t xml:space="preserve">1 </t>
    </r>
    <r>
      <rPr>
        <sz val="9"/>
        <color theme="1"/>
        <rFont val="Verdana"/>
        <family val="2"/>
      </rPr>
      <t>Los valores informados se clasifican de acuerdo al año de edición.</t>
    </r>
  </si>
  <si>
    <r>
      <t>Componente</t>
    </r>
    <r>
      <rPr>
        <b/>
        <vertAlign val="superscript"/>
        <sz val="9"/>
        <rFont val="Verdana"/>
        <family val="2"/>
      </rPr>
      <t>/1</t>
    </r>
  </si>
  <si>
    <r>
      <rPr>
        <b/>
        <sz val="9"/>
        <rFont val="Verdana"/>
        <family val="2"/>
      </rPr>
      <t>1</t>
    </r>
    <r>
      <rPr>
        <sz val="9"/>
        <rFont val="Verdana"/>
        <family val="2"/>
      </rPr>
      <t xml:space="preserve"> Debido a que los componentes permiten representar distintas piezas de un mismo monumento, hay regiones en las cuales no existe información al respecto, debido a que la declaratoria se asocia a monumentoas independientes entre sí.</t>
    </r>
  </si>
  <si>
    <r>
      <t>Monumentos históricos muebles</t>
    </r>
    <r>
      <rPr>
        <b/>
        <vertAlign val="superscript"/>
        <sz val="9"/>
        <rFont val="Verdana"/>
        <family val="2"/>
      </rPr>
      <t>/1</t>
    </r>
  </si>
  <si>
    <r>
      <rPr>
        <b/>
        <sz val="9"/>
        <rFont val="Verdana"/>
        <family val="2"/>
      </rPr>
      <t xml:space="preserve">1 </t>
    </r>
    <r>
      <rPr>
        <sz val="9"/>
        <rFont val="Verdana"/>
        <family val="2"/>
      </rPr>
      <t>Para efectos de contabilizar las solicitudes de declaración de monumentos históricos muebles, se consideraron por unidad cada uno de los bienes incluidos, independientemente que ingresaran en una sola solicitud. Sin embargo, para el caso de colecciones, se entendieron éstas como una unidad.</t>
    </r>
  </si>
  <si>
    <r>
      <t>Asia</t>
    </r>
    <r>
      <rPr>
        <b/>
        <vertAlign val="superscript"/>
        <sz val="9"/>
        <rFont val="Verdana"/>
        <family val="2"/>
      </rPr>
      <t>/1</t>
    </r>
  </si>
  <si>
    <r>
      <t>Europa</t>
    </r>
    <r>
      <rPr>
        <b/>
        <vertAlign val="superscript"/>
        <sz val="9"/>
        <rFont val="Verdana"/>
        <family val="2"/>
      </rPr>
      <t>/2</t>
    </r>
  </si>
  <si>
    <r>
      <t>América</t>
    </r>
    <r>
      <rPr>
        <b/>
        <vertAlign val="superscript"/>
        <sz val="9"/>
        <rFont val="Verdana"/>
        <family val="2"/>
      </rPr>
      <t>/3</t>
    </r>
  </si>
  <si>
    <r>
      <t>África</t>
    </r>
    <r>
      <rPr>
        <b/>
        <vertAlign val="superscript"/>
        <sz val="9"/>
        <rFont val="Verdana"/>
        <family val="2"/>
      </rPr>
      <t>/4</t>
    </r>
  </si>
  <si>
    <r>
      <t>Oceanía</t>
    </r>
    <r>
      <rPr>
        <b/>
        <vertAlign val="superscript"/>
        <sz val="9"/>
        <rFont val="Verdana"/>
        <family val="2"/>
      </rPr>
      <t>/5</t>
    </r>
  </si>
  <si>
    <r>
      <rPr>
        <b/>
        <sz val="9"/>
        <rFont val="Verdana"/>
        <family val="2"/>
      </rPr>
      <t xml:space="preserve">1 </t>
    </r>
    <r>
      <rPr>
        <sz val="9"/>
        <rFont val="Verdana"/>
        <family val="2"/>
      </rPr>
      <t>No existen autorizaciones para 2014</t>
    </r>
  </si>
  <si>
    <r>
      <rPr>
        <b/>
        <sz val="9"/>
        <rFont val="Verdana"/>
        <family val="2"/>
      </rPr>
      <t xml:space="preserve">2 </t>
    </r>
    <r>
      <rPr>
        <sz val="9"/>
        <rFont val="Verdana"/>
        <family val="2"/>
      </rPr>
      <t>El total informado considera la salida de una pieza a Italia.</t>
    </r>
  </si>
  <si>
    <r>
      <rPr>
        <b/>
        <sz val="9"/>
        <rFont val="Verdana"/>
        <family val="2"/>
      </rPr>
      <t xml:space="preserve">3 </t>
    </r>
    <r>
      <rPr>
        <sz val="9"/>
        <rFont val="Verdana"/>
        <family val="2"/>
      </rPr>
      <t>El total informado considera 23 piezas a Perú.</t>
    </r>
  </si>
  <si>
    <r>
      <rPr>
        <b/>
        <sz val="9"/>
        <rFont val="Verdana"/>
        <family val="2"/>
      </rPr>
      <t>4</t>
    </r>
    <r>
      <rPr>
        <sz val="9"/>
        <rFont val="Verdana"/>
        <family val="2"/>
      </rPr>
      <t xml:space="preserve"> No existen autorizaciones para 2014</t>
    </r>
  </si>
  <si>
    <r>
      <rPr>
        <b/>
        <sz val="9"/>
        <rFont val="Verdana"/>
        <family val="2"/>
      </rPr>
      <t>5</t>
    </r>
    <r>
      <rPr>
        <sz val="9"/>
        <rFont val="Verdana"/>
        <family val="2"/>
      </rPr>
      <t xml:space="preserve"> No existen autorizaciones para 2014</t>
    </r>
  </si>
  <si>
    <r>
      <t>2013</t>
    </r>
    <r>
      <rPr>
        <b/>
        <vertAlign val="superscript"/>
        <sz val="9"/>
        <rFont val="Verdana"/>
        <family val="2"/>
      </rPr>
      <t>/3</t>
    </r>
  </si>
  <si>
    <r>
      <t>2014</t>
    </r>
    <r>
      <rPr>
        <b/>
        <vertAlign val="superscript"/>
        <sz val="9"/>
        <rFont val="Verdana"/>
        <family val="2"/>
      </rPr>
      <t>/4</t>
    </r>
  </si>
  <si>
    <r>
      <rPr>
        <b/>
        <sz val="9"/>
        <rFont val="Verdana"/>
        <family val="2"/>
      </rPr>
      <t>1</t>
    </r>
    <r>
      <rPr>
        <sz val="9"/>
        <rFont val="Verdana"/>
        <family val="2"/>
      </rPr>
      <t xml:space="preserve"> Destino Estados Unidos y México, Brasil y Japón.</t>
    </r>
  </si>
  <si>
    <r>
      <rPr>
        <b/>
        <sz val="9"/>
        <rFont val="Verdana"/>
        <family val="2"/>
      </rPr>
      <t>2</t>
    </r>
    <r>
      <rPr>
        <sz val="9"/>
        <rFont val="Verdana"/>
        <family val="2"/>
      </rPr>
      <t> Destino Japón y España.</t>
    </r>
  </si>
  <si>
    <r>
      <rPr>
        <b/>
        <sz val="9"/>
        <rFont val="Verdana"/>
        <family val="2"/>
      </rPr>
      <t xml:space="preserve">3 </t>
    </r>
    <r>
      <rPr>
        <sz val="9"/>
        <rFont val="Verdana"/>
        <family val="2"/>
      </rPr>
      <t>Destino Francia, Japón, Italia, Perú, Colombia, Costa Rica y Nicaragua.</t>
    </r>
  </si>
  <si>
    <r>
      <t xml:space="preserve">4 </t>
    </r>
    <r>
      <rPr>
        <sz val="9"/>
        <rFont val="Verdana"/>
        <family val="2"/>
      </rPr>
      <t>Destino Italia y Perú.</t>
    </r>
  </si>
  <si>
    <r>
      <t>GRUPOS DE EDAD</t>
    </r>
    <r>
      <rPr>
        <b/>
        <vertAlign val="superscript"/>
        <sz val="9"/>
        <rFont val="Verdana"/>
        <family val="2"/>
      </rPr>
      <t>/1</t>
    </r>
  </si>
  <si>
    <r>
      <t>Museo Nacional de Historia Natural (MNHN)</t>
    </r>
    <r>
      <rPr>
        <b/>
        <vertAlign val="superscript"/>
        <sz val="9"/>
        <rFont val="Verdana"/>
        <family val="2"/>
      </rPr>
      <t>/2</t>
    </r>
  </si>
  <si>
    <r>
      <t>Menores de edad</t>
    </r>
    <r>
      <rPr>
        <vertAlign val="superscript"/>
        <sz val="9"/>
        <rFont val="Verdana"/>
        <family val="2"/>
      </rPr>
      <t>/3</t>
    </r>
  </si>
  <si>
    <r>
      <t>Adultos</t>
    </r>
    <r>
      <rPr>
        <vertAlign val="superscript"/>
        <sz val="9"/>
        <rFont val="Verdana"/>
        <family val="2"/>
      </rPr>
      <t>/4</t>
    </r>
  </si>
  <si>
    <r>
      <t>Adultos mayores</t>
    </r>
    <r>
      <rPr>
        <vertAlign val="superscript"/>
        <sz val="9"/>
        <rFont val="Verdana"/>
        <family val="2"/>
      </rPr>
      <t>/5</t>
    </r>
  </si>
  <si>
    <r>
      <rPr>
        <b/>
        <sz val="9"/>
        <rFont val="Verdana"/>
        <family val="2"/>
      </rPr>
      <t xml:space="preserve">1 </t>
    </r>
    <r>
      <rPr>
        <sz val="9"/>
        <rFont val="Verdana"/>
        <family val="2"/>
      </rPr>
      <t>Se realiza desagregación según grupos de edad, sólo a las "Entradas Pagadas" de los diferentes museos.</t>
    </r>
  </si>
  <si>
    <r>
      <rPr>
        <b/>
        <sz val="9"/>
        <rFont val="Verdana"/>
        <family val="2"/>
      </rPr>
      <t>2</t>
    </r>
    <r>
      <rPr>
        <sz val="9"/>
        <rFont val="Verdana"/>
        <family val="2"/>
      </rPr>
      <t xml:space="preserve"> El Museo Nacional de Historia Natural durante el 2014 sólo realizó desagregación de usuarios por entrada pagada en el edificio. Las visitas en domingos y festivos al igual que todas las actividades desarrolladas fuera de éste son gratuitas.</t>
    </r>
  </si>
  <si>
    <r>
      <rPr>
        <b/>
        <sz val="9"/>
        <rFont val="Verdana"/>
        <family val="2"/>
      </rPr>
      <t xml:space="preserve">3 </t>
    </r>
    <r>
      <rPr>
        <sz val="9"/>
        <rFont val="Verdana"/>
        <family val="2"/>
      </rPr>
      <t>Personas menores de 18 años.</t>
    </r>
  </si>
  <si>
    <r>
      <rPr>
        <b/>
        <sz val="9"/>
        <rFont val="Verdana"/>
        <family val="2"/>
      </rPr>
      <t>4</t>
    </r>
    <r>
      <rPr>
        <sz val="9"/>
        <color theme="1"/>
        <rFont val="Verdana"/>
        <family val="2"/>
      </rPr>
      <t xml:space="preserve"> Mujeres entre 18 y 60 de edad y hombres entre 18 y 65 años</t>
    </r>
  </si>
  <si>
    <r>
      <rPr>
        <b/>
        <sz val="9"/>
        <rFont val="Verdana"/>
        <family val="2"/>
      </rPr>
      <t xml:space="preserve">5 </t>
    </r>
    <r>
      <rPr>
        <sz val="9"/>
        <rFont val="Verdana"/>
        <family val="2"/>
      </rPr>
      <t>Mujeres mayores de 60 años y hombres mayores de 65 años.</t>
    </r>
  </si>
  <si>
    <r>
      <t>Nacional</t>
    </r>
    <r>
      <rPr>
        <b/>
        <vertAlign val="superscript"/>
        <sz val="9"/>
        <rFont val="Verdana"/>
        <family val="2"/>
      </rPr>
      <t>/8</t>
    </r>
  </si>
  <si>
    <r>
      <t>Columna</t>
    </r>
    <r>
      <rPr>
        <vertAlign val="superscript"/>
        <sz val="9"/>
        <rFont val="Verdana"/>
        <family val="2"/>
      </rPr>
      <t>/1</t>
    </r>
  </si>
  <si>
    <r>
      <t>Taxidermia</t>
    </r>
    <r>
      <rPr>
        <vertAlign val="superscript"/>
        <sz val="9"/>
        <rFont val="Verdana"/>
        <family val="2"/>
      </rPr>
      <t>/2</t>
    </r>
  </si>
  <si>
    <r>
      <t>Pinturas de caballete</t>
    </r>
    <r>
      <rPr>
        <vertAlign val="superscript"/>
        <sz val="9"/>
        <rFont val="Verdana"/>
        <family val="2"/>
      </rPr>
      <t>/3</t>
    </r>
  </si>
  <si>
    <r>
      <t>Óleo sobre papel y metal</t>
    </r>
    <r>
      <rPr>
        <vertAlign val="superscript"/>
        <sz val="9"/>
        <rFont val="Verdana"/>
        <family val="2"/>
      </rPr>
      <t>/4</t>
    </r>
  </si>
  <si>
    <r>
      <t>Especímenes biológicos</t>
    </r>
    <r>
      <rPr>
        <vertAlign val="superscript"/>
        <sz val="9"/>
        <rFont val="Verdana"/>
        <family val="2"/>
      </rPr>
      <t>/ 5</t>
    </r>
  </si>
  <si>
    <r>
      <t>Históricos</t>
    </r>
    <r>
      <rPr>
        <vertAlign val="superscript"/>
        <sz val="9"/>
        <rFont val="Verdana"/>
        <family val="2"/>
      </rPr>
      <t>/ 6</t>
    </r>
  </si>
  <si>
    <r>
      <t>Arte (pintura mural, óleos)</t>
    </r>
    <r>
      <rPr>
        <vertAlign val="superscript"/>
        <sz val="9"/>
        <rFont val="Verdana"/>
        <family val="2"/>
      </rPr>
      <t>/ 7</t>
    </r>
  </si>
  <si>
    <r>
      <rPr>
        <b/>
        <sz val="9"/>
        <rFont val="Verdana"/>
        <family val="2"/>
      </rPr>
      <t xml:space="preserve">1 </t>
    </r>
    <r>
      <rPr>
        <sz val="9"/>
        <rFont val="Verdana"/>
        <family val="2"/>
      </rPr>
      <t>Columna: N° 03-1905.</t>
    </r>
  </si>
  <si>
    <r>
      <rPr>
        <b/>
        <sz val="9"/>
        <rFont val="Verdana"/>
        <family val="2"/>
      </rPr>
      <t xml:space="preserve">2 </t>
    </r>
    <r>
      <rPr>
        <sz val="9"/>
        <rFont val="Verdana"/>
        <family val="2"/>
      </rPr>
      <t>Ejemplares diferentes.</t>
    </r>
  </si>
  <si>
    <r>
      <rPr>
        <b/>
        <sz val="9"/>
        <rFont val="Verdana"/>
        <family val="2"/>
      </rPr>
      <t xml:space="preserve">3 </t>
    </r>
    <r>
      <rPr>
        <sz val="9"/>
        <rFont val="Verdana"/>
        <family val="2"/>
      </rPr>
      <t>12 pinturas de caballete: Llegada de toreros a la Plaza de Sevilla de Ricardo Richon Brunet; Maruja Vargas de Pablo Vidor; La sepultación de Jesús de Juan Francisco Gonzalez; Sagrada Familia y Donantes de Cossiers; Los Canteros de Pedro Lira; La Barca del Dante, Juan Francisco Gonzalez; Paisaje de Juan Francisco Gonzalez;  Sin título de Juan Francisco Gonzalez; Cabeza de estudio de  Juan Francisco Gonzalez; Plaza de lima de Juan Francisco Gonzalez; Salitreros de Laura Rodig; Don Ventura Ruiz de Monvoisin.</t>
    </r>
  </si>
  <si>
    <r>
      <rPr>
        <b/>
        <sz val="9"/>
        <rFont val="Verdana"/>
        <family val="2"/>
      </rPr>
      <t xml:space="preserve">4 </t>
    </r>
    <r>
      <rPr>
        <sz val="9"/>
        <rFont val="Verdana"/>
        <family val="2"/>
      </rPr>
      <t xml:space="preserve">3 Óleos sobre tela: Teresa Elizalde de Carvallo; Retratos N° Inv. 713 y N° 714. </t>
    </r>
  </si>
  <si>
    <r>
      <rPr>
        <b/>
        <sz val="9"/>
        <rFont val="Verdana"/>
        <family val="2"/>
      </rPr>
      <t xml:space="preserve">5 </t>
    </r>
    <r>
      <rPr>
        <sz val="9"/>
        <rFont val="Verdana"/>
        <family val="2"/>
      </rPr>
      <t>Esta preparación de material, se realizó en estación de trabajo y Taller de Taxidermia, para exhibición y estudio. Corresponden a un total de 53 piezas de diversos especimenes tales como: 3 monos macacos, cráneo de lobo marino, loro choroy, queltehue, ibis escarlata, aleta de especie marina, pato yeco, esqueleto de iguana, tortuga, cervatillo, garza cuca, ave serpentario, zorro culpeo, condor, esqueleto de perdiz, cabeza de jabalí, esqueleto de pitón, huesos de lechuza blanca, armadillo, entre otros.</t>
    </r>
  </si>
  <si>
    <r>
      <rPr>
        <b/>
        <sz val="9"/>
        <rFont val="Verdana"/>
        <family val="2"/>
      </rPr>
      <t>6</t>
    </r>
    <r>
      <rPr>
        <sz val="9"/>
        <rFont val="Verdana"/>
        <family val="2"/>
      </rPr>
      <t xml:space="preserve"> Para el MHN, corresponden a 1 Lámpara y 1 Jarrón (N°1043).</t>
    </r>
  </si>
  <si>
    <r>
      <rPr>
        <b/>
        <sz val="9"/>
        <rFont val="Verdana"/>
        <family val="2"/>
      </rPr>
      <t>7</t>
    </r>
    <r>
      <rPr>
        <sz val="9"/>
        <rFont val="Verdana"/>
        <family val="2"/>
      </rPr>
      <t xml:space="preserve"> Para el MHN, corresponden a 17 retratos de: Manuel Riquelme; Fernando VII Rey de España; Francisco Calderón Zumelzu; General Coronel Ramón Freire Serrano; Manuel Larenas; Francisco Gerard de Laforest y Vergara; Francisco García Huidobro 1er. Marqués de Casa Real; Isabel Riquelme y Meza; Coronel Judas Tadeo de los Reyes y Borda; Francisco Javier Rosales y Larraín; Capitán General Bernardo O'Higgins Riquelme; Luis de la Cruz y Goyeneche; Mayor Giuseppe Rondizzoni Cánepa; Antonia Lorca; Mercedes Villegas Romero y Águila; Vicente García Huidobro y Morandé III, marqués de Casa Real; y Francisco Elizalde.</t>
    </r>
  </si>
  <si>
    <r>
      <rPr>
        <b/>
        <sz val="9"/>
        <rFont val="Verdana"/>
        <family val="2"/>
      </rPr>
      <t xml:space="preserve">8 </t>
    </r>
    <r>
      <rPr>
        <sz val="9"/>
        <rFont val="Verdana"/>
        <family val="2"/>
      </rPr>
      <t>Todos los museos dependientes de la Subdirección Nacional de Museos, son identificados como regionales y/o especializados, por cuanto las piezas que declara, no pueden ser clasificados a nivel nacional.</t>
    </r>
  </si>
  <si>
    <r>
      <t>Museo Histórico Nacional</t>
    </r>
    <r>
      <rPr>
        <b/>
        <vertAlign val="superscript"/>
        <sz val="9"/>
        <rFont val="Verdana"/>
        <family val="2"/>
      </rPr>
      <t>/1</t>
    </r>
  </si>
  <si>
    <r>
      <t>Museo Nacional de Historia Natural</t>
    </r>
    <r>
      <rPr>
        <b/>
        <vertAlign val="superscript"/>
        <sz val="9"/>
        <rFont val="Verdana"/>
        <family val="2"/>
      </rPr>
      <t>/2</t>
    </r>
  </si>
  <si>
    <r>
      <t>Subdirección Nacional de Museos</t>
    </r>
    <r>
      <rPr>
        <b/>
        <vertAlign val="superscript"/>
        <sz val="9"/>
        <rFont val="Verdana"/>
        <family val="2"/>
      </rPr>
      <t>/3</t>
    </r>
  </si>
  <si>
    <r>
      <rPr>
        <b/>
        <sz val="9"/>
        <rFont val="Verdana"/>
        <family val="2"/>
      </rPr>
      <t>1</t>
    </r>
    <r>
      <rPr>
        <sz val="9"/>
        <rFont val="Verdana"/>
        <family val="2"/>
      </rPr>
      <t xml:space="preserve"> La exposición permanente comprende 19 salas de exhibición, de distintos períodos históricos.</t>
    </r>
  </si>
  <si>
    <r>
      <rPr>
        <b/>
        <sz val="9"/>
        <rFont val="Verdana"/>
        <family val="2"/>
      </rPr>
      <t>2</t>
    </r>
    <r>
      <rPr>
        <sz val="9"/>
        <rFont val="Verdana"/>
        <family val="2"/>
      </rPr>
      <t xml:space="preserve"> Luego de ocurrido el terremoto en el año 2012, la reapertura del museo se realizó con una exposición permanente.</t>
    </r>
  </si>
  <si>
    <r>
      <rPr>
        <b/>
        <sz val="9"/>
        <rFont val="Verdana"/>
        <family val="2"/>
      </rPr>
      <t>3</t>
    </r>
    <r>
      <rPr>
        <sz val="9"/>
        <rFont val="Verdana"/>
        <family val="2"/>
      </rPr>
      <t xml:space="preserve"> La Subdirección Nacional de Museos tiene un campo de acción directo referido a 24 de los 27 museos Dibam; no incluye a los museos nacionales.</t>
    </r>
  </si>
  <si>
    <r>
      <t>Museo Nacional de Bellas Artes</t>
    </r>
    <r>
      <rPr>
        <b/>
        <vertAlign val="superscript"/>
        <sz val="9"/>
        <rFont val="Verdana"/>
        <family val="2"/>
      </rPr>
      <t>/1</t>
    </r>
  </si>
  <si>
    <r>
      <rPr>
        <b/>
        <sz val="9"/>
        <rFont val="Verdana"/>
        <family val="2"/>
      </rPr>
      <t>1</t>
    </r>
    <r>
      <rPr>
        <sz val="9"/>
        <rFont val="Verdana"/>
        <family val="2"/>
      </rPr>
      <t xml:space="preserve"> Cada autorización incluye más de una obra, por lo tanto con el fin de entregar mayor información se procedió a desagregar por la cantidad de obras destinadas a los diferentes continentes.</t>
    </r>
  </si>
  <si>
    <r>
      <t>Cantidad</t>
    </r>
    <r>
      <rPr>
        <b/>
        <vertAlign val="superscript"/>
        <sz val="9"/>
        <rFont val="Verdana"/>
        <family val="2"/>
      </rPr>
      <t>/1</t>
    </r>
  </si>
  <si>
    <r>
      <rPr>
        <b/>
        <sz val="9"/>
        <rFont val="Verdana"/>
        <family val="2"/>
      </rPr>
      <t xml:space="preserve">1 </t>
    </r>
    <r>
      <rPr>
        <sz val="9"/>
        <rFont val="Verdana"/>
        <family val="2"/>
      </rPr>
      <t>Incluye todos los museos nacionales y regionales dependientes de Dibam. La clasificación fue realizada considerando el tipo de colección que tiene un mayor volúmen en cada museo.</t>
    </r>
  </si>
  <si>
    <r>
      <t>Subdirección Nacional de Museos (SNM)</t>
    </r>
    <r>
      <rPr>
        <b/>
        <vertAlign val="superscript"/>
        <sz val="9"/>
        <rFont val="Verdana"/>
        <family val="2"/>
      </rPr>
      <t>/1</t>
    </r>
  </si>
  <si>
    <r>
      <rPr>
        <b/>
        <sz val="9"/>
        <rFont val="Verdana"/>
        <family val="2"/>
      </rPr>
      <t>1</t>
    </r>
    <r>
      <rPr>
        <sz val="9"/>
        <rFont val="Verdana"/>
        <family val="2"/>
      </rPr>
      <t xml:space="preserve"> No incluye a los museos nacionales.</t>
    </r>
  </si>
  <si>
    <r>
      <t>Museo Nacional de Historia Natural (MNHN)</t>
    </r>
    <r>
      <rPr>
        <b/>
        <vertAlign val="superscript"/>
        <sz val="9"/>
        <rFont val="Verdana"/>
        <family val="2"/>
      </rPr>
      <t>/1</t>
    </r>
  </si>
  <si>
    <r>
      <t>Subdirección Nacional de Museos (SNM)</t>
    </r>
    <r>
      <rPr>
        <b/>
        <vertAlign val="superscript"/>
        <sz val="9"/>
        <rFont val="Verdana"/>
        <family val="2"/>
      </rPr>
      <t>/2</t>
    </r>
  </si>
  <si>
    <r>
      <t xml:space="preserve">N° de museos con exhibición permanente renovada con 100% de objetos exhibidos ingresados a Sistema SUR </t>
    </r>
    <r>
      <rPr>
        <vertAlign val="superscript"/>
        <sz val="9"/>
        <rFont val="Verdana"/>
        <family val="2"/>
      </rPr>
      <t>/3</t>
    </r>
    <r>
      <rPr>
        <sz val="9"/>
        <rFont val="Verdana"/>
        <family val="2"/>
      </rPr>
      <t xml:space="preserve"> con imágenes</t>
    </r>
  </si>
  <si>
    <r>
      <rPr>
        <b/>
        <sz val="9"/>
        <rFont val="Verdana"/>
        <family val="2"/>
      </rPr>
      <t xml:space="preserve">1 </t>
    </r>
    <r>
      <rPr>
        <sz val="9"/>
        <rFont val="Verdana"/>
        <family val="2"/>
      </rPr>
      <t>En el caso del Museo Histórico Nacional (MNHN) el dato "N° de Usuarios en delegaciones con servicio de visita guiada", corresponde a usuarios que participan de actividades didácticas.</t>
    </r>
  </si>
  <si>
    <r>
      <rPr>
        <b/>
        <sz val="9"/>
        <rFont val="Verdana"/>
        <family val="2"/>
      </rPr>
      <t xml:space="preserve">2 </t>
    </r>
    <r>
      <rPr>
        <sz val="9"/>
        <rFont val="Verdana"/>
        <family val="2"/>
      </rPr>
      <t xml:space="preserve">En el caso de la Subdirección Nacional de Museos (SNM) el dato "N° total de actividades de extensión realizadas por la Subdirección Nacional de Museos y sus unidades dependientes", incluye el dato de la celda anterior correspondiente al "N° total de actividades como charlas, conferencias y/o seminarios organizados y desarrollados por museos". </t>
    </r>
  </si>
  <si>
    <r>
      <rPr>
        <b/>
        <sz val="9"/>
        <rFont val="Verdana"/>
        <family val="2"/>
      </rPr>
      <t xml:space="preserve">3 </t>
    </r>
    <r>
      <rPr>
        <sz val="9"/>
        <rFont val="Verdana"/>
        <family val="2"/>
      </rPr>
      <t>Programa SUR: Sistema Unificado de Registros, diseñado para el registro y documentación de las colecciones museográficas de los museos Dibam.</t>
    </r>
  </si>
  <si>
    <r>
      <t>Número de usuarios</t>
    </r>
    <r>
      <rPr>
        <b/>
        <vertAlign val="superscript"/>
        <sz val="9"/>
        <rFont val="Verdana"/>
        <family val="2"/>
      </rPr>
      <t>/1</t>
    </r>
  </si>
  <si>
    <r>
      <rPr>
        <b/>
        <sz val="9"/>
        <rFont val="Verdana"/>
        <family val="2"/>
      </rPr>
      <t>1</t>
    </r>
    <r>
      <rPr>
        <sz val="9"/>
        <rFont val="Verdana"/>
        <family val="2"/>
      </rPr>
      <t xml:space="preserve"> Por usuario se entiende a aquel que consulta en sala o que solicita reproducción de documentos, certificaciones, etc.</t>
    </r>
  </si>
  <si>
    <r>
      <rPr>
        <b/>
        <sz val="9"/>
        <rFont val="Verdana"/>
        <family val="2"/>
      </rPr>
      <t xml:space="preserve">2 </t>
    </r>
    <r>
      <rPr>
        <sz val="9"/>
        <rFont val="Verdana"/>
        <family val="2"/>
      </rPr>
      <t>Corresponde al</t>
    </r>
    <r>
      <rPr>
        <b/>
        <sz val="9"/>
        <rFont val="Verdana"/>
        <family val="2"/>
      </rPr>
      <t xml:space="preserve"> </t>
    </r>
    <r>
      <rPr>
        <sz val="9"/>
        <rFont val="Verdana"/>
        <family val="2"/>
      </rPr>
      <t xml:space="preserve">Archivo Nacional Histórico (ANH). </t>
    </r>
  </si>
  <si>
    <r>
      <rPr>
        <b/>
        <sz val="9"/>
        <rFont val="Verdana"/>
        <family val="2"/>
      </rPr>
      <t xml:space="preserve">3 </t>
    </r>
    <r>
      <rPr>
        <sz val="9"/>
        <rFont val="Verdana"/>
        <family val="2"/>
      </rPr>
      <t>Archivo Nacional de la Administración (Arnad). Este archivo reúne y conserva principalmente la documentación generada por la administración central del Estado de Chile, ministerios, servicios y direcciones y de los auxiliares de la administración de justicia (notarios y conservadores).</t>
    </r>
  </si>
  <si>
    <r>
      <rPr>
        <b/>
        <sz val="9"/>
        <rFont val="Verdana"/>
        <family val="2"/>
      </rPr>
      <t>4</t>
    </r>
    <r>
      <rPr>
        <sz val="9"/>
        <rFont val="Verdana"/>
        <family val="2"/>
      </rPr>
      <t xml:space="preserve"> Para el año 2014, no se consideran los registros de información a público en el mesón del ARNAD y ANH, ya que estas cifras no cuentan con validaciones adecuadas. Esto explica la disminución de usuarios presenciales en la región Metropolitana.   </t>
    </r>
  </si>
  <si>
    <r>
      <rPr>
        <b/>
        <sz val="9"/>
        <rFont val="Verdana"/>
        <family val="2"/>
      </rPr>
      <t xml:space="preserve">1 </t>
    </r>
    <r>
      <rPr>
        <sz val="9"/>
        <rFont val="Verdana"/>
        <family val="2"/>
      </rPr>
      <t>Archivo Nacional Histórico.</t>
    </r>
  </si>
  <si>
    <r>
      <rPr>
        <b/>
        <sz val="9"/>
        <rFont val="Verdana"/>
        <family val="2"/>
      </rPr>
      <t xml:space="preserve">2 </t>
    </r>
    <r>
      <rPr>
        <sz val="9"/>
        <rFont val="Verdana"/>
        <family val="2"/>
      </rPr>
      <t>Archivo Nacional Administración (Arnad).</t>
    </r>
  </si>
  <si>
    <r>
      <rPr>
        <b/>
        <sz val="9"/>
        <rFont val="Verdana"/>
        <family val="2"/>
      </rPr>
      <t xml:space="preserve">2 </t>
    </r>
    <r>
      <rPr>
        <sz val="9"/>
        <rFont val="Verdana"/>
        <family val="2"/>
      </rPr>
      <t>Archivo Nacional de la Administración (Arnad).</t>
    </r>
  </si>
  <si>
    <r>
      <t>Unidad: Museo Histórico Nacional</t>
    </r>
    <r>
      <rPr>
        <b/>
        <vertAlign val="superscript"/>
        <sz val="9"/>
        <rFont val="Verdana"/>
        <family val="2"/>
      </rPr>
      <t>/R</t>
    </r>
  </si>
  <si>
    <r>
      <t xml:space="preserve">R </t>
    </r>
    <r>
      <rPr>
        <sz val="9"/>
        <rFont val="Verdana"/>
        <family val="2"/>
      </rPr>
      <t>Cifras del Museo Histórico Nacional Rectificadas por el informante para los años de esta serie.</t>
    </r>
  </si>
  <si>
    <t>TABLA 10.1</t>
  </si>
  <si>
    <t>TABLA 10.2</t>
  </si>
  <si>
    <t>TABLA 10.3</t>
  </si>
  <si>
    <t>TABLA 10.4</t>
  </si>
  <si>
    <t>TABLA 10.5</t>
  </si>
  <si>
    <t>Tabla 10.6</t>
  </si>
  <si>
    <t>TABLA 10.7</t>
  </si>
  <si>
    <t>TABLA 10.8</t>
  </si>
  <si>
    <t>TABLA 10.9</t>
  </si>
  <si>
    <t>TABLA 10.10</t>
  </si>
  <si>
    <t>TABLA 10.11</t>
  </si>
  <si>
    <t>TABLA 10.12</t>
  </si>
  <si>
    <t>TABLA 10.13</t>
  </si>
  <si>
    <t>TABLA 10.14</t>
  </si>
  <si>
    <t>TABLA 10.15</t>
  </si>
  <si>
    <t>TABLA 10.16</t>
  </si>
  <si>
    <t>TABLA 10.17</t>
  </si>
  <si>
    <t>TABLA 10.18</t>
  </si>
  <si>
    <t>TABLA 10.19</t>
  </si>
  <si>
    <t>TABLA 10.20</t>
  </si>
  <si>
    <t>TABLA 10.21</t>
  </si>
  <si>
    <t>TABLA 10.22</t>
  </si>
  <si>
    <t>TABLA 10.23</t>
  </si>
  <si>
    <t>TABLA 10.24</t>
  </si>
  <si>
    <t>TABLA 10.25</t>
  </si>
  <si>
    <t>TABLA 10.26</t>
  </si>
  <si>
    <t>TABLA 10.27</t>
  </si>
  <si>
    <t>TABLA 10.28</t>
  </si>
  <si>
    <t>TABLA 10.29</t>
  </si>
  <si>
    <t>TABLA 10.30</t>
  </si>
  <si>
    <t>TABLA 10.31</t>
  </si>
  <si>
    <t>TABLA 10.32</t>
  </si>
  <si>
    <t>TABLA 10.33</t>
  </si>
  <si>
    <t>TABLA 10.34</t>
  </si>
  <si>
    <t>TABLA 10.35</t>
  </si>
  <si>
    <t>TABLA 10.36</t>
  </si>
  <si>
    <t>TABLA 10.37</t>
  </si>
  <si>
    <t>TABLA 10.38</t>
  </si>
  <si>
    <t>TABLA 10.39</t>
  </si>
  <si>
    <t>TABLA 10.40</t>
  </si>
  <si>
    <t>TABLA 10.41</t>
  </si>
  <si>
    <t>TABLA 10.42</t>
  </si>
  <si>
    <t>TABLA 10.43</t>
  </si>
  <si>
    <t>TABLA 10.44</t>
  </si>
  <si>
    <t>TABLA 10.45</t>
  </si>
  <si>
    <t>TABLA 10.46</t>
  </si>
  <si>
    <t>TABLA 10.47</t>
  </si>
  <si>
    <t>TABLA 10.48</t>
  </si>
  <si>
    <t>TABLA 10.49</t>
  </si>
  <si>
    <t>TABLA 10.50</t>
  </si>
  <si>
    <t>TABLA 10.51</t>
  </si>
  <si>
    <t>TABLA 10.52</t>
  </si>
  <si>
    <t>TABLA 10.53</t>
  </si>
  <si>
    <t>TABLA 10.54</t>
  </si>
  <si>
    <t>TABLA 10.55</t>
  </si>
  <si>
    <t>TABLA 10.56</t>
  </si>
  <si>
    <t>TABLA 10.57</t>
  </si>
  <si>
    <t>TABLA 10.58</t>
  </si>
  <si>
    <t>TABLA 10.59</t>
  </si>
  <si>
    <t>TABLA 10.60</t>
  </si>
  <si>
    <t>TABLA 10.61</t>
  </si>
  <si>
    <t>TABLA 10.62</t>
  </si>
  <si>
    <t>TABLA 10.63</t>
  </si>
  <si>
    <t>TABLA 10.65</t>
  </si>
  <si>
    <t>TABLA 10.66</t>
  </si>
  <si>
    <t>TABLA 10.67</t>
  </si>
  <si>
    <t>TABLA 11.1</t>
  </si>
  <si>
    <t>TABLA 11.2</t>
  </si>
  <si>
    <t>TABLA 11.3</t>
  </si>
  <si>
    <t>TABLA 11.4</t>
  </si>
  <si>
    <t>TABLA 11.5</t>
  </si>
  <si>
    <t>TABLA 12.1</t>
  </si>
  <si>
    <t>TABLA 12.2</t>
  </si>
  <si>
    <t>TABLA 12.3</t>
  </si>
  <si>
    <t>TABLA 12.4</t>
  </si>
  <si>
    <t>TABLA 12.5</t>
  </si>
  <si>
    <t>TABLA 12.6</t>
  </si>
  <si>
    <t>TABLA 12.7</t>
  </si>
  <si>
    <t>TABLA 12.8</t>
  </si>
  <si>
    <t>TABLA 13.1</t>
  </si>
  <si>
    <t>TABLA 13.2</t>
  </si>
  <si>
    <t>TABLA 13.3</t>
  </si>
  <si>
    <t>TABLA 13.4</t>
  </si>
  <si>
    <t>TABLA 13.5</t>
  </si>
  <si>
    <t>TABLA 13.6</t>
  </si>
  <si>
    <t>TABLA 13.7</t>
  </si>
  <si>
    <t>TABLA 13.8</t>
  </si>
  <si>
    <t>TABLA 13.9</t>
  </si>
  <si>
    <t>TABLA 13.10</t>
  </si>
  <si>
    <t>TABLA 13.11</t>
  </si>
  <si>
    <t>TABLA 13.12</t>
  </si>
  <si>
    <t>TABLA 13.13</t>
  </si>
  <si>
    <t>TABLA 13.14</t>
  </si>
  <si>
    <t>TABLA 13.15</t>
  </si>
  <si>
    <t>TABLA 13.16</t>
  </si>
  <si>
    <t>TABLA 13.17</t>
  </si>
  <si>
    <t>TABLA 13.18</t>
  </si>
  <si>
    <t>TABLA 13.19</t>
  </si>
  <si>
    <t>TABLA 14.1</t>
  </si>
  <si>
    <t>TABLA 14.2</t>
  </si>
  <si>
    <t>TABLA 14.3</t>
  </si>
  <si>
    <t>TABLA 14.4</t>
  </si>
  <si>
    <t>TABLA 14.5</t>
  </si>
  <si>
    <t>TABLA 14.6</t>
  </si>
  <si>
    <t>TABLA 14.7</t>
  </si>
  <si>
    <t>TABLA 14.8</t>
  </si>
  <si>
    <t>TABLA 14.9</t>
  </si>
  <si>
    <t>TABLA 14.10</t>
  </si>
  <si>
    <t>TABLA 14.11</t>
  </si>
  <si>
    <t>TABLA 14.12</t>
  </si>
  <si>
    <t>TABLA 14.13</t>
  </si>
  <si>
    <t>TABLA 14.14</t>
  </si>
  <si>
    <t>TABLA 14.15</t>
  </si>
  <si>
    <t>TABLA 14.16</t>
  </si>
  <si>
    <t>TABLA 14.17</t>
  </si>
  <si>
    <t>TABLA 14.18</t>
  </si>
  <si>
    <t>TABLA 14.19</t>
  </si>
  <si>
    <t>TABLA 14.20</t>
  </si>
  <si>
    <t>TABLA 14.21</t>
  </si>
  <si>
    <t>TABLA 14.22</t>
  </si>
  <si>
    <t>TABLA 14.23</t>
  </si>
  <si>
    <t>TABLA 14.24</t>
  </si>
  <si>
    <t>TABLA 14.25</t>
  </si>
  <si>
    <t>TABLA 14.26</t>
  </si>
  <si>
    <t>TABLA 14.27</t>
  </si>
  <si>
    <t>TABLA 14.28</t>
  </si>
  <si>
    <t>TABLA 14.29</t>
  </si>
  <si>
    <t>TABLA 14.30</t>
  </si>
  <si>
    <t>TABLA 14.31</t>
  </si>
  <si>
    <t>TABLA 14.32</t>
  </si>
  <si>
    <t>TABLA 14.33</t>
  </si>
  <si>
    <t>TABLA 14.34</t>
  </si>
  <si>
    <t>TABLA 14.35</t>
  </si>
  <si>
    <t>TABLA 15.1</t>
  </si>
  <si>
    <t>TABLA 15.2</t>
  </si>
  <si>
    <t>TABLA 15.3</t>
  </si>
  <si>
    <t>TABLA 15.4</t>
  </si>
  <si>
    <t>TABLA 15.5</t>
  </si>
  <si>
    <t>TABLA 15.6</t>
  </si>
  <si>
    <t>TABLA 15.7</t>
  </si>
  <si>
    <t>TABLA 15.8</t>
  </si>
  <si>
    <t>TABLA 15.9</t>
  </si>
  <si>
    <t>TABLA 15.10</t>
  </si>
  <si>
    <t>TABLA 15.11</t>
  </si>
  <si>
    <t>TABLA 15.12</t>
  </si>
  <si>
    <t>TABLA 15.13</t>
  </si>
  <si>
    <t>TABLA 15.14</t>
  </si>
  <si>
    <t>TABLA 15.15</t>
  </si>
  <si>
    <t>TABLA 15.16</t>
  </si>
  <si>
    <t>TABLA 15.17</t>
  </si>
  <si>
    <t>TABLA 15.18</t>
  </si>
  <si>
    <t>TABLA 15.19</t>
  </si>
  <si>
    <t>TABLA 15.20</t>
  </si>
  <si>
    <t>TABLA 15.21</t>
  </si>
  <si>
    <t>TABLA 15.22</t>
  </si>
  <si>
    <t>TABLA 15.23</t>
  </si>
  <si>
    <t>TABLA 15.24</t>
  </si>
  <si>
    <t>TABLA 15.25</t>
  </si>
  <si>
    <t>TABLA 15.26</t>
  </si>
  <si>
    <t>TABLA 15.27</t>
  </si>
  <si>
    <t>TABLA 15.28</t>
  </si>
  <si>
    <t>TABLA 15.29</t>
  </si>
  <si>
    <t>TABLA 15.30</t>
  </si>
  <si>
    <t>TABLA 15.31</t>
  </si>
  <si>
    <t>TABLA 15.32</t>
  </si>
  <si>
    <t>TABLA 15.33</t>
  </si>
  <si>
    <t>TABLA 15.34</t>
  </si>
  <si>
    <t>TABLA 15.35</t>
  </si>
  <si>
    <t>TABLA 15.36</t>
  </si>
  <si>
    <t>TABLA 15.37</t>
  </si>
  <si>
    <t>TABLA 15.38</t>
  </si>
  <si>
    <t>TABLA 15.39</t>
  </si>
  <si>
    <t>TABLA 15.40</t>
  </si>
  <si>
    <t>TABLA 15.41</t>
  </si>
  <si>
    <t>TABLA 15.42</t>
  </si>
  <si>
    <t>TABLA 15.43</t>
  </si>
  <si>
    <t>TABLA 15.44</t>
  </si>
  <si>
    <t>TABLA 16.1</t>
  </si>
  <si>
    <t>TABLA 16.2</t>
  </si>
  <si>
    <t>TABLA 16.3</t>
  </si>
  <si>
    <t>TABLA 16.4</t>
  </si>
  <si>
    <t>TABLA 16.5</t>
  </si>
  <si>
    <t>TABLA 16.6</t>
  </si>
  <si>
    <t>TABLA 16.7</t>
  </si>
  <si>
    <t>TABLA 16.8</t>
  </si>
  <si>
    <t>TABLA 16.9</t>
  </si>
  <si>
    <t>TABLA 16.10</t>
  </si>
  <si>
    <t>TABLA 16.11</t>
  </si>
  <si>
    <t>TABLA 16.12</t>
  </si>
  <si>
    <t>TABLA 16.13</t>
  </si>
  <si>
    <t>TABLA 16.14</t>
  </si>
  <si>
    <t>TABLA 16.15</t>
  </si>
  <si>
    <t>TABLA 16.16</t>
  </si>
  <si>
    <t>TABLA 16.17</t>
  </si>
  <si>
    <t>TABLA 16.18</t>
  </si>
  <si>
    <t>TABLA 16.19</t>
  </si>
  <si>
    <t>TABLA 16.20</t>
  </si>
  <si>
    <t>TABLA 16.21</t>
  </si>
  <si>
    <t>TABLA 16.22</t>
  </si>
  <si>
    <t>TABLA 16.23</t>
  </si>
  <si>
    <t>TABLA 16.24</t>
  </si>
  <si>
    <t>TABLA 16.25</t>
  </si>
  <si>
    <t>TABLA 16.26</t>
  </si>
  <si>
    <t>TABLA 16.27</t>
  </si>
  <si>
    <t>TABLA 16.28</t>
  </si>
  <si>
    <t>TABLA 16.29</t>
  </si>
  <si>
    <t>TABLA 16.30</t>
  </si>
  <si>
    <t>TABLA 16.31</t>
  </si>
  <si>
    <t>TABLA 16.32</t>
  </si>
  <si>
    <t>TABLA 16.33</t>
  </si>
  <si>
    <t>TABLA 16.34</t>
  </si>
  <si>
    <t>TABLA 16.35</t>
  </si>
  <si>
    <t>TABLA 16.36</t>
  </si>
  <si>
    <t>TABLA 16.37</t>
  </si>
  <si>
    <t>TABLA 16.38</t>
  </si>
  <si>
    <t>TABLA 16.39</t>
  </si>
  <si>
    <t>TABLA 16.40</t>
  </si>
  <si>
    <t>TABLA 16.41</t>
  </si>
  <si>
    <t>TABLA 16.42</t>
  </si>
  <si>
    <t>TABLA 16.43</t>
  </si>
  <si>
    <t>TABLA 16.44</t>
  </si>
  <si>
    <t>TABLA 16.45</t>
  </si>
  <si>
    <t>TABLA 16.46</t>
  </si>
  <si>
    <t>TABLA 16.47</t>
  </si>
  <si>
    <t>TABLA 16.48</t>
  </si>
  <si>
    <t>TABLA 17.1</t>
  </si>
  <si>
    <t>TABLA 17.2</t>
  </si>
  <si>
    <t>TABLA 17.3</t>
  </si>
  <si>
    <t>TABLA 17.4</t>
  </si>
  <si>
    <t>TABLA 17.5</t>
  </si>
  <si>
    <t>TABLA 17.6</t>
  </si>
  <si>
    <t>TABLA 17.7</t>
  </si>
  <si>
    <t>TABLA 17.8</t>
  </si>
  <si>
    <t>TABLA 17.9</t>
  </si>
  <si>
    <t>TABLA 18.1</t>
  </si>
  <si>
    <t>TABLA 18.2</t>
  </si>
  <si>
    <t>TABLA 18.3</t>
  </si>
  <si>
    <t>TABLA 18.4</t>
  </si>
  <si>
    <t>TABLA 18.5</t>
  </si>
  <si>
    <t>TABLA 18.6</t>
  </si>
  <si>
    <t>TABLA 18.7</t>
  </si>
  <si>
    <t>TABLA 19.1</t>
  </si>
  <si>
    <t>TABLA 19.2</t>
  </si>
  <si>
    <t>TABLA 19.3</t>
  </si>
  <si>
    <t>TABLA 19.4</t>
  </si>
  <si>
    <t>TABLA 19.5</t>
  </si>
  <si>
    <t>TABLA 19.6</t>
  </si>
  <si>
    <t>TABLA 19.7</t>
  </si>
  <si>
    <t>TABLA 19.8</t>
  </si>
  <si>
    <t>TABLA 19.9</t>
  </si>
  <si>
    <t>TABLA 19.10</t>
  </si>
  <si>
    <t>TABLA 19.11</t>
  </si>
  <si>
    <t>TABLA 20.1</t>
  </si>
  <si>
    <t>TABLA 20.2</t>
  </si>
  <si>
    <t>TABLA 20.3</t>
  </si>
  <si>
    <t>TABLA 20.4</t>
  </si>
  <si>
    <t>TABLA 20.5</t>
  </si>
  <si>
    <t>TABLA 20.7</t>
  </si>
  <si>
    <t>TABLA 20.8</t>
  </si>
  <si>
    <t>TABLA 20.9</t>
  </si>
  <si>
    <t>TABLA 20.10</t>
  </si>
  <si>
    <t>TABLA 20.11</t>
  </si>
  <si>
    <t>TABLA 20.12</t>
  </si>
  <si>
    <t>TABLA 20.13</t>
  </si>
  <si>
    <t>TABLA 20.14</t>
  </si>
  <si>
    <t>TABLA 20.15</t>
  </si>
  <si>
    <t>TABLA 20.16</t>
  </si>
  <si>
    <t>TABLA 20.17</t>
  </si>
  <si>
    <t>TABLA 21.1</t>
  </si>
  <si>
    <t>TABLA 21.2</t>
  </si>
  <si>
    <t>TABLA 21.3</t>
  </si>
  <si>
    <t>TABLA 21.4</t>
  </si>
  <si>
    <t>TABLA 22.1</t>
  </si>
  <si>
    <t>TABLA 22.2</t>
  </si>
  <si>
    <t>TABLA 22.3</t>
  </si>
  <si>
    <t>TABLA 22.4</t>
  </si>
  <si>
    <t>TABLA 22.5</t>
  </si>
  <si>
    <t>TABLA 23.1</t>
  </si>
  <si>
    <t>TABLA 23.2</t>
  </si>
  <si>
    <t>TABLA 23.3</t>
  </si>
  <si>
    <t>TABLA 23.4</t>
  </si>
  <si>
    <t>TABLA 23.5</t>
  </si>
  <si>
    <t>TABLA 23.6</t>
  </si>
  <si>
    <t>TABLA 24.1</t>
  </si>
  <si>
    <t>TABLA 24.2</t>
  </si>
  <si>
    <t>TABLA 24.3</t>
  </si>
  <si>
    <t>TABLA 24.4</t>
  </si>
  <si>
    <t>TABLA 24.5</t>
  </si>
  <si>
    <t>TABLA 24.6</t>
  </si>
  <si>
    <t>TABLA 24.7</t>
  </si>
  <si>
    <t>TABLA 24.8</t>
  </si>
  <si>
    <t>TABLA 24.9</t>
  </si>
  <si>
    <t>TABLA 24.10</t>
  </si>
  <si>
    <t>TABLA 24.11</t>
  </si>
  <si>
    <t>TABLA 24.12</t>
  </si>
  <si>
    <t>TABLA 24.13</t>
  </si>
  <si>
    <t>TABLA 24.14</t>
  </si>
  <si>
    <t>TABLA 24.15</t>
  </si>
  <si>
    <t>TABLA 24.16</t>
  </si>
  <si>
    <t>TABLA 24.17</t>
  </si>
  <si>
    <t>TABLA 24.18</t>
  </si>
  <si>
    <t>TABLA 25.1</t>
  </si>
  <si>
    <t>TABLA 25.2</t>
  </si>
  <si>
    <t>TABLA 25.3</t>
  </si>
  <si>
    <t>TABLA 25.4</t>
  </si>
  <si>
    <t>TABLA 25.5</t>
  </si>
  <si>
    <t>TABLA 26.1</t>
  </si>
  <si>
    <t>TABLA 26.2</t>
  </si>
  <si>
    <t>TABLA 26.3</t>
  </si>
  <si>
    <t>TABLA 26.4</t>
  </si>
  <si>
    <t>TABLA 26.5</t>
  </si>
  <si>
    <t>TABLA 26.6</t>
  </si>
  <si>
    <t>TABLA 26.7</t>
  </si>
  <si>
    <t>TABLA 26.8</t>
  </si>
  <si>
    <t>TABLA 26.9</t>
  </si>
  <si>
    <t>TABLA 26.10</t>
  </si>
  <si>
    <t>TABLA 26.11</t>
  </si>
  <si>
    <t>TABLA 26.12</t>
  </si>
  <si>
    <t>TABLA 26.13</t>
  </si>
  <si>
    <t>TABLA 26.14</t>
  </si>
  <si>
    <t>TABLA 26.15</t>
  </si>
  <si>
    <t>TABLA 26.16</t>
  </si>
  <si>
    <t>TABLA 26.17</t>
  </si>
  <si>
    <t>TABLA 26.18</t>
  </si>
  <si>
    <t>TABLA 26.19</t>
  </si>
  <si>
    <t>TABLA 26.20</t>
  </si>
  <si>
    <t>TABLA 26.21</t>
  </si>
  <si>
    <t>TABLA 26.22</t>
  </si>
  <si>
    <t>NÚMERO DE PROYECTOS PRESENTADOS Y FINANCIADOS A TRAVÉS DEL FONDO DE APOYO A LA INVESTIGACIÓN PATRIMONIAL (FAIP), SEGÚN REGIÓN. 2009-2014</t>
  </si>
  <si>
    <t>NÚMERO DE PUBLICACIONES DE LA DIRECCIÓN DE BIBLIOTECAS, ARCHIVOS Y MUSEOS (DIBAM), SEGÚN UNIDAD DE ORIGEN Y TIPO DE PUBLICACIÓN. 2009-2014</t>
  </si>
  <si>
    <t>NÚMERO DE ARCHIVOS PÚBLICOS DE LA DIRECCIÓN DE BIBLIOTECAS, ARCHIVOS Y MUSEOS (DIBAM), SEGÚN REGIÓN. 2009-2014</t>
  </si>
  <si>
    <t>NÚMERO DE DOCUMENTOS CONTENIDOS EN LOS ARCHIVOS PÚBLICOS DE LA DIRECCIÓN DE BIBLIOTECAS, ARCHIVOS Y MUSEOS (DIBAM), SEGÚN REGIÓN. 2014</t>
  </si>
  <si>
    <t>NÚMERO TOTAL DE USUARIOS PRESENCIALES Y REMOTOS DE ARCHIVOS PÚBLICOS DE LA DIRECCIÓN DE BIBLIOTECAS, ARCHIVOS Y MUSEOS (DIBAM). 2009-2014</t>
  </si>
  <si>
    <t>NÚMERO DE USUARIOS PRESENCIALES DE ARCHIVOS PÚBLICOS DE LA DIRECCIÓN DE BIBLIOTECAS, ARCHIVOS Y MUSEOS (DIBAM), SEGÚN REGIÓN. 2009-2014</t>
  </si>
  <si>
    <t>DATOS DEL CENTRO NACIONAL DE CONSERVACIÓN Y RESTAURACIÓN DE LA DIRECCIÓN DE BIBLIOTECAS, ARCHIVOS Y MUSEOS (DIBAM). 2009-2014</t>
  </si>
  <si>
    <t>OTROS INDICADORES DE LOS MUSEOS DE LA DIRECCIÓN DE BIBLIOTECAS, ARCHIVOS Y MUSEOS (DIBAM). 2014</t>
  </si>
  <si>
    <t>NÚMERO DE MUSEOS DE LA DIRECCIÓN DE BIBLIOTECAS, ARCHIVOS Y MUSEOS (DIBAM), SEGÚN REGIÓN. 2009-2014</t>
  </si>
  <si>
    <t>PERSONAL DE MUSEOS DE LA DIRECCIÓN DE BIBLIOTECAS, ARCHIVOS Y MUSEOS (DIBAM), SEGÚN CATEGORÍA OCUPACIONAL. 2014</t>
  </si>
  <si>
    <t>NÚMERO DE MUSEOS DE LA DIRECCIÓN DE BIBLIOTECAS, ARCHIVOS Y MUSEOS (DIBAM), SEGÚN TIPO DE COLECCIÓN. 2009-2014</t>
  </si>
  <si>
    <t>NÚMERO DE AUTORIZACIONES DE SALIDA DEL TERRITORIO NACIONAL ENTREGADAS POR EL MUSEO NACIONAL DE BELLAS ARTES DE OBRAS DE ARTE (LEY 17.236),  SEGÚN CONTINENTE DE DESTINO. 2014</t>
  </si>
  <si>
    <t>NÚMERO DE EXPOSICIONES POR MUSEO DE LA DIRECCIÓN DE BIBLIOTECAS, ARCHIVOS Y MUSEOS (DIBAM) , SEGÚN TIPO DE EXPOSICIÓN Y NACIONALIDAD. 2014</t>
  </si>
  <si>
    <t>NÚMERO DE PIEZAS RESTAURADAS, POR MUSEO DE LA DIRECCIÓN DE BIBLIOTECAS, ARCHIVOS Y MUSEOS (DIBAM)POR TIPO DE MUSEO (NACIONAL Y REGIONAL), SEGÚN TIPO DE PIEZA. 2014</t>
  </si>
  <si>
    <t>NÚMERO DE PIEZAS RESTAURADAS EN LOS MUSEOS DE LA SUBDIRECCIÓN DE MUSEOS DE LA DIRECCIÓN DE BIBLIOTECAS, ARCHIVOS Y MUSEOS (DIBAM), SEGÚN TIPO DE PIEZA. 2009-2014</t>
  </si>
  <si>
    <t>NÚMERO DE PIEZAS RESTAURADAS EN LOS MUSEOS DE LA SUBDIRECCIÓN DE MUSEOS DE LA DIRECCIÓN DE BIBLIOTECAS, ARCHIVOS Y MUSEOS (DIBAM), POR TIPO DE PIEZA, SEGÚN REGIÓN. 2014</t>
  </si>
  <si>
    <t>NÚMERO DE USUARIOS, POR MUSEOS DE LA DIRECCIÓN DE BIBLIOTECAS, ARCHIVOS Y MUSEOS (DIBAM), SEGÚN TIPO DE ENTRADA. 2014</t>
  </si>
  <si>
    <t>NÚMERO DE USUARIOS DE LOS MUSEOS DE LA DIRECCIÓN DE BIBLIOTECAS, ARCHIVOS Y MUSEOS (DIBAM), SEGÚN GRUPOS DE EDAD. 2014</t>
  </si>
  <si>
    <t>NÚMERO DE AUTORIZACIONES DE SALIDA DE MONUMENTOS DEL TERRITORIO NACIONAL, SEGÚN TIPO DE MONUMENTO. 2009-2014</t>
  </si>
  <si>
    <t>NÚMERO DE AUTORIZACIONES DE SALIDA DE MONUMENTOS, SEGÚN DESTINO. 2010-2014</t>
  </si>
  <si>
    <t>NÚMERO DE AUTORIZACIONES POR DESTINO, SEGÚN TIPO DE MONUMENTO. 2014</t>
  </si>
  <si>
    <t>NÚMERO DE SOLICITUDES DE DECLARACIÓN DE MONUMENTOS NACIONALES RECIBIDAS, SEGÚN TIPO DE MONUMENTO Y REGIÓN. 2014</t>
  </si>
  <si>
    <t>NÚMERO DE MONUMENTOS NACIONALES DECLARADOS POR DECRETO, SEGÚN TIPO DE MONUMENTO Y REGIÓN. 2014</t>
  </si>
  <si>
    <t>NÚMERO DE MONUMENTOS NACIONALES DECLARADOS POR DECRETO, SEGÚN TIPO DE MONUMENTO Y REGIÓN (HISTORICO, DESDE 1925). 2014</t>
  </si>
  <si>
    <t>NÓMINA DE MONUMENTOS NACIONALES DECLARADOS, SEGÚN REGIÓN Y MONUMENTO. 2014</t>
  </si>
  <si>
    <t>NÚMERO DE PUBLICACIONES Y AUDIOS GENERADOS POR EL CONSEJO NACIONAL DE LA CULTURA Y LAS ARTES (CNCA) SEGÚN TIPO DE PRODUCTO. 2008-2014</t>
  </si>
  <si>
    <t>NÚMERO DE POSTULACIONES A TESORO HUMANO VIVO (THV), SEGÚN ÁMBITO DEL PATRIMONIO CULTURAL INMATERIAL Y RESULTADO DE POSTULACIÓN. 2009-2014</t>
  </si>
  <si>
    <t>NÚMERO DE POSTULACIONES A TESORO HUMANO VIVO (THV) QUE AUTODECLARA MÁS DE UN ÁMBITO DE PATRIMONIO CULTURAL INMATERIAL, SEGÚN RESULTADO. 2009-2014</t>
  </si>
  <si>
    <t>POSTULACIONES A TESORO HUMANO VIVO (THV), SEGÚN TIPO DE POSTULACIÓN Y REGIÓN. 2009-2014</t>
  </si>
  <si>
    <t>EXPRESIONES RECONOCIDAS EN EL INVENTARIO DEL PATRIMONIO CULTURAL INMATERIAL EN CHILE, SEGÚN REGIÓN. 2013-2014</t>
  </si>
  <si>
    <t>EXPRESIONES RECONOCIDAS EN EL INVENTARIO PRIORIZADO DEL PATRIMONIO CULTURAL INMATERIAL EN CHILE, SEGÚN ÁMBITO DEL PATRIMONIO INMATERIAL. 2013-2014</t>
  </si>
  <si>
    <t>NÚMERO DE BENEFICIARIOS DE PROGRAMA DE EDUCACIÓN AMBIENTAL (EDAM) DENTRO Y FUERA DE LAS ÁREAS SILVESTRES PROTEGIDAS (ASP), SEGÚN REGIÓN. 2012-2014</t>
  </si>
  <si>
    <t>NÚMERO DE SANTUARIOS DE LA NATURALEZA DECLARADOS POR DECRETO (HISTORICO, DESDE 1925), SEGÚN REGIÓN. 2014</t>
  </si>
  <si>
    <t>DISTRIBUCIÓN NACIONAL DEL SISTEMA NACIONAL DE ÁREAS SILVESTRES PROTEGIDAS DEL ESTADO (SNASPE) Y SUPERFICIE (HÁ). 2014</t>
  </si>
  <si>
    <t>NÓMINA Y SUPERFICIE (HÁ) DE LOS PARQUES NACIONALES SEGÚN REGIÓN. 2014</t>
  </si>
  <si>
    <t>NÓMINA Y SUPERFICIE (HÁ) DE LAS RESERVAS NACIONALES SEGÚN REGIÓN. 2014</t>
  </si>
  <si>
    <t>NÓMINA Y SUPERFICIE (HÁ) DE MONUMENTOS NATURALES SEGÚN REGIÓN. 2014</t>
  </si>
  <si>
    <t>NÚMERO Y PORCENTAJE DE SUPERFICIE DE RESERVAS DE LA BIÓSFERA EN HECTÁREAS, PRESENTES EN CHILE POR PERTENENCIA O NO PERTENENCIA A LAS ÁREAS SILVESTRES PROTEGIDAS (ASP), SEGÚN TIPO DE RESERVA DE LA BIÓSFERA. 2014</t>
  </si>
  <si>
    <t>ANTECEDENTES GENERALES DE LAS RESERVAS DE LA BIÓSFERA PRESENTES EN CHILE POR  AÑO DE CREACIÓN, FECHA DE MODIFICACIÓN Y SUPERFICIE (HÁ), SEGÚN REGIÓN. 2014</t>
  </si>
  <si>
    <t>Tabla 10.64</t>
  </si>
  <si>
    <t xml:space="preserve"> NÚMERO DE USUARIOS DE BIBLIOTECAS PÚBLICAS DE LA DIRECCIÓN DE BIBLIOTECAS, ARCHIVOS Y MUSEOS (DIBAM) QUE CIRCULAN AUTOMATIZADAS POR GRUPOS DE EDAD, SEGÚN REGIÓN. 2014</t>
  </si>
  <si>
    <t>TABLA20.6</t>
  </si>
  <si>
    <t>N° DE TABLA</t>
  </si>
  <si>
    <t>NOMBRE DE TABLA</t>
  </si>
  <si>
    <t xml:space="preserve">MATERIAL AUDIOVISUAL GENERADO POR EL CONSEJO NACIONAL DE LA CULTURA Y LAS ARTES (CNCA) SEGÚN AÑO DE EDICIÓN, PROGRAMA O PROYECTO Y TIPO DE MATERIAL. 2010-2014/1 </t>
  </si>
  <si>
    <t>EXPEDIENTES DE POSTULACIÓN AL INVENTARIO DEL PATRIMONIO CULTURAL INMATERIAL EN CHILE RECIBIDOS POR EL CONSEJO NACIONAL DE LA CULTURA Y LAS ARTES (CNCA), SEGÚN ÁMBITO DE PATRIMONIO INMATERIAL Y REGIÓN. 2013-2014 /1</t>
  </si>
  <si>
    <t>ACERVOS CULTURALES REGISTRADOS EN SIGPA/1 SEGÚN REGIÓN Y TIPO DE ACERVO. 2011-2014</t>
  </si>
  <si>
    <t>ACERVOS CULTURALES REGISTRADOS EN SIGPA/1, SEGÚN ÁMBITO DEL PATRIMONIO CULTURAL INMATERIAL Y TIPO DE ACERVO. 2011-2014</t>
  </si>
  <si>
    <t>NÚMERO DE INMUEBLES Y ACTIVIDADES REALIZADAS EN EL DÍA DEL PATRIMONIO CULTURAL EN EL PAÍS. 2014/1</t>
  </si>
  <si>
    <t>NÚMERO DE VISITAS EN EL DÍA DEL PATRIMONIO CULTURAL EN LA REGIÓN METROPOLITANA Y OTRAS REGIONES DEL PAÍS. 2014/1</t>
  </si>
  <si>
    <t>NÓMINA DE SANTUARIOS DE LA NATURALEZA DECLARADOS, SEGÚN REGIÓN. 2014/1</t>
  </si>
  <si>
    <t>ANTECEDENTES GENERALES DE LOS SITIOS DE LA CONVENCIÓN RAMSAR PRESENTES EN CHILE, POR PERTENENCIA O NO PERTENENCIA A LAS ÁREAS SILVESTRES PROTEGIDAS (ASP), POR AÑO DE CREACIÓN Y SUPERFICIE, SEGÚN REGIÓN. 2014</t>
  </si>
  <si>
    <t>ESPECIES PRIORITARIAS EN FLORA, SUJETAS AL PLAN NACIONAL DE CONSERVACIÓN (PNC) POR AÑO DE ELABORACIÓN Y ESTADO DE CONSERVACIÓN, SEGÚN REGIÓN DE SECRETARÍA TÉCNICA. 2014/1</t>
  </si>
  <si>
    <t>ESPECIES PRIORITARIAS EN FAUNA, SUJETAS AL PLAN NACIONAL DE CONSERVACIÓN (PNC) POR AÑO DE ELABORACIÓN Y ESTADO DE CONSERVACIÓN, SEGÚN REGIÓN DE SECRETARÍA TÉCNICA. 2014/1</t>
  </si>
  <si>
    <t>RECURSOS CULTURALES SEGÚN LAS ÁREAS SILVESTRES PROTEGIDAS (ASP). 2014/1</t>
  </si>
  <si>
    <t>VISITANTES TOTALES SEGÚN REGIÓN Y UNIDAD DEL SISTEMA NACIONAL DE ÁREAS SILVESTRES PROTEGIDAS DEL ESTADO (SNASPE). 2009-2014</t>
  </si>
  <si>
    <t>NÚMERO DE VISITANTES A UNIDADES DEL SISTEMA NACIONAL DE ÁREAS SILVESTRES PROTEGIDAS DEL ESTADO (SNASPE) POR AÑO Y NACIONALIDAD (CHILENA Y EXTRANJERA), SEGÚN REGIÓN Y UNIDAD DEL SNASPE. 2009-2014</t>
  </si>
  <si>
    <t>NÚMERO DE VISITANTES A UNIDADES DEL SISTEMA NACIONAL DE ÁREAS SILVESTRES PROTEGIDAS DEL ESTADO (SNASPE) POR AÑO Y SEXO, SEGÚN REGIÓN Y UNIDAD DEL SNASPE. 2009-2014</t>
  </si>
  <si>
    <t>NÚMERO DE VISITANTES A UNIDADES DEL SISTEMA NACIONAL DE ÁREAS PROTEGIDAS DEL ESTADO (SNASPE) POR AÑO Y TRAMO DE EDAD, SEGÚN REGIÓN Y UNIDAD DEL SNASPE. 2009-2014</t>
  </si>
  <si>
    <t>NÚMERO DE VISITANTES CON CONDICIONES ESPECIALES A UNIDADES DEL SISTEMA NACIONAL DE ÁREAS SILVESTRES PROTEGIDAS DEL ESTADO (SNASPE) POR AÑO, SEGÚN REGIÓN Y UNIDAD DEL SNASPE. 2009-2014</t>
  </si>
  <si>
    <t>NÚMERO DE DENUNCIAS SIN APREHENDIDOS Y CON APREHENDIDOS, Y NÚMERO DE APREHENDIDOS, POR "DAÑOS O APROPIACIÓN SOBRE MONUMENTOS NACIONALES (Art. 38-38 bis Ley 17.288)", SEGÚN REGIÓN. 2014</t>
  </si>
  <si>
    <t>NÚMERO DE APREHENDIDOS POR "DAÑOS O APROPIACIÓN SOBRE MONUMENTOS NACIONALES", POR SEXO Y GRUPOS DE EDAD, SEGÚN REGIÓN. 2014</t>
  </si>
  <si>
    <t>NÚMERO DE DELITOS INVESTIGADOS, PERSONAS DETENIDAS POR LEY 17.288 DE DELITOS PATRIMONIALES Y NÚMERO DE INCAUTACIONES, SEGÚN REGIÓN POLICIAL. 2014</t>
  </si>
  <si>
    <t>NÚMERO DE PIEZAS PATRIMONIALES INCAUTADAS (LEY 17.288), SEGÚN ADUANA Y AVANZADA. 2014</t>
  </si>
  <si>
    <t>NÓMINA DE PIEZAS PATRIMONIALES INCAUTADAS (LEY 17.288) SEGÚN AVANZADA. 2014</t>
  </si>
  <si>
    <t>NÚMERO DE PIEZAS INCAUTADAS EN EL MARCO DE LA CONVENCIÓN SOBRE EL COMERCIO INTERNACIONAL DE ESPECIES AMENAZADAS DE FAUNA Y FLORA SILVESTRE (CITES), SEGÚN ADUANAS Y AVANZADA. 2014</t>
  </si>
  <si>
    <t>NÓMINA DE PIEZAS INCAUTADAS EN EL MARCO DE LA CONVENCIÓN SOBRE EL COMERCIO INTERNACIONAL DE ESPECIES AMENAZADAS DE FAUNA Y FLORA SILVESTRE (CITES), SEGÚN ADUANA Y ESPECIES. 2014</t>
  </si>
  <si>
    <t>CAUSAS INGRESADAS Y TERMINADAS EN JUZGADOS DE GARANTÍA Y DE LETRAS Y GARANTÍA POR INFRACCIÓN A LA LEY DE DAÑOS O APROPIACIÓN SOBRE MONUMENTOS NACIONALES, SEGÚN CORTE DE APELACIÓN. 2014</t>
  </si>
  <si>
    <t>IMPUTADOS POR INFRACCIÓN A LA LEY 17.288, SEGÚN CORTE DE APELACIÓN. 2014</t>
  </si>
  <si>
    <t>DELITOS INGRESADOS AL MINISTERIO PÚBLICO EN RELACIÓN CON LA LEY DE DAÑOS O APROPIACIÓN DE MONUMENTOS NACIONALES, SEGÚN REGIÓN DE FISCALÍA. 2009-2014</t>
  </si>
  <si>
    <t>DELITOS TERMINADOS EN EL MINISTERIO PÚBLICO EN RELACIÓN A LA LEY DE DAÑOS O APROPIACIÓN DE MONUMENTOS NACIONALES, SEGÚN REGIÓN DE FISCALÍA. 2009-2014</t>
  </si>
  <si>
    <t>SENTENCIAS DEFINITIVAS CONDENATORIAS EN RELACIÓN A LA LEY DE DAÑOS O APROPIACIÓN DE MONUMENTOS NACIONALES, SEGÚN REGIÓN DE FISCALÍA. 2009-2014</t>
  </si>
  <si>
    <t>NÚMERO DE ARTESANOS, SEGÚN REGIÓN. 2014</t>
  </si>
  <si>
    <t>NÚMERO DE ARTESANOS INSCRITOS EN EL SISTEMA DE INFORMACIÓN NACIONAL DE ARTESANÍA DEL CONSEJO NACIONAL DE LA CULTURA Y LAS ARTES (CNCA) POR PUEBLO ORIGINARIO, SEGÚN REGIÓN. 2014</t>
  </si>
  <si>
    <t>NÚMERO DE ARTESANOS POR DISCIPLINA, SEGÚN REGIÓN. 2014</t>
  </si>
  <si>
    <t>DISTRIBUCIÓN REGIONAL DE OBJETOS DE ARTESANÍA CON SELLO DE EXCELENCIA DEL CONSEJO NACIONAL DE LA CULTURA Y LAS ARTES (CNCA) Y RECONOCIMIENTO UNESCO. 2008-2014/1</t>
  </si>
  <si>
    <t>NÓMINA DE PRODUCTOS ARTESANALES CON SELLO DE EXCELENCIA DEL CONSEJO NACIONAL DE LA CULTURA Y LAS ARTES (CNCA) Y CON RECONOCIMIENTO UNESCO POR DISCIPLINA, REGIÓN Y COMUNA. 2014/1</t>
  </si>
  <si>
    <t>NÚMERO DE AUTORES ASOCIADOS A LA SOCIEDAD DE CREADORES DE IMAGEN FIJA (CREAIMAGEN) POR SEXO, SEGÚN REGIÓN. 2014</t>
  </si>
  <si>
    <t>NÚMERO DE SOCIOS INCORPORADOS A LA SOCIEDAD DE CREADORES DE IMAGEN FIJA (CREAIMAGEN) POR SEXO, SEGÚN REGIÓN. 2014</t>
  </si>
  <si>
    <t>NÚMERO DE AUTORES AFILIADOS A LA SOCIEDAD DE CREADORES DE IMAGEN FIJA (CREAIMAGEN) QUE GENERARON DERECHOS EN CHILE Y EN EL EXTRANJERO. 2009-2014</t>
  </si>
  <si>
    <t>NÚMERO DE AUTORIZACIONES REGISTRADAS POR LA SOCIEDAD DE CREADORES DE IMAGEN FIJA (CREAIMAGEN) SOBRE USO DE IMAGEN FIJA, CONCEDIDAS EN CHILE Y EN EL EXTRANJERO. 2009 - 2014</t>
  </si>
  <si>
    <t>RECAUDACIÓN DE DERECHOS DE AUTOR POR LA SOCIEDAD DE CREADORES DE IMAGEN FIJA (CREAIMAGEN), SEGÚN ORIGEN DE LA OBRA Y DE LA RECAUDACIÓN (NACIONAL Y EXTRANJERA). 2009-2014</t>
  </si>
  <si>
    <t>DISTRIBUCIÓN DE DERECHOS DE AUTOR POR LA SOCIEDAD DE CREADORES DE IMAGEN FIJA (CREAIMAGEN), SEGÚN ORIGEN DE LA OBRA Y DE LA DISTRIBUCIÓN (NACIONAL Y EXTRANJERA). 2009-2014</t>
  </si>
  <si>
    <t>NÚMERO DE SOCIOS POR PROFESIÓN U OFICIO (REPORTEROS GRÁFICOS Y CAMARÓGRAFOS) ACTIVOS Y NO ACTIVOS, POR SEXO, SEGÚN REGIÓN. 2014</t>
  </si>
  <si>
    <t>NÚMERO DE CONCURSOS, EXPOSICIONES Y DE VISITANTES A EXPOSICIONES, SEGÚN REGIÓN. 2009-2014</t>
  </si>
  <si>
    <t>NÚMERO DE ASOCIADOS AL SINDICATO DE ACTORES DE CHILE (SIDARTE) POR SEXO, SEGÚN REGIÓN. 2011-2014</t>
  </si>
  <si>
    <t>NÚMERO DE ASOCIADOS  AL SINDICATO DE ACTORES DE CHILE (SIDARTE) EGRESADOS DE LAS CARRERAS DE TEATRO POR SEXO, SEGÚN REGIÓN. 2012-2014</t>
  </si>
  <si>
    <t>NÚMERO DE ASOCIADOS  AL SINDICATO DE ACTORES DE CHILE (SIDARTE) TITULADOS DE LAS CARRERAS DE TEATRO POR SEXO, SEGÚN REGIÓN. 2012-2014</t>
  </si>
  <si>
    <t>NÚMERO DE ACTORES ASOCIADOS A LA CORPORACIÓN DE ACTORES DE CHILE (CHILEACTORES) AL 31 DE DICIEMBRE DE CADA AÑO. 2009-2014</t>
  </si>
  <si>
    <t>NÚMERO DE SOCIOS DE LA ASOCIACIÓN DE AUTORES NACIONALES DE TEATRO, CINE Y AUDIOVISUALES (ATN), POR SEXO. 2009-2014</t>
  </si>
  <si>
    <t>NÚMERO DE ASOCIADOS  AL SINDICATO DE ACTORES DE CHILE (SIDARTE) ADSCRITOS A INSTITUCIONES DE SALUD PREVISIONAL (ISAPRES) POR SEXO, SEGÚN REGIÓN. 2012-2014</t>
  </si>
  <si>
    <t>NÚMERO DE ASOCIADOS  AL SINDICATO DE ACTORES DE CHILE (SIDARTE) ADSCRITOS A LAS ADMINISTRADORAS DE FONDOS DE PENSIONES (AFP) POR SEXO, SEGÚN REGIÓN. 2012-2014</t>
  </si>
  <si>
    <t>NÚMERO DE ASOCIADOS AL SINDICATO DE ACTORES DE CHILE (SIDARTE) ADSCRITOS A ISAPRES Y AFP POR SEXO, SEGÚN REGIÓN. 2012-2014</t>
  </si>
  <si>
    <t>NÚMERO DE AUTORES QUE GENERARON DERECHOS DE AUTOR POR LA SOCIEDAD DE AUTORES NACIONALES DE TEATRO, CINE Y AUDIOVISUALES (ATN), SEGÚN NACIONALIDAD DEL AUTOR. 2009-2014</t>
  </si>
  <si>
    <t>NÚMERO DE AUTORIZACIONES CONCEDIDAS EN CHILE Y EN EL EXTRANJERO POR LA SOCIEDAD DE AUTORES NACIONALES DE TEATRO, CINE Y AUDIOVISUALES (ATN), SEGÚN TIPO DE OBRA. 2009-2014</t>
  </si>
  <si>
    <t>MONTO DE DERECHOS RECAUDADOS POR LA SOCIEDAD DE AUTORES NACIONALES DE TEATRO, CINE Y AUDIOVISUALES (ATN), SEGÚN ORIGEN DE LAS OBRA. 2009-2014</t>
  </si>
  <si>
    <t>MONTO DE DERECHOS DISTRIBUIDOS POR LA SOCIEDAD DE AUTORES NACIONALES DE TEATRO, CINE Y AUDIOVISUALES (ATN), SEGÚN NACIONALIDAD DEL AUTOR. 2009-2014</t>
  </si>
  <si>
    <t>NÚMERO DE FUNCIONES DE ESPECTÁCULOS DE ARTES ESCÉNICAS POR TIPO DE ESPECTÁCULO. 2009-2014</t>
  </si>
  <si>
    <t>NÚMERO DE FUNCIONES DE ESPECTÁCULOS DE ARTES ESCÉNICAS POR TIPO DE ESPECTÁCULO, SEGÚN REGIÓN. 2014</t>
  </si>
  <si>
    <t>NÚMERO DE ASISTENTES A ESPECTÁCULOS DE ARTES ESCÉNICAS, PAGANDO ENTRADA POR TIPO DE ESPECTÁCULO, SEGÚN REGIÓN. 2014</t>
  </si>
  <si>
    <t>NÚMERO DE ASISTENTES A ESPECTÁCULOS DE ARTES ESCÉNICAS CON ENTRADA GRATUITA, POR TIPO DE ESPECTÁCULO, SEGÚN REGIÓN. 2014</t>
  </si>
  <si>
    <t>NÚMERO DE ASISTENTES A ESPECTÁCULOS DE ARTES ESCÉNICAS, PAGANDO ENTRADA, POR TIPO DE ESPECTÁCULO. 2009-2014</t>
  </si>
  <si>
    <t>NÚMERO DE ASISTENTES A ESPECTÁCULOS DE ARTES ESCÉNICAS CON ENTRADA GRATUITA, POR TIPO DE ESPECTÁCULO. 2009-2014</t>
  </si>
  <si>
    <t>NÚMERO DE ASISTENTES A ESPECTÁCULOS DE ARTES ESCÉNICAS CON ENTRADA GRATUITA Y PAGADA POR MES, SEGÚN REGIÓN. 2014</t>
  </si>
  <si>
    <t>NÚMERO Y PORCENTAJE DE ASOCIADOS (PERSONAS NATURALES) A LA SOCIEDAD CHILENA DEL DERECHO DE AUTOR (SCD), SEGÚN REGIÓN. 2014</t>
  </si>
  <si>
    <t>NÚMERO Y PORCENTAJE DE AUTORES ASOCIADOS A LA SOCIEDAD CHILENA DEL DERECHO DE AUTOR (SCD), POR SEXO, SEGÚN REGIÓN. 2014</t>
  </si>
  <si>
    <t>NÚMERO Y PORCENTAJE DE ASOCIADOS A LA SOCIEDAD CHILENA DEL DERECHO DE AUTOR (SCD), SEGÚN TIPO DE ARTISTA. 2014</t>
  </si>
  <si>
    <t>NÚMERO DE OBRAS NACIONALES INSCRITAS EN LA SOCIEDAD CHILENA DEL DERECHO DE AUTOR (SCD). 2009-2014</t>
  </si>
  <si>
    <t>NÚMERO DE AUTORES ASOCIADOS A LA SOCIEDAD CHILENA DEL DERECHO DE AUTOR (SCD) Y NÚMERO DE AUTORES GENERADORES DE DERECHOS POR SEXO. 2014</t>
  </si>
  <si>
    <t>NÚMERO DE SOCIOS QUE CUENTAN CON BENEFICIOS SOCIALES DE LA SOCIEDAD CHILENA DEL DERECHO DE AUTOR (SCD) POR AÑO Y TIPO DE BENEFICIO. 2014</t>
  </si>
  <si>
    <t>NÚMERO DE ASOCIADOS EN LA ASOCIACIÓN GREMIAL DE PRODUCTORES FONOGRÁFICOS DE CHILE (IFPI) POR AÑO. 2011-2014</t>
  </si>
  <si>
    <t>NÚMERO DE TRABAJADORES EN SELLOS DISCOGRÁFICOS. 2011-2014</t>
  </si>
  <si>
    <t>NÚMERO Y PORCENTAJE DE DISCOS NACIONALES POR AÑO, SEGÚN TIPO DE PRODUCCIÓN, GÉNERO, APOYO DEL FONDO DE LA MÚSICA, MES DE PRODUCCIÓN, FORMATO, TIPO DE DISCO, REPERTORIO Y TRAYECTORIA. 2012-2014</t>
  </si>
  <si>
    <t>NÚMERO DE PROYECTOS Y MONTOS ADJUDICADOS POR FONDO DE LA MÚSICA, SEGÚN REGIÓN DE DOMICILIO DEL PARTICIPANTE. 2014</t>
  </si>
  <si>
    <t>NÚMERO DE SELLOS DE GRABACIÓN. 2013-2014</t>
  </si>
  <si>
    <t>MONTOS DE RECAUDACIÓN DE DERECHOS DE EJECUCIÓN AUTOR POR LA SOCIEDAD CHILENA DEL DERECHO DE AUTOR (SCD), SEGÚN MEDIO DE EMISIÓN. 2009-2014</t>
  </si>
  <si>
    <t>MONTOS DE DISTRIBUCIÓN DE DERECHOS DE EJECUCIÓN AUTOR POR LA SOCIEDAD CHILENA DEL DERECHO DE AUTOR (SCD). 2009-2014</t>
  </si>
  <si>
    <t>MONTOS DE RECAUDACIÓN Y DISTRIBUCIÓN DE DERECHOS FONOMECÁNICOS POR LA SOCIEDAD CHILENA DEL DERECHO DE AUTOR (SCD). 2009-2014</t>
  </si>
  <si>
    <t>MONTOS DE RECAUDACIÓN DE DERECHOS DE EJECUCIÓN CONEXOS POR LA SOCIEDAD CHILENA DEL DERECHO DE AUTOR (SCD), SEGÚN MEDIO DE EMISIÓN. 2009-2014</t>
  </si>
  <si>
    <t>MONTOS DE DISTRIBUCIÓN DE DERECHOS DE EJECUCIÓN CONEXOS, POR LA SOCIEDAD CHILENA DEL DERECHO DE AUTOR (SCD). 2009-2014</t>
  </si>
  <si>
    <t>DERECHOS CONEXOS DE EJECUCIÓN DE LA SOCIEDAD DE PRODUCTORES FONOGRÁFICOS DE CHILE A.G. (PROFOVI)</t>
  </si>
  <si>
    <t>DERECHOS DE REPRODUCCIÓN DE LA SOCIEDAD DE PRODUCTORES FONOGRÁFICOS DE CHILE A.G. (PROFOVI)</t>
  </si>
  <si>
    <t>VENTAS DE MATERIAL DISCOGRÁFICO Y UNIDADES VENDIDAS, SEGÚN FORMATO. 2009-2014</t>
  </si>
  <si>
    <t>VENTAS DE MATERIAL DISCOGRÁFICO Y UNIDADES VENDIDAS, SEGÚN REPERTORIO. 2009-2014</t>
  </si>
  <si>
    <t>NÚMERO DE USUARIOS SEGÚN TIPO DE ESTABLECIMIENTO. 2014/1</t>
  </si>
  <si>
    <t>NÚMERO DE FUNCIONES DE ESPECTÁCULOS MUSICALES, POR TIPO DE ESPECTÁCULO. 2009-2014</t>
  </si>
  <si>
    <t>NÚMERO DE FUNCIONES DE ESPECTÁCULOS MUSICALES, POR TIPO DE ESPECTÁCULO, SEGÚN REGIÓN. 2014</t>
  </si>
  <si>
    <t>NÚMERO DE ESPECTÁCULOS EMPADRONADOS POR LA SOCIEDAD CHILENA DEL DERECHO DE AUTOR (SCD), SEGÚN MODALIDAD DE ACCESO. 2014/1</t>
  </si>
  <si>
    <t>NÚMERO DE ASISTENTES A ESPECTÁCULOS MUSICALES, PAGANDO ENTRADA POR TIPO DE ESPECTÁCULO, SEGÚN REGIÓN. 2014</t>
  </si>
  <si>
    <t>NÚMERO DE ASISTENTES A ESPECTÁCULOS MUSICALES CON ENTRADA GRATUITA POR TIPO DE ESPECTÁCULO, SEGÚN REGIÓN. 2014</t>
  </si>
  <si>
    <t>NÚMERO DE ASISTENTES A ESPECTÁCULOS MUSICALES, PAGANDO ENTRADA POR TIPO DE ESPECTÁCULO. 2009-2014</t>
  </si>
  <si>
    <t>NÚMERO DE ASISTENTES A ESPECTÁCULOS MUSICALES CON ENTRADA GRATUITA, POR TIPO DE ESPECTÁCULO. 2009-2014</t>
  </si>
  <si>
    <t>NÚMERO DE ASISTENTES A ESPECTÁCULOS MUSICALES, CON ENTRADA GRATUITA Y PAGADA POR MES, SEGÚN REGIÓN. 2014</t>
  </si>
  <si>
    <t>LISTADO DE CANCIONES NACIONALES MÁS ESCUCHADAS, SEGÚN REGISTROS DE LA SOCIEDAD CHILENA DEL DERECHO DE AUTOR (SCD). 2014</t>
  </si>
  <si>
    <t>CANTIDAD DE DISCOS MUSICALES DESCARGADOS DESDE EL SITIO WEB PORTALDISC, SEGÚN LUGAR DE DESCARGA. 2009-2014</t>
  </si>
  <si>
    <t>CANTIDAD DE DISCOS MUSICALES DESCARGADOS DESDE EL SITIO WEB PORTALDISC, SEGÚN REGIÓN. 2009-2014/1</t>
  </si>
  <si>
    <t>NÚMERO DE DISCOS MUSICALES REGISTRADOS EN EL SITIO WEB PORTALDISC POR MODALIDAD DE DESCARGA, SEGÚN GENERO. 2014 /1</t>
  </si>
  <si>
    <t>LISTADO DE LOS DIEZ ARTISTAS MUSICALES MÁS DESCARGADOS DESDE EL SITIO WEB PORTALDISC. 2014/1</t>
  </si>
  <si>
    <t>CANTIDAD DE DISCOS MUSICALES MÁS DESCARGADOS DESDE EL SITIO WEB PORTALDISC. 2014/1</t>
  </si>
  <si>
    <t>EVOLUCIÓN DE LA COBERTURA DE LAS BIBLIOTECAS CRA/1 POR ENSEÑANZA MEDIA (REGULAR). 1994-2014 /2</t>
  </si>
  <si>
    <t>EVOLUCIÓN DE LA COBERTURA DE LAS BIBLIOTECAS CRA/1 POR ENSEÑANZA BÁSICA (REGULAR). 2002-2014</t>
  </si>
  <si>
    <t xml:space="preserve">CANTIDAD DE ESTABLECIMIENTOS EDUCACIONALES CON BIBLIOTECAS CRA/1 POR NIVEL EDUCACIONAL, SEGÚN REGIONES. 2014/2 </t>
  </si>
  <si>
    <t>NÚMERO DE ESTABLECIMIENTOS EDUCACIONALES Y ALUMNOS BENEFICIADOS CON BIBLIOTECAS CRA/1 POR ENSEÑANZA BÁSICA, SEGÚN REGIÓN. 2014</t>
  </si>
  <si>
    <t>NÚMERO DE ESTABLECIMIENTOS EDUCACIONALES Y DE ALUMNOS DE EDUCACIÓN MEDIA BENEFICIADOS POR BIBLIOTECAS CRA/1, POR MODALIDAD DEL ESTABLECIMIENTO, SEGÚN REGIÓN. 2014</t>
  </si>
  <si>
    <t>INVERSIÓN ANUAL MINEDUC EN COLECCIONES DE BÁSICA Y MEDIA. 2010-2014. (MM $ 2014)</t>
  </si>
  <si>
    <t>NÚMERO DE TÍTULOS DE LIBROS REGISTRADOS EN EL INTERNATIONAL STANDARD BOOK NUMBER (ISBN), SEGÚN REGIÓN. 2009-2014</t>
  </si>
  <si>
    <t>NÚMERO DE PROYECTOS Y MONTOS ADJUDICADOS POR FONDO DEL LIBRO, SEGÚN LÍNEA Y REGIÓN DE DOMICILIO DEL PARTICIPANTE. 2014 /1/2</t>
  </si>
  <si>
    <t>NÚMERO DE SOCIOS DE LA SOCIEDAD DE DERECHOS LITERARIOS (SADEL), SEGÚN STATUS DE AFILIACIÓN Y SEXO. 2009-2014</t>
  </si>
  <si>
    <t>NÚMERO DE SOCIOS INCORPORADOS A LA SOCIEDAD DE DERECHOS LITERARIOS (SADEL), SEGÚN STATUS DE AFILIACIÓN. 2009-2014</t>
  </si>
  <si>
    <t>NÚMERO DE TÍTULOS DE LIBROS REGISTRADOS EN EL INTERNATIONAL STANDARD BOOK NUMBER (ISBN), SEGÚN NÚMERO DE EDICIÓN. 2009-2014</t>
  </si>
  <si>
    <t>NÚMERO DE TÍTULOS DE LIBROS REGISTRADOS EN EL INTERNATIONAL STANDARD BOOK NUMBER (ISBN), SEGÚN MATERIA. 2009-2014</t>
  </si>
  <si>
    <t>NÚMERO DE TÍTULOS DE LIBROS DE LITERATURA CHILENA REGISTRADOS EN EL INTERNATIONAL STANDARD BOOK NUMBER (ISBN), SEGÚN GÉNERO. 2009-2014</t>
  </si>
  <si>
    <t>NÚMERO DE TÍTULOS DE LIBROS REGISTRADOS EN EL INTERNATIONAL STANDARD BOOK NUMBER (ISBN), SEGÚN SOPORTES DISTINTOS A PAPEL. 2009-2014</t>
  </si>
  <si>
    <t>NÚMERO DE TÍTULOS AUTOEDITADOS REGISTRADOS EN EL INTERNATIONAL STANDARD BOOK NUMBER (ISBN). 1993-2014/1</t>
  </si>
  <si>
    <t>NÚMERO DE TÍTULOS REGISTRADOS EN EL INTERNATIONAL STANDARD BOOK NUMBER (ISBN), SEGÚN RANGOS DE PRODUCCIÓN. 2009-2014</t>
  </si>
  <si>
    <t>NÚMERO Y PORCENTAJE DE TRADUCCIONES REGISTRADAS EN EL INTERNATIONAL STANDARD BOOK NUMBER (ISBN), SEGÚN IDIOMA DE ORÍGEN E IDIOMA TRADUCIDO. 2009-2014</t>
  </si>
  <si>
    <t>EDITORES QUE SOLICITAN REGISTRO DE SU OBRA POR PRIMERA VEZ EN EL INTERNATIONAL STANDARD BOOK NUMBER (ISBN), SEGÚN REGIÓN. 2009-2014</t>
  </si>
  <si>
    <t>NÚMERO Y PORCENTAJE DE TÍTULOS REGISTRADOS EN EL INTERNATIONAL STANDARD BOOK NUMBER (ISBN), SEGÚN MES DE PRODUCCIÓN. 2009-2014</t>
  </si>
  <si>
    <t>NÚMERO DE TITULOS REGISTRADOS EN EL INTERNATIONAL STANDARD BOOK NUMBER (ISBN) POR UNIVERSIDADES CHILENAS. 2009-2014 /1</t>
  </si>
  <si>
    <t>RECAUDACIÓN DE LA SOCIEDAD DE DERECHOS LITERARIOS (SADEL) POR CONCEPTO DE LICENCIAS REPROGRÁFICAS. 2010-2014</t>
  </si>
  <si>
    <t>RED DE BIBLIOTECAS PÚBLICAS, NÚMERO DE BIBLIOTECAS DEPENDIENTES O EN CONVENIOS CON LA DIRECCIÓN DE BIBLIOTECAS, ARCHIVOS Y MUSEOS (DIBAM), SEGÚN REGIÓN. 2014</t>
  </si>
  <si>
    <t>NÚMERO DE SERVICIOS MÓVILES DE LA DIRECCIÓN DE BIBLIOTECAS, ARCHIVOS Y MUSEOS (DIBAM), SEGÚN REGIÓN. 2009-2014</t>
  </si>
  <si>
    <t>NÚMERO DE BIBLIOTECAS PÚBLICAS DE LA DIRECCIÓN DE BIBLIOTECAS, ARCHIVOS Y MUSEOS (DIBAM) CON ACCESO GRATUITO A INTERNET. 2009-2014</t>
  </si>
  <si>
    <t>NÚMERO DE EJEMPLARES INGRESADOS EN BIBLIOTECAS PÚBLICAS DE LA DIRECCIÓN DE BIBLIOTECAS, ARCHIVOS Y MUSEOS (DIBAM), SEGÚN TIPO DE COLECCIÓN. 2010-2014</t>
  </si>
  <si>
    <t>NÚMERO DE EJEMPLARES EN BIBLIOTECAS PÚBLICAS DE LA DIRECCIÓN DE BIBLIOTECAS, ARCHIVOS Y MUSEOS (DIBAM), SEGÚN MATERIA. 2010-2014</t>
  </si>
  <si>
    <t>NÚMERO DE EJEMPLARES EN BIBLIOTECAS PÚBLICAS DE LA DIRECCIÓN DE BIBLIOTECAS, ARCHIVOS Y MUSEOS (DIBAM), SEGÚN COLECCIÓN. 2010-2014</t>
  </si>
  <si>
    <t>NÚMERO DE OBJETOS DIGITALES EN PLATAFORMA DESCUBRE. 2014/1</t>
  </si>
  <si>
    <t>NÚMERO DE USUARIOS REGISTRADOS EN BIBLIOTECAS PÚBLICAS Y BIBLIOREDES. 2009-2014</t>
  </si>
  <si>
    <t>NÚMERO DE SESIONES DE ACCESO GRATUITO A INTERNET EN LAS BIBLIOTECAS PÚBLICAS DE LA DIRECCIÓN DE BIBLIOTECAS, ARCHIVOS Y MUSEOS (DIBAM). 2009-2014 /1</t>
  </si>
  <si>
    <t>NÚMERO DE VISITAS A PORTALES DE BIBLIOREDES. 2009-2014/1</t>
  </si>
  <si>
    <t>NÚMERO DE CONSULTAS POR INTERNET A SITIOS WEB DE LA DIRECCIÓN DE BIBLIOTECAS, ARCHIVOS Y MUSEOS (DIBAM). 2009-2014/1</t>
  </si>
  <si>
    <t>NÚMERO DE VISITANTES ESTIMADOS Y ARCHIVOS DESCARGADOS DESDE SITIOS WEB DE LA DIRECCIÓN DE BIBLIOTECAS, ARCHIVOS Y MUSEOS (DIBAM), SEGÚN SITIO WEB. 2009-2014</t>
  </si>
  <si>
    <t>NÚMERO DE USUARIOS DE BIBLIOTECA NACIONAL, BIBLIOTECA DE SANTIAGO, BIBLIOMETRO. 2009-2014</t>
  </si>
  <si>
    <t>PRÉSTAMOS DE MATERIAL BIBLIOGRÁFICO DE BIBLIOTECAS PÚBLICAS DE LA DIRECCIÓN DE BIBLIOTECAS, ARCHIVOS Y MUSEOS (DIBAM)A DOMICILIO, SEGÚN REGIÓN. 2009-2014/1</t>
  </si>
  <si>
    <t>PRÉSTAMOS DE MATERIAL BIBLIOGRÁFICO DE BIBLIOTECAS PÚBLICAS DE LA DIRECCIÓN DE BIBLIOTECAS, ARCHIVOS Y MUSEOS (DIBAM) A DOMICILIO, SEGÚN MES. 2009-2014/1</t>
  </si>
  <si>
    <t>PRÉSTAMOS DE MATERIAL BIBLIOGRÁFICO EN FORMATO DIGITAL. 2014/1</t>
  </si>
  <si>
    <t>NÚMERO DE FUNCIONES Y ASISTENTES A RECITALES DE POESÍA. 2009-2014</t>
  </si>
  <si>
    <t>NÚMERO DE FUNCIONES Y ASISTENCIA A RECITALES DE POESÍA, SEGÚN REGIÓN. 2014</t>
  </si>
  <si>
    <t>NÚMERO DE ESPECTADORES A RECITALES DE POESÍA, CON ENTRADA GRATUITA Y PAGADA POR MES, SEGÚN REGIÓN. 2014</t>
  </si>
  <si>
    <t>NÚMERO DE SOCIOS DE LA ASOCIACIÓN NACIONAL DE LA PRENSA (ANP), POR SOPORTE DE PUBLICACIÓN (DIARIO, PERIÓDICO, REVISTAS Y OTROS), SEGÚN REGIÓN DE CASA MATRIZ. 2014</t>
  </si>
  <si>
    <t>OLIMPIADAS DE ACTUALIDAD POR NÚMERO DE COLEGIOS Y DE REGIONES PARTICIPANTES. 2010-2014</t>
  </si>
  <si>
    <t>NÚMERO DE PROYECTOS Y MONTOS ADJUDICADOS POR FONDO AUDIOVISUAL, SEGÚN REGIÓN DE DOMICILIO DEL PARTICIPANTE. 2014</t>
  </si>
  <si>
    <t>NÚMERO DE EMISORAS DE FRECUENCIA MODULADA (FM), AMPLITUD MODULADA (AM) Y MÍNIMA COBERTURA (MC) REGISTRADAS EN LA SUBSECRETARÍA DE TELECOMUNICACIONES (SUBTEL). 2011-2014</t>
  </si>
  <si>
    <t>SOPORTE PARA DIFUSIÓN Y COMERCIALIZACIÓN SEGÚN REGISTROS DE LA SOCIEDAD CHILENA DEL DERECHO DE AUTOR (SCD). 2014</t>
  </si>
  <si>
    <t>NÚMERO DE SEÑALES DE RADIODIFUSIÓN POR BANDA DE TRANSMISIÓN, SEGÚN REGIÓN. 2014</t>
  </si>
  <si>
    <t>NÚMERO DE SEÑALES DE RADIODIFUSIÓN, SEGÚN TRANSMISIÓN VIA INTERNET. 2014</t>
  </si>
  <si>
    <t>NÚMERO DE SEÑALES DE RADIODIFUSIÓN POR POTENCIA DE SUS TRANSMISIONES, SEGÚN BANDA DE TRANSMISIÓN Y REGIÓN. 2014</t>
  </si>
  <si>
    <t>NÚMERO DE SEÑALES DE RADIODIFUSIÓN QUE EFECTUARON TRANSMISIONES POR INTERVALOS DE HORAS DE TRANSMISIÓN, SEGÚN DÍAS DE LA SEMANA Y REGIÓN. 2014</t>
  </si>
  <si>
    <t>NÚMERO DE SEÑALES DE RADIODIFUSIÓN, POR INTERVALOS DE HORAS DE TRANSMISIÓN DIARIA, SEGÚN BANDA DE TRANSMISIÓN Y DÍAS DE LA SEMANA. 2014</t>
  </si>
  <si>
    <t>PORCENTAJE DE SEÑALES DE RADIODIFUSIÓN POR INTERVALOS DE HORAS DE TRANSMISIÓN DIARIA, SEGÚN BANDA DE TRANSMISIÓN Y DÍAS DE LA SEMANA. 2014</t>
  </si>
  <si>
    <t>NÚMERO DE RADIOEMISORAS POR BANDA DE TRANSMISIÓN, SEGÚN TIPO DE PROGRAMA AL QUE LE ASIGNAN PRIMERA PRIORIDAD. 2014</t>
  </si>
  <si>
    <t>NÚMERO DE RADIOEMISORAS POR BANDA DE TRANSMISIÓN, SEGÚN GRUPO DE EDAD DEL PÚBLICO AL QUE LE ASIGNAN PRIMERA PRIORIDAD. 2014/1</t>
  </si>
  <si>
    <t>HORAS ANUALES Y PORCENTAJES DE TRANSMISIÓN DE LAS RADIOEMISORAS, SEGÚN TIPO DE PROGRAMA. 2014</t>
  </si>
  <si>
    <t>PERSONAL DE LAS RADIOEMISORAS POR TIPO DE JORNADA, SEGÚN SEXO Y TIPO DE PERSONAL. 2014</t>
  </si>
  <si>
    <t>INGRESOS DE LAS RADIOEMISORAS, SEGÚN FUENTE. 2014</t>
  </si>
  <si>
    <t>GASTOS DE LAS RADIOEMISORAS, SEGÚN ORIGEN. 2014</t>
  </si>
  <si>
    <t>INGRESOS Y GASTOS DE LAS RADIOEMISORAS, SEGÚN TAMAÑO DE LA EMPRESA. 2014</t>
  </si>
  <si>
    <t>NÚMERO DE CANALES DE TELEVISIÓN ABIERTA, SEGÚN COBERTURA. 2014/1</t>
  </si>
  <si>
    <t>NÚMERO DE PERMISIONARIOS DE SERVICIOS LIMITADOS DE TELEVISIÓN. 2009-2014</t>
  </si>
  <si>
    <t>HORAS DE EMISIÓN DE PROGRAMACIÓN DE TELEVISIÓN ABIERTA, SEGÚN PÚBLICO OBJETIVO. 2014</t>
  </si>
  <si>
    <t>HORAS DE EMISIÓN Y CONSUMO DE PROGRAMACIÓN DE TELEVISIÓN ABIERTA, SEGÚN GÉNERO TELEVISIVO. 2014</t>
  </si>
  <si>
    <t>HORAS DE EMISIÓN Y CONSUMO DE PROGRAMACIÓN DE TELEVISIÓN ABIERTA, SEGÚN PROCEDENCIA. 2014</t>
  </si>
  <si>
    <t>HORAS DE EMISIÓN DE PROGRAMACIÓN NACIONAL DE TELEVISIÓN ABIERTA, SEGÚN GÉNERO TELEVISIVO. 2014</t>
  </si>
  <si>
    <t>HORAS DE EMISIÓN DE PROGRAMACIÓN EXTRANJERA DE TELEVISIÓN ABIERTA, SEGÚN GÉNERO TELEVISIVO. 2014</t>
  </si>
  <si>
    <t>HORAS DE EMISIÓN Y CONSUMO DE PROGRAMACIÓN INFANTIL PARA NIÑOS MENORES DE 12 AÑOS, SEGÚN CATEGORÍA. 2014</t>
  </si>
  <si>
    <t>HORAS DE EMISIÓN DE PROGRAMACIÓN CULTURAL/1 EN TELEVISIÓN ABIERTA, SEGÚN GÉNERO TELEVISIVO. 2010-2014</t>
  </si>
  <si>
    <t>NÚMERO DE EXPLOTACIONES DE PRODUCCIONES NACIONALES Y EXTRANJERAS DE LA CORPORACIÓN DE ACTORES DE CHILE (CHILEACTORES), SEGÚN TIPO DE PRODUCCIÓN. 2009-2014/1</t>
  </si>
  <si>
    <t>NÚMERO DE EXPLOTACIONES DE PRODUCCIONES NACIONALES Y EXTRANJERAS DE LA CORPORACIÓN DE ACTORES DE CHILE (CHILEACTORES), SEGÚN TIPO DE SERIE. 2009-2014</t>
  </si>
  <si>
    <t>NÚMERO DE EXPLOTACIONES DE PRODUCCIONES NACIONALES Y EXTRANJERAS DE LA CORPORACIÓN DE ACTORES DE CHILE (CHILEACTORES), SEGÚN TIPO DE PRODUCCIÓN. 2009-2014</t>
  </si>
  <si>
    <t>RECAUDACIÓN Y DISTRIBUCIÓN DE DERECHOS DE COMUNICACIÓN PÚBLICA DE PRODUCCIONES NACIONALES Y EXTRANJERAS, SEGÚN MEDIO DE EMISIÓN./1 2009-2014</t>
  </si>
  <si>
    <t>NÚMERO DE ACTORES FAVORECIDOS POR LA DISTRIBUCIÓN DE DERECHOS DE COMUNICACIÓN PÚBLICA DE LA CORPORACIÓN DE ACTORES DE CHILE (CHILEACTORES) POR TIPO DE REPARTO Y SEXO, SEGÚN AFILIACIÓN. 2013-2014</t>
  </si>
  <si>
    <t>CONSUMO PROMEDIO ANUAL DE TELEVISIÓN ABIERTA POR HORAS, SEGÚN RANGO ETARIO. 2014</t>
  </si>
  <si>
    <t>CONSUMO PROMEDIO ANUAL DE TELEVISIÓN ABIERTA PARA NIÑOS DE 4 A 12 AÑOS DE EDAD, SEGÚN GÉNERO TELEVISIVO. 2014</t>
  </si>
  <si>
    <t>HORAS DE EMISIÓN DE PROGRAMACIÓN INFANTIL DE TELEVISIÓN ABIERTA, SEGÚN PROCEDENCIA. 2014</t>
  </si>
  <si>
    <t>HORAS DE EMISIÓN ANUAL (TIEMPO Y PORCENTAJE DE OFERTA Y CONSUMO) FINANCIADAS POR EL FONDO DEL CONSEJO NACIONAL DE TELEVISIÓN (CNTV), SEGÚN TIPO DE PROGRAMACIÓN. 2014</t>
  </si>
  <si>
    <t>NÚMERO DE PELÍCULAS ESTRENADAS, SEGÚN ORIGEN DE LA PELÍCULA. 2014</t>
  </si>
  <si>
    <t>NÚMERO DE PELÍCULAS EXHIBIDAS POR ORIGEN, SEGÚN REGIÓN. 2014</t>
  </si>
  <si>
    <t>NÚMERO DE EMPRESAS DISTRIBUIDORAS DE CINE NACIONALES Y EXTRANJERAS, SEGÚN REGIÓN. 2014</t>
  </si>
  <si>
    <t xml:space="preserve"> NÚMERO DE TRABAJADORES AL AÑO EN DISTRIBUIDORAS DE CINE POR SEXO, SEGÚN REGIÓN. 2014</t>
  </si>
  <si>
    <t>MONTOS RECAUDADOS DE PELÍCULAS ESTRENADAS Y EXHIBIDAS, SEGÚN ORIGEN DE LA PELÍCULA (PESOS NOMINALES). 2009-2014</t>
  </si>
  <si>
    <t>NÚMERO DE FUNCIONES DE CINE POR TIPO DE ASISTENCIA, SEGÚN REGIÓN. 2014</t>
  </si>
  <si>
    <t>NÚMERO DE SALAS DE EXHIBICIÓN Y CAPACIDAD, SEGÚN REGIÓN. 2014/1</t>
  </si>
  <si>
    <t>NÚMERO DE ESPECTADORES, POR ORIGEN DE LA PELÍCULA. 2009-2014/1</t>
  </si>
  <si>
    <t>NÚMERO DE ESPECTADORES POR ORIGEN DE LA PELÍCULA, SEGÚN REGIÓN. 2014/1</t>
  </si>
  <si>
    <t>NÚMERO DE ESPECTADORES POR CALIFICACIÓN CINEMATOGRÁFICA DE LA PELÍCULA, SEGÚN REGIÓN. 2014/1</t>
  </si>
  <si>
    <t>NÚMERO DE ESPECTADORES ANUALES POR MES, SEGÚN REGIÓN. 2014/1</t>
  </si>
  <si>
    <t>NÚMERO DE ESPECTADORES DE CINE POR GÉNERO DE LA PELÍCULA, SEGÚN REGIÓN. 2014</t>
  </si>
  <si>
    <t>NÚMERO DE ESPECTADORES A LAS VEINTE PELÍCULAS CON MAYOR VENTA DE ENTRADAS POR FECHA DE ESTRENO, GÉNERO, CALIFICACIÓN, NÚMERO DE COPIAS VENDIDAS Y SEMANAS EN CARTELERA, SEGÚN TÍTULO DE LA PELÍCULA. 2014</t>
  </si>
  <si>
    <t>NÚMERO DE ESPECTADORES A LAS TRES PELÍCULAS NACIONALES CON MAYOR VENTA DE ENTRADAS POR FECHA DE ESTRENO, GENERO, CALIFICACIÓN, NÚMERO DE COPIAS VENDIDAS Y SEMANAS EN CARTELERA, SEGÚN TÍTULO DE LA PELÍCULA. 2014</t>
  </si>
  <si>
    <t>MATRÍCULA DE JÓVENES CON ESPECIALIDAD CREATIVA EN ENSEÑANZA MEDIA TÉCNICA PROFESIONAL Y ARTÍSTICA POR NÚMERO DE ESTABLECIMIENTOS QUE LA IMPARTEN, SEGÚN REGIÓN. 2014</t>
  </si>
  <si>
    <t>NÚMERO DE ALUMNOS MATRICULADOS EN ENSEÑANZA MEDIA TÉCNICA PROFESIONAL Y ARTÍSTICA, SEGÚN ESPECIALIDAD CREATIVA. 2014</t>
  </si>
  <si>
    <t>NÚMERO Y PORCENTAJE DE MATRÍCULAS DE JOVENES DE 15 A 29 AÑOS EN ENSEÑANZA MEDIA, SEGÚN ESPECIALIDAD CREATIVA O NO CREATIVA. 2014</t>
  </si>
  <si>
    <t>NÚMERO DE CARRERAS IMPARTIDAS POR CENTROS DE EDUCACIÓN SUPERIOR POR TIPO DE CARRERA, SEGÚN DOMINIO Y SUBDOMINIO CULTURAL. 2014/1</t>
  </si>
  <si>
    <t>NÚMERO DE MATRÍCULA EN INSTITUCIONES DE EDUCACIÓN SUPERIOR, POR SEXO, SEGÚN DOMINIO Y SUBDOMINIO CULTURAL. 2014/1</t>
  </si>
  <si>
    <t>NÚMERO DE CARRERAS IMPARTIDAS Y NÚMERO DE MATRICULADOS EN INSTITUCIONES DE EDUCACIÓN SUPERIOR POR REGIÓN, SEGÚN DOMINIO Y SUBDOMINO CULTURAL. 2014/1</t>
  </si>
  <si>
    <t>NÚMERO DE CARRERAS CREATIVAS IMPARTIDAS EN INSTITUCIONES DE EDUCACIÓN SUPERIOR POR GRADO, SEGÚN DOMINIO Y SUBDOMINO CULTURAL. 2014/1</t>
  </si>
  <si>
    <t>NÚMERO DE CARRERAS CREATIVAS POR DISCIPLINA, SEGÚN INSTITUCIÓN QUE LA IMPARTE EN CHILE. 2014</t>
  </si>
  <si>
    <t>NÚMERO TOTAL DE CARRERAS CREATIVAS Y NÚMERO TOTAL DE MATRICULADOS, SEGÚN CENTRO DE EDUCACIÓN SUPERIOR E INSTITUCIÓN QUE LA IMPARTE. 2014</t>
  </si>
  <si>
    <t>NÚMERO DE EMPRESAS PROVEEDORAS DE CONEXIÓN A INTERNET POR MODALIDAD, SEGÚN REGIÓN. 2010-2014/1</t>
  </si>
  <si>
    <t>NÚMERO DE CONEXIONES A INTERNET POR TIPO DE ACCESO, SEGÚN REGIÓN. 2014</t>
  </si>
  <si>
    <t>NÚMERO DE CONEXIONES DEDICADAS FIJAS, SEGÚN TIPO DE SUSCRIPTOR. 2009-2014</t>
  </si>
  <si>
    <t>TASA DE CONEXIONES RESIDENCIALES DEDICADAS POR CADA CIEN HABITANTES. 2009-2014</t>
  </si>
  <si>
    <t xml:space="preserve"> NÚMERO DE CONEXIONES RESIDENCIALES DE BANDA ANCHA A INTERNET. 2009-2014</t>
  </si>
  <si>
    <t>PENETRACIÓN DE INTERNET EN LA POBLACIÓN EN PORCENTAJE, SEGÚN LA UNIÓN INTERNACIONAL DE TELECOMUNICACIONES DE LAS NACIONES UNIDAS (UIT). 2009-2014</t>
  </si>
  <si>
    <t>PENETRACIÓN MUNDIAL DE INTERNET POR CADA CIEN HABITANTES, COMPARACIÓN DE VARIOS PAÍSES. 2009-2014</t>
  </si>
  <si>
    <t>NÚMERO DE PERSONAS CON RECONOCIMIENTO DE CALIDAD INDÍGENA (LEY 19.253) POR SEXO Y UNIDAD OPERATIVA, SEGÚN REGIÓN. 2013 - 2014</t>
  </si>
  <si>
    <t>DISTRIBUCIÓN DE POBLACIÓN POR PUEBLO ORIGINARIO, SEGÚN RECONOCIMIENTO DE PUEBLOS ORIGINARIOS (LEY N° 19.253). 2012-2014</t>
  </si>
  <si>
    <t>NÚMERO DE BECAS INDÍGENAS OTORGADAS POR NIVEL DE EDUCACIÓN Y SEXO SEGÚN REGIÓN. 2009-2014</t>
  </si>
  <si>
    <t>MONTO DE LA INVERSIÓN EN BECAS INDÍGENAS POR NIVEL DE EDUCACIÓN, SEGÚN REGIÓN. 2009-2014</t>
  </si>
  <si>
    <t>NÚMERO DE ALUMNOS INDÍGENAS BENEFICIARIOS DE BECAS INDÍGENAS POR NIVEL DE EDUCACIÓN, SEGÚN PUEBLO ORIGINARIO Y NIVEL DE EDUCACIÓN. 2009-2014</t>
  </si>
  <si>
    <t>NÚMERO DE BECAS OTORGADAS EN POST-GRADO POR SEXO, SEGÚN REGIÓN. 2009-2014</t>
  </si>
  <si>
    <t>NÚMERO DE PROGRAMAS FONDO DE CULTURA POR UNIDAD OPERATIVA Y MONTO DE LA INVERSIÓN, SEGÚN REGIÓN. 2009-2014</t>
  </si>
  <si>
    <t>NÚMERO DE PROGRAMAS DE FONDO DE EDUCACIÓN POR UNIDAD OPERATIVA Y MONTO DE LA INVERSIÓN, SEGÚN REGIÓN. 2009-2014</t>
  </si>
  <si>
    <t>DISTRIBUCIÓN REGIONAL DE FONDOS CONCURSABLES PARA SUBSIDIOS DE CAPACITACIÓN Y ESPECIALIZACIÓN DE PROFESIONALES Y TÉCNICOS INDÍGENAS POR SEXO, SEGÚN REGIÓN. 2009-2014</t>
  </si>
  <si>
    <t>NÚMERO DE PROYECTOS DEL FONDO DE DESARROLLO INDÍGENA (FDI) Y MONTO DE LA INVERSIÓN, SEGÚN REGIÓN Y UNIDAD OPERATIVA. 2009-2014</t>
  </si>
  <si>
    <t>NÚMERO DE INSCRIPCIONES EN EL REGISTRO PÚBLICO DE TIERRAS INDÍGENAS EMITIDOS, POR SEXO, SEGÚN REGISTRO PÚBLICO Y REGIÓN. 2009-2014</t>
  </si>
  <si>
    <t>NÚMERO DE RECINTOS ENTREGADOS POR ENCARGO DE GESTIÓN, SEGÚN REGIÓN 2012-2014</t>
  </si>
  <si>
    <t>NÚMERO DE PROYECTOS DEL FONDO NACIONAL DE FOMENTO PARA EL DEPORTE APROBADOS Y MONTOS, SEGÚN MODALIDAD DE ASIGNACIÓN. 2014</t>
  </si>
  <si>
    <t>NÚMERO DE PROYECTOS DEL FONDO NACIONAL DE FOMENTO PARA EL DEPORTE APROBADOS Y MONTO, SEGÚN CATEGORÍA DEPORTIVA. 2014</t>
  </si>
  <si>
    <t>NÚMERO DE PROYECTOS APROBADOS POR EL REGISTRO NACIONAL DE DONACIONES CON FINES DEPORTIVOS A TRAVÉS DEL SISTEMA DE FRANQUICIA TRIBUTARIA Y MONTO TOTAL DEL FINANCIAMIENTO EJECUTADO. 2009-2014</t>
  </si>
  <si>
    <t>NÚMERO DE ORGANIZACIONES DEPORTIVAS INSCRITAS EN EL REGISTRO, SEGÚN REGIÓN. 2009-2014</t>
  </si>
  <si>
    <t>NÚMERO DE PERSONAS BENEFICIADAS CON LOS PROYECTOS APROBADOS POR SEXO, SEGÚN MODALIDAD DE ASIGNACIÓN. 2014</t>
  </si>
  <si>
    <t>NÚMERO DE COMUNAS BENEFICIADAS CON LOS PROYECTOS APROBADOS, SEGÚN MODALIDAD DE ASIGNACIÓN. 2010-2014</t>
  </si>
  <si>
    <t>NÚMERO DE COMPETENCIAS, SEGÚN PROGRAMA DE DEPORTE MASIVO/1. 2012-2014</t>
  </si>
  <si>
    <t>NÚMERO DE PERSONAS PARTICIPANTES EN PROGRAMAS DE DEPORTE MASIVO/1, SEGÚN TIPO DE COMPETENCIAS. 2011-2014</t>
  </si>
  <si>
    <t>NÚMERO DE FUNCIONES DE ESPECTÁCULOS PÚBLICOS DEPORTIVOS, POR TIPO DE ESPECTÁCULO. 2009-2014</t>
  </si>
  <si>
    <t>FUNCIONES DE ESPECTÁCULOS PÚBLICOS DEPORTIVOS POR TIPO DE ESPECTÁCULO, SEGÚN REGIÓN. 2014</t>
  </si>
  <si>
    <t>NÚMERO DE ESPECTADORES QUE ASISTEN A LA REALIZACIÓN DE ESPECTÁCULOS PÚBLICOS DEPORTIVOS PAGANDO ENTRADA POR TIPO DE ESPECTÁCULO DEPORTIVO, SEGÚN REGIÓN. 2014</t>
  </si>
  <si>
    <t>NÚMERO DE ESPECTADORES  QUE ASISTEN A LA REALIZACIÓN DE ESPECTÁCULOS PÚBLICOS DEPORTIVOS CON ENTRADA GRATUITA POR TIPO DE ESPECTÁCULO DEPORTIVO, SEGÚN REGIÓN. 2014</t>
  </si>
  <si>
    <t>NÚMERO DE ASISTENTES A ESPECTÁCULOS PÚBLICOS DEPORTIVOS, PAGANDO ENTRADA, POR TIPO DE ESPECTÁCULO. 2009-2014</t>
  </si>
  <si>
    <t>NÚMERO DE ASISTENTES A ESPECTÁCULOS PÚBLICOS DEPORTIVOS, ENTRADA GRATUITA, POR TIPO DE ESPECTÁCULO. 2009-2014</t>
  </si>
  <si>
    <t>NÚMERO DE ESPECTADORES ASISTENTES A ESPECTÁCULOS PÚBLICOS DEPORTIVOS CON ENTRADA GRATUITA Y PAGADA POR MES, SEGÚN REGIÓN. 2014</t>
  </si>
  <si>
    <t>NÚMERO DE INSCRIPCIONES, CERTIFICADOS , CONSULTAS Y OTROS SERVICIOS REALIZADOS EN EL DEPARTAMENTO DE DERECHOS INTELECTUALES DE LA DIRECCIÓN DE BIBLIOTECAS, ARCHIVOS Y MUSEOS (DIBAM), SEGÚN ÍTEM. 2009-2014</t>
  </si>
  <si>
    <t xml:space="preserve">NÚMERO DE INSCRIPCIONES EN MATERIA DE DERECHOS DE AUTOR REGISTRADOS EN EL DEPARTAMENTO DE DERECHOS INTELECTUALES (DDI) DE LA DIRECCIÓN DE BIBLIOTECAS, ARCHIVOS Y MUSEOS (DIBAM), SEGÚN TIPO DE REGISTRO. 2009-2014 </t>
  </si>
  <si>
    <t>NÚMERO DE INSCRIPCIONES EN MATERIA DE DERECHOS DE AUTOR A NIVEL NACIONAL REGISTRADOS EN EL DEPARTAMENTO DE DERECHOS INTELECTUALES (DDI) DE LA DIRECCIÓN DE BIBLIOTECAS, ARCHIVOS Y MUSEOS (DIBAM), SEGÚN SEXO Y TIPO DE SOLICITANTE. 2009-2014/1</t>
  </si>
  <si>
    <t>INSCRIPCIÓN DE DERECHOS DE AUTOR, DERECHOS CONEXOS Y SEUDÓNIMOS, SEGÚN ORIGEN DE LA SOLICITUD, REGIÓN Y NACIONALIDAD (NACIONAL Y EXTRANJERA). 2009-2014/1</t>
  </si>
  <si>
    <t>NÚMERO Y MONTOS DE PROYECTOS POSTULADOS, ELEGIBLES Y SELECCIONADOS, SEGÚN FONDOS CONCURSABLES DEL CONSEJO NACIONAL DE LA CULTURA Y LAS ARTES (CNCA). 2014</t>
  </si>
  <si>
    <t>NÚMERO DE PROYECTOS Y MONTOS ADJUDICADOS DEL FONDO NACIONAL DE DESARROLLO CULTURAL Y LAS ARTES (FONDART) PARA CONCURSO NACIONAL, SEGÚN REGIÓN. 2014/a/b</t>
  </si>
  <si>
    <t>NÚMERO DE PROYECTOS Y MONTOS ADJUDICADOS DEL FONDO NACIONAL DE DESARROLLO CULTURAL Y LAS ARTES (FONDART) PARA CONCURSO REGIONAL, SEGÚN REGIÓN DEL FONDO ENTREGADO. 2014/a/b</t>
  </si>
  <si>
    <t>NÚMERO DE PROYECTOS POSTULADOS Y SELECCIONADOS Y RECURSOS ASIGNADOS POR TIPO DE PERSONALIDAD, SEGÚN FONDO Y AÑO. 2009-2014</t>
  </si>
  <si>
    <t>NÚMERO DE PROYECTOS POSTULADOS Y SELECCIONADOS Y RECURSOS ASIGNADOS POR SEXO, SEGÚN FONDO Y AÑO. 2009-2014</t>
  </si>
  <si>
    <t xml:space="preserve">TOTAL NACIONAL DE LA ECONOMÍA Y TOTAL DE EMPRESAS Y EMPLEO POR INFORMACIÓN DE MUTUALES DE SEGURIDAD, SEGÚN DOMINIO CULTURAL. 2014 </t>
  </si>
  <si>
    <t>NÚMERO DE EMPRESAS, TRABAJADORES, TRABAJADORES PROMEDIO Y REMUNERACIONES PROMEDIO PARA EMPRESAS CREATIVAS ASOCIADO A MUTUALES DE SEGURIDAD, SEGÚN DOMINIO Y SUBDOMINIO CULTURAL. 2014</t>
  </si>
  <si>
    <t>NÚMERO DE EMPRESAS, NÚMERO DE TRABAJADORES Y PROMEDIO DE REMUNERACIONES EN EMPRESAS CREATIVAS, SEGÚN REGIÓN. 2014</t>
  </si>
  <si>
    <t>NÚMERO DE EMPRESAS Y TRABAJADORES COTIZANTES EN MUTUALES, SU PARTICIPACION PROMEDIO POR EMPRESA Y SALARIOS PROMEDIO, SEGÚN SEXO Y DOMINIO Y SUBDOMINIO CULTURAL. 2014</t>
  </si>
  <si>
    <t>NÚMERO DE EMPRESAS, TRABAJADORES, TRABAJADORES PROMEDIO Y REMUNERACIONES PROMEDIO PARA EMPRESAS CREATIVAS ASOCIADO A MUTUALES DE SEGURIDAD, SEGÚN DOMINIO Y SUBDOMINIO CULTURAL. 2013/1</t>
  </si>
  <si>
    <t>NÚMERO DE EMPRESAS, NÚMERO DE TRABAJADORES Y PROMEDIO DE REMUNERACIONES EN EMPRESAS CREATIVAS, SEGÚN REGIÓN. 2013 /1</t>
  </si>
  <si>
    <t>COMERCIO EXTERIOR DE BIENES Y SERVICIOS CULTURALES Y CREATIVOS, SEGÚN DOMINIO CULTURAL. 2014 /1</t>
  </si>
  <si>
    <t>IMPORTACIÓN Y EXPORTACIÓN SEGÚN DOMINIO, SUBDOMINIO CULTURAL (MONTO EXPORTACIONES EN US$ FOB E IMPORTACIONES EN US$). 2013- 2014</t>
  </si>
  <si>
    <t xml:space="preserve">IMPORTACIÓN Y EXPORTACIÓN SEGÚN DOMINIO, SUBDOMINIO CULTURAL Y TIPO DE PRODUCTO (MONTO EXPORTACIONES EN PESOS CORRIENTES FOB E IMPORTACIONES EN PESOS CORRIENTES CIF). 2013 - 2014 </t>
  </si>
  <si>
    <t>IMPORTACIÓN Y EXPORTACIÓN SEGÚN DOMINIO, SUBDOMINIO CULTURAL Y TIPO DE PRODUCTO (MONTO EXPORTACIONES EN PESOS BASE 2014 FOB E IMPORTACIONES EN PESOS BASE 2014 CIF). 2013 - 2014</t>
  </si>
  <si>
    <t xml:space="preserve">EXPORTACIONES DE BIENES Y PRODUCTOS CULTURALES POR  PAÍS DE DESTINO, SEGÚN DOMINIO Y SUBDOMINIO CULTURAL (MONTO EN US$ FOB). 2014 /1 </t>
  </si>
  <si>
    <t>IMPORTACIONES DE BIENES Y PRODUCTOS CULTURALES POR PAÍS DE ORIGEN, SEGÚN DOMINIO Y SUBDOMINIO CULTURAL MONTO EN US$ CIF). 2014 /1</t>
  </si>
  <si>
    <t>IMPORTACIÓN Y EXPORTACIÓN DE "INSUMOS PARA LA CREACIÓN", SEGÚN DOMINIO, SUBDOMINIO CULTURAL Y TIPO DE PRODUCTO (MONTO EXPORTACIONES EN US$ FOB E IMPORTACIONES EN US$ CIF). 2014 /1</t>
  </si>
  <si>
    <t xml:space="preserve">IMPORTACIÓN Y EXPORTACIÓN DE "APARATOS PARA LA REPRODUCCIÓN", SEGÚN DOMINIO, SUBDOMINIO CULTURAL Y TIPO DE PRODUCTO (MONTO EXPORTACIONES EN US$ FOB E IMPORTACIONES EN US$ CIF). 2014 /1  </t>
  </si>
  <si>
    <t>IMPORTACIÓN Y EXPORTACIÓN DE "PRODUCTO TERMINADO", SEGÚN DOMINIO, SUBDOMINIO CULTURAL Y TIPO DE PRODUCTO (MONTO EXPORTACIONES EN US$ FOB E IMPORTACIONES EN US$ CIF). 2014  /1</t>
  </si>
  <si>
    <t xml:space="preserve">EXPORTACIÓN DE BIENES Y PRODUCTOS CULTURALES, POR REGIÓN DE ORIGEN, SEGÚN DOMINIO, SUBDOMINIO CULTURAL (MONTO EN US$ FOB ). 2014 </t>
  </si>
  <si>
    <t>EXPORTACIÓN DE BIENES Y PRODUCTOS CULTURALES, POR REGIÓN DE ORIGEN, SEGÚN DOMINIO, SUBDOMINIO Y TIPO DE PRODUCTO CULTURAL (MONTO EN US$ FOB ). 2014</t>
  </si>
  <si>
    <t>EXPORTACIÓN DE SERVICIOS CULTURALES, SEGÚN DOMINIO Y SUBDOMINIO CULTURAL  (MONTO EN US$ FOB ).  2009 - 2014</t>
  </si>
  <si>
    <t xml:space="preserve">EXPORTACIÓN DE SERVICIOS CULTURALES, SEGÚN DOMINIO Y SUBDOMINIO CULTURAL (MONTO EN PESOS CORRIENTES). 2009 - 2014 </t>
  </si>
  <si>
    <t>EXPORTACIÓN DE SERVICIOS CULTURALES, SEGÚN DOMINIO Y SUBDOMINIO CULTURAL (MONTO EN PESOS DE 2014).  2009 - 2014</t>
  </si>
  <si>
    <t xml:space="preserve">DETALLE DE EXPORTACIONES DE SERVICIOS CULTURALES SEGÚN DOMINIO Y SUBDOMINIO CULTURAL (MONTO EN US$ FOB ). 2014 /1  </t>
  </si>
  <si>
    <t xml:space="preserve">EXPORTACIONES DE SERVICIOS CULTURALES POR  PAÍS DE DESTINO, SEGÚN DOMINIO Y SUBDOMINIO CULTURAL (MONTO EN US$ FOB ). 2014 /1 </t>
  </si>
  <si>
    <t xml:space="preserve">EXPORTACION DE SERVICIOS CULTURALES POR REGIÓN DE ORIGEN, SEGÚN DOMINIO Y SUBDOMINIO CULTURAL (MONTO EN US$ FOB ). 2014 </t>
  </si>
  <si>
    <t>EXPORTACION DE SERVICIOS CULTURALES POR REGIÓN DE ORIGEN SEGÚN TIPO DE SERVICIO 2014 (MONTO EN US$ FOB )</t>
  </si>
  <si>
    <t>PRESUPUESTO PÚBLICO DESTINADO A CULTURA Y TIEMPO LIBRE, SEGÚN INSTITUCIONES CULTURALES. 2014/1</t>
  </si>
  <si>
    <t>PRESUPUESTO PÚBLICO DESTINADO A CULTURA Y TIEMPO LIBRE, SEGÚN INSTITUCIONES AFINES A LA CULTURA. 2014/1</t>
  </si>
  <si>
    <t>PRESUPUESTO PÚBLICO DESTINADO A CULTURA Y TIEMPO LIBRE, SEGÚN INSTITUCIONES CON PROGRAMAS CULTURALES. 2014/1</t>
  </si>
  <si>
    <t>PRESUPUESTO PÚBLICO EJECUTADO DESTINADO A CULTURA Y TIEMPO LIBRE, SEGÚN INSTITUCIONES CON PROGRAMAS CULTURALES. 2014</t>
  </si>
  <si>
    <t>DISTRIBUCIÓN PORCENTUAL DEL PRESUPUESTO DESTINADO A CULTURA Y TIEMPO LIBRE, SEGÚN INSTITUCIONES CULTURALES, AFINES A LA CULTURA Y PROGRAMAS CULTURALES. 2014</t>
  </si>
  <si>
    <t>NÚMERO DE DENUNCIAS SIN APREHENDIDOS Y DENUNCIAS CON APREHENDIDOS, Y NÚMERO DE APREHENDIDOS, POR "OTROS DELITOS CONTRA LA LEY DE PROPIEDAD INTELECTUAL", SEGÚN REGIÓN. 2014</t>
  </si>
  <si>
    <t>NÚMERO DE DETENCIONES POR LEY DE PROPIEDAD INTELECTUAL (CÓDIGO N° 09099 "OTROS DELITOS CONTRA LA LEY DE PROPIEDAD INTELECTUAL") POR SEXO, EDAD, SEGÚN REGIÓN. 2014</t>
  </si>
  <si>
    <t>NÚMERO DE DENUNCIAS POR "FALSIFICACIÓN DE OBRAS PROTEGIDAS" Y "VENTA ILÍCITA DE OBRAS PROTEGIDAS Art. 80 B Ley 17.336", SEGÚN REGIÓN. 2014</t>
  </si>
  <si>
    <t>NÚMERO DE DETENCIONES POR LEY 17.336, SEGÚN CÓDIGO N° 09002 ¨FALSIFICACIÓN DE OBRAS PROTEGIDAS¨ Y CÓDIGO N° 09003 ASOCIADO A LA GLOSA "VENTA ILÍCITA DE OBRAS PROTEGIDAS", POR SEXO, SEGÚN REGIÓN. 2014</t>
  </si>
  <si>
    <t>NÚMERO DE DELITOS INVESTIGADOS POR LA POLICÍA DE INVESTIGACIONES DE CHILE (PDI), DE LA LEY DE PROPIEDAD INTELECTUAL Y LEY DE TRÁFICO ILÍCITO DE BIENES CULTURALES, SEGÚN REGIÓN POLICIAL EN QUE SE HIZO LA DENUNCIA. 2014</t>
  </si>
  <si>
    <t>NÚMERO DE DELITOS INVESTIGADOS POR LA POLICÍA DE INVESTIGACIONES DE CHILE (PDI), DE LA LEY DE PROPIEDAD INTELECTUAL Y LEY DE TRÁFICO ILÍCITO DE BIENES CULTURALES, SEGÚN REGIÓN POLICIAL EN QUE SE HIZO LA DENUNCIA Y COMUNA DE OCURRENCIA DEL DELITO. 2014</t>
  </si>
  <si>
    <t>NÚMERO DE DELITOS INVESTIGADOS POR LA POLICÍA DE INVESTIGACIONES DE CHILE (PDI) DE LA LEY DE PROPIEDAD INTELECTUAL Y LEY DE TRÁFICO ILÍCITO DE BIENES CULTURALES, SEGÚN REGIÓN POLICIAL Y BIEN AFECTADO. 2014</t>
  </si>
  <si>
    <t>NÚMERO DE DETENIDOS POR LA POLICÍA DE INVESTIGACIONES DE CHILE (PDI) DE LA LEY DE PROPIEDAD INTELECTUAL Y LEY DE TRÁFICO ILÍCITO DE BIENES CULTURALES POR DELITO, SEGÚN REGIÓN POLICIAL. 2014</t>
  </si>
  <si>
    <t>NÚMERO DE DETENIDOS POR LA POLICÍA DE INVESTIGACIONES DE CHILE (PDI) DE LEY DE PROPIEDAD INTELECTUAL Y LEY DE TRÁFICO ILÍCITO DE BIENES CULTURALES POR DELITO, SEGÚN REGIÓN POLICIAL Y SEXO. 2014</t>
  </si>
  <si>
    <t>NÚMERO DE DETENIDOS POR LA LA POLICÍA DE INVESTIGACIONES DE CHILE (PDI) DE LA LEY DE PROPIEDAD INTELECTUAL Y LEY DE TRÁFICO ILÍCITO DE BIENES CULTURALES POR DELITO, SEGÚN REGIÓN POLICIAL Y NACIONALIDAD. 2014</t>
  </si>
  <si>
    <t>NÚMERO DE DETENIDOS POR LA POLICÍA DE INVESTIGACIONES DE CHILE (PDI) DE LA LEY DE PROPIEDAD INTELECTUAL Y LEY DE TRÁFICO ILÍCITO DE BIENES CULTURALES POR DELITO, SEGÚN REGIÓN POLICIAL Y GRUPOS DE EDAD. 2014</t>
  </si>
  <si>
    <t>ARTÍCULOS INCAUTADOS POR LA POLICÍA DE INVESTIGACIONES DE CHILE (PDI) POR INFRACCIÓN A LEY DE PROPIEDAD INTELECTUAL, SEGÚN UNIDAD POLICIAL. 2014</t>
  </si>
  <si>
    <t>CANTIDAD DE DETENIDOS POR LA POLICÍA DE INVESTIGACIONES (PDI) DE LA LEY DE PROPIEDAD INTELECTUAL, LEY DE TRAFICO ILICITO DE BIENES CULTURALES DESGLOSADOS POR REGION POLICIAL Y POR COMUNA RESIDENCIA DETENIDO. 2014</t>
  </si>
  <si>
    <t>CANTIDAD DE DENUNCIAS DE LA PDI POR EL DELITO DE LA LEY DE PROPIEDAD INTELECTUAL Y LEY DE TRAFICO ILICITO DE BIENES CULTURALES DESGLOSADOS POR REGION POLICIAL. 2014</t>
  </si>
  <si>
    <t>CANTIDAD DE DENUNCIAS DE LA PDI POR  LOS DELITOS DE LA LEY DE PROPIEDAD INTELECTUAL Y LEY DE TRAFICO ILICITO DE BIENES CULTURALES  DESGLOSADOS POR REGION POLICIAL Y POR BIEN AFECTADO. 2014</t>
  </si>
  <si>
    <t>CANTIDAD DE DENUNCIAS DE LA PDI POR DELITOS DE LA LEY DE PROPIEDAD INTELECTUAL Y LEY DE TRAFICO ILICITO DE BIENES CULTURALES DESGLOSADOS POR REGION POLICIAL Y POR COMUNA DEL DELITO. 2014</t>
  </si>
  <si>
    <t>IMPUTADOS POR INFRACCIÓN A LA LEY 17.336, SEGÚN CORTE DE APELACIÓN. 2014</t>
  </si>
  <si>
    <t>CONDENADOS POR INFRACCIÓN A LA LEY 17.336, SEGÚN CORTE DE APELACIÓN. 2014</t>
  </si>
  <si>
    <t>CAUSAS INGRESADAS Y TERMINADAS EN JUZGADOS DE GARANTÍA Y DE LETRAS Y GARANTÍA POR INFRACCIÓN A LA LEY DE DE PROPIEDAD INTELECTUAL, SEGÚN CORTE DE APELACIÓN. 2014</t>
  </si>
  <si>
    <t>DELITOS INGRESADOS AL MINISTERIO PÚBLICO EN RELACIÓN A LA LEY DE PROPIEDAD INTELECTUAL, SEGÚN REGIÓN Y FISCALÍA. 2009-2014</t>
  </si>
  <si>
    <t>DELITOS TERMINADOS EN EL MINISTERIO PÚBLICO EN RELACIÓN A LA LEY DE PROPIEDAD INTELECTUAL, SEGÚN REGIÓN Y FISCALÍA. 2009-2014</t>
  </si>
  <si>
    <t>SENTENCIAS DEFINITIVAS CONDENATORIAS EN RELACIÓN A LA LEY DE PROPIEDAD INTELECTUAL, SEGÚN REGIÓN Y FISCALÍA. 2009-2014</t>
  </si>
  <si>
    <t>NÚMERO DE DEPORTISTAS EN PROGRAMAS DE ALTO RENDIMIENTO (PRODDAR), POR SEXO, SEGÚN REGIÓN Y DISCIPLINA. 2014</t>
  </si>
  <si>
    <t>TABLA 10.6: NÚMERO DE USUARIOS PRESENCIALES DE ARCHIVOS PÚBLICOS DE LA DIRECCIÓN DE BIBLIOTECAS, ARCHIVOS Y MUSEOS (DIBAM), SEGÚN REGIÓN. 2009-2014</t>
  </si>
  <si>
    <r>
      <t>Autodeclara más de un ámbito</t>
    </r>
    <r>
      <rPr>
        <b/>
        <vertAlign val="superscript"/>
        <sz val="9"/>
        <rFont val="Verdana"/>
        <family val="2"/>
      </rPr>
      <t>/2 /3</t>
    </r>
  </si>
  <si>
    <r>
      <rPr>
        <b/>
        <sz val="9"/>
        <color theme="1"/>
        <rFont val="Verdana"/>
        <family val="2"/>
      </rPr>
      <t>1</t>
    </r>
    <r>
      <rPr>
        <sz val="9"/>
        <color theme="1"/>
        <rFont val="Verdana"/>
        <family val="2"/>
      </rPr>
      <t xml:space="preserve"> Existen 26 casos perdidos pues 19 casos no indican resultado y 7 casos no indican el ámbito del patrimonio cultural inmaterial al que responde la manifestación. Estos registros no se consideraron en los totales descritos en la tabla.</t>
    </r>
  </si>
  <si>
    <r>
      <rPr>
        <b/>
        <sz val="9"/>
        <color theme="1"/>
        <rFont val="Verdana"/>
        <family val="2"/>
      </rPr>
      <t>2</t>
    </r>
    <r>
      <rPr>
        <sz val="9"/>
        <color theme="1"/>
        <rFont val="Verdana"/>
        <family val="2"/>
      </rPr>
      <t xml:space="preserve"> En el momento de la postulación puede indicarse más de un ámbito de patrimonio cultural inmaterial al que responde la manifestación.</t>
    </r>
  </si>
  <si>
    <r>
      <rPr>
        <b/>
        <sz val="9"/>
        <color theme="1"/>
        <rFont val="Verdana"/>
        <family val="2"/>
      </rPr>
      <t>3</t>
    </r>
    <r>
      <rPr>
        <sz val="9"/>
        <color theme="1"/>
        <rFont val="Verdana"/>
        <family val="2"/>
      </rPr>
      <t xml:space="preserve"> Esta tabla entrega el detalle de las postulaciones sobre manifestaciones a más de un ámbito de patrimonio cultural inmaterial.</t>
    </r>
  </si>
  <si>
    <t>TABLA 10.64: IMPUTADOS POR INFRACCIÓN A LA LEY 17.288, SEGÚN CORTE DE APELACIÓN. 2014</t>
  </si>
  <si>
    <t>TABLA 12.6: DISTRIBUCIÓN DE DERECHOS DE AUTOR POR LA SOCIEDAD DE CREADORES DE IMAGEN FIJA (CREAIMAGEN), SEGÚN ORIGEN DE LA OBRA Y DE LA DISTRIBUCIÓN (NACIONAL Y EXTRANJERA). 2009-2014</t>
  </si>
  <si>
    <r>
      <t>Promoción al desarrollo de artistas nacionales en el extranjero programa piloto</t>
    </r>
    <r>
      <rPr>
        <b/>
        <sz val="9"/>
        <color rgb="FFFF0000"/>
        <rFont val="Verdana"/>
        <family val="2"/>
      </rPr>
      <t xml:space="preserve">
</t>
    </r>
  </si>
  <si>
    <r>
      <t>Otro</t>
    </r>
    <r>
      <rPr>
        <vertAlign val="superscript"/>
        <sz val="9"/>
        <rFont val="Verdana"/>
        <family val="2"/>
      </rPr>
      <t xml:space="preserve"> /1</t>
    </r>
  </si>
  <si>
    <r>
      <t xml:space="preserve"> Apoyo a la comercialización y distribución</t>
    </r>
    <r>
      <rPr>
        <b/>
        <vertAlign val="superscript"/>
        <sz val="9"/>
        <rFont val="Verdana"/>
        <family val="2"/>
      </rPr>
      <t>/1</t>
    </r>
  </si>
  <si>
    <r>
      <t>Apoyo a la exhibición de cine nacional</t>
    </r>
    <r>
      <rPr>
        <b/>
        <vertAlign val="superscript"/>
        <sz val="9"/>
        <rFont val="Verdana"/>
        <family val="2"/>
      </rPr>
      <t>/2</t>
    </r>
  </si>
  <si>
    <r>
      <t>Difusión e implementación de equipamiento</t>
    </r>
    <r>
      <rPr>
        <b/>
        <vertAlign val="superscript"/>
        <sz val="9"/>
        <rFont val="Verdana"/>
        <family val="2"/>
      </rPr>
      <t>/3</t>
    </r>
  </si>
  <si>
    <r>
      <t>Producción audiovisual</t>
    </r>
    <r>
      <rPr>
        <b/>
        <vertAlign val="superscript"/>
        <sz val="9"/>
        <rFont val="Verdana"/>
        <family val="2"/>
      </rPr>
      <t>/4</t>
    </r>
  </si>
  <si>
    <r>
      <t>Investigación</t>
    </r>
    <r>
      <rPr>
        <b/>
        <vertAlign val="superscript"/>
        <sz val="9"/>
        <rFont val="Verdana"/>
        <family val="2"/>
      </rPr>
      <t>/5</t>
    </r>
  </si>
  <si>
    <r>
      <t>Formación</t>
    </r>
    <r>
      <rPr>
        <b/>
        <vertAlign val="superscript"/>
        <sz val="9"/>
        <rFont val="Verdana"/>
        <family val="2"/>
      </rPr>
      <t>/6</t>
    </r>
  </si>
  <si>
    <r>
      <t>Otro</t>
    </r>
    <r>
      <rPr>
        <vertAlign val="superscript"/>
        <sz val="9"/>
        <rFont val="Verdana"/>
        <family val="2"/>
      </rPr>
      <t>/7</t>
    </r>
  </si>
  <si>
    <t>TABLA 20.6: NÚMERO DE PERSONAS BENEFICIADAS CON LOS PROYECTOS APROBADOS POR SEXO, SEGÚN MODALIDAD DE ASIGNACIÓN. 2014</t>
  </si>
  <si>
    <r>
      <t>Apoyo, intercambio y difusión cultural</t>
    </r>
    <r>
      <rPr>
        <b/>
        <vertAlign val="superscript"/>
        <sz val="9"/>
        <rFont val="Verdana"/>
        <family val="2"/>
      </rPr>
      <t>/2</t>
    </r>
  </si>
  <si>
    <r>
      <t>Creación</t>
    </r>
    <r>
      <rPr>
        <b/>
        <vertAlign val="superscript"/>
        <sz val="9"/>
        <rFont val="Verdana"/>
        <family val="2"/>
      </rPr>
      <t>/3</t>
    </r>
  </si>
  <si>
    <r>
      <t>Otro</t>
    </r>
    <r>
      <rPr>
        <vertAlign val="superscript"/>
        <sz val="9"/>
        <rFont val="Verdana"/>
        <family val="2"/>
      </rPr>
      <t>/1</t>
    </r>
  </si>
  <si>
    <r>
      <rPr>
        <b/>
        <sz val="9"/>
        <rFont val="Verdana"/>
        <family val="2"/>
      </rPr>
      <t>a</t>
    </r>
    <r>
      <rPr>
        <sz val="9"/>
        <rFont val="Verdana"/>
        <family val="2"/>
      </rPr>
      <t xml:space="preserve"> A diferencia del Fondart regional, este fondo cuenta sólo con una instancia de selección nacional. La distribución regional de los seleccionados se realiza a partir de la dirección inscrita por el postulante.</t>
    </r>
  </si>
  <si>
    <r>
      <rPr>
        <b/>
        <sz val="9"/>
        <rFont val="Verdana"/>
        <family val="2"/>
      </rPr>
      <t xml:space="preserve">b </t>
    </r>
    <r>
      <rPr>
        <sz val="9"/>
        <rFont val="Verdana"/>
        <family val="2"/>
      </rPr>
      <t>El número de proyectos y de monto adjudicado por línea, corresponden a la suma total de los concursos durante el año.</t>
    </r>
  </si>
  <si>
    <r>
      <rPr>
        <b/>
        <sz val="9"/>
        <rFont val="Verdana"/>
        <family val="2"/>
      </rPr>
      <t>2</t>
    </r>
    <r>
      <rPr>
        <sz val="9"/>
        <rFont val="Verdana"/>
        <family val="2"/>
      </rPr>
      <t xml:space="preserve"> Ventanilla abierta</t>
    </r>
  </si>
  <si>
    <r>
      <rPr>
        <b/>
        <sz val="9"/>
        <rFont val="Verdana"/>
        <family val="2"/>
      </rPr>
      <t xml:space="preserve">3 </t>
    </r>
    <r>
      <rPr>
        <sz val="9"/>
        <rFont val="Verdana"/>
        <family val="2"/>
      </rPr>
      <t>Creación incluye las líneas de fomento de la arquitectura, fomento de la artesanía, fomento de las artes de la visualidad, fomento de las artes escénicas y fomento del diseño.</t>
    </r>
  </si>
  <si>
    <r>
      <t>Formación e investigación</t>
    </r>
    <r>
      <rPr>
        <b/>
        <vertAlign val="superscript"/>
        <sz val="9"/>
        <rFont val="Verdana"/>
        <family val="2"/>
      </rPr>
      <t>/1</t>
    </r>
  </si>
  <si>
    <r>
      <t>Creación</t>
    </r>
    <r>
      <rPr>
        <b/>
        <vertAlign val="superscript"/>
        <sz val="9"/>
        <rFont val="Verdana"/>
        <family val="2"/>
      </rPr>
      <t>/2</t>
    </r>
  </si>
  <si>
    <r>
      <t>Apoyo, intercambio y difusión cultural</t>
    </r>
    <r>
      <rPr>
        <b/>
        <vertAlign val="superscript"/>
        <sz val="9"/>
        <rFont val="Verdana"/>
        <family val="2"/>
      </rPr>
      <t>/3</t>
    </r>
  </si>
  <si>
    <t>FUENTE: Cifras Sector Cultura y Tiempo Libre: Servicio Nacional de Aduanas en base a listado de códigos de productos culturales entregados por el CNCA</t>
  </si>
  <si>
    <r>
      <t xml:space="preserve">TABLA 24.8: IMPORTACIÓN Y EXPORTACIÓN DE "APARATOS PARA LA REPRODUCCIÓN", SEGÚN DOMINIO, SUBDOMINIO CULTURAL Y TIPO DE PRODUCTO (MONTO EXPORTACIONES EN US$ FOB E IMPORTACIONES EN US$ CIF). 2014 </t>
    </r>
    <r>
      <rPr>
        <b/>
        <vertAlign val="superscript"/>
        <sz val="9"/>
        <rFont val="Verdana"/>
        <family val="2"/>
      </rPr>
      <t>/1</t>
    </r>
    <r>
      <rPr>
        <b/>
        <sz val="9"/>
        <rFont val="Verdana"/>
        <family val="2"/>
      </rPr>
      <t xml:space="preserve">  </t>
    </r>
  </si>
  <si>
    <r>
      <t xml:space="preserve">TABLA 24.9: IMPORTACIÓN Y EXPORTACIÓN DE "PRODUCTO TERMINADO", SEGÚN DOMINIO, SUBDOMINIO CULTURAL Y TIPO DE PRODUCTO (MONTO EXPORTACIONES EN US$ FOB E IMPORTACIONES EN US$ CIF). 2014  </t>
    </r>
    <r>
      <rPr>
        <b/>
        <vertAlign val="superscript"/>
        <sz val="9"/>
        <rFont val="Verdana"/>
        <family val="2"/>
      </rPr>
      <t>/1</t>
    </r>
  </si>
  <si>
    <t>Fuente: Consejo de Monumentos Nacionales, CMN.</t>
  </si>
  <si>
    <r>
      <rPr>
        <b/>
        <sz val="9"/>
        <color theme="1"/>
        <rFont val="Verdana"/>
        <family val="2"/>
      </rPr>
      <t>1</t>
    </r>
    <r>
      <rPr>
        <sz val="9"/>
        <color theme="1"/>
        <rFont val="Verdana"/>
        <family val="2"/>
      </rPr>
      <t xml:space="preserve"> SIGPA, Sistema de Información para la Gestión Patrimonial.</t>
    </r>
  </si>
  <si>
    <t>Fuente: Sistema de Información para la Gestión Financiera del Estado (SIGFE) y datos internos del programa Bibliotecas Escolares CRA.</t>
  </si>
  <si>
    <r>
      <t>Fomento a la industria del libro</t>
    </r>
    <r>
      <rPr>
        <b/>
        <vertAlign val="superscript"/>
        <sz val="9"/>
        <rFont val="Verdana"/>
        <family val="2"/>
      </rPr>
      <t>/4</t>
    </r>
  </si>
  <si>
    <r>
      <t xml:space="preserve"> Apoyo para el desarrollo y difusión de autores, obras e industria editorial </t>
    </r>
    <r>
      <rPr>
        <b/>
        <vertAlign val="superscript"/>
        <sz val="9"/>
        <rFont val="Verdana"/>
        <family val="2"/>
      </rPr>
      <t>/5</t>
    </r>
  </si>
  <si>
    <r>
      <t>Otro</t>
    </r>
    <r>
      <rPr>
        <vertAlign val="superscript"/>
        <sz val="9"/>
        <rFont val="Verdana"/>
        <family val="2"/>
      </rPr>
      <t>/3</t>
    </r>
  </si>
  <si>
    <t>CONCURSO DE LECTORES INFANTILES: NÚMERO DE POSTULANTES Y NÚMERO DE GANADORES, SEGÚN REGIÓN, SEXO Y GRUPO DE EDAD. 2012-2014</t>
  </si>
  <si>
    <r>
      <rPr>
        <b/>
        <sz val="9"/>
        <rFont val="Verdana"/>
        <family val="2"/>
      </rPr>
      <t xml:space="preserve">1 </t>
    </r>
    <r>
      <rPr>
        <sz val="9"/>
        <rFont val="Verdana"/>
        <family val="2"/>
      </rPr>
      <t>La modalidad dedicada corresponde al número de clientes con conexión punto a punto y las tecnologías de acceso por DLS, cable móden y WILL, entre otros.</t>
    </r>
  </si>
  <si>
    <r>
      <t>N° Proyectos</t>
    </r>
    <r>
      <rPr>
        <b/>
        <vertAlign val="superscript"/>
        <sz val="9"/>
        <rFont val="Verdana"/>
        <family val="2"/>
      </rPr>
      <t>/1</t>
    </r>
  </si>
  <si>
    <r>
      <rPr>
        <b/>
        <sz val="9"/>
        <rFont val="Verdana"/>
        <family val="2"/>
      </rPr>
      <t xml:space="preserve">1 </t>
    </r>
    <r>
      <rPr>
        <sz val="9"/>
        <rFont val="Verdana"/>
        <family val="2"/>
      </rPr>
      <t>La unidad básica es el proyecto postulado y no el postulante.</t>
    </r>
  </si>
  <si>
    <r>
      <rPr>
        <b/>
        <sz val="9"/>
        <rFont val="Verdana"/>
        <family val="2"/>
      </rPr>
      <t>3</t>
    </r>
    <r>
      <rPr>
        <sz val="9"/>
        <rFont val="Verdana"/>
        <family val="2"/>
      </rPr>
      <t xml:space="preserve"> Circos, zoológicos ambulantes.</t>
    </r>
  </si>
  <si>
    <r>
      <rPr>
        <b/>
        <sz val="9"/>
        <rFont val="Verdana"/>
        <family val="2"/>
      </rPr>
      <t>2</t>
    </r>
    <r>
      <rPr>
        <sz val="9"/>
        <rFont val="Verdana"/>
        <family val="2"/>
      </rPr>
      <t xml:space="preserve"> Incluye productos asociados Materias vegetales de las especies utilizadas principalmente en cestería o espartería; Pieles curtidas o «crust», de ovino, depiladas, incluso divididas pero sin otra preparación; Baúles, maletas (valijas), maletines, incluidos los de aseo y los portadocumentos, portafolios (carteras de mano); Marquetería y taracea; cofrecillos y estuches para joyería u orfebrería y manufacturas similares, de madera; Trenzas y artículos similares, de materia trenzable; Artículos de cestería obtenidos directamente en su forma con materia trenzable; Lana y pelo fino u ordinario, cardados o peinados; Hilados de lana cardada sin acondicionar para la venta al por menor;  Alfombras de nudo de materia textil, incluso confeccionada; Tejidos de punto por urdimbre; Estatuillas y demás artículos para adorno, de cerámica; Piedras preciosas (excepto los diamantes) o semipreciosas; Artículos de joyería y sus partes, de metal precioso o de chapado de metal precioso (plaqué); Artículos de orfebrería y sus partes, de metal precioso o de chapado de metal precioso; Telares; Máquinas y aparatos para la fabricación o acabado del fieltro o tela sin tejer, en pieza o con forma, incluidas las máquinas y aparatos para la fabricación de sombreros de fieltro; hormas de sombrerería; Marfil, hueso, concha (caparazón) de tortuga, cuerno, asta, coral, nácar y demás materias animales para talla.</t>
    </r>
  </si>
  <si>
    <r>
      <rPr>
        <b/>
        <sz val="9"/>
        <rFont val="Verdana"/>
        <family val="2"/>
      </rPr>
      <t>1</t>
    </r>
    <r>
      <rPr>
        <sz val="9"/>
        <rFont val="Verdana"/>
        <family val="2"/>
      </rPr>
      <t xml:space="preserve"> Incluye Antigüedades de más de cien año;  Colecciones y especímenes para colecciones de zoología, botánica, mineralogía o anatomía o que tengan interés histórico, arqueológico, paleontológico, etnográfico onumismático; y  Artículos para fiestas, carnaval u otras diversiones, incluidos los de magia y artículos sorpresa.</t>
    </r>
  </si>
  <si>
    <r>
      <rPr>
        <b/>
        <sz val="9"/>
        <rFont val="Verdana"/>
        <family val="2"/>
      </rPr>
      <t>10</t>
    </r>
    <r>
      <rPr>
        <sz val="9"/>
        <rFont val="Verdana"/>
        <family val="2"/>
      </rPr>
      <t xml:space="preserve"> Incluye Aparatos emisores de radiodifusión o televisión, incluso con aparato receptor o de grabación o reproducción de sonido incorporado; cámaras de televisión, cámaras fotográficas digitales y videocámaras; Monitores y proyectores, que no incorporen aparato receptor de televisión; aparatos receptores de televisión, incluso con aparato receptor de radiodifusión o grabación o reproducciónde sonido o imagen incorporado.</t>
    </r>
  </si>
  <si>
    <r>
      <rPr>
        <b/>
        <sz val="9"/>
        <rFont val="Verdana"/>
        <family val="2"/>
      </rPr>
      <t>9</t>
    </r>
    <r>
      <rPr>
        <sz val="9"/>
        <rFont val="Verdana"/>
        <family val="2"/>
      </rPr>
      <t xml:space="preserve">  Incluye  películas cinematográficas, impresionadas y reveladas, con o sin registro de sonido; Aparatos de grabación o reproducción de imagen y sonido (vídeos), incluso con receptor de señales de imagen ysonido incorporado;  Cámaras cinematográficas para filmes ancho, Proyectores; Partes y accesorios de proyectores cinematográficos.</t>
    </r>
  </si>
  <si>
    <r>
      <rPr>
        <b/>
        <sz val="9"/>
        <rFont val="Verdana"/>
        <family val="2"/>
      </rPr>
      <t>13</t>
    </r>
    <r>
      <rPr>
        <sz val="9"/>
        <rFont val="Verdana"/>
        <family val="2"/>
      </rPr>
      <t xml:space="preserve"> Incluye  Exhibidores publicitarios de cartón;  Catálogos comerciales;  Impresos publicitarios entre otros.</t>
    </r>
  </si>
  <si>
    <r>
      <rPr>
        <b/>
        <sz val="9"/>
        <rFont val="Verdana"/>
        <family val="2"/>
      </rPr>
      <t>12</t>
    </r>
    <r>
      <rPr>
        <sz val="9"/>
        <rFont val="Verdana"/>
        <family val="2"/>
      </rPr>
      <t xml:space="preserve"> Papel para decorar y revestimientos similares de paredes; papel para vidrieras.</t>
    </r>
  </si>
  <si>
    <t>FUENTE: Cifras Sector Cultura y Tiempo Libre: Servicio Nacional de Aduanas en base a listado de códigos de productos culturales entregados por el CNCA.</t>
  </si>
  <si>
    <r>
      <rPr>
        <b/>
        <sz val="9"/>
        <rFont val="Verdana"/>
        <family val="2"/>
      </rPr>
      <t>8</t>
    </r>
    <r>
      <rPr>
        <sz val="9"/>
        <rFont val="Verdana"/>
        <family val="2"/>
      </rPr>
      <t xml:space="preserve"> Incluye Libros y otros impresos; Libros de hojas sueltas, incluso plegadas; diccionarios; enciclopedias; libros escolares para enseñanza básica y media; libros escolares para enseñanza técnico profesional; libros académicos y científicos; libros de literatura infantil; los demás libros de literatura; manufacturas cartográficas, en forma de libros o folletos, calendarios, máquinas y aparatos para imprimir; Papel y cartón estucados por una o las dos caras con caolín u otras sustancias inorgánicas, con aglutinante o sin él, con exclusión de cualquier otro estucado o recubrimiento, incluso coloreados o decorados en la superficie o impresos, en bobinas (rollos) o en hojas de forma cuadrada o rectangular, de cualquier tamaño.; Tintas de imprimir, tintas de escribir o de dibujar y demás tintas, incluso concentradas o sólidas; Máquinas y aparatos para imprimir mediante planchas, cilindros y demás elementos impresores de la partida 84.42; las demás máquinas impresoras, copiadoras y de fax, incluso combinadas entre sí; partes y accesorios.</t>
    </r>
  </si>
  <si>
    <r>
      <t>TABLA 24.3: IMPORTACIÓN Y EXPORTACIÓN SEGÚN DOMINIO, SUBDOMINIO CULTURAL Y TIPO DE PRODUCTO (MONTO EXPORTACIONES EN PESOS CORRIENTES FOB E IMPORTACIONES EN PESOS CORRIENTES CIF). 2013 - 2014</t>
    </r>
    <r>
      <rPr>
        <b/>
        <vertAlign val="superscript"/>
        <sz val="9"/>
        <rFont val="Verdana"/>
        <family val="2"/>
      </rPr>
      <t xml:space="preserve">/1 </t>
    </r>
  </si>
  <si>
    <r>
      <rPr>
        <b/>
        <sz val="9"/>
        <rFont val="Verdana"/>
        <family val="2"/>
      </rPr>
      <t>1</t>
    </r>
    <r>
      <rPr>
        <sz val="9"/>
        <rFont val="Verdana"/>
        <family val="2"/>
      </rPr>
      <t xml:space="preserve"> Nota: Los valores en dólares de la Tabla 24.2 han sido transformandos a pesos corriente según dólar observado a diciembre de cada año:</t>
    </r>
  </si>
  <si>
    <r>
      <t>TABLA 24.4: IMPORTACIÓN Y EXPORTACIÓN SEGÚN DOMINIO, SUBDOMINIO CULTURAL Y TIPO DE PRODUCTO (MONTO EXPORTACIONES EN PESOS BASE 2014 FOB E IMPORTACIONES EN PESOS BASE 2014 CIF). 2013-2014</t>
    </r>
    <r>
      <rPr>
        <b/>
        <vertAlign val="superscript"/>
        <sz val="9"/>
        <rFont val="Verdana"/>
        <family val="2"/>
      </rPr>
      <t>/1</t>
    </r>
  </si>
  <si>
    <r>
      <rPr>
        <b/>
        <sz val="9"/>
        <rFont val="Verdana"/>
        <family val="2"/>
      </rPr>
      <t xml:space="preserve">1 </t>
    </r>
    <r>
      <rPr>
        <sz val="9"/>
        <rFont val="Verdana"/>
        <family val="2"/>
      </rPr>
      <t>Nota: Los valores en pesos corrientes de la tabla 24.3 han sido ajustados a pesos según IPC año base 2014, con el siguiente detalle de Indice de Variación:</t>
    </r>
  </si>
  <si>
    <r>
      <t>TABLA 24.5: EXPORTACIONES DE BIENES Y PRODUCTOS CULTURALES POR  PAÍS DE DESTINO, SEGÚN DOMINIO Y SUBDOMINIO CULTURAL (MONTO EN US$ FOB). 2014</t>
    </r>
    <r>
      <rPr>
        <b/>
        <vertAlign val="superscript"/>
        <sz val="9"/>
        <rFont val="Verdana"/>
        <family val="2"/>
      </rPr>
      <t xml:space="preserve">/1 </t>
    </r>
  </si>
  <si>
    <r>
      <t>TABLA 24.6: IMPORTACIONES DE BIENES Y PRODUCTOS CULTURALES POR PAÍS DE ORIGEN, SEGÚN DOMINIO Y SUBDOMINIO CULTURAL</t>
    </r>
    <r>
      <rPr>
        <b/>
        <vertAlign val="superscript"/>
        <sz val="9"/>
        <rFont val="Verdana"/>
        <family val="2"/>
      </rPr>
      <t xml:space="preserve"> </t>
    </r>
    <r>
      <rPr>
        <b/>
        <sz val="9"/>
        <rFont val="Verdana"/>
        <family val="2"/>
      </rPr>
      <t>MONTO EN US$ CIF). 2014</t>
    </r>
    <r>
      <rPr>
        <b/>
        <vertAlign val="superscript"/>
        <sz val="9"/>
        <rFont val="Verdana"/>
        <family val="2"/>
      </rPr>
      <t>/1</t>
    </r>
  </si>
  <si>
    <r>
      <t>TABLA 24.13: EXPORTACIÓN DE SERVICIOS CULTURALES, SEGÚN DOMINIO Y SUBDOMINIO CULTURAL (MONTO EN PESOS CORRIENTES). 2009 -2014</t>
    </r>
    <r>
      <rPr>
        <b/>
        <vertAlign val="superscript"/>
        <sz val="9"/>
        <rFont val="Verdana"/>
        <family val="2"/>
      </rPr>
      <t>/1</t>
    </r>
    <r>
      <rPr>
        <b/>
        <sz val="9"/>
        <rFont val="Verdana"/>
        <family val="2"/>
      </rPr>
      <t xml:space="preserve"> </t>
    </r>
  </si>
  <si>
    <r>
      <rPr>
        <b/>
        <sz val="9"/>
        <rFont val="Verdana"/>
        <family val="2"/>
      </rPr>
      <t>1</t>
    </r>
    <r>
      <rPr>
        <sz val="9"/>
        <rFont val="Verdana"/>
        <family val="2"/>
      </rPr>
      <t xml:space="preserve"> Nota: Los valores en dólares de la Tabla 24.12 han sido transformandos a pesos corriente según dólar observado a diciembre de cada año:</t>
    </r>
  </si>
  <si>
    <r>
      <rPr>
        <b/>
        <sz val="9"/>
        <rFont val="Verdana"/>
        <family val="2"/>
      </rPr>
      <t>1</t>
    </r>
    <r>
      <rPr>
        <sz val="9"/>
        <rFont val="Verdana"/>
        <family val="2"/>
      </rPr>
      <t xml:space="preserve"> Nota: Los valores en pesos corrientes de la tabla 24.13 han sido ajustados a pesos según IPC año base 2014, con el siguiente detalle de Indice de Variación:</t>
    </r>
  </si>
  <si>
    <r>
      <t>TABLA 24.14: EXPORTACIÓN DE SERVICIOS CULTURALES, SEGÚN DOMINIO Y SUBDOMINIO CULTURAL (MONTO EN PESOS DE 2014).  2009-2014</t>
    </r>
    <r>
      <rPr>
        <b/>
        <vertAlign val="superscript"/>
        <sz val="9"/>
        <rFont val="Verdana"/>
        <family val="2"/>
      </rPr>
      <t>/1</t>
    </r>
  </si>
  <si>
    <r>
      <t>TABLA 24.16: EXPORTACIONES DE SERVICIOS CULTURALES POR  PAÍS DE DESTINO, SEGÚN DOMINIO Y SUBDOMINIO CULTURAL (MONTO EN US$ FOB ). 2014</t>
    </r>
    <r>
      <rPr>
        <b/>
        <vertAlign val="superscript"/>
        <sz val="9"/>
        <rFont val="Verdana"/>
        <family val="2"/>
      </rPr>
      <t xml:space="preserve">/1 </t>
    </r>
  </si>
  <si>
    <t>TABLA 24.18: EXPORTACION DE SERVICIOS CULTURALES POR REGIÓN DE ORIGEN SEGÚN TIPO DE SERVICIO 2014 (MONTO EN US$ FOB ). 2014</t>
  </si>
</sst>
</file>

<file path=xl/styles.xml><?xml version="1.0" encoding="utf-8"?>
<styleSheet xmlns="http://schemas.openxmlformats.org/spreadsheetml/2006/main">
  <numFmts count="33">
    <numFmt numFmtId="5" formatCode="&quot;$&quot;\ #,##0;\-&quot;$&quot;\ #,##0"/>
    <numFmt numFmtId="6" formatCode="&quot;$&quot;\ #,##0;[Red]\-&quot;$&quot;\ #,##0"/>
    <numFmt numFmtId="41" formatCode="_-* #,##0_-;\-* #,##0_-;_-* &quot;-&quot;_-;_-@_-"/>
    <numFmt numFmtId="44" formatCode="_-&quot;$&quot;\ * #,##0.00_-;\-&quot;$&quot;\ * #,##0.00_-;_-&quot;$&quot;\ * &quot;-&quot;??_-;_-@_-"/>
    <numFmt numFmtId="43" formatCode="_-* #,##0.00_-;\-* #,##0.00_-;_-* &quot;-&quot;??_-;_-@_-"/>
    <numFmt numFmtId="164" formatCode="_ &quot;$&quot;* #,##0_ ;_ &quot;$&quot;* \-#,##0_ ;_ &quot;$&quot;* &quot;-&quot;_ ;_ @_ "/>
    <numFmt numFmtId="165" formatCode="_-* #,##0_-;\-* #,##0_-;_-* &quot;-&quot;??_-;_-@_-"/>
    <numFmt numFmtId="166" formatCode="#,##0_ ;\-#,##0\ "/>
    <numFmt numFmtId="167" formatCode="###0"/>
    <numFmt numFmtId="168" formatCode="_-[$€-2]\ * #,##0.00_-;\-[$€-2]\ * #,##0.00_-;_-[$€-2]\ * &quot;-&quot;??_-"/>
    <numFmt numFmtId="169" formatCode="_-* #,##0.00\ &quot;€&quot;_-;\-* #,##0.00\ &quot;€&quot;_-;_-* &quot;-&quot;??\ &quot;€&quot;_-;_-@_-"/>
    <numFmt numFmtId="170" formatCode="&quot;$&quot;\ #,##0"/>
    <numFmt numFmtId="171" formatCode="_-&quot;$&quot;\ * #,##0_-;\-&quot;$&quot;\ * #,##0_-;_-&quot;$&quot;\ * &quot;-&quot;??_-;_-@_-"/>
    <numFmt numFmtId="172" formatCode="0.0%"/>
    <numFmt numFmtId="173" formatCode="[$$-340A]\ #,##0"/>
    <numFmt numFmtId="174" formatCode="0_ ;\-0\ "/>
    <numFmt numFmtId="175" formatCode="0\ &quot;%&quot;"/>
    <numFmt numFmtId="176" formatCode="0.0\ &quot;%&quot;"/>
    <numFmt numFmtId="177" formatCode="#,##0.00_ ;\-#,##0.00\ "/>
    <numFmt numFmtId="178" formatCode="0.0"/>
    <numFmt numFmtId="179" formatCode="[$-1010C0A]General"/>
    <numFmt numFmtId="180" formatCode="_(* #,##0.00_);_(* \(#,##0.00\);_(* &quot;-&quot;??_);_(@_)"/>
    <numFmt numFmtId="181" formatCode="_(* #,##0_);_(* \(#,##0\);_(* &quot;-&quot;??_);_(@_)"/>
    <numFmt numFmtId="182" formatCode="[$-1010C0A]#,##0.0;\-#,##0.0"/>
    <numFmt numFmtId="183" formatCode="_(* #,##0.0_);_(* \(#,##0.0\);_(* &quot;-&quot;??_);_(@_)"/>
    <numFmt numFmtId="184" formatCode="[$-1010C0A]#,##0;\-#,##0"/>
    <numFmt numFmtId="185" formatCode="#,##0.0"/>
    <numFmt numFmtId="186" formatCode="_-* #,##0.0_-;\-* #,##0.0_-;_-* &quot;-&quot;??_-;_-@_-"/>
    <numFmt numFmtId="187" formatCode="_-* #,##0\ _€_-;\-* #,##0\ _€_-;_-* &quot;-&quot;??\ _€_-;_-@_-"/>
    <numFmt numFmtId="188" formatCode="[$$-340A]\ #,##0;\-[$$-340A]\ #,##0"/>
    <numFmt numFmtId="189" formatCode="[$$-2C0A]\ #,##0;[$$-2C0A]\ \-#,##0"/>
    <numFmt numFmtId="190" formatCode="[$-C0A]mmmm\-yy;@"/>
    <numFmt numFmtId="191" formatCode="_-* #,##0.0_-;\-* #,##0.0_-;_-* &quot;-&quot;_-;_-@_-"/>
  </numFmts>
  <fonts count="74">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0"/>
      <color rgb="FF000000"/>
      <name val="Arial"/>
      <family val="2"/>
    </font>
    <font>
      <sz val="10"/>
      <color rgb="FF000000"/>
      <name val="Arial"/>
      <family val="2"/>
    </font>
    <font>
      <sz val="9"/>
      <name val="Verdana"/>
      <family val="2"/>
    </font>
    <font>
      <sz val="9"/>
      <color theme="1"/>
      <name val="Calibri"/>
      <family val="2"/>
      <scheme val="minor"/>
    </font>
    <font>
      <b/>
      <sz val="9"/>
      <color theme="1"/>
      <name val="Calibri"/>
      <family val="2"/>
      <scheme val="minor"/>
    </font>
    <font>
      <b/>
      <sz val="9"/>
      <color theme="1"/>
      <name val="Verdana"/>
      <family val="2"/>
    </font>
    <font>
      <sz val="9"/>
      <color theme="1"/>
      <name val="Verdana"/>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sz val="10"/>
      <name val="MS Sans Serif"/>
      <family val="2"/>
    </font>
    <font>
      <sz val="11"/>
      <name val="Arial Narrow"/>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Narrow"/>
      <family val="2"/>
    </font>
    <font>
      <sz val="9"/>
      <name val="Arial"/>
      <family val="2"/>
    </font>
    <font>
      <b/>
      <sz val="9"/>
      <name val="Verdana"/>
      <family val="2"/>
    </font>
    <font>
      <b/>
      <sz val="9"/>
      <name val="Arial"/>
      <family val="2"/>
    </font>
    <font>
      <u/>
      <sz val="10"/>
      <color theme="10"/>
      <name val="Arial"/>
      <family val="2"/>
    </font>
    <font>
      <u/>
      <sz val="9"/>
      <name val="Arial"/>
      <family val="2"/>
    </font>
    <font>
      <b/>
      <sz val="9"/>
      <name val="Calibri"/>
      <family val="2"/>
      <scheme val="minor"/>
    </font>
    <font>
      <sz val="9"/>
      <name val="Calibri"/>
      <family val="2"/>
      <scheme val="minor"/>
    </font>
    <font>
      <b/>
      <i/>
      <sz val="9"/>
      <name val="Verdana"/>
      <family val="2"/>
    </font>
    <font>
      <b/>
      <vertAlign val="superscript"/>
      <sz val="9"/>
      <name val="Verdana"/>
      <family val="2"/>
    </font>
    <font>
      <b/>
      <vertAlign val="superscript"/>
      <sz val="9"/>
      <color theme="1"/>
      <name val="Verdana"/>
      <family val="2"/>
    </font>
    <font>
      <b/>
      <sz val="9"/>
      <name val="Calibri"/>
      <family val="2"/>
    </font>
    <font>
      <b/>
      <sz val="9"/>
      <color rgb="FF0000FF"/>
      <name val="Verdana"/>
      <family val="2"/>
    </font>
    <font>
      <sz val="9"/>
      <color rgb="FF002060"/>
      <name val="Verdana"/>
      <family val="2"/>
    </font>
    <font>
      <b/>
      <sz val="9"/>
      <color rgb="FFFF0000"/>
      <name val="Verdana"/>
      <family val="2"/>
    </font>
    <font>
      <vertAlign val="superscript"/>
      <sz val="9"/>
      <name val="Verdana"/>
      <family val="2"/>
    </font>
    <font>
      <b/>
      <i/>
      <sz val="9"/>
      <color theme="1"/>
      <name val="Verdana"/>
      <family val="2"/>
    </font>
    <font>
      <sz val="9"/>
      <color indexed="8"/>
      <name val="Verdana"/>
      <family val="2"/>
    </font>
    <font>
      <sz val="9"/>
      <color rgb="FFFF0000"/>
      <name val="Verdana"/>
      <family val="2"/>
    </font>
    <font>
      <vertAlign val="superscript"/>
      <sz val="9"/>
      <color theme="1"/>
      <name val="Calibri"/>
      <family val="2"/>
      <scheme val="minor"/>
    </font>
    <font>
      <b/>
      <sz val="9"/>
      <color indexed="8"/>
      <name val="Verdana"/>
      <family val="2"/>
    </font>
    <font>
      <b/>
      <vertAlign val="superscript"/>
      <sz val="9"/>
      <color indexed="8"/>
      <name val="Verdana"/>
      <family val="2"/>
    </font>
    <font>
      <vertAlign val="superscript"/>
      <sz val="9"/>
      <color indexed="8"/>
      <name val="Verdana"/>
      <family val="2"/>
    </font>
    <font>
      <vertAlign val="superscript"/>
      <sz val="9"/>
      <color theme="1"/>
      <name val="Verdana"/>
      <family val="2"/>
    </font>
    <font>
      <sz val="9"/>
      <color rgb="FF000000"/>
      <name val="Verdana"/>
      <family val="2"/>
    </font>
    <font>
      <b/>
      <sz val="9"/>
      <color rgb="FF000000"/>
      <name val="Verdana"/>
      <family val="2"/>
    </font>
    <font>
      <b/>
      <sz val="9"/>
      <color rgb="FFCC0066"/>
      <name val="Verdana"/>
      <family val="2"/>
    </font>
    <font>
      <u/>
      <sz val="9"/>
      <name val="Verdana"/>
      <family val="2"/>
    </font>
    <font>
      <b/>
      <sz val="9"/>
      <color rgb="FF0070C0"/>
      <name val="Verdana"/>
      <family val="2"/>
    </font>
    <font>
      <sz val="9"/>
      <color rgb="FF0070C0"/>
      <name val="Verdana"/>
      <family val="2"/>
    </font>
    <font>
      <sz val="9"/>
      <name val="Times New Roman"/>
      <family val="1"/>
    </font>
    <font>
      <b/>
      <sz val="9"/>
      <color rgb="FFFF0000"/>
      <name val="Arial"/>
      <family val="2"/>
    </font>
    <font>
      <sz val="9"/>
      <name val="Calibri"/>
      <family val="2"/>
    </font>
    <font>
      <b/>
      <sz val="9"/>
      <color indexed="10"/>
      <name val="Verdana"/>
      <family val="2"/>
    </font>
    <font>
      <sz val="9"/>
      <color rgb="FF0000FF"/>
      <name val="Verdana"/>
      <family val="2"/>
    </font>
    <font>
      <sz val="9"/>
      <name val="Arial Narrow"/>
      <family val="2"/>
    </font>
    <font>
      <b/>
      <u/>
      <sz val="9"/>
      <name val="Arial"/>
      <family val="2"/>
    </font>
    <font>
      <b/>
      <sz val="9"/>
      <color indexed="8"/>
      <name val="Arial"/>
      <family val="2"/>
    </font>
    <font>
      <sz val="9"/>
      <color indexed="8"/>
      <name val="Arial"/>
      <family val="2"/>
    </font>
    <font>
      <sz val="9"/>
      <color rgb="FF000000"/>
      <name val="Calibri"/>
      <family val="2"/>
    </font>
    <font>
      <b/>
      <u/>
      <sz val="9"/>
      <color indexed="10"/>
      <name val="Verdana"/>
      <family val="2"/>
    </font>
    <font>
      <i/>
      <sz val="9"/>
      <name val="Verdana"/>
      <family val="2"/>
    </font>
    <font>
      <u/>
      <sz val="9"/>
      <color theme="10"/>
      <name val="Verdana"/>
      <family val="2"/>
    </font>
  </fonts>
  <fills count="28">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diagonal/>
    </border>
    <border>
      <left style="thin">
        <color auto="1"/>
      </left>
      <right/>
      <top style="thin">
        <color auto="1"/>
      </top>
      <bottom style="thin">
        <color auto="1"/>
      </bottom>
      <diagonal/>
    </border>
    <border>
      <left/>
      <right/>
      <top style="thin">
        <color indexed="64"/>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auto="1"/>
      </right>
      <top/>
      <bottom style="thin">
        <color auto="1"/>
      </bottom>
      <diagonal/>
    </border>
    <border>
      <left/>
      <right style="thin">
        <color indexed="64"/>
      </right>
      <top style="thin">
        <color indexed="64"/>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bottom style="thin">
        <color theme="4" tint="-0.499984740745262"/>
      </bottom>
      <diagonal/>
    </border>
  </borders>
  <cellStyleXfs count="36442">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1" fillId="0" borderId="0"/>
    <xf numFmtId="0" fontId="3" fillId="0" borderId="0"/>
    <xf numFmtId="0" fontId="3" fillId="0" borderId="0"/>
    <xf numFmtId="0" fontId="3" fillId="0" borderId="0"/>
    <xf numFmtId="43" fontId="3" fillId="0" borderId="0" applyFont="0" applyFill="0" applyBorder="0" applyAlignment="0" applyProtection="0"/>
    <xf numFmtId="0" fontId="2" fillId="0" borderId="0"/>
    <xf numFmtId="0" fontId="3" fillId="0" borderId="0"/>
    <xf numFmtId="0" fontId="1" fillId="0" borderId="0"/>
    <xf numFmtId="0" fontId="3" fillId="0" borderId="0"/>
    <xf numFmtId="43" fontId="3" fillId="0" borderId="0" applyFont="0" applyFill="0" applyBorder="0" applyAlignment="0" applyProtection="0"/>
    <xf numFmtId="0" fontId="4" fillId="0" borderId="0"/>
    <xf numFmtId="0" fontId="5" fillId="0" borderId="0"/>
    <xf numFmtId="0" fontId="5" fillId="0" borderId="0"/>
    <xf numFmtId="0" fontId="6" fillId="0" borderId="0"/>
    <xf numFmtId="0" fontId="3" fillId="0" borderId="0"/>
    <xf numFmtId="0" fontId="1" fillId="0" borderId="0"/>
    <xf numFmtId="0" fontId="3" fillId="0" borderId="0"/>
    <xf numFmtId="0" fontId="1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6" fillId="18" borderId="14" applyNumberFormat="0" applyAlignment="0" applyProtection="0"/>
    <xf numFmtId="0" fontId="16" fillId="18" borderId="14" applyNumberFormat="0" applyAlignment="0" applyProtection="0"/>
    <xf numFmtId="0" fontId="16" fillId="18" borderId="14" applyNumberFormat="0" applyAlignment="0" applyProtection="0"/>
    <xf numFmtId="0" fontId="17" fillId="0" borderId="15" applyNumberFormat="0" applyFill="0" applyAlignment="0" applyProtection="0"/>
    <xf numFmtId="0" fontId="17" fillId="0" borderId="15" applyNumberFormat="0" applyFill="0" applyAlignment="0" applyProtection="0"/>
    <xf numFmtId="0" fontId="17" fillId="0" borderId="1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168"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1" fillId="2" borderId="12"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18" fillId="0" borderId="20" applyNumberFormat="0" applyFill="0" applyAlignment="0" applyProtection="0"/>
    <xf numFmtId="0" fontId="18" fillId="0" borderId="20" applyNumberFormat="0" applyFill="0" applyAlignment="0" applyProtection="0"/>
    <xf numFmtId="0" fontId="18" fillId="0" borderId="20"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1" fillId="0" borderId="0"/>
    <xf numFmtId="0" fontId="3" fillId="0" borderId="0"/>
    <xf numFmtId="44"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3" fillId="0" borderId="0"/>
    <xf numFmtId="9" fontId="3" fillId="0" borderId="0" applyFont="0" applyFill="0" applyBorder="0" applyAlignment="0" applyProtection="0"/>
    <xf numFmtId="0" fontId="22" fillId="0" borderId="0"/>
    <xf numFmtId="0" fontId="3" fillId="0" borderId="0"/>
    <xf numFmtId="0" fontId="12" fillId="0" borderId="0"/>
    <xf numFmtId="0" fontId="12" fillId="0" borderId="0"/>
    <xf numFmtId="0" fontId="12" fillId="0" borderId="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1" fillId="0" borderId="0"/>
    <xf numFmtId="0" fontId="3" fillId="0" borderId="0">
      <alignment wrapText="1"/>
    </xf>
    <xf numFmtId="0" fontId="35" fillId="0" borderId="0" applyNumberFormat="0" applyFill="0" applyBorder="0" applyAlignment="0" applyProtection="0">
      <alignment vertical="top"/>
      <protection locked="0"/>
    </xf>
    <xf numFmtId="180" fontId="3" fillId="0" borderId="0" applyFont="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2"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cellStyleXfs>
  <cellXfs count="2992">
    <xf numFmtId="0" fontId="0" fillId="0" borderId="0" xfId="0"/>
    <xf numFmtId="0" fontId="11" fillId="0" borderId="0" xfId="0" applyFont="1" applyBorder="1"/>
    <xf numFmtId="0" fontId="11" fillId="0" borderId="0" xfId="0" applyFont="1"/>
    <xf numFmtId="0" fontId="10" fillId="0" borderId="0" xfId="0" applyFont="1" applyAlignment="1">
      <alignment horizontal="left"/>
    </xf>
    <xf numFmtId="0" fontId="11" fillId="0" borderId="0" xfId="0" applyFont="1" applyAlignment="1">
      <alignment horizontal="center" vertical="center"/>
    </xf>
    <xf numFmtId="0" fontId="10" fillId="0" borderId="0" xfId="0" applyFont="1" applyBorder="1" applyAlignment="1">
      <alignment horizontal="left"/>
    </xf>
    <xf numFmtId="41" fontId="10" fillId="0" borderId="0" xfId="0" applyNumberFormat="1" applyFont="1" applyBorder="1"/>
    <xf numFmtId="41" fontId="11" fillId="0" borderId="0" xfId="0" applyNumberFormat="1" applyFont="1" applyBorder="1"/>
    <xf numFmtId="0" fontId="32" fillId="0" borderId="0" xfId="5" applyFont="1" applyFill="1" applyBorder="1"/>
    <xf numFmtId="0" fontId="34" fillId="0" borderId="0" xfId="36417" applyFont="1">
      <alignment wrapText="1"/>
    </xf>
    <xf numFmtId="0" fontId="32" fillId="0" borderId="0" xfId="36417" applyFont="1">
      <alignment wrapText="1"/>
    </xf>
    <xf numFmtId="0" fontId="32" fillId="0" borderId="0" xfId="36417" applyFont="1" applyFill="1" applyBorder="1">
      <alignment wrapText="1"/>
    </xf>
    <xf numFmtId="0" fontId="36" fillId="0" borderId="0" xfId="36418" applyFont="1" applyAlignment="1" applyProtection="1">
      <alignment wrapText="1"/>
    </xf>
    <xf numFmtId="0" fontId="36" fillId="0" borderId="0" xfId="36418" applyFont="1" applyAlignment="1" applyProtection="1">
      <alignment horizontal="center" wrapText="1"/>
    </xf>
    <xf numFmtId="0" fontId="7" fillId="0" borderId="0" xfId="30864" applyFont="1" applyFill="1"/>
    <xf numFmtId="0" fontId="7" fillId="0" borderId="0" xfId="30864" applyFont="1" applyFill="1" applyBorder="1" applyAlignment="1"/>
    <xf numFmtId="0" fontId="33" fillId="0" borderId="0" xfId="30864" applyFont="1" applyFill="1" applyBorder="1"/>
    <xf numFmtId="1" fontId="33" fillId="0" borderId="0" xfId="30864" applyNumberFormat="1" applyFont="1" applyFill="1"/>
    <xf numFmtId="0" fontId="33" fillId="0" borderId="0" xfId="30864" applyFont="1" applyFill="1"/>
    <xf numFmtId="0" fontId="7" fillId="0" borderId="0" xfId="36430" applyFont="1" applyFill="1" applyBorder="1" applyAlignment="1"/>
    <xf numFmtId="1" fontId="7" fillId="0" borderId="0" xfId="30864" applyNumberFormat="1" applyFont="1" applyFill="1" applyAlignment="1">
      <alignment horizontal="right"/>
    </xf>
    <xf numFmtId="0" fontId="7" fillId="0" borderId="0" xfId="30864" applyFont="1" applyFill="1" applyBorder="1" applyAlignment="1">
      <alignment horizontal="center" wrapText="1"/>
    </xf>
    <xf numFmtId="0" fontId="7" fillId="0" borderId="0" xfId="30864" applyFont="1" applyFill="1" applyAlignment="1" applyProtection="1">
      <alignment horizontal="center"/>
    </xf>
    <xf numFmtId="0" fontId="7" fillId="0" borderId="0" xfId="30864" applyFont="1" applyFill="1" applyBorder="1" applyAlignment="1" applyProtection="1">
      <alignment horizontal="center"/>
    </xf>
    <xf numFmtId="1" fontId="7" fillId="0" borderId="0" xfId="30864" applyNumberFormat="1" applyFont="1" applyFill="1" applyBorder="1" applyAlignment="1">
      <alignment horizontal="right"/>
    </xf>
    <xf numFmtId="0" fontId="7" fillId="0" borderId="0" xfId="30864" applyFont="1" applyFill="1" applyAlignment="1" applyProtection="1">
      <alignment horizontal="fill"/>
    </xf>
    <xf numFmtId="0" fontId="7" fillId="0" borderId="0" xfId="30864" applyFont="1" applyFill="1" applyBorder="1" applyAlignment="1" applyProtection="1">
      <alignment horizontal="fill"/>
    </xf>
    <xf numFmtId="3" fontId="7" fillId="0" borderId="0" xfId="30864" applyNumberFormat="1" applyFont="1" applyFill="1"/>
    <xf numFmtId="0" fontId="7" fillId="0" borderId="0" xfId="30864" applyFont="1" applyFill="1" applyBorder="1"/>
    <xf numFmtId="3" fontId="7" fillId="0" borderId="0" xfId="30864" applyNumberFormat="1" applyFont="1" applyFill="1" applyBorder="1" applyAlignment="1"/>
    <xf numFmtId="3" fontId="7" fillId="0" borderId="0" xfId="30864" applyNumberFormat="1" applyFont="1" applyFill="1" applyAlignment="1">
      <alignment horizontal="right"/>
    </xf>
    <xf numFmtId="0" fontId="33" fillId="0" borderId="0" xfId="30874" applyFont="1" applyFill="1"/>
    <xf numFmtId="3" fontId="33" fillId="0" borderId="0" xfId="30874" applyNumberFormat="1" applyFont="1" applyFill="1"/>
    <xf numFmtId="3" fontId="7" fillId="0" borderId="0" xfId="30874" applyNumberFormat="1" applyFont="1" applyFill="1"/>
    <xf numFmtId="41" fontId="7" fillId="0" borderId="0" xfId="30874" applyNumberFormat="1" applyFont="1" applyFill="1"/>
    <xf numFmtId="0" fontId="7" fillId="0" borderId="0" xfId="30874" applyFont="1" applyFill="1"/>
    <xf numFmtId="3" fontId="7" fillId="0" borderId="0" xfId="4093" applyNumberFormat="1" applyFont="1" applyFill="1" applyBorder="1" applyAlignment="1">
      <alignment horizontal="center" vertical="center"/>
    </xf>
    <xf numFmtId="0" fontId="7" fillId="0" borderId="0" xfId="30873" applyFont="1"/>
    <xf numFmtId="0" fontId="8" fillId="0" borderId="0" xfId="0" applyFont="1" applyFill="1" applyBorder="1"/>
    <xf numFmtId="0" fontId="33" fillId="0" borderId="0" xfId="0" applyFont="1" applyAlignment="1">
      <alignment horizontal="left" wrapText="1"/>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5" xfId="0" applyFont="1" applyBorder="1" applyAlignment="1">
      <alignment horizontal="center" vertical="center"/>
    </xf>
    <xf numFmtId="0" fontId="33" fillId="0" borderId="0" xfId="36417" applyFont="1" applyFill="1" applyBorder="1" applyAlignment="1">
      <alignment horizontal="left" vertical="top" wrapText="1"/>
    </xf>
    <xf numFmtId="0" fontId="33" fillId="0" borderId="0" xfId="36417" applyFont="1" applyFill="1" applyBorder="1" applyAlignment="1">
      <alignment vertical="top" wrapText="1"/>
    </xf>
    <xf numFmtId="0" fontId="33" fillId="0" borderId="0" xfId="0" applyFont="1" applyAlignment="1"/>
    <xf numFmtId="0" fontId="7" fillId="0" borderId="0" xfId="0" applyFont="1" applyAlignment="1"/>
    <xf numFmtId="0" fontId="39" fillId="0" borderId="0" xfId="4093" applyFont="1" applyFill="1" applyAlignment="1">
      <alignment wrapText="1"/>
    </xf>
    <xf numFmtId="0" fontId="32" fillId="0" borderId="0" xfId="4093" applyFont="1" applyFill="1"/>
    <xf numFmtId="0" fontId="10" fillId="0" borderId="0" xfId="4093" applyFont="1" applyFill="1"/>
    <xf numFmtId="0" fontId="8" fillId="0" borderId="0" xfId="0" applyFont="1"/>
    <xf numFmtId="0" fontId="8" fillId="0" borderId="0" xfId="0" applyFont="1" applyFill="1"/>
    <xf numFmtId="0" fontId="33" fillId="0" borderId="0" xfId="30873" applyFont="1" applyFill="1" applyBorder="1" applyAlignment="1">
      <alignment vertical="center" wrapText="1"/>
    </xf>
    <xf numFmtId="0" fontId="7" fillId="0" borderId="0" xfId="0" applyFont="1"/>
    <xf numFmtId="0" fontId="33" fillId="0" borderId="0" xfId="0" applyFont="1" applyFill="1" applyBorder="1" applyAlignment="1">
      <alignment horizontal="left"/>
    </xf>
    <xf numFmtId="0" fontId="7" fillId="0" borderId="0" xfId="0" applyFont="1" applyFill="1" applyBorder="1" applyAlignment="1">
      <alignment horizontal="left" wrapText="1"/>
    </xf>
    <xf numFmtId="0" fontId="7" fillId="0" borderId="0" xfId="0" applyFont="1" applyFill="1" applyBorder="1" applyAlignment="1">
      <alignment wrapText="1"/>
    </xf>
    <xf numFmtId="0" fontId="33" fillId="0" borderId="0" xfId="0" applyFont="1" applyFill="1" applyBorder="1" applyAlignment="1">
      <alignment vertical="center"/>
    </xf>
    <xf numFmtId="0" fontId="33" fillId="0" borderId="0" xfId="0" applyFont="1" applyFill="1" applyBorder="1" applyAlignment="1">
      <alignment horizontal="right"/>
    </xf>
    <xf numFmtId="0" fontId="11" fillId="0" borderId="0" xfId="0" applyFont="1" applyFill="1" applyBorder="1"/>
    <xf numFmtId="0" fontId="33" fillId="0" borderId="0" xfId="0" applyFont="1" applyFill="1"/>
    <xf numFmtId="0" fontId="7" fillId="0" borderId="0" xfId="0" applyFont="1" applyFill="1"/>
    <xf numFmtId="0" fontId="7" fillId="0" borderId="0" xfId="0" applyFont="1" applyFill="1" applyBorder="1"/>
    <xf numFmtId="0" fontId="7" fillId="0" borderId="0" xfId="0" applyFont="1" applyFill="1" applyBorder="1" applyAlignment="1"/>
    <xf numFmtId="0" fontId="10" fillId="0" borderId="0" xfId="0" applyFont="1" applyFill="1" applyBorder="1" applyAlignment="1">
      <alignment wrapText="1"/>
    </xf>
    <xf numFmtId="0" fontId="33" fillId="0" borderId="0" xfId="0" applyFont="1" applyFill="1" applyAlignment="1">
      <alignment vertical="center"/>
    </xf>
    <xf numFmtId="0" fontId="34" fillId="0" borderId="0" xfId="0" applyFont="1" applyFill="1"/>
    <xf numFmtId="3" fontId="34" fillId="0" borderId="0" xfId="0" applyNumberFormat="1" applyFont="1" applyFill="1"/>
    <xf numFmtId="0" fontId="32" fillId="0" borderId="0" xfId="0" applyFont="1" applyFill="1"/>
    <xf numFmtId="0" fontId="33" fillId="0" borderId="0" xfId="0" applyNumberFormat="1" applyFont="1" applyFill="1" applyBorder="1" applyAlignment="1"/>
    <xf numFmtId="0" fontId="33" fillId="0" borderId="0" xfId="0" applyNumberFormat="1" applyFont="1" applyFill="1" applyBorder="1" applyAlignment="1">
      <alignment horizontal="left"/>
    </xf>
    <xf numFmtId="0" fontId="33" fillId="0" borderId="0" xfId="36433" applyFont="1" applyFill="1" applyAlignment="1">
      <alignment vertical="center" wrapText="1"/>
    </xf>
    <xf numFmtId="0" fontId="7" fillId="0" borderId="0" xfId="36433" applyFont="1" applyFill="1"/>
    <xf numFmtId="0" fontId="33" fillId="0" borderId="0" xfId="36433" applyFont="1" applyFill="1" applyAlignment="1">
      <alignment wrapText="1"/>
    </xf>
    <xf numFmtId="0" fontId="33" fillId="0" borderId="0" xfId="36433" applyFont="1" applyFill="1" applyAlignment="1">
      <alignment horizontal="left" wrapText="1"/>
    </xf>
    <xf numFmtId="0" fontId="33" fillId="0" borderId="0" xfId="36433" applyFont="1" applyFill="1" applyAlignment="1">
      <alignment vertical="center"/>
    </xf>
    <xf numFmtId="0" fontId="7" fillId="0" borderId="0" xfId="36433" applyFont="1" applyFill="1" applyAlignment="1">
      <alignment horizontal="left" wrapText="1"/>
    </xf>
    <xf numFmtId="0" fontId="7" fillId="0" borderId="0" xfId="36433" applyFont="1" applyFill="1" applyAlignment="1"/>
    <xf numFmtId="0" fontId="32" fillId="0" borderId="0" xfId="36433" applyFont="1" applyFill="1" applyAlignment="1">
      <alignment wrapText="1"/>
    </xf>
    <xf numFmtId="0" fontId="7" fillId="0" borderId="0" xfId="36433" applyFont="1" applyFill="1" applyBorder="1" applyAlignment="1">
      <alignment wrapText="1"/>
    </xf>
    <xf numFmtId="0" fontId="7" fillId="0" borderId="0" xfId="36433" applyFont="1" applyBorder="1"/>
    <xf numFmtId="0" fontId="33" fillId="0" borderId="0" xfId="36433" applyFont="1" applyAlignment="1">
      <alignment vertical="center"/>
    </xf>
    <xf numFmtId="0" fontId="32" fillId="0" borderId="0" xfId="36433" applyFont="1" applyFill="1"/>
    <xf numFmtId="0" fontId="7" fillId="0" borderId="0" xfId="36433" applyFont="1"/>
    <xf numFmtId="0" fontId="32" fillId="0" borderId="0" xfId="36433" applyFont="1"/>
    <xf numFmtId="0" fontId="7" fillId="0" borderId="0" xfId="6" applyFont="1"/>
    <xf numFmtId="0" fontId="33" fillId="0" borderId="0" xfId="36433" applyFont="1"/>
    <xf numFmtId="0" fontId="7" fillId="0" borderId="0" xfId="36433" applyFont="1" applyFill="1" applyBorder="1"/>
    <xf numFmtId="0" fontId="7" fillId="0" borderId="0" xfId="28002" applyFont="1" applyFill="1"/>
    <xf numFmtId="0" fontId="10" fillId="0" borderId="0" xfId="0" applyFont="1" applyBorder="1" applyAlignment="1">
      <alignment horizontal="left" vertical="top"/>
    </xf>
    <xf numFmtId="0" fontId="11" fillId="0" borderId="0" xfId="0" applyFont="1" applyBorder="1" applyAlignment="1"/>
    <xf numFmtId="0" fontId="33" fillId="0" borderId="0" xfId="0" applyFont="1" applyFill="1" applyBorder="1" applyAlignment="1"/>
    <xf numFmtId="0" fontId="33" fillId="0" borderId="0" xfId="0" applyFont="1" applyBorder="1" applyAlignment="1">
      <alignment vertical="center"/>
    </xf>
    <xf numFmtId="49" fontId="33" fillId="0" borderId="0" xfId="0" applyNumberFormat="1" applyFont="1" applyAlignment="1">
      <alignment wrapText="1"/>
    </xf>
    <xf numFmtId="0" fontId="32" fillId="0" borderId="0" xfId="30874" applyFont="1" applyFill="1" applyBorder="1" applyAlignment="1">
      <alignment wrapText="1"/>
    </xf>
    <xf numFmtId="0" fontId="33" fillId="0" borderId="0" xfId="4093" applyFont="1" applyFill="1" applyAlignment="1">
      <alignment wrapText="1"/>
    </xf>
    <xf numFmtId="0" fontId="7" fillId="0" borderId="0" xfId="4093" applyFont="1" applyFill="1"/>
    <xf numFmtId="0" fontId="33" fillId="0" borderId="0" xfId="30874" applyFont="1"/>
    <xf numFmtId="0" fontId="7" fillId="0" borderId="0" xfId="30874" applyFont="1"/>
    <xf numFmtId="0" fontId="7" fillId="0" borderId="0" xfId="30874" applyFont="1" applyFill="1" applyBorder="1"/>
    <xf numFmtId="0" fontId="32" fillId="0" borderId="0" xfId="30874" applyFont="1"/>
    <xf numFmtId="0" fontId="7" fillId="0" borderId="0" xfId="30874" applyFont="1" applyBorder="1"/>
    <xf numFmtId="0" fontId="7" fillId="0" borderId="0" xfId="6" applyFont="1" applyBorder="1"/>
    <xf numFmtId="185" fontId="7" fillId="0" borderId="0" xfId="6" applyNumberFormat="1" applyFont="1"/>
    <xf numFmtId="0" fontId="7" fillId="0" borderId="0" xfId="6" applyFont="1" applyFill="1" applyBorder="1"/>
    <xf numFmtId="0" fontId="42" fillId="0" borderId="0" xfId="6" applyFont="1"/>
    <xf numFmtId="0" fontId="33" fillId="0" borderId="0" xfId="4093" applyFont="1"/>
    <xf numFmtId="0" fontId="32" fillId="0" borderId="0" xfId="4093" applyFont="1"/>
    <xf numFmtId="0" fontId="7" fillId="0" borderId="0" xfId="4093" applyFont="1"/>
    <xf numFmtId="0" fontId="7" fillId="0" borderId="0" xfId="36417" applyFont="1" applyFill="1">
      <alignment wrapText="1"/>
    </xf>
    <xf numFmtId="0" fontId="32" fillId="0" borderId="0" xfId="36417" applyFont="1" applyFill="1">
      <alignment wrapText="1"/>
    </xf>
    <xf numFmtId="0" fontId="33" fillId="0" borderId="0" xfId="36416" applyNumberFormat="1" applyFont="1" applyFill="1" applyBorder="1" applyAlignment="1"/>
    <xf numFmtId="0" fontId="33" fillId="0" borderId="0" xfId="36416" applyNumberFormat="1" applyFont="1" applyFill="1" applyBorder="1" applyAlignment="1">
      <alignment wrapText="1"/>
    </xf>
    <xf numFmtId="0" fontId="33" fillId="0" borderId="0" xfId="5" applyFont="1" applyFill="1" applyAlignment="1"/>
    <xf numFmtId="3" fontId="33" fillId="0" borderId="0" xfId="5" applyNumberFormat="1" applyFont="1"/>
    <xf numFmtId="0" fontId="33" fillId="0" borderId="0" xfId="5" applyFont="1"/>
    <xf numFmtId="0" fontId="33" fillId="0" borderId="0" xfId="5" applyFont="1" applyAlignment="1"/>
    <xf numFmtId="0" fontId="7" fillId="0" borderId="0" xfId="5" applyFont="1"/>
    <xf numFmtId="0" fontId="38" fillId="0" borderId="0" xfId="0" applyFont="1" applyFill="1"/>
    <xf numFmtId="0" fontId="7" fillId="0" borderId="0" xfId="4093" applyFont="1" applyFill="1" applyBorder="1" applyAlignment="1">
      <alignment horizontal="center"/>
    </xf>
    <xf numFmtId="0" fontId="7" fillId="0" borderId="0" xfId="4093" applyFont="1" applyBorder="1" applyAlignment="1"/>
    <xf numFmtId="0" fontId="7" fillId="0" borderId="0" xfId="4093" applyFont="1" applyBorder="1" applyAlignment="1">
      <alignment horizontal="center"/>
    </xf>
    <xf numFmtId="0" fontId="33" fillId="0" borderId="0" xfId="4093" applyFont="1" applyBorder="1" applyAlignment="1"/>
    <xf numFmtId="0" fontId="33" fillId="0" borderId="0" xfId="4093" applyFont="1" applyBorder="1" applyAlignment="1">
      <alignment wrapText="1"/>
    </xf>
    <xf numFmtId="0" fontId="10" fillId="0" borderId="0" xfId="0" applyFont="1" applyBorder="1" applyAlignment="1">
      <alignment vertical="top"/>
    </xf>
    <xf numFmtId="0" fontId="10" fillId="0" borderId="0" xfId="4093" applyFont="1" applyFill="1" applyAlignment="1">
      <alignment vertical="center"/>
    </xf>
    <xf numFmtId="0" fontId="7" fillId="0" borderId="0" xfId="5" applyFont="1" applyAlignment="1">
      <alignment horizontal="right"/>
    </xf>
    <xf numFmtId="0" fontId="32" fillId="0" borderId="0" xfId="5" applyFont="1"/>
    <xf numFmtId="0" fontId="32" fillId="0" borderId="0" xfId="5" applyFont="1" applyFill="1"/>
    <xf numFmtId="0" fontId="7" fillId="0" borderId="0" xfId="28002" applyFont="1" applyFill="1" applyBorder="1"/>
    <xf numFmtId="0" fontId="33" fillId="0" borderId="0" xfId="28002" applyFont="1" applyFill="1" applyBorder="1"/>
    <xf numFmtId="0" fontId="33" fillId="0" borderId="0" xfId="28002" applyFont="1" applyBorder="1" applyAlignment="1">
      <alignment vertical="center" wrapText="1"/>
    </xf>
    <xf numFmtId="0" fontId="33" fillId="0" borderId="0" xfId="28002" applyFont="1" applyFill="1" applyBorder="1" applyAlignment="1">
      <alignment vertical="center" wrapText="1"/>
    </xf>
    <xf numFmtId="0" fontId="33" fillId="0" borderId="0" xfId="28002" applyFont="1" applyBorder="1" applyAlignment="1">
      <alignment wrapText="1"/>
    </xf>
    <xf numFmtId="0" fontId="7" fillId="0" borderId="0" xfId="5" applyFont="1" applyFill="1"/>
    <xf numFmtId="0" fontId="7" fillId="0" borderId="0" xfId="28002" applyFont="1" applyBorder="1"/>
    <xf numFmtId="0" fontId="32" fillId="0" borderId="0" xfId="5" applyFont="1" applyBorder="1" applyAlignment="1"/>
    <xf numFmtId="0" fontId="32" fillId="0" borderId="0" xfId="5" applyFont="1" applyAlignment="1">
      <alignment horizontal="left" vertical="center" wrapText="1"/>
    </xf>
    <xf numFmtId="0" fontId="7" fillId="0" borderId="0" xfId="5" applyFont="1" applyAlignment="1">
      <alignment horizontal="left" vertical="center" wrapText="1"/>
    </xf>
    <xf numFmtId="0" fontId="34" fillId="0" borderId="0" xfId="5" applyFont="1" applyAlignment="1">
      <alignment horizontal="left" vertical="center" wrapText="1"/>
    </xf>
    <xf numFmtId="0" fontId="44" fillId="0" borderId="0" xfId="28002" applyFont="1" applyFill="1" applyBorder="1" applyAlignment="1">
      <alignment vertical="center"/>
    </xf>
    <xf numFmtId="0" fontId="32" fillId="0" borderId="0" xfId="25418" applyFont="1"/>
    <xf numFmtId="0" fontId="33" fillId="0" borderId="0" xfId="4093" applyFont="1" applyFill="1"/>
    <xf numFmtId="0" fontId="32" fillId="0" borderId="0" xfId="21" applyFont="1"/>
    <xf numFmtId="0" fontId="7" fillId="0" borderId="0" xfId="21" applyFont="1" applyFill="1" applyAlignment="1"/>
    <xf numFmtId="0" fontId="33" fillId="0" borderId="0" xfId="21" applyFont="1" applyBorder="1" applyAlignment="1"/>
    <xf numFmtId="0" fontId="32" fillId="0" borderId="0" xfId="21" applyFont="1" applyBorder="1"/>
    <xf numFmtId="0" fontId="7" fillId="0" borderId="0" xfId="0" applyFont="1" applyFill="1" applyAlignment="1">
      <alignment wrapText="1"/>
    </xf>
    <xf numFmtId="0" fontId="33" fillId="0" borderId="0" xfId="0" applyFont="1" applyAlignment="1">
      <alignment wrapText="1"/>
    </xf>
    <xf numFmtId="0" fontId="32" fillId="0" borderId="0" xfId="5" applyFont="1" applyBorder="1"/>
    <xf numFmtId="0" fontId="33" fillId="0" borderId="0" xfId="0" applyFont="1"/>
    <xf numFmtId="0" fontId="33" fillId="0" borderId="0" xfId="0" applyFont="1" applyAlignment="1">
      <alignment horizontal="right"/>
    </xf>
    <xf numFmtId="0" fontId="33" fillId="0" borderId="0" xfId="5" applyFont="1" applyAlignment="1">
      <alignment wrapText="1"/>
    </xf>
    <xf numFmtId="0" fontId="33" fillId="0" borderId="0" xfId="5" applyFont="1" applyAlignment="1">
      <alignment horizontal="left" vertical="top"/>
    </xf>
    <xf numFmtId="0" fontId="33" fillId="0" borderId="1" xfId="5" applyFont="1" applyBorder="1" applyAlignment="1">
      <alignment horizontal="center" vertical="center"/>
    </xf>
    <xf numFmtId="0" fontId="33" fillId="0" borderId="0" xfId="5" applyFont="1" applyBorder="1"/>
    <xf numFmtId="41" fontId="33" fillId="0" borderId="0" xfId="5" applyNumberFormat="1" applyFont="1" applyBorder="1"/>
    <xf numFmtId="0" fontId="7" fillId="0" borderId="0" xfId="5" applyFont="1" applyBorder="1"/>
    <xf numFmtId="41" fontId="7" fillId="0" borderId="0" xfId="5" applyNumberFormat="1" applyFont="1" applyBorder="1"/>
    <xf numFmtId="41" fontId="7" fillId="0" borderId="0" xfId="10" applyNumberFormat="1" applyFont="1" applyBorder="1"/>
    <xf numFmtId="0" fontId="7" fillId="0" borderId="0" xfId="10" applyFont="1"/>
    <xf numFmtId="0" fontId="7" fillId="0" borderId="0" xfId="12" applyFont="1" applyAlignment="1">
      <alignment horizontal="right"/>
    </xf>
    <xf numFmtId="0" fontId="33" fillId="0" borderId="0" xfId="4093" applyFont="1" applyFill="1" applyAlignment="1"/>
    <xf numFmtId="0" fontId="33" fillId="0" borderId="0" xfId="4093" applyFont="1" applyFill="1" applyAlignment="1">
      <alignment horizontal="left"/>
    </xf>
    <xf numFmtId="0" fontId="7" fillId="0" borderId="0" xfId="4093" applyFont="1" applyFill="1" applyAlignment="1">
      <alignment vertical="center"/>
    </xf>
    <xf numFmtId="0" fontId="33" fillId="0" borderId="1" xfId="4093" applyFont="1" applyFill="1" applyBorder="1" applyAlignment="1">
      <alignment horizontal="center" vertical="center"/>
    </xf>
    <xf numFmtId="3" fontId="33" fillId="0" borderId="0" xfId="4093" applyNumberFormat="1" applyFont="1" applyFill="1" applyAlignment="1">
      <alignment vertical="center"/>
    </xf>
    <xf numFmtId="0" fontId="33" fillId="0" borderId="0" xfId="4093" applyFont="1" applyFill="1" applyAlignment="1">
      <alignment vertical="center"/>
    </xf>
    <xf numFmtId="3" fontId="7" fillId="0" borderId="0" xfId="4093" applyNumberFormat="1" applyFont="1" applyFill="1"/>
    <xf numFmtId="41" fontId="7" fillId="0" borderId="0" xfId="8" applyNumberFormat="1" applyFont="1" applyFill="1"/>
    <xf numFmtId="0" fontId="7" fillId="0" borderId="0" xfId="4093" applyFont="1" applyFill="1" applyAlignment="1">
      <alignment wrapText="1"/>
    </xf>
    <xf numFmtId="0" fontId="7" fillId="0" borderId="0" xfId="4093" applyFont="1" applyFill="1" applyAlignment="1"/>
    <xf numFmtId="0" fontId="32" fillId="0" borderId="0" xfId="4093" applyFont="1" applyFill="1" applyAlignment="1">
      <alignment vertical="center"/>
    </xf>
    <xf numFmtId="165" fontId="7" fillId="0" borderId="0" xfId="8" applyNumberFormat="1" applyFont="1" applyFill="1"/>
    <xf numFmtId="0" fontId="7" fillId="0" borderId="0" xfId="4093" applyFont="1" applyFill="1" applyAlignment="1">
      <alignment horizontal="left"/>
    </xf>
    <xf numFmtId="0" fontId="33" fillId="0" borderId="0" xfId="4093" applyFont="1" applyFill="1" applyBorder="1" applyAlignment="1">
      <alignment horizontal="left" wrapText="1"/>
    </xf>
    <xf numFmtId="0" fontId="33" fillId="0" borderId="0" xfId="4093" applyFont="1" applyFill="1" applyBorder="1" applyAlignment="1">
      <alignment wrapText="1"/>
    </xf>
    <xf numFmtId="0" fontId="7" fillId="0" borderId="0" xfId="4093" applyFont="1" applyFill="1" applyBorder="1"/>
    <xf numFmtId="3" fontId="33" fillId="0" borderId="0" xfId="4093" applyNumberFormat="1" applyFont="1" applyFill="1"/>
    <xf numFmtId="3" fontId="7" fillId="0" borderId="0" xfId="4093" applyNumberFormat="1" applyFont="1" applyFill="1" applyBorder="1"/>
    <xf numFmtId="0" fontId="32" fillId="0" borderId="0" xfId="4093" applyFont="1" applyFill="1" applyAlignment="1">
      <alignment horizontal="left"/>
    </xf>
    <xf numFmtId="0" fontId="7" fillId="0" borderId="0" xfId="5" applyFont="1" applyFill="1" applyAlignment="1">
      <alignment wrapText="1"/>
    </xf>
    <xf numFmtId="0" fontId="33" fillId="0" borderId="0" xfId="5" applyFont="1" applyFill="1" applyAlignment="1">
      <alignment wrapText="1"/>
    </xf>
    <xf numFmtId="0" fontId="7" fillId="0" borderId="0" xfId="5" applyFont="1" applyFill="1" applyAlignment="1"/>
    <xf numFmtId="0" fontId="38" fillId="0" borderId="0" xfId="4093" applyFont="1" applyFill="1" applyAlignment="1">
      <alignment vertical="center"/>
    </xf>
    <xf numFmtId="0" fontId="7" fillId="0" borderId="0" xfId="9" applyFont="1" applyFill="1"/>
    <xf numFmtId="3" fontId="33" fillId="0" borderId="0" xfId="4093" applyNumberFormat="1" applyFont="1" applyFill="1" applyBorder="1"/>
    <xf numFmtId="0" fontId="33" fillId="0" borderId="0" xfId="4093" applyFont="1" applyFill="1" applyBorder="1" applyAlignment="1"/>
    <xf numFmtId="0" fontId="7" fillId="0" borderId="0" xfId="4093" applyFont="1" applyFill="1" applyAlignment="1">
      <alignment horizontal="left" vertical="center" wrapText="1"/>
    </xf>
    <xf numFmtId="0" fontId="7" fillId="0" borderId="0" xfId="4" quotePrefix="1" applyFont="1" applyFill="1" applyBorder="1"/>
    <xf numFmtId="3" fontId="33" fillId="0" borderId="0" xfId="4093" applyNumberFormat="1" applyFont="1" applyFill="1" applyAlignment="1">
      <alignment horizontal="right"/>
    </xf>
    <xf numFmtId="0" fontId="33" fillId="0" borderId="0" xfId="36438" applyFont="1" applyFill="1" applyBorder="1"/>
    <xf numFmtId="0" fontId="33" fillId="0" borderId="0" xfId="4093" applyFont="1" applyFill="1" applyBorder="1"/>
    <xf numFmtId="0" fontId="7" fillId="0" borderId="0" xfId="4093" applyFont="1" applyFill="1" applyBorder="1" applyAlignment="1">
      <alignment horizontal="justify" vertical="center" wrapText="1"/>
    </xf>
    <xf numFmtId="0" fontId="7" fillId="0" borderId="0" xfId="6" applyFont="1" applyFill="1" applyBorder="1" applyAlignment="1">
      <alignment vertical="center"/>
    </xf>
    <xf numFmtId="0" fontId="33" fillId="0" borderId="0" xfId="36438" applyFont="1" applyFill="1" applyBorder="1" applyAlignment="1">
      <alignment vertical="center"/>
    </xf>
    <xf numFmtId="0" fontId="7" fillId="0" borderId="0" xfId="4093" applyFont="1" applyFill="1" applyBorder="1" applyAlignment="1">
      <alignment vertical="center"/>
    </xf>
    <xf numFmtId="0" fontId="39" fillId="0" borderId="0" xfId="4093" applyFont="1" applyFill="1"/>
    <xf numFmtId="0" fontId="33" fillId="0" borderId="0" xfId="4093" applyFont="1" applyFill="1" applyAlignment="1">
      <alignment horizontal="center" vertical="center"/>
    </xf>
    <xf numFmtId="0" fontId="32" fillId="0" borderId="0" xfId="4093" applyFont="1" applyFill="1" applyAlignment="1">
      <alignment horizontal="center" vertical="center"/>
    </xf>
    <xf numFmtId="0" fontId="34" fillId="0" borderId="0" xfId="4093" applyFont="1" applyFill="1"/>
    <xf numFmtId="0" fontId="7" fillId="0" borderId="0" xfId="4093" applyFont="1" applyFill="1" applyBorder="1" applyAlignment="1">
      <alignment vertical="center" wrapText="1"/>
    </xf>
    <xf numFmtId="41" fontId="33" fillId="0" borderId="0" xfId="4093" applyNumberFormat="1" applyFont="1" applyFill="1" applyBorder="1"/>
    <xf numFmtId="41" fontId="7" fillId="0" borderId="0" xfId="4093" applyNumberFormat="1" applyFont="1" applyFill="1" applyBorder="1" applyAlignment="1">
      <alignment horizontal="center" vertical="center"/>
    </xf>
    <xf numFmtId="0" fontId="33" fillId="0" borderId="0" xfId="4093" applyFont="1" applyFill="1" applyBorder="1" applyAlignment="1">
      <alignment horizontal="center" vertical="center"/>
    </xf>
    <xf numFmtId="0" fontId="47" fillId="0" borderId="0" xfId="4093" applyFont="1" applyFill="1"/>
    <xf numFmtId="0" fontId="10" fillId="0" borderId="0" xfId="4093" applyFont="1" applyFill="1" applyBorder="1" applyAlignment="1">
      <alignment wrapText="1"/>
    </xf>
    <xf numFmtId="0" fontId="10" fillId="0" borderId="0" xfId="4093" applyFont="1" applyFill="1" applyBorder="1"/>
    <xf numFmtId="0" fontId="7" fillId="0" borderId="0" xfId="5" applyFont="1" applyFill="1" applyBorder="1"/>
    <xf numFmtId="41" fontId="10" fillId="0" borderId="0" xfId="4093" applyNumberFormat="1" applyFont="1" applyFill="1" applyBorder="1"/>
    <xf numFmtId="41" fontId="11" fillId="0" borderId="0" xfId="4093" applyNumberFormat="1" applyFont="1" applyFill="1" applyBorder="1"/>
    <xf numFmtId="0" fontId="39" fillId="0" borderId="0" xfId="4093" applyFont="1" applyFill="1" applyBorder="1" applyAlignment="1">
      <alignment horizontal="left" wrapText="1"/>
    </xf>
    <xf numFmtId="41" fontId="33" fillId="0" borderId="0" xfId="8" applyNumberFormat="1" applyFont="1" applyFill="1" applyBorder="1" applyAlignment="1">
      <alignment horizontal="right"/>
    </xf>
    <xf numFmtId="41" fontId="7" fillId="0" borderId="0" xfId="8" applyNumberFormat="1" applyFont="1" applyFill="1" applyBorder="1" applyAlignment="1">
      <alignment horizontal="right"/>
    </xf>
    <xf numFmtId="165" fontId="33" fillId="0" borderId="0" xfId="8" applyNumberFormat="1" applyFont="1" applyFill="1" applyBorder="1"/>
    <xf numFmtId="165" fontId="7" fillId="0" borderId="0" xfId="8" applyNumberFormat="1" applyFont="1" applyFill="1" applyBorder="1"/>
    <xf numFmtId="0" fontId="7" fillId="0" borderId="0" xfId="36440" applyFont="1" applyFill="1"/>
    <xf numFmtId="0" fontId="7" fillId="0" borderId="0" xfId="4093" applyFont="1" applyFill="1" applyBorder="1" applyAlignment="1">
      <alignment horizontal="left" vertical="center" wrapText="1"/>
    </xf>
    <xf numFmtId="3" fontId="33" fillId="0" borderId="0" xfId="4093" applyNumberFormat="1" applyFont="1" applyFill="1" applyBorder="1" applyAlignment="1"/>
    <xf numFmtId="3" fontId="33" fillId="0" borderId="0" xfId="4093" applyNumberFormat="1" applyFont="1" applyFill="1" applyBorder="1" applyAlignment="1">
      <alignment horizontal="center" vertical="center" wrapText="1"/>
    </xf>
    <xf numFmtId="165" fontId="7" fillId="0" borderId="0" xfId="8" applyNumberFormat="1" applyFont="1" applyFill="1" applyBorder="1" applyAlignment="1"/>
    <xf numFmtId="0" fontId="7" fillId="0" borderId="0" xfId="4" applyFont="1" applyFill="1" applyBorder="1"/>
    <xf numFmtId="165" fontId="7" fillId="0" borderId="0" xfId="8" applyNumberFormat="1" applyFont="1" applyFill="1" applyBorder="1" applyAlignment="1">
      <alignment horizontal="right" vertical="center" wrapText="1"/>
    </xf>
    <xf numFmtId="0" fontId="7" fillId="0" borderId="0" xfId="36438" applyFont="1" applyFill="1" applyBorder="1"/>
    <xf numFmtId="3" fontId="33" fillId="0" borderId="0" xfId="36438" applyNumberFormat="1" applyFont="1" applyFill="1" applyBorder="1"/>
    <xf numFmtId="3" fontId="7" fillId="0" borderId="0" xfId="36438" applyNumberFormat="1" applyFont="1" applyFill="1" applyBorder="1" applyAlignment="1">
      <alignment vertical="center"/>
    </xf>
    <xf numFmtId="3" fontId="33" fillId="0" borderId="0" xfId="36438" applyNumberFormat="1" applyFont="1" applyFill="1" applyBorder="1" applyAlignment="1">
      <alignment vertical="center"/>
    </xf>
    <xf numFmtId="0" fontId="33" fillId="0" borderId="0" xfId="36439" applyFont="1" applyFill="1" applyBorder="1"/>
    <xf numFmtId="0" fontId="33" fillId="25" borderId="0" xfId="36439" applyFont="1" applyFill="1" applyBorder="1"/>
    <xf numFmtId="0" fontId="7" fillId="0" borderId="0" xfId="36439" applyFont="1" applyFill="1" applyBorder="1"/>
    <xf numFmtId="3" fontId="33" fillId="0" borderId="0" xfId="36439" applyNumberFormat="1" applyFont="1" applyFill="1" applyBorder="1"/>
    <xf numFmtId="0" fontId="7" fillId="0" borderId="0" xfId="4093" applyFont="1" applyFill="1" applyBorder="1" applyAlignment="1">
      <alignment horizontal="center" vertical="center"/>
    </xf>
    <xf numFmtId="0" fontId="33" fillId="0" borderId="0" xfId="36439" applyFont="1" applyFill="1" applyBorder="1" applyAlignment="1">
      <alignment horizontal="center" vertical="center"/>
    </xf>
    <xf numFmtId="0" fontId="33" fillId="25" borderId="0" xfId="36438" applyFont="1" applyFill="1" applyBorder="1" applyAlignment="1">
      <alignment vertical="center"/>
    </xf>
    <xf numFmtId="41" fontId="33" fillId="0" borderId="0" xfId="36438" applyNumberFormat="1" applyFont="1" applyFill="1" applyBorder="1"/>
    <xf numFmtId="0" fontId="33" fillId="0" borderId="0" xfId="4093" applyFont="1" applyFill="1" applyBorder="1" applyAlignment="1">
      <alignment horizontal="right"/>
    </xf>
    <xf numFmtId="0" fontId="7" fillId="0" borderId="0" xfId="4093" applyFont="1" applyFill="1" applyBorder="1" applyAlignment="1">
      <alignment horizontal="right"/>
    </xf>
    <xf numFmtId="0" fontId="33" fillId="25" borderId="0" xfId="36438" applyFont="1" applyFill="1" applyBorder="1"/>
    <xf numFmtId="3" fontId="33" fillId="0" borderId="0" xfId="4093" applyNumberFormat="1" applyFont="1" applyFill="1" applyAlignment="1" applyProtection="1">
      <alignment horizontal="left" vertical="center" wrapText="1"/>
      <protection locked="0"/>
    </xf>
    <xf numFmtId="3" fontId="33" fillId="0" borderId="0" xfId="36438" applyNumberFormat="1" applyFont="1" applyFill="1" applyBorder="1" applyAlignment="1">
      <alignment horizontal="right"/>
    </xf>
    <xf numFmtId="41" fontId="7" fillId="0" borderId="0" xfId="8" applyNumberFormat="1" applyFont="1" applyFill="1" applyBorder="1" applyAlignment="1">
      <alignment horizontal="right" vertical="center"/>
    </xf>
    <xf numFmtId="0" fontId="7" fillId="0" borderId="0" xfId="4" quotePrefix="1" applyFont="1" applyBorder="1"/>
    <xf numFmtId="0" fontId="33" fillId="0" borderId="0" xfId="36438" applyFont="1" applyFill="1" applyBorder="1" applyAlignment="1">
      <alignment horizontal="right" vertical="center"/>
    </xf>
    <xf numFmtId="0" fontId="33" fillId="0" borderId="0" xfId="36438" applyFont="1" applyFill="1" applyBorder="1" applyAlignment="1">
      <alignment horizontal="center" vertical="center"/>
    </xf>
    <xf numFmtId="0" fontId="7" fillId="0" borderId="0" xfId="36438" applyFont="1" applyFill="1" applyBorder="1" applyAlignment="1">
      <alignment vertical="center"/>
    </xf>
    <xf numFmtId="0" fontId="7" fillId="0" borderId="0" xfId="4093" applyFont="1" applyFill="1" applyBorder="1" applyAlignment="1">
      <alignment horizontal="left"/>
    </xf>
    <xf numFmtId="41" fontId="33" fillId="0" borderId="0" xfId="4093" applyNumberFormat="1" applyFont="1" applyFill="1" applyBorder="1" applyAlignment="1"/>
    <xf numFmtId="41" fontId="7" fillId="0" borderId="0" xfId="4093" applyNumberFormat="1" applyFont="1" applyFill="1" applyBorder="1" applyAlignment="1">
      <alignment vertical="center"/>
    </xf>
    <xf numFmtId="0" fontId="33" fillId="0" borderId="0" xfId="4093" applyFont="1" applyFill="1" applyBorder="1" applyAlignment="1">
      <alignment horizontal="left" vertical="center" wrapText="1"/>
    </xf>
    <xf numFmtId="0" fontId="39" fillId="0" borderId="0" xfId="4093" applyFont="1" applyFill="1" applyBorder="1"/>
    <xf numFmtId="41" fontId="7" fillId="0" borderId="0" xfId="4093" applyNumberFormat="1" applyFont="1" applyFill="1" applyBorder="1"/>
    <xf numFmtId="167" fontId="7" fillId="0" borderId="0" xfId="36437" applyNumberFormat="1" applyFont="1" applyFill="1" applyBorder="1" applyAlignment="1">
      <alignment horizontal="right" vertical="center"/>
    </xf>
    <xf numFmtId="167" fontId="33" fillId="0" borderId="0" xfId="36437" applyNumberFormat="1" applyFont="1" applyFill="1" applyBorder="1" applyAlignment="1">
      <alignment horizontal="right" vertical="center"/>
    </xf>
    <xf numFmtId="0" fontId="33" fillId="0" borderId="0" xfId="36437" applyFont="1" applyFill="1" applyBorder="1" applyAlignment="1">
      <alignment horizontal="right" vertical="center"/>
    </xf>
    <xf numFmtId="0" fontId="33" fillId="0" borderId="0" xfId="36438" applyFont="1" applyFill="1"/>
    <xf numFmtId="0" fontId="33" fillId="0" borderId="0" xfId="36438" applyFont="1" applyFill="1" applyAlignment="1">
      <alignment horizontal="center"/>
    </xf>
    <xf numFmtId="0" fontId="33" fillId="0" borderId="1" xfId="6" applyFont="1" applyFill="1" applyBorder="1" applyAlignment="1">
      <alignment horizontal="center" vertical="center"/>
    </xf>
    <xf numFmtId="0" fontId="32" fillId="0" borderId="0" xfId="6" applyFont="1"/>
    <xf numFmtId="0" fontId="7" fillId="0" borderId="0" xfId="6" applyFont="1" applyFill="1" applyBorder="1" applyAlignment="1">
      <alignment vertical="center" wrapText="1"/>
    </xf>
    <xf numFmtId="0" fontId="7" fillId="0" borderId="0" xfId="36436" applyFont="1" applyFill="1"/>
    <xf numFmtId="0" fontId="7" fillId="0" borderId="0" xfId="10142" applyFont="1" applyFill="1" applyBorder="1" applyAlignment="1" applyProtection="1">
      <alignment vertical="center" wrapText="1"/>
    </xf>
    <xf numFmtId="190" fontId="7" fillId="0" borderId="0" xfId="10142" applyNumberFormat="1" applyFont="1" applyFill="1" applyBorder="1" applyAlignment="1" applyProtection="1">
      <alignment vertical="center"/>
    </xf>
    <xf numFmtId="0" fontId="33" fillId="0" borderId="1" xfId="10" applyFont="1" applyFill="1" applyBorder="1" applyAlignment="1" applyProtection="1">
      <alignment horizontal="center" vertical="center" wrapText="1"/>
    </xf>
    <xf numFmtId="3" fontId="7" fillId="0" borderId="0" xfId="25665" applyNumberFormat="1" applyFont="1" applyFill="1" applyAlignment="1" applyProtection="1">
      <alignment horizontal="left" vertical="center"/>
      <protection locked="0"/>
    </xf>
    <xf numFmtId="41" fontId="33" fillId="0" borderId="0" xfId="10" applyNumberFormat="1" applyFont="1" applyFill="1" applyBorder="1" applyAlignment="1" applyProtection="1">
      <alignment horizontal="right" vertical="center" indent="1"/>
    </xf>
    <xf numFmtId="41" fontId="7" fillId="0" borderId="0" xfId="10" applyNumberFormat="1" applyFont="1" applyFill="1" applyBorder="1" applyAlignment="1" applyProtection="1">
      <alignment horizontal="right" vertical="center" indent="1"/>
    </xf>
    <xf numFmtId="41" fontId="33" fillId="0" borderId="0" xfId="10" applyNumberFormat="1" applyFont="1" applyFill="1" applyBorder="1" applyAlignment="1" applyProtection="1">
      <alignment horizontal="right" vertical="center"/>
    </xf>
    <xf numFmtId="41" fontId="7" fillId="0" borderId="0" xfId="10" applyNumberFormat="1" applyFont="1" applyFill="1" applyBorder="1" applyAlignment="1" applyProtection="1">
      <alignment horizontal="right" vertical="center"/>
    </xf>
    <xf numFmtId="0" fontId="33" fillId="0" borderId="0" xfId="6" applyFont="1" applyFill="1" applyBorder="1" applyAlignment="1">
      <alignment vertical="center" wrapText="1"/>
    </xf>
    <xf numFmtId="0" fontId="45" fillId="0" borderId="0" xfId="6" applyFont="1" applyBorder="1" applyAlignment="1">
      <alignment vertical="center" wrapText="1"/>
    </xf>
    <xf numFmtId="0" fontId="7" fillId="0" borderId="0" xfId="6" applyFont="1" applyFill="1" applyBorder="1" applyAlignment="1"/>
    <xf numFmtId="0" fontId="49" fillId="0" borderId="0" xfId="6" applyFont="1" applyFill="1" applyBorder="1" applyAlignment="1">
      <alignment vertical="center" wrapText="1"/>
    </xf>
    <xf numFmtId="0" fontId="7" fillId="0" borderId="0" xfId="6" applyFont="1" applyFill="1" applyBorder="1" applyAlignment="1">
      <alignment horizontal="left"/>
    </xf>
    <xf numFmtId="0" fontId="33" fillId="0" borderId="0" xfId="30873" applyFont="1" applyBorder="1" applyAlignment="1">
      <alignment horizontal="left" vertical="center" wrapText="1"/>
    </xf>
    <xf numFmtId="0" fontId="33" fillId="0" borderId="0" xfId="30873" applyFont="1" applyFill="1" applyBorder="1" applyAlignment="1">
      <alignment horizontal="left" vertical="center" wrapText="1"/>
    </xf>
    <xf numFmtId="0" fontId="33" fillId="0" borderId="1" xfId="6" applyFont="1" applyBorder="1" applyAlignment="1">
      <alignment horizontal="center" vertical="center"/>
    </xf>
    <xf numFmtId="0" fontId="33" fillId="0" borderId="0" xfId="6" applyFont="1" applyFill="1" applyBorder="1"/>
    <xf numFmtId="9" fontId="33" fillId="0" borderId="0" xfId="30771" applyNumberFormat="1" applyFont="1" applyFill="1" applyBorder="1" applyAlignment="1">
      <alignment horizontal="right"/>
    </xf>
    <xf numFmtId="0" fontId="7" fillId="0" borderId="0" xfId="36435" applyFont="1" applyBorder="1" applyAlignment="1">
      <alignment horizontal="justify" vertical="center" wrapText="1"/>
    </xf>
    <xf numFmtId="9" fontId="7" fillId="0" borderId="0" xfId="30771" applyNumberFormat="1" applyFont="1" applyFill="1" applyBorder="1" applyAlignment="1">
      <alignment horizontal="right" vertical="center"/>
    </xf>
    <xf numFmtId="0" fontId="7" fillId="0" borderId="0" xfId="36435" applyFont="1" applyFill="1" applyBorder="1" applyAlignment="1">
      <alignment horizontal="justify" vertical="center" wrapText="1"/>
    </xf>
    <xf numFmtId="9" fontId="48" fillId="0" borderId="0" xfId="0" applyNumberFormat="1" applyFont="1" applyFill="1" applyBorder="1" applyAlignment="1">
      <alignment horizontal="right" vertical="center" wrapText="1"/>
    </xf>
    <xf numFmtId="0" fontId="7" fillId="0" borderId="0" xfId="36435" applyFont="1" applyFill="1" applyBorder="1" applyAlignment="1">
      <alignment vertical="center" wrapText="1"/>
    </xf>
    <xf numFmtId="0" fontId="7" fillId="0" borderId="0" xfId="36435" applyFont="1" applyFill="1" applyBorder="1" applyAlignment="1">
      <alignment horizontal="left" vertical="center"/>
    </xf>
    <xf numFmtId="0" fontId="33" fillId="0" borderId="0" xfId="0" applyFont="1" applyFill="1" applyBorder="1" applyAlignment="1">
      <alignment horizontal="left" vertical="center" wrapText="1"/>
    </xf>
    <xf numFmtId="0" fontId="33" fillId="25" borderId="28" xfId="36435" applyFont="1" applyFill="1" applyBorder="1" applyAlignment="1">
      <alignment horizontal="left" vertical="center" wrapText="1"/>
    </xf>
    <xf numFmtId="3" fontId="7" fillId="25" borderId="0" xfId="36435" applyNumberFormat="1" applyFont="1" applyFill="1" applyBorder="1" applyAlignment="1">
      <alignment horizontal="left" vertical="center"/>
    </xf>
    <xf numFmtId="0" fontId="7" fillId="25" borderId="0" xfId="36435" applyFont="1" applyFill="1" applyBorder="1" applyAlignment="1">
      <alignment horizontal="left" vertical="center" wrapText="1"/>
    </xf>
    <xf numFmtId="0" fontId="7" fillId="25" borderId="8" xfId="0" applyFont="1" applyFill="1" applyBorder="1" applyAlignment="1">
      <alignment vertical="center"/>
    </xf>
    <xf numFmtId="0" fontId="7" fillId="25" borderId="8" xfId="36435" applyFont="1" applyFill="1" applyBorder="1" applyAlignment="1">
      <alignment horizontal="left" vertical="center" wrapText="1"/>
    </xf>
    <xf numFmtId="0" fontId="33" fillId="25" borderId="28" xfId="36435" applyFont="1" applyFill="1" applyBorder="1" applyAlignment="1">
      <alignment horizontal="left" vertical="center"/>
    </xf>
    <xf numFmtId="0" fontId="33" fillId="25" borderId="0" xfId="36435" applyFont="1" applyFill="1" applyBorder="1" applyAlignment="1">
      <alignment horizontal="left" vertical="center" wrapText="1"/>
    </xf>
    <xf numFmtId="0" fontId="33" fillId="25" borderId="0" xfId="30873" applyFont="1" applyFill="1" applyBorder="1" applyAlignment="1">
      <alignment horizontal="left" vertical="center" wrapText="1"/>
    </xf>
    <xf numFmtId="0" fontId="7" fillId="0" borderId="6" xfId="36435" applyFont="1" applyFill="1" applyBorder="1" applyAlignment="1">
      <alignment horizontal="left" vertical="center"/>
    </xf>
    <xf numFmtId="165" fontId="8" fillId="0" borderId="0" xfId="1" applyNumberFormat="1" applyFont="1"/>
    <xf numFmtId="0" fontId="7" fillId="0" borderId="9" xfId="36435" applyFont="1" applyFill="1" applyBorder="1" applyAlignment="1">
      <alignment horizontal="left" vertical="center" wrapText="1"/>
    </xf>
    <xf numFmtId="165" fontId="8" fillId="0" borderId="0" xfId="0" applyNumberFormat="1" applyFont="1"/>
    <xf numFmtId="0" fontId="7" fillId="0" borderId="6" xfId="36435" applyFont="1" applyFill="1" applyBorder="1" applyAlignment="1">
      <alignment horizontal="left" vertical="center" wrapText="1"/>
    </xf>
    <xf numFmtId="0" fontId="7" fillId="0" borderId="0" xfId="0" applyFont="1" applyAlignment="1">
      <alignment horizontal="center"/>
    </xf>
    <xf numFmtId="0" fontId="7" fillId="0" borderId="0" xfId="0" applyFont="1" applyAlignment="1">
      <alignment horizontal="left"/>
    </xf>
    <xf numFmtId="165" fontId="7" fillId="0" borderId="0" xfId="1" applyNumberFormat="1" applyFont="1" applyFill="1" applyAlignment="1">
      <alignment horizontal="right"/>
    </xf>
    <xf numFmtId="0" fontId="7" fillId="0" borderId="0" xfId="36435" applyFont="1" applyBorder="1" applyAlignment="1">
      <alignment horizontal="center" vertical="center"/>
    </xf>
    <xf numFmtId="0" fontId="7" fillId="0" borderId="0" xfId="36435" applyFont="1" applyBorder="1" applyAlignment="1">
      <alignment horizontal="left" vertical="center" wrapText="1"/>
    </xf>
    <xf numFmtId="165" fontId="7" fillId="0" borderId="0" xfId="1" applyNumberFormat="1" applyFont="1" applyFill="1" applyBorder="1" applyAlignment="1">
      <alignment horizontal="right"/>
    </xf>
    <xf numFmtId="0" fontId="33" fillId="0" borderId="0" xfId="36435" applyFont="1" applyFill="1" applyBorder="1" applyAlignment="1">
      <alignment horizontal="center" vertical="center" wrapText="1"/>
    </xf>
    <xf numFmtId="0" fontId="48" fillId="0" borderId="0" xfId="0" applyFont="1" applyFill="1" applyBorder="1" applyAlignment="1">
      <alignment horizontal="left" vertical="center" wrapText="1"/>
    </xf>
    <xf numFmtId="10" fontId="33" fillId="0" borderId="0" xfId="0" applyNumberFormat="1" applyFont="1" applyFill="1" applyBorder="1" applyAlignment="1">
      <alignment horizontal="right"/>
    </xf>
    <xf numFmtId="0" fontId="49" fillId="0" borderId="0" xfId="0" applyFont="1"/>
    <xf numFmtId="165" fontId="7" fillId="0" borderId="0" xfId="0" applyNumberFormat="1" applyFont="1" applyFill="1"/>
    <xf numFmtId="3" fontId="7" fillId="0" borderId="0" xfId="36435" applyNumberFormat="1" applyFont="1" applyFill="1" applyBorder="1" applyAlignment="1">
      <alignment horizontal="left" vertical="center" wrapText="1"/>
    </xf>
    <xf numFmtId="0" fontId="7" fillId="0" borderId="0" xfId="0" applyFont="1" applyBorder="1"/>
    <xf numFmtId="0" fontId="7" fillId="0" borderId="0" xfId="0" applyFont="1" applyFill="1" applyBorder="1" applyAlignment="1">
      <alignment vertical="center"/>
    </xf>
    <xf numFmtId="0" fontId="33" fillId="27" borderId="0" xfId="36435" applyFont="1" applyFill="1" applyBorder="1" applyAlignment="1">
      <alignment horizontal="left" vertical="center" wrapText="1"/>
    </xf>
    <xf numFmtId="3" fontId="7" fillId="0" borderId="8" xfId="36435" applyNumberFormat="1" applyFont="1" applyFill="1" applyBorder="1" applyAlignment="1">
      <alignment horizontal="left" vertical="center" wrapText="1"/>
    </xf>
    <xf numFmtId="0" fontId="38" fillId="0" borderId="0" xfId="0" applyFont="1" applyFill="1" applyBorder="1" applyAlignment="1">
      <alignment wrapText="1"/>
    </xf>
    <xf numFmtId="0" fontId="37" fillId="0" borderId="0" xfId="0" applyFont="1" applyFill="1" applyBorder="1" applyAlignment="1">
      <alignment horizontal="left" wrapText="1"/>
    </xf>
    <xf numFmtId="0" fontId="33" fillId="0" borderId="1" xfId="0" applyFont="1" applyFill="1" applyBorder="1" applyAlignment="1">
      <alignment horizontal="center" vertical="center"/>
    </xf>
    <xf numFmtId="0" fontId="33" fillId="0" borderId="1" xfId="0" applyFont="1" applyFill="1" applyBorder="1" applyAlignment="1">
      <alignment horizontal="center" vertical="center" wrapText="1"/>
    </xf>
    <xf numFmtId="0" fontId="33" fillId="0" borderId="0" xfId="0" applyFont="1" applyFill="1" applyBorder="1" applyAlignment="1">
      <alignment horizontal="left" wrapText="1"/>
    </xf>
    <xf numFmtId="41" fontId="33" fillId="0" borderId="0" xfId="0" applyNumberFormat="1" applyFont="1" applyFill="1" applyBorder="1"/>
    <xf numFmtId="41" fontId="7" fillId="0" borderId="0" xfId="0" applyNumberFormat="1" applyFont="1" applyFill="1" applyBorder="1"/>
    <xf numFmtId="49" fontId="7" fillId="0" borderId="0" xfId="0" applyNumberFormat="1" applyFont="1" applyFill="1" applyBorder="1" applyAlignment="1">
      <alignment vertical="center" wrapText="1"/>
    </xf>
    <xf numFmtId="41" fontId="33" fillId="0" borderId="0" xfId="0" applyNumberFormat="1" applyFont="1" applyFill="1" applyBorder="1" applyAlignment="1">
      <alignment horizontal="right"/>
    </xf>
    <xf numFmtId="0" fontId="7" fillId="0" borderId="0" xfId="0" applyFont="1" applyFill="1" applyBorder="1" applyAlignment="1">
      <alignment horizontal="left" wrapText="1" indent="1"/>
    </xf>
    <xf numFmtId="41" fontId="7" fillId="0" borderId="0" xfId="0" applyNumberFormat="1" applyFont="1" applyFill="1" applyBorder="1" applyAlignment="1">
      <alignment horizontal="right"/>
    </xf>
    <xf numFmtId="172" fontId="33" fillId="0" borderId="0" xfId="2" applyNumberFormat="1" applyFont="1" applyFill="1" applyBorder="1" applyAlignment="1">
      <alignment horizontal="right"/>
    </xf>
    <xf numFmtId="0" fontId="33" fillId="0" borderId="0" xfId="0" applyFont="1" applyFill="1" applyBorder="1"/>
    <xf numFmtId="0" fontId="7" fillId="0" borderId="0" xfId="4" applyFont="1" applyFill="1" applyBorder="1" applyAlignment="1">
      <alignment vertical="center"/>
    </xf>
    <xf numFmtId="0" fontId="7" fillId="0" borderId="0" xfId="4" applyFont="1" applyFill="1" applyBorder="1" applyAlignment="1">
      <alignment horizontal="right" vertical="center"/>
    </xf>
    <xf numFmtId="0" fontId="7" fillId="0" borderId="0" xfId="0" applyFont="1" applyFill="1" applyBorder="1" applyAlignment="1">
      <alignment horizontal="right"/>
    </xf>
    <xf numFmtId="0" fontId="7" fillId="0" borderId="0" xfId="0" applyNumberFormat="1" applyFont="1" applyFill="1" applyBorder="1" applyAlignment="1">
      <alignment horizontal="left" vertical="top"/>
    </xf>
    <xf numFmtId="49" fontId="7" fillId="0" borderId="0" xfId="0" applyNumberFormat="1" applyFont="1" applyFill="1" applyBorder="1" applyAlignment="1">
      <alignment horizontal="right" vertical="center" wrapText="1"/>
    </xf>
    <xf numFmtId="0" fontId="10" fillId="0" borderId="0" xfId="0" applyFont="1" applyFill="1" applyBorder="1" applyAlignment="1">
      <alignment horizontal="left"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1" fillId="0" borderId="0" xfId="0" applyFont="1" applyFill="1" applyBorder="1" applyAlignment="1">
      <alignment horizontal="center" vertical="center"/>
    </xf>
    <xf numFmtId="41" fontId="10" fillId="0" borderId="0" xfId="0" applyNumberFormat="1" applyFont="1" applyFill="1" applyBorder="1"/>
    <xf numFmtId="0" fontId="11" fillId="0" borderId="0" xfId="0" applyFont="1" applyFill="1" applyBorder="1" applyAlignment="1">
      <alignment horizontal="left" wrapText="1"/>
    </xf>
    <xf numFmtId="41" fontId="11" fillId="0" borderId="0" xfId="0" applyNumberFormat="1" applyFont="1" applyFill="1" applyBorder="1"/>
    <xf numFmtId="0" fontId="10" fillId="0" borderId="0" xfId="0" applyFont="1" applyFill="1" applyBorder="1"/>
    <xf numFmtId="0" fontId="48" fillId="0" borderId="0" xfId="4" applyFont="1" applyFill="1" applyBorder="1" applyAlignment="1">
      <alignment wrapText="1"/>
    </xf>
    <xf numFmtId="0" fontId="48" fillId="0" borderId="0" xfId="4" applyFont="1" applyFill="1" applyBorder="1" applyAlignment="1">
      <alignment horizontal="left" wrapText="1"/>
    </xf>
    <xf numFmtId="0" fontId="7" fillId="0" borderId="0" xfId="0" applyFont="1" applyFill="1" applyBorder="1" applyAlignment="1">
      <alignment vertical="center" wrapText="1"/>
    </xf>
    <xf numFmtId="0" fontId="33" fillId="0" borderId="1" xfId="0" applyFont="1" applyFill="1" applyBorder="1"/>
    <xf numFmtId="165" fontId="33" fillId="0" borderId="0" xfId="1" applyNumberFormat="1" applyFont="1" applyFill="1"/>
    <xf numFmtId="165" fontId="7" fillId="0" borderId="0" xfId="1" applyNumberFormat="1" applyFont="1" applyFill="1"/>
    <xf numFmtId="0" fontId="7" fillId="0" borderId="0" xfId="0" applyFont="1" applyFill="1" applyAlignment="1"/>
    <xf numFmtId="49" fontId="7" fillId="0" borderId="0" xfId="0" applyNumberFormat="1" applyFont="1" applyFill="1" applyAlignment="1">
      <alignment vertical="center"/>
    </xf>
    <xf numFmtId="3" fontId="33" fillId="0" borderId="0" xfId="0" applyNumberFormat="1" applyFont="1" applyFill="1" applyBorder="1" applyAlignment="1">
      <alignment horizontal="right"/>
    </xf>
    <xf numFmtId="3" fontId="7" fillId="0" borderId="0" xfId="0" applyNumberFormat="1" applyFont="1" applyFill="1" applyBorder="1"/>
    <xf numFmtId="0" fontId="7" fillId="0" borderId="0" xfId="0" applyFont="1" applyFill="1" applyBorder="1" applyAlignment="1">
      <alignment horizontal="center" vertical="center"/>
    </xf>
    <xf numFmtId="0" fontId="33" fillId="0" borderId="0" xfId="0" applyFont="1" applyFill="1" applyBorder="1" applyAlignment="1">
      <alignment wrapText="1"/>
    </xf>
    <xf numFmtId="3" fontId="7" fillId="0" borderId="0" xfId="0" applyNumberFormat="1" applyFont="1" applyFill="1" applyBorder="1" applyAlignment="1">
      <alignment horizontal="right"/>
    </xf>
    <xf numFmtId="49" fontId="7" fillId="0" borderId="0" xfId="0" applyNumberFormat="1" applyFont="1" applyFill="1" applyAlignment="1">
      <alignment vertical="center" wrapText="1"/>
    </xf>
    <xf numFmtId="0" fontId="7" fillId="0" borderId="0" xfId="4" applyFont="1" applyFill="1" applyBorder="1" applyAlignment="1">
      <alignment horizontal="left" wrapText="1"/>
    </xf>
    <xf numFmtId="0" fontId="33" fillId="0" borderId="0" xfId="0" applyFont="1" applyFill="1" applyAlignment="1">
      <alignment horizontal="left" vertical="center" wrapText="1"/>
    </xf>
    <xf numFmtId="0" fontId="33" fillId="0" borderId="0" xfId="0" applyFont="1" applyFill="1" applyAlignment="1">
      <alignment horizontal="left" wrapText="1"/>
    </xf>
    <xf numFmtId="0" fontId="7" fillId="0" borderId="0" xfId="0" applyFont="1" applyFill="1" applyAlignment="1">
      <alignment vertical="center"/>
    </xf>
    <xf numFmtId="0" fontId="7" fillId="0" borderId="0" xfId="0" applyFont="1" applyFill="1" applyBorder="1" applyAlignment="1">
      <alignment horizontal="center" vertical="center" wrapText="1"/>
    </xf>
    <xf numFmtId="0" fontId="33" fillId="0" borderId="1" xfId="0" applyFont="1" applyFill="1" applyBorder="1" applyAlignment="1">
      <alignment horizontal="left" vertical="center" wrapText="1"/>
    </xf>
    <xf numFmtId="0" fontId="11" fillId="0" borderId="0" xfId="0" applyFont="1" applyFill="1" applyBorder="1" applyAlignment="1">
      <alignment horizontal="right"/>
    </xf>
    <xf numFmtId="0" fontId="49" fillId="0" borderId="0" xfId="0" applyFont="1" applyFill="1" applyBorder="1" applyAlignment="1">
      <alignment horizontal="left" vertical="center" wrapText="1"/>
    </xf>
    <xf numFmtId="0" fontId="49" fillId="0" borderId="0" xfId="0" applyFont="1" applyFill="1" applyBorder="1" applyAlignment="1">
      <alignment horizontal="right" vertical="center" wrapText="1"/>
    </xf>
    <xf numFmtId="0" fontId="10" fillId="0" borderId="1" xfId="0" applyFont="1" applyFill="1" applyBorder="1" applyAlignment="1">
      <alignment horizontal="left" wrapText="1"/>
    </xf>
    <xf numFmtId="0" fontId="10" fillId="0" borderId="1" xfId="0" applyFont="1" applyFill="1" applyBorder="1" applyAlignment="1">
      <alignment horizontal="left"/>
    </xf>
    <xf numFmtId="0" fontId="10" fillId="0" borderId="0" xfId="0" applyFont="1" applyFill="1" applyBorder="1" applyAlignment="1"/>
    <xf numFmtId="41" fontId="10" fillId="0" borderId="0" xfId="0" applyNumberFormat="1" applyFont="1" applyFill="1" applyBorder="1" applyAlignment="1">
      <alignment horizontal="right"/>
    </xf>
    <xf numFmtId="0" fontId="11" fillId="0" borderId="0" xfId="0" applyFont="1" applyFill="1" applyBorder="1" applyAlignment="1"/>
    <xf numFmtId="41" fontId="11" fillId="0" borderId="0" xfId="0" applyNumberFormat="1" applyFont="1" applyFill="1" applyBorder="1" applyAlignment="1">
      <alignment horizontal="right"/>
    </xf>
    <xf numFmtId="0" fontId="11" fillId="0" borderId="0" xfId="0" applyFont="1" applyFill="1" applyBorder="1" applyAlignment="1">
      <alignment wrapText="1"/>
    </xf>
    <xf numFmtId="0" fontId="11" fillId="0" borderId="0" xfId="0" applyFont="1" applyFill="1"/>
    <xf numFmtId="0" fontId="11" fillId="0" borderId="0" xfId="0" applyFont="1" applyFill="1" applyAlignment="1">
      <alignment horizontal="right"/>
    </xf>
    <xf numFmtId="0" fontId="11" fillId="0" borderId="0" xfId="0" applyFont="1" applyAlignment="1">
      <alignment horizontal="right"/>
    </xf>
    <xf numFmtId="0" fontId="7" fillId="0" borderId="0" xfId="0" applyFont="1" applyFill="1" applyAlignment="1">
      <alignment horizontal="center" vertical="center"/>
    </xf>
    <xf numFmtId="0" fontId="7" fillId="0" borderId="0" xfId="4" applyFont="1" applyFill="1" applyBorder="1" applyAlignment="1"/>
    <xf numFmtId="0" fontId="7" fillId="0" borderId="0" xfId="0" applyFont="1" applyFill="1" applyAlignment="1">
      <alignment horizontal="left" indent="1"/>
    </xf>
    <xf numFmtId="0" fontId="33" fillId="0" borderId="22" xfId="0" applyFont="1" applyFill="1" applyBorder="1" applyAlignment="1">
      <alignment horizontal="center" wrapText="1"/>
    </xf>
    <xf numFmtId="49" fontId="7" fillId="0" borderId="0" xfId="0" applyNumberFormat="1" applyFont="1" applyFill="1" applyAlignment="1">
      <alignment horizontal="left" vertical="center" wrapText="1"/>
    </xf>
    <xf numFmtId="0" fontId="33" fillId="0" borderId="0" xfId="0" applyFont="1" applyFill="1" applyAlignment="1">
      <alignment wrapText="1"/>
    </xf>
    <xf numFmtId="3" fontId="10" fillId="0" borderId="0" xfId="0" applyNumberFormat="1" applyFont="1" applyFill="1" applyBorder="1"/>
    <xf numFmtId="0" fontId="51" fillId="0" borderId="0" xfId="0" applyFont="1" applyFill="1" applyBorder="1"/>
    <xf numFmtId="0" fontId="48" fillId="0" borderId="0" xfId="0" applyFont="1" applyFill="1" applyBorder="1"/>
    <xf numFmtId="3" fontId="11" fillId="0" borderId="0" xfId="0" applyNumberFormat="1" applyFont="1" applyFill="1" applyBorder="1"/>
    <xf numFmtId="0" fontId="7" fillId="0" borderId="0" xfId="0" applyFont="1" applyFill="1" applyAlignment="1">
      <alignment vertical="center" wrapText="1"/>
    </xf>
    <xf numFmtId="0" fontId="11" fillId="0" borderId="0" xfId="0" applyFont="1" applyFill="1" applyBorder="1" applyAlignment="1">
      <alignment vertical="center"/>
    </xf>
    <xf numFmtId="172" fontId="33" fillId="0" borderId="0" xfId="0" applyNumberFormat="1" applyFont="1" applyFill="1" applyBorder="1" applyAlignment="1">
      <alignment horizontal="right"/>
    </xf>
    <xf numFmtId="3" fontId="33" fillId="0" borderId="0" xfId="0" applyNumberFormat="1" applyFont="1" applyFill="1" applyBorder="1"/>
    <xf numFmtId="10" fontId="7" fillId="0" borderId="0" xfId="0" applyNumberFormat="1" applyFont="1" applyFill="1" applyBorder="1" applyAlignment="1">
      <alignment horizontal="right"/>
    </xf>
    <xf numFmtId="165" fontId="33" fillId="0" borderId="0" xfId="1" applyNumberFormat="1" applyFont="1" applyFill="1" applyBorder="1" applyAlignment="1">
      <alignment horizontal="right"/>
    </xf>
    <xf numFmtId="0" fontId="33" fillId="0" borderId="22" xfId="0" applyFont="1" applyFill="1" applyBorder="1" applyAlignment="1">
      <alignment horizontal="center" vertical="center" wrapText="1"/>
    </xf>
    <xf numFmtId="3" fontId="33" fillId="0" borderId="0" xfId="0" applyNumberFormat="1" applyFont="1" applyFill="1" applyBorder="1" applyAlignment="1">
      <alignment horizontal="center"/>
    </xf>
    <xf numFmtId="3" fontId="7" fillId="0" borderId="0" xfId="0" applyNumberFormat="1" applyFont="1" applyFill="1" applyBorder="1" applyAlignment="1">
      <alignment horizontal="center"/>
    </xf>
    <xf numFmtId="0" fontId="11" fillId="0" borderId="0" xfId="0" applyFont="1" applyFill="1" applyBorder="1" applyAlignment="1">
      <alignment horizontal="left"/>
    </xf>
    <xf numFmtId="3" fontId="10" fillId="0" borderId="22" xfId="0" applyNumberFormat="1"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0" xfId="0" applyFont="1" applyFill="1" applyBorder="1" applyAlignment="1">
      <alignment horizontal="left"/>
    </xf>
    <xf numFmtId="3" fontId="10" fillId="0" borderId="0" xfId="0" applyNumberFormat="1" applyFont="1" applyFill="1" applyBorder="1" applyAlignment="1">
      <alignment horizontal="center"/>
    </xf>
    <xf numFmtId="178" fontId="10" fillId="0" borderId="0" xfId="0" applyNumberFormat="1" applyFont="1" applyFill="1" applyBorder="1" applyAlignment="1">
      <alignment horizontal="center"/>
    </xf>
    <xf numFmtId="165" fontId="10" fillId="0" borderId="0" xfId="1" applyNumberFormat="1" applyFont="1" applyFill="1" applyBorder="1" applyAlignment="1">
      <alignment horizontal="center"/>
    </xf>
    <xf numFmtId="3" fontId="11" fillId="0" borderId="0" xfId="0" applyNumberFormat="1" applyFont="1" applyFill="1" applyBorder="1" applyAlignment="1">
      <alignment horizontal="center"/>
    </xf>
    <xf numFmtId="178" fontId="11" fillId="0" borderId="0" xfId="0" applyNumberFormat="1" applyFont="1" applyFill="1" applyBorder="1" applyAlignment="1">
      <alignment horizontal="center"/>
    </xf>
    <xf numFmtId="165" fontId="11" fillId="0" borderId="0" xfId="1" applyNumberFormat="1" applyFont="1" applyFill="1" applyBorder="1" applyAlignment="1">
      <alignment horizontal="center"/>
    </xf>
    <xf numFmtId="3" fontId="10" fillId="0" borderId="0" xfId="0" applyNumberFormat="1" applyFont="1" applyFill="1" applyBorder="1" applyAlignment="1">
      <alignment horizontal="left"/>
    </xf>
    <xf numFmtId="3" fontId="11" fillId="0" borderId="0" xfId="0" applyNumberFormat="1" applyFont="1" applyFill="1" applyBorder="1" applyAlignment="1">
      <alignment horizontal="left"/>
    </xf>
    <xf numFmtId="0" fontId="10" fillId="0" borderId="1" xfId="0" applyFont="1" applyBorder="1" applyAlignment="1">
      <alignment horizontal="center" vertical="center" wrapText="1"/>
    </xf>
    <xf numFmtId="0" fontId="10" fillId="0" borderId="0" xfId="0" applyFont="1" applyBorder="1"/>
    <xf numFmtId="165" fontId="10" fillId="0" borderId="0" xfId="1" applyNumberFormat="1" applyFont="1" applyBorder="1" applyAlignment="1">
      <alignment horizontal="center"/>
    </xf>
    <xf numFmtId="178" fontId="10" fillId="0" borderId="0" xfId="0" applyNumberFormat="1" applyFont="1" applyBorder="1" applyAlignment="1">
      <alignment horizontal="center"/>
    </xf>
    <xf numFmtId="3" fontId="10" fillId="0" borderId="0" xfId="0" applyNumberFormat="1" applyFont="1" applyBorder="1" applyAlignment="1">
      <alignment horizontal="center"/>
    </xf>
    <xf numFmtId="165" fontId="11" fillId="0" borderId="0" xfId="1" applyNumberFormat="1" applyFont="1" applyBorder="1" applyAlignment="1">
      <alignment horizontal="center"/>
    </xf>
    <xf numFmtId="178" fontId="11" fillId="0" borderId="0" xfId="0" applyNumberFormat="1" applyFont="1" applyBorder="1" applyAlignment="1">
      <alignment horizontal="center"/>
    </xf>
    <xf numFmtId="3" fontId="11" fillId="0" borderId="0" xfId="0" applyNumberFormat="1" applyFont="1" applyBorder="1" applyAlignment="1">
      <alignment horizontal="center"/>
    </xf>
    <xf numFmtId="165" fontId="11" fillId="0" borderId="0" xfId="0" applyNumberFormat="1" applyFont="1" applyBorder="1"/>
    <xf numFmtId="3" fontId="33" fillId="0" borderId="1" xfId="0" applyNumberFormat="1" applyFont="1" applyFill="1" applyBorder="1" applyAlignment="1">
      <alignment horizontal="center" vertical="center" wrapText="1"/>
    </xf>
    <xf numFmtId="0" fontId="33" fillId="0" borderId="1" xfId="0" applyFont="1" applyFill="1" applyBorder="1" applyAlignment="1">
      <alignment horizontal="center" wrapText="1"/>
    </xf>
    <xf numFmtId="3" fontId="33" fillId="0" borderId="0" xfId="0" applyNumberFormat="1" applyFont="1" applyFill="1" applyBorder="1" applyAlignment="1">
      <alignment horizontal="left"/>
    </xf>
    <xf numFmtId="3" fontId="7" fillId="0" borderId="0" xfId="0" applyNumberFormat="1" applyFont="1" applyFill="1" applyBorder="1" applyAlignment="1">
      <alignment horizontal="left"/>
    </xf>
    <xf numFmtId="0" fontId="33" fillId="0" borderId="0" xfId="0" applyFont="1" applyFill="1" applyBorder="1" applyAlignment="1">
      <alignment horizontal="justify" vertical="center" wrapText="1"/>
    </xf>
    <xf numFmtId="3" fontId="10" fillId="0" borderId="1" xfId="0" applyNumberFormat="1" applyFont="1" applyFill="1" applyBorder="1" applyAlignment="1">
      <alignment horizontal="center" vertical="center" wrapText="1"/>
    </xf>
    <xf numFmtId="3" fontId="10" fillId="0" borderId="1" xfId="0" applyNumberFormat="1" applyFont="1" applyFill="1" applyBorder="1" applyAlignment="1">
      <alignment horizontal="center" wrapText="1"/>
    </xf>
    <xf numFmtId="185" fontId="10" fillId="0" borderId="0" xfId="0" applyNumberFormat="1" applyFont="1" applyFill="1" applyBorder="1" applyAlignment="1">
      <alignment horizontal="center"/>
    </xf>
    <xf numFmtId="185" fontId="11" fillId="0" borderId="0" xfId="0" applyNumberFormat="1" applyFont="1" applyFill="1" applyBorder="1" applyAlignment="1">
      <alignment horizontal="center"/>
    </xf>
    <xf numFmtId="185" fontId="11" fillId="0" borderId="0" xfId="0" applyNumberFormat="1" applyFont="1" applyFill="1" applyBorder="1"/>
    <xf numFmtId="172" fontId="10" fillId="0" borderId="0" xfId="0" applyNumberFormat="1" applyFont="1" applyFill="1" applyBorder="1" applyAlignment="1">
      <alignment horizontal="center"/>
    </xf>
    <xf numFmtId="10" fontId="10" fillId="0" borderId="0" xfId="0" applyNumberFormat="1" applyFont="1" applyFill="1" applyBorder="1" applyAlignment="1">
      <alignment horizontal="center"/>
    </xf>
    <xf numFmtId="10" fontId="11" fillId="0" borderId="0" xfId="0" applyNumberFormat="1" applyFont="1" applyFill="1" applyBorder="1" applyAlignment="1">
      <alignment horizontal="center"/>
    </xf>
    <xf numFmtId="2" fontId="7" fillId="0" borderId="0" xfId="0" applyNumberFormat="1" applyFont="1" applyFill="1" applyBorder="1" applyAlignment="1"/>
    <xf numFmtId="2" fontId="7" fillId="0" borderId="0" xfId="0" applyNumberFormat="1" applyFont="1" applyFill="1" applyBorder="1" applyAlignment="1">
      <alignment wrapText="1"/>
    </xf>
    <xf numFmtId="0" fontId="7" fillId="0" borderId="0" xfId="30873" applyFont="1" applyFill="1" applyAlignment="1"/>
    <xf numFmtId="0" fontId="10" fillId="0" borderId="0" xfId="0" applyFont="1" applyFill="1" applyAlignment="1">
      <alignment horizontal="left"/>
    </xf>
    <xf numFmtId="3" fontId="33" fillId="0" borderId="0" xfId="0" applyNumberFormat="1" applyFont="1" applyFill="1"/>
    <xf numFmtId="3" fontId="10" fillId="0" borderId="1" xfId="0" applyNumberFormat="1" applyFont="1" applyFill="1" applyBorder="1" applyAlignment="1">
      <alignment horizontal="center" vertical="center"/>
    </xf>
    <xf numFmtId="174" fontId="33" fillId="0" borderId="0" xfId="0" applyNumberFormat="1" applyFont="1" applyFill="1" applyBorder="1" applyAlignment="1">
      <alignment horizontal="left"/>
    </xf>
    <xf numFmtId="166" fontId="33" fillId="0" borderId="0" xfId="10" applyNumberFormat="1" applyFont="1" applyFill="1" applyBorder="1" applyAlignment="1"/>
    <xf numFmtId="3" fontId="33" fillId="0" borderId="0" xfId="10" applyNumberFormat="1" applyFont="1" applyFill="1" applyBorder="1" applyAlignment="1"/>
    <xf numFmtId="0" fontId="33" fillId="0" borderId="3" xfId="0" applyNumberFormat="1" applyFont="1" applyFill="1" applyBorder="1" applyAlignment="1">
      <alignment horizontal="left"/>
    </xf>
    <xf numFmtId="3" fontId="10" fillId="0" borderId="4" xfId="0" applyNumberFormat="1" applyFont="1" applyFill="1" applyBorder="1"/>
    <xf numFmtId="3" fontId="10" fillId="0" borderId="5" xfId="0" applyNumberFormat="1" applyFont="1" applyFill="1" applyBorder="1"/>
    <xf numFmtId="174" fontId="7" fillId="0" borderId="0" xfId="0" applyNumberFormat="1" applyFont="1" applyFill="1" applyBorder="1" applyAlignment="1">
      <alignment horizontal="left"/>
    </xf>
    <xf numFmtId="166" fontId="7" fillId="0" borderId="0" xfId="10" applyNumberFormat="1" applyFont="1" applyFill="1" applyBorder="1" applyAlignment="1"/>
    <xf numFmtId="2" fontId="7" fillId="0" borderId="0" xfId="0" applyNumberFormat="1" applyFont="1" applyFill="1" applyBorder="1" applyAlignment="1">
      <alignment horizontal="left"/>
    </xf>
    <xf numFmtId="165" fontId="33" fillId="0" borderId="0" xfId="0" applyNumberFormat="1" applyFont="1" applyFill="1" applyBorder="1"/>
    <xf numFmtId="174" fontId="7" fillId="0" borderId="0" xfId="0" applyNumberFormat="1" applyFont="1" applyFill="1" applyBorder="1"/>
    <xf numFmtId="165" fontId="9" fillId="0" borderId="0" xfId="0" applyNumberFormat="1" applyFont="1" applyFill="1"/>
    <xf numFmtId="3" fontId="9" fillId="0" borderId="0" xfId="0" applyNumberFormat="1" applyFont="1" applyFill="1"/>
    <xf numFmtId="0" fontId="9" fillId="0" borderId="0" xfId="0" applyFont="1" applyFill="1"/>
    <xf numFmtId="0" fontId="10" fillId="0" borderId="0" xfId="0" applyFont="1" applyFill="1" applyBorder="1" applyAlignment="1">
      <alignment vertical="center"/>
    </xf>
    <xf numFmtId="3" fontId="7" fillId="0" borderId="0" xfId="10" applyNumberFormat="1" applyFont="1" applyFill="1" applyBorder="1"/>
    <xf numFmtId="178" fontId="8" fillId="0" borderId="0" xfId="0" applyNumberFormat="1" applyFont="1" applyFill="1"/>
    <xf numFmtId="0" fontId="7" fillId="0" borderId="0" xfId="0" applyFont="1" applyFill="1" applyAlignment="1">
      <alignment horizontal="left" wrapText="1"/>
    </xf>
    <xf numFmtId="165" fontId="8" fillId="0" borderId="0" xfId="0" applyNumberFormat="1" applyFont="1" applyFill="1"/>
    <xf numFmtId="0" fontId="33" fillId="0" borderId="0" xfId="30873" applyFont="1" applyFill="1" applyAlignment="1">
      <alignment horizontal="left" vertical="top"/>
    </xf>
    <xf numFmtId="0" fontId="33" fillId="0" borderId="0" xfId="30873" applyFont="1" applyFill="1" applyAlignment="1">
      <alignment vertical="center" wrapText="1"/>
    </xf>
    <xf numFmtId="0" fontId="7" fillId="0" borderId="0" xfId="30873" applyFont="1" applyFill="1"/>
    <xf numFmtId="0" fontId="7" fillId="0" borderId="0" xfId="30873" applyFont="1" applyFill="1" applyAlignment="1">
      <alignment vertical="center"/>
    </xf>
    <xf numFmtId="0" fontId="7" fillId="0" borderId="0" xfId="30873" applyFont="1" applyFill="1" applyBorder="1" applyAlignment="1">
      <alignment horizontal="left" vertical="center" wrapText="1"/>
    </xf>
    <xf numFmtId="3" fontId="33" fillId="0" borderId="0" xfId="30873" applyNumberFormat="1" applyFont="1" applyFill="1" applyAlignment="1">
      <alignment wrapText="1"/>
    </xf>
    <xf numFmtId="0" fontId="33" fillId="0" borderId="0" xfId="30873" applyFont="1" applyFill="1"/>
    <xf numFmtId="3" fontId="7" fillId="0" borderId="0" xfId="30873" applyNumberFormat="1" applyFont="1" applyFill="1"/>
    <xf numFmtId="41" fontId="7" fillId="0" borderId="0" xfId="30873" applyNumberFormat="1" applyFont="1"/>
    <xf numFmtId="0" fontId="7" fillId="0" borderId="0" xfId="30873" applyFont="1" applyFill="1" applyAlignment="1">
      <alignment horizontal="left" vertical="top" wrapText="1"/>
    </xf>
    <xf numFmtId="0" fontId="7" fillId="0" borderId="0" xfId="0" applyNumberFormat="1" applyFont="1" applyFill="1" applyBorder="1" applyAlignment="1"/>
    <xf numFmtId="0" fontId="7" fillId="0" borderId="0" xfId="30873" applyFont="1" applyAlignment="1"/>
    <xf numFmtId="0" fontId="33" fillId="0" borderId="0" xfId="30873" applyFont="1" applyAlignment="1">
      <alignment horizontal="left" vertical="top"/>
    </xf>
    <xf numFmtId="0" fontId="33" fillId="0" borderId="0" xfId="30873" applyFont="1" applyAlignment="1">
      <alignment vertical="center" wrapText="1"/>
    </xf>
    <xf numFmtId="0" fontId="7" fillId="0" borderId="0" xfId="30873" applyFont="1" applyAlignment="1">
      <alignment vertical="center" wrapText="1"/>
    </xf>
    <xf numFmtId="41" fontId="33" fillId="0" borderId="0" xfId="30873" applyNumberFormat="1" applyFont="1" applyAlignment="1">
      <alignment horizontal="right" vertical="center" wrapText="1"/>
    </xf>
    <xf numFmtId="3" fontId="33" fillId="0" borderId="0" xfId="4093" applyNumberFormat="1" applyFont="1" applyFill="1" applyBorder="1" applyAlignment="1">
      <alignment horizontal="center" vertical="center"/>
    </xf>
    <xf numFmtId="0" fontId="7" fillId="0" borderId="0" xfId="4093" applyFont="1" applyFill="1" applyBorder="1" applyAlignment="1">
      <alignment vertical="top"/>
    </xf>
    <xf numFmtId="0" fontId="7" fillId="0" borderId="0" xfId="4093" applyFont="1" applyFill="1" applyBorder="1" applyAlignment="1"/>
    <xf numFmtId="0" fontId="33" fillId="0" borderId="0" xfId="4093" applyFont="1" applyFill="1" applyBorder="1" applyAlignment="1">
      <alignment horizontal="left" vertical="center"/>
    </xf>
    <xf numFmtId="3" fontId="33" fillId="0" borderId="0" xfId="4093" applyNumberFormat="1" applyFont="1" applyFill="1" applyBorder="1" applyAlignment="1">
      <alignment horizontal="right" vertical="center"/>
    </xf>
    <xf numFmtId="165" fontId="33" fillId="0" borderId="0" xfId="1" applyNumberFormat="1" applyFont="1" applyFill="1" applyBorder="1" applyAlignment="1">
      <alignment horizontal="right" vertical="center"/>
    </xf>
    <xf numFmtId="3" fontId="7" fillId="0" borderId="0" xfId="25534" applyNumberFormat="1" applyFont="1" applyFill="1" applyAlignment="1" applyProtection="1">
      <alignment horizontal="left" vertical="center"/>
      <protection locked="0"/>
    </xf>
    <xf numFmtId="41" fontId="7" fillId="0" borderId="0" xfId="4093" applyNumberFormat="1" applyFont="1" applyFill="1" applyBorder="1" applyAlignment="1">
      <alignment horizontal="right" vertical="center"/>
    </xf>
    <xf numFmtId="3" fontId="7" fillId="0" borderId="0" xfId="4093" applyNumberFormat="1" applyFont="1" applyFill="1" applyBorder="1" applyAlignment="1">
      <alignment horizontal="right" vertical="center"/>
    </xf>
    <xf numFmtId="165" fontId="7" fillId="0" borderId="0" xfId="1" applyNumberFormat="1" applyFont="1" applyFill="1" applyBorder="1"/>
    <xf numFmtId="3" fontId="8" fillId="0" borderId="0" xfId="0" applyNumberFormat="1" applyFont="1"/>
    <xf numFmtId="0" fontId="33" fillId="0" borderId="0" xfId="4093" applyFont="1" applyFill="1" applyBorder="1" applyAlignment="1">
      <alignment vertical="top"/>
    </xf>
    <xf numFmtId="0" fontId="7" fillId="0" borderId="0" xfId="4093" applyFont="1" applyFill="1" applyBorder="1" applyAlignment="1">
      <alignment wrapText="1"/>
    </xf>
    <xf numFmtId="0" fontId="7" fillId="0" borderId="0" xfId="4093" applyFont="1" applyFill="1" applyBorder="1" applyAlignment="1">
      <alignment horizontal="center" wrapText="1"/>
    </xf>
    <xf numFmtId="0" fontId="33" fillId="0" borderId="0" xfId="4093" applyFont="1" applyAlignment="1">
      <alignment wrapText="1"/>
    </xf>
    <xf numFmtId="0" fontId="33" fillId="0" borderId="0" xfId="4093" applyFont="1" applyAlignment="1">
      <alignment vertical="center" wrapText="1"/>
    </xf>
    <xf numFmtId="0" fontId="33" fillId="0" borderId="0" xfId="4093" applyFont="1" applyAlignment="1">
      <alignment horizontal="left" vertical="center" wrapText="1"/>
    </xf>
    <xf numFmtId="0" fontId="7" fillId="0" borderId="0" xfId="0" applyFont="1" applyFill="1" applyBorder="1" applyAlignment="1">
      <alignment horizontal="left" indent="2"/>
    </xf>
    <xf numFmtId="0" fontId="33" fillId="0" borderId="0" xfId="4093" applyFont="1" applyFill="1" applyAlignment="1">
      <alignment vertical="top" wrapText="1"/>
    </xf>
    <xf numFmtId="0" fontId="33" fillId="0" borderId="0" xfId="4093" applyFont="1" applyFill="1" applyAlignment="1">
      <alignment vertical="top"/>
    </xf>
    <xf numFmtId="0" fontId="33" fillId="0" borderId="6" xfId="4093" applyFont="1" applyFill="1" applyBorder="1" applyAlignment="1">
      <alignment horizontal="center" vertical="center"/>
    </xf>
    <xf numFmtId="41" fontId="33" fillId="0" borderId="0" xfId="4093" applyNumberFormat="1" applyFont="1" applyFill="1" applyBorder="1" applyAlignment="1">
      <alignment horizontal="right" vertical="center"/>
    </xf>
    <xf numFmtId="3" fontId="33" fillId="0" borderId="0" xfId="4093" applyNumberFormat="1" applyFont="1" applyFill="1" applyBorder="1" applyAlignment="1">
      <alignment horizontal="center"/>
    </xf>
    <xf numFmtId="49" fontId="7" fillId="0" borderId="0" xfId="10" applyNumberFormat="1" applyFont="1"/>
    <xf numFmtId="3" fontId="7" fillId="0" borderId="0" xfId="0" applyNumberFormat="1" applyFont="1" applyFill="1" applyBorder="1" applyAlignment="1">
      <alignment horizontal="center" vertical="center"/>
    </xf>
    <xf numFmtId="3" fontId="7" fillId="0" borderId="0" xfId="36434" applyNumberFormat="1" applyFont="1" applyFill="1" applyBorder="1" applyAlignment="1">
      <alignment horizontal="center" vertical="center" wrapText="1"/>
    </xf>
    <xf numFmtId="0" fontId="8" fillId="0" borderId="0" xfId="0" applyFont="1" applyFill="1" applyAlignment="1">
      <alignment horizontal="left" indent="2"/>
    </xf>
    <xf numFmtId="0" fontId="57" fillId="0" borderId="0" xfId="0" applyFont="1" applyAlignment="1"/>
    <xf numFmtId="0" fontId="7" fillId="0" borderId="0" xfId="0" applyFont="1" applyFill="1" applyBorder="1" applyAlignment="1">
      <alignment horizontal="left" vertical="center" wrapText="1"/>
    </xf>
    <xf numFmtId="178" fontId="7" fillId="0" borderId="0" xfId="0" applyNumberFormat="1" applyFont="1" applyFill="1" applyBorder="1"/>
    <xf numFmtId="0" fontId="33" fillId="0" borderId="0" xfId="36433" applyFont="1" applyFill="1" applyBorder="1" applyAlignment="1">
      <alignment horizontal="left"/>
    </xf>
    <xf numFmtId="3" fontId="33" fillId="0" borderId="0" xfId="36433" applyNumberFormat="1" applyFont="1" applyFill="1" applyBorder="1" applyAlignment="1">
      <alignment horizontal="left"/>
    </xf>
    <xf numFmtId="0" fontId="33" fillId="0" borderId="0" xfId="36433" applyFont="1" applyFill="1" applyBorder="1" applyAlignment="1">
      <alignment vertical="center"/>
    </xf>
    <xf numFmtId="0" fontId="7" fillId="0" borderId="0" xfId="36433" applyFont="1" applyFill="1" applyAlignment="1">
      <alignment vertical="center"/>
    </xf>
    <xf numFmtId="0" fontId="33" fillId="0" borderId="1" xfId="36433" applyFont="1" applyFill="1" applyBorder="1" applyAlignment="1">
      <alignment horizontal="center" vertical="center" wrapText="1"/>
    </xf>
    <xf numFmtId="0" fontId="7" fillId="0" borderId="0" xfId="36433" applyFont="1" applyFill="1" applyAlignment="1">
      <alignment wrapText="1"/>
    </xf>
    <xf numFmtId="0" fontId="7" fillId="0" borderId="0" xfId="36433" applyFont="1" applyFill="1" applyBorder="1" applyAlignment="1">
      <alignment horizontal="left"/>
    </xf>
    <xf numFmtId="3" fontId="7" fillId="0" borderId="0" xfId="36433" applyNumberFormat="1" applyFont="1" applyFill="1"/>
    <xf numFmtId="0" fontId="32" fillId="0" borderId="0" xfId="36433" applyFont="1" applyFill="1" applyAlignment="1">
      <alignment vertical="center"/>
    </xf>
    <xf numFmtId="49" fontId="7" fillId="0" borderId="0" xfId="36433" applyNumberFormat="1" applyFont="1" applyFill="1" applyBorder="1"/>
    <xf numFmtId="3" fontId="33" fillId="0" borderId="0" xfId="36433" applyNumberFormat="1" applyFont="1" applyFill="1" applyBorder="1"/>
    <xf numFmtId="172" fontId="7" fillId="0" borderId="0" xfId="2" applyNumberFormat="1" applyFont="1" applyFill="1" applyBorder="1"/>
    <xf numFmtId="0" fontId="7" fillId="0" borderId="0" xfId="36433" applyFont="1" applyFill="1" applyBorder="1" applyAlignment="1">
      <alignment horizontal="left" vertical="top"/>
    </xf>
    <xf numFmtId="0" fontId="7" fillId="0" borderId="0" xfId="36433" applyFont="1" applyFill="1" applyBorder="1" applyAlignment="1">
      <alignment horizontal="left" vertical="top" wrapText="1"/>
    </xf>
    <xf numFmtId="0" fontId="32" fillId="0" borderId="0" xfId="36433" applyFont="1" applyAlignment="1">
      <alignment vertical="center"/>
    </xf>
    <xf numFmtId="3" fontId="7" fillId="0" borderId="0" xfId="36433" applyNumberFormat="1" applyFont="1" applyFill="1" applyBorder="1" applyAlignment="1">
      <alignment horizontal="right"/>
    </xf>
    <xf numFmtId="0" fontId="7" fillId="0" borderId="0" xfId="36433" applyFont="1" applyAlignment="1">
      <alignment vertical="center"/>
    </xf>
    <xf numFmtId="3" fontId="7" fillId="0" borderId="0" xfId="36433" applyNumberFormat="1" applyFont="1"/>
    <xf numFmtId="49" fontId="7" fillId="0" borderId="0" xfId="36433" applyNumberFormat="1" applyFont="1" applyFill="1" applyBorder="1" applyAlignment="1">
      <alignment horizontal="left" vertical="top"/>
    </xf>
    <xf numFmtId="165" fontId="7" fillId="0" borderId="0" xfId="1" applyNumberFormat="1" applyFont="1"/>
    <xf numFmtId="172" fontId="7" fillId="0" borderId="0" xfId="36433" applyNumberFormat="1" applyFont="1" applyFill="1" applyBorder="1" applyAlignment="1">
      <alignment horizontal="left" vertical="top" wrapText="1"/>
    </xf>
    <xf numFmtId="178" fontId="32" fillId="0" borderId="0" xfId="36433" applyNumberFormat="1" applyFont="1"/>
    <xf numFmtId="0" fontId="7" fillId="0" borderId="0" xfId="36433" applyFont="1" applyFill="1" applyBorder="1" applyAlignment="1">
      <alignment horizontal="left" wrapText="1"/>
    </xf>
    <xf numFmtId="0" fontId="33" fillId="0" borderId="0" xfId="36433" applyFont="1" applyFill="1" applyBorder="1" applyAlignment="1"/>
    <xf numFmtId="0" fontId="33" fillId="0" borderId="1" xfId="6" applyFont="1" applyFill="1" applyBorder="1" applyAlignment="1">
      <alignment horizontal="center"/>
    </xf>
    <xf numFmtId="178" fontId="7" fillId="0" borderId="0" xfId="36433" applyNumberFormat="1" applyFont="1" applyFill="1"/>
    <xf numFmtId="0" fontId="7" fillId="0" borderId="0" xfId="6" applyFont="1" applyFill="1" applyBorder="1" applyAlignment="1">
      <alignment horizontal="right"/>
    </xf>
    <xf numFmtId="0" fontId="33" fillId="0" borderId="0" xfId="36433" applyFont="1" applyFill="1" applyBorder="1" applyAlignment="1">
      <alignment horizontal="right"/>
    </xf>
    <xf numFmtId="0" fontId="7" fillId="0" borderId="0" xfId="6" applyFont="1" applyAlignment="1">
      <alignment horizontal="right"/>
    </xf>
    <xf numFmtId="0" fontId="33" fillId="0" borderId="1" xfId="36433" applyFont="1" applyFill="1" applyBorder="1" applyAlignment="1">
      <alignment horizontal="center" vertical="center"/>
    </xf>
    <xf numFmtId="165" fontId="7" fillId="0" borderId="0" xfId="4079" applyNumberFormat="1" applyFont="1" applyFill="1" applyAlignment="1">
      <alignment horizontal="right"/>
    </xf>
    <xf numFmtId="165" fontId="7" fillId="0" borderId="0" xfId="36433" applyNumberFormat="1" applyFont="1" applyFill="1"/>
    <xf numFmtId="3" fontId="7" fillId="0" borderId="0" xfId="6" applyNumberFormat="1" applyFont="1" applyFill="1" applyBorder="1" applyAlignment="1">
      <alignment horizontal="right"/>
    </xf>
    <xf numFmtId="3" fontId="7" fillId="0" borderId="0" xfId="36433" applyNumberFormat="1" applyFont="1" applyFill="1" applyAlignment="1"/>
    <xf numFmtId="3" fontId="33" fillId="0" borderId="0" xfId="36433" applyNumberFormat="1" applyFont="1" applyFill="1" applyAlignment="1"/>
    <xf numFmtId="3" fontId="7" fillId="0" borderId="0" xfId="6" applyNumberFormat="1" applyFont="1" applyFill="1" applyBorder="1" applyAlignment="1"/>
    <xf numFmtId="185" fontId="7" fillId="0" borderId="0" xfId="6" applyNumberFormat="1" applyFont="1" applyFill="1" applyBorder="1" applyAlignment="1">
      <alignment horizontal="right"/>
    </xf>
    <xf numFmtId="0" fontId="33" fillId="0" borderId="0" xfId="36433" applyFont="1" applyFill="1" applyAlignment="1">
      <alignment horizontal="left" vertical="center" wrapText="1"/>
    </xf>
    <xf numFmtId="165" fontId="7" fillId="0" borderId="0" xfId="4079" applyNumberFormat="1" applyFont="1" applyFill="1" applyAlignment="1">
      <alignment vertical="center"/>
    </xf>
    <xf numFmtId="0" fontId="7" fillId="0" borderId="0" xfId="6" applyFont="1" applyFill="1" applyAlignment="1">
      <alignment horizontal="right" vertical="center"/>
    </xf>
    <xf numFmtId="165" fontId="33" fillId="0" borderId="0" xfId="4079" applyNumberFormat="1" applyFont="1" applyFill="1" applyBorder="1" applyAlignment="1">
      <alignment vertical="center" wrapText="1"/>
    </xf>
    <xf numFmtId="165" fontId="7" fillId="0" borderId="0" xfId="4079" applyNumberFormat="1" applyFont="1" applyFill="1" applyBorder="1" applyAlignment="1">
      <alignment horizontal="right" vertical="center"/>
    </xf>
    <xf numFmtId="0" fontId="7" fillId="0" borderId="0" xfId="36433" applyFont="1" applyFill="1" applyBorder="1" applyAlignment="1">
      <alignment vertical="center"/>
    </xf>
    <xf numFmtId="1" fontId="7" fillId="0" borderId="0" xfId="4079" applyNumberFormat="1" applyFont="1" applyFill="1" applyBorder="1" applyAlignment="1">
      <alignment horizontal="right" vertical="center"/>
    </xf>
    <xf numFmtId="1" fontId="7" fillId="0" borderId="0" xfId="36433" applyNumberFormat="1" applyFont="1" applyFill="1" applyAlignment="1"/>
    <xf numFmtId="0" fontId="7" fillId="0" borderId="0" xfId="36433" applyFont="1" applyFill="1" applyBorder="1" applyAlignment="1">
      <alignment horizontal="right" vertical="center"/>
    </xf>
    <xf numFmtId="0" fontId="32" fillId="0" borderId="0" xfId="36433" applyFont="1" applyFill="1" applyAlignment="1"/>
    <xf numFmtId="0" fontId="7" fillId="0" borderId="0" xfId="36433" applyFont="1" applyFill="1" applyAlignment="1">
      <alignment horizontal="right" vertical="center"/>
    </xf>
    <xf numFmtId="0" fontId="7" fillId="0" borderId="0" xfId="36433" applyFont="1" applyFill="1" applyBorder="1" applyAlignment="1"/>
    <xf numFmtId="0" fontId="7" fillId="0" borderId="0" xfId="36433" applyFont="1" applyFill="1" applyBorder="1" applyAlignment="1">
      <alignment horizontal="right"/>
    </xf>
    <xf numFmtId="0" fontId="7" fillId="0" borderId="0" xfId="36433" applyFont="1" applyFill="1" applyAlignment="1">
      <alignment horizontal="right"/>
    </xf>
    <xf numFmtId="49" fontId="7" fillId="0" borderId="0" xfId="36433" applyNumberFormat="1" applyFont="1" applyFill="1"/>
    <xf numFmtId="3" fontId="7" fillId="0" borderId="0" xfId="6" applyNumberFormat="1" applyFont="1" applyAlignment="1"/>
    <xf numFmtId="0" fontId="33" fillId="0" borderId="0" xfId="6" applyFont="1" applyFill="1" applyAlignment="1">
      <alignment vertical="center"/>
    </xf>
    <xf numFmtId="0" fontId="7" fillId="0" borderId="0" xfId="36433" applyFont="1" applyFill="1" applyAlignment="1">
      <alignment horizontal="left"/>
    </xf>
    <xf numFmtId="0" fontId="7" fillId="0" borderId="0" xfId="36433" applyFont="1" applyFill="1" applyAlignment="1">
      <alignment horizontal="center"/>
    </xf>
    <xf numFmtId="0" fontId="58" fillId="0" borderId="0" xfId="36433" applyFont="1" applyFill="1" applyAlignment="1"/>
    <xf numFmtId="0" fontId="7" fillId="0" borderId="0" xfId="36433" applyFont="1" applyFill="1" applyAlignment="1">
      <alignment horizontal="right" wrapText="1"/>
    </xf>
    <xf numFmtId="0" fontId="33" fillId="0" borderId="0" xfId="36433" applyFont="1" applyFill="1"/>
    <xf numFmtId="3" fontId="7" fillId="0" borderId="0" xfId="36433" applyNumberFormat="1" applyFont="1" applyFill="1" applyAlignment="1" applyProtection="1">
      <alignment horizontal="left" vertical="center" wrapText="1"/>
      <protection locked="0"/>
    </xf>
    <xf numFmtId="3" fontId="7" fillId="0" borderId="0" xfId="36433" applyNumberFormat="1" applyFont="1" applyFill="1" applyAlignment="1" applyProtection="1">
      <alignment vertical="center"/>
      <protection locked="0"/>
    </xf>
    <xf numFmtId="3" fontId="7" fillId="0" borderId="0" xfId="36433" applyNumberFormat="1" applyFont="1" applyFill="1" applyBorder="1" applyAlignment="1">
      <alignment horizontal="right" vertical="center"/>
    </xf>
    <xf numFmtId="3" fontId="7" fillId="0" borderId="0" xfId="6" applyNumberFormat="1" applyFont="1" applyBorder="1"/>
    <xf numFmtId="0" fontId="7" fillId="0" borderId="0" xfId="36433" applyFont="1" applyBorder="1" applyAlignment="1">
      <alignment horizontal="center" vertical="center" wrapText="1"/>
    </xf>
    <xf numFmtId="0" fontId="7" fillId="0" borderId="0" xfId="36433" applyFont="1" applyBorder="1" applyAlignment="1">
      <alignment horizontal="center" vertical="center"/>
    </xf>
    <xf numFmtId="0" fontId="7" fillId="0" borderId="0" xfId="36433" applyFont="1" applyFill="1" applyAlignment="1">
      <alignment horizontal="center" vertical="center"/>
    </xf>
    <xf numFmtId="0" fontId="7" fillId="0" borderId="0" xfId="36433" applyFont="1" applyBorder="1" applyAlignment="1">
      <alignment horizontal="right"/>
    </xf>
    <xf numFmtId="0" fontId="33" fillId="0" borderId="1" xfId="21193" applyFont="1" applyFill="1" applyBorder="1" applyAlignment="1">
      <alignment horizontal="center" vertical="center"/>
    </xf>
    <xf numFmtId="0" fontId="33" fillId="0" borderId="0" xfId="21193" applyFont="1" applyFill="1" applyBorder="1" applyAlignment="1">
      <alignment vertical="center" wrapText="1"/>
    </xf>
    <xf numFmtId="41" fontId="33" fillId="0" borderId="0" xfId="21193" applyNumberFormat="1" applyFont="1" applyFill="1" applyBorder="1" applyAlignment="1">
      <alignment vertical="center"/>
    </xf>
    <xf numFmtId="0" fontId="7" fillId="0" borderId="0" xfId="21193" applyFont="1" applyFill="1" applyBorder="1" applyAlignment="1">
      <alignment horizontal="left" vertical="center" indent="3"/>
    </xf>
    <xf numFmtId="41" fontId="7" fillId="0" borderId="0" xfId="21193" applyNumberFormat="1" applyFont="1" applyFill="1" applyBorder="1" applyAlignment="1">
      <alignment vertical="center"/>
    </xf>
    <xf numFmtId="41" fontId="7" fillId="0" borderId="0" xfId="21193" applyNumberFormat="1" applyFont="1" applyFill="1" applyBorder="1" applyAlignment="1">
      <alignment horizontal="right" vertical="center"/>
    </xf>
    <xf numFmtId="0" fontId="33" fillId="0" borderId="0" xfId="21193" applyFont="1" applyFill="1" applyBorder="1" applyAlignment="1">
      <alignment vertical="center"/>
    </xf>
    <xf numFmtId="0" fontId="34" fillId="0" borderId="0" xfId="36433" applyFont="1" applyFill="1"/>
    <xf numFmtId="0" fontId="32" fillId="0" borderId="0" xfId="36433" applyFont="1" applyFill="1" applyBorder="1"/>
    <xf numFmtId="3" fontId="32" fillId="0" borderId="0" xfId="36433" applyNumberFormat="1" applyFont="1" applyFill="1" applyBorder="1"/>
    <xf numFmtId="0" fontId="7" fillId="0" borderId="0" xfId="21193" applyFont="1" applyFill="1" applyAlignment="1">
      <alignment horizontal="left" vertical="center" wrapText="1"/>
    </xf>
    <xf numFmtId="0" fontId="7" fillId="0" borderId="0" xfId="13809" applyFont="1" applyFill="1" applyAlignment="1">
      <alignment vertical="center"/>
    </xf>
    <xf numFmtId="0" fontId="33" fillId="0" borderId="1" xfId="13809" applyFont="1" applyFill="1" applyBorder="1" applyAlignment="1">
      <alignment horizontal="center" vertical="center" wrapText="1"/>
    </xf>
    <xf numFmtId="0" fontId="33" fillId="0" borderId="1" xfId="13809" applyFont="1" applyFill="1" applyBorder="1" applyAlignment="1">
      <alignment horizontal="center" vertical="center"/>
    </xf>
    <xf numFmtId="0" fontId="33" fillId="0" borderId="0" xfId="13809" applyFont="1" applyFill="1" applyBorder="1" applyAlignment="1">
      <alignment vertical="center"/>
    </xf>
    <xf numFmtId="0" fontId="33" fillId="0" borderId="0" xfId="13809" applyFont="1" applyFill="1" applyBorder="1" applyAlignment="1">
      <alignment vertical="center" wrapText="1"/>
    </xf>
    <xf numFmtId="3" fontId="33" fillId="0" borderId="0" xfId="13809" applyNumberFormat="1" applyFont="1" applyFill="1" applyBorder="1" applyAlignment="1">
      <alignment vertical="center"/>
    </xf>
    <xf numFmtId="0" fontId="7" fillId="0" borderId="0" xfId="13809" applyFont="1" applyFill="1" applyBorder="1" applyAlignment="1">
      <alignment vertical="center" wrapText="1"/>
    </xf>
    <xf numFmtId="0" fontId="7" fillId="0" borderId="0" xfId="13809" applyFont="1" applyFill="1" applyBorder="1" applyAlignment="1">
      <alignment vertical="center"/>
    </xf>
    <xf numFmtId="170" fontId="7" fillId="0" borderId="0" xfId="13809" applyNumberFormat="1" applyFont="1" applyFill="1" applyBorder="1" applyAlignment="1">
      <alignment vertical="center"/>
    </xf>
    <xf numFmtId="0" fontId="7" fillId="0" borderId="0" xfId="20139" applyFont="1" applyFill="1" applyAlignment="1">
      <alignment vertical="center"/>
    </xf>
    <xf numFmtId="0" fontId="7" fillId="0" borderId="0" xfId="6" applyFont="1" applyFill="1" applyAlignment="1">
      <alignment vertical="center"/>
    </xf>
    <xf numFmtId="0" fontId="33" fillId="0" borderId="1" xfId="20139" applyFont="1" applyFill="1" applyBorder="1" applyAlignment="1">
      <alignment horizontal="center" vertical="center" wrapText="1"/>
    </xf>
    <xf numFmtId="0" fontId="33" fillId="0" borderId="0" xfId="20139" applyFont="1" applyFill="1" applyBorder="1" applyAlignment="1">
      <alignment vertical="center" wrapText="1"/>
    </xf>
    <xf numFmtId="41" fontId="33" fillId="0" borderId="0" xfId="20139" applyNumberFormat="1" applyFont="1" applyFill="1" applyBorder="1" applyAlignment="1">
      <alignment vertical="center" wrapText="1"/>
    </xf>
    <xf numFmtId="41" fontId="33" fillId="0" borderId="0" xfId="4079" applyNumberFormat="1" applyFont="1" applyFill="1" applyBorder="1" applyAlignment="1">
      <alignment horizontal="right" vertical="center" wrapText="1"/>
    </xf>
    <xf numFmtId="3" fontId="7" fillId="0" borderId="0" xfId="25594" applyNumberFormat="1" applyFont="1" applyFill="1" applyBorder="1" applyAlignment="1" applyProtection="1">
      <alignment horizontal="left" vertical="center"/>
      <protection locked="0"/>
    </xf>
    <xf numFmtId="41" fontId="7" fillId="0" borderId="0" xfId="25594" applyNumberFormat="1" applyFont="1" applyFill="1" applyBorder="1" applyAlignment="1" applyProtection="1">
      <alignment horizontal="right" vertical="center"/>
      <protection locked="0"/>
    </xf>
    <xf numFmtId="41" fontId="7" fillId="0" borderId="0" xfId="6" applyNumberFormat="1" applyFont="1" applyFill="1" applyBorder="1" applyAlignment="1" applyProtection="1">
      <alignment horizontal="right" vertical="center" wrapText="1"/>
      <protection locked="0"/>
    </xf>
    <xf numFmtId="41" fontId="7" fillId="0" borderId="0" xfId="20139" applyNumberFormat="1" applyFont="1" applyFill="1" applyBorder="1" applyAlignment="1">
      <alignment horizontal="right" vertical="center"/>
    </xf>
    <xf numFmtId="41" fontId="7" fillId="0" borderId="0" xfId="20139" applyNumberFormat="1" applyFont="1" applyFill="1" applyBorder="1" applyAlignment="1">
      <alignment vertical="center"/>
    </xf>
    <xf numFmtId="41" fontId="7" fillId="0" borderId="0" xfId="20139" applyNumberFormat="1" applyFont="1" applyFill="1" applyBorder="1" applyAlignment="1">
      <alignment horizontal="right" vertical="center" wrapText="1"/>
    </xf>
    <xf numFmtId="3" fontId="7" fillId="0" borderId="0" xfId="6" applyNumberFormat="1" applyFont="1" applyFill="1" applyBorder="1" applyAlignment="1" applyProtection="1">
      <alignment horizontal="left" vertical="center"/>
      <protection locked="0"/>
    </xf>
    <xf numFmtId="3" fontId="7" fillId="0" borderId="0" xfId="6" applyNumberFormat="1" applyFont="1" applyFill="1" applyBorder="1" applyAlignment="1" applyProtection="1">
      <alignment horizontal="right" vertical="center"/>
      <protection locked="0"/>
    </xf>
    <xf numFmtId="0" fontId="7" fillId="0" borderId="0" xfId="20139" applyFont="1" applyFill="1" applyBorder="1" applyAlignment="1">
      <alignment horizontal="right" vertical="center"/>
    </xf>
    <xf numFmtId="3" fontId="7" fillId="0" borderId="0" xfId="20139" applyNumberFormat="1" applyFont="1" applyFill="1" applyBorder="1" applyAlignment="1">
      <alignment horizontal="right" vertical="center"/>
    </xf>
    <xf numFmtId="6" fontId="7" fillId="0" borderId="0" xfId="20139" applyNumberFormat="1" applyFont="1" applyFill="1" applyBorder="1" applyAlignment="1">
      <alignment horizontal="right" vertical="center"/>
    </xf>
    <xf numFmtId="3" fontId="7" fillId="0" borderId="0" xfId="6" applyNumberFormat="1" applyFont="1" applyFill="1" applyBorder="1" applyAlignment="1" applyProtection="1">
      <alignment horizontal="right" vertical="center" wrapText="1"/>
      <protection locked="0"/>
    </xf>
    <xf numFmtId="0" fontId="7" fillId="0" borderId="0" xfId="20139" applyFont="1" applyFill="1" applyBorder="1" applyAlignment="1">
      <alignment horizontal="right" vertical="center" wrapText="1"/>
    </xf>
    <xf numFmtId="3" fontId="7" fillId="0" borderId="0" xfId="20139" applyNumberFormat="1" applyFont="1" applyFill="1" applyBorder="1" applyAlignment="1">
      <alignment horizontal="right" vertical="center" wrapText="1"/>
    </xf>
    <xf numFmtId="6" fontId="7" fillId="0" borderId="0" xfId="20139" applyNumberFormat="1" applyFont="1" applyFill="1" applyBorder="1" applyAlignment="1">
      <alignment horizontal="right" vertical="center" wrapText="1"/>
    </xf>
    <xf numFmtId="173" fontId="7" fillId="0" borderId="0" xfId="20139" applyNumberFormat="1" applyFont="1" applyFill="1" applyBorder="1" applyAlignment="1">
      <alignment horizontal="right" vertical="center" wrapText="1"/>
    </xf>
    <xf numFmtId="0" fontId="7" fillId="0" borderId="0" xfId="6" applyFont="1" applyFill="1"/>
    <xf numFmtId="0" fontId="7" fillId="0" borderId="0" xfId="6" applyFont="1" applyAlignment="1">
      <alignment vertical="center"/>
    </xf>
    <xf numFmtId="0" fontId="7" fillId="0" borderId="0" xfId="19216" applyFont="1" applyFill="1" applyAlignment="1">
      <alignment vertical="center"/>
    </xf>
    <xf numFmtId="0" fontId="33" fillId="0" borderId="1" xfId="19216" applyFont="1" applyFill="1" applyBorder="1" applyAlignment="1">
      <alignment horizontal="center" vertical="center"/>
    </xf>
    <xf numFmtId="0" fontId="33" fillId="0" borderId="1" xfId="19216" applyFont="1" applyFill="1" applyBorder="1" applyAlignment="1">
      <alignment horizontal="center" vertical="center" wrapText="1"/>
    </xf>
    <xf numFmtId="0" fontId="33" fillId="0" borderId="0" xfId="19216" applyFont="1" applyFill="1" applyBorder="1" applyAlignment="1">
      <alignment horizontal="left" vertical="center" wrapText="1"/>
    </xf>
    <xf numFmtId="0" fontId="7" fillId="0" borderId="0" xfId="19216" applyFont="1" applyFill="1" applyBorder="1" applyAlignment="1">
      <alignment horizontal="justify" vertical="center" wrapText="1"/>
    </xf>
    <xf numFmtId="41" fontId="33" fillId="0" borderId="0" xfId="19216" applyNumberFormat="1" applyFont="1" applyFill="1" applyBorder="1" applyAlignment="1">
      <alignment horizontal="center" vertical="center"/>
    </xf>
    <xf numFmtId="0" fontId="7" fillId="0" borderId="0" xfId="19216" applyFont="1" applyFill="1" applyBorder="1" applyAlignment="1">
      <alignment vertical="center" wrapText="1"/>
    </xf>
    <xf numFmtId="0" fontId="7" fillId="0" borderId="0" xfId="19216" applyFont="1" applyFill="1" applyBorder="1" applyAlignment="1">
      <alignment vertical="center"/>
    </xf>
    <xf numFmtId="41" fontId="7" fillId="0" borderId="0" xfId="19216" applyNumberFormat="1" applyFont="1" applyFill="1" applyBorder="1" applyAlignment="1">
      <alignment vertical="center"/>
    </xf>
    <xf numFmtId="41" fontId="7" fillId="0" borderId="0" xfId="19216" applyNumberFormat="1" applyFont="1" applyFill="1" applyBorder="1" applyAlignment="1">
      <alignment horizontal="right" vertical="center"/>
    </xf>
    <xf numFmtId="0" fontId="7" fillId="0" borderId="0" xfId="18293" applyFont="1" applyFill="1" applyBorder="1" applyAlignment="1">
      <alignment vertical="center" wrapText="1"/>
    </xf>
    <xf numFmtId="0" fontId="33" fillId="0" borderId="0" xfId="19216" applyFont="1" applyFill="1" applyBorder="1" applyAlignment="1">
      <alignment horizontal="center" vertical="center"/>
    </xf>
    <xf numFmtId="165" fontId="33" fillId="0" borderId="0" xfId="4079" applyNumberFormat="1" applyFont="1" applyFill="1" applyBorder="1" applyAlignment="1">
      <alignment vertical="center"/>
    </xf>
    <xf numFmtId="188" fontId="33" fillId="0" borderId="0" xfId="4079" applyNumberFormat="1" applyFont="1" applyFill="1" applyBorder="1" applyAlignment="1">
      <alignment vertical="center"/>
    </xf>
    <xf numFmtId="165" fontId="33" fillId="0" borderId="0" xfId="4079" applyNumberFormat="1" applyFont="1" applyFill="1" applyBorder="1" applyAlignment="1">
      <alignment horizontal="right" vertical="center"/>
    </xf>
    <xf numFmtId="188" fontId="33" fillId="0" borderId="0" xfId="4079" applyNumberFormat="1" applyFont="1" applyFill="1" applyBorder="1" applyAlignment="1">
      <alignment horizontal="right" vertical="center"/>
    </xf>
    <xf numFmtId="0" fontId="7" fillId="0" borderId="0" xfId="19216" applyFont="1" applyFill="1" applyBorder="1" applyAlignment="1">
      <alignment horizontal="left" vertical="center"/>
    </xf>
    <xf numFmtId="41" fontId="33" fillId="0" borderId="0" xfId="4079" applyNumberFormat="1" applyFont="1" applyFill="1" applyBorder="1" applyAlignment="1">
      <alignment vertical="center"/>
    </xf>
    <xf numFmtId="41" fontId="33" fillId="0" borderId="0" xfId="4079" applyNumberFormat="1" applyFont="1" applyFill="1" applyBorder="1" applyAlignment="1">
      <alignment horizontal="right" vertical="center"/>
    </xf>
    <xf numFmtId="41" fontId="7" fillId="0" borderId="0" xfId="6" applyNumberFormat="1" applyFont="1" applyFill="1" applyBorder="1" applyAlignment="1">
      <alignment vertical="center"/>
    </xf>
    <xf numFmtId="41" fontId="7" fillId="0" borderId="0" xfId="4079" applyNumberFormat="1" applyFont="1" applyFill="1" applyBorder="1" applyAlignment="1">
      <alignment horizontal="right" vertical="center"/>
    </xf>
    <xf numFmtId="41" fontId="7" fillId="0" borderId="0" xfId="4079" applyNumberFormat="1" applyFont="1" applyFill="1" applyBorder="1" applyAlignment="1">
      <alignment vertical="center"/>
    </xf>
    <xf numFmtId="173" fontId="7" fillId="0" borderId="0" xfId="6" applyNumberFormat="1" applyFont="1" applyFill="1" applyBorder="1" applyAlignment="1">
      <alignment vertical="center"/>
    </xf>
    <xf numFmtId="0" fontId="7" fillId="0" borderId="0" xfId="19216" applyFont="1" applyFill="1" applyBorder="1" applyAlignment="1">
      <alignment horizontal="right" vertical="center"/>
    </xf>
    <xf numFmtId="170" fontId="7" fillId="0" borderId="0" xfId="19216" applyNumberFormat="1" applyFont="1" applyFill="1" applyBorder="1" applyAlignment="1">
      <alignment horizontal="right" vertical="center"/>
    </xf>
    <xf numFmtId="188" fontId="7" fillId="0" borderId="0" xfId="4079" applyNumberFormat="1" applyFont="1" applyFill="1" applyBorder="1" applyAlignment="1">
      <alignment vertical="center"/>
    </xf>
    <xf numFmtId="0" fontId="7" fillId="0" borderId="0" xfId="6" applyFont="1" applyBorder="1" applyAlignment="1">
      <alignment vertical="center"/>
    </xf>
    <xf numFmtId="173" fontId="7" fillId="0" borderId="0" xfId="6" applyNumberFormat="1" applyFont="1" applyBorder="1" applyAlignment="1">
      <alignment vertical="center"/>
    </xf>
    <xf numFmtId="0" fontId="7" fillId="0" borderId="0" xfId="18293" applyFont="1" applyFill="1" applyAlignment="1">
      <alignment vertical="center"/>
    </xf>
    <xf numFmtId="0" fontId="33" fillId="0" borderId="1" xfId="18293" applyFont="1" applyFill="1" applyBorder="1" applyAlignment="1">
      <alignment horizontal="center" vertical="center"/>
    </xf>
    <xf numFmtId="0" fontId="33" fillId="0" borderId="1" xfId="18293" applyFont="1" applyFill="1" applyBorder="1" applyAlignment="1">
      <alignment horizontal="center" vertical="center" wrapText="1"/>
    </xf>
    <xf numFmtId="3" fontId="33" fillId="0" borderId="0" xfId="18293" applyNumberFormat="1" applyFont="1" applyFill="1" applyBorder="1" applyAlignment="1">
      <alignment horizontal="right" vertical="center"/>
    </xf>
    <xf numFmtId="41" fontId="33" fillId="0" borderId="0" xfId="18293" applyNumberFormat="1" applyFont="1" applyFill="1" applyBorder="1" applyAlignment="1">
      <alignment horizontal="right" vertical="center"/>
    </xf>
    <xf numFmtId="0" fontId="7" fillId="0" borderId="0" xfId="18293" applyFont="1" applyFill="1" applyBorder="1" applyAlignment="1">
      <alignment vertical="center"/>
    </xf>
    <xf numFmtId="41" fontId="7" fillId="0" borderId="0" xfId="18293" applyNumberFormat="1" applyFont="1" applyFill="1" applyBorder="1" applyAlignment="1">
      <alignment horizontal="right" vertical="center"/>
    </xf>
    <xf numFmtId="170" fontId="7" fillId="0" borderId="0" xfId="18293" applyNumberFormat="1" applyFont="1" applyFill="1" applyBorder="1" applyAlignment="1">
      <alignment horizontal="right" vertical="center"/>
    </xf>
    <xf numFmtId="0" fontId="7" fillId="0" borderId="0" xfId="18293" applyFont="1" applyFill="1" applyBorder="1" applyAlignment="1">
      <alignment horizontal="right" vertical="center"/>
    </xf>
    <xf numFmtId="5" fontId="33" fillId="0" borderId="0" xfId="4079" applyNumberFormat="1" applyFont="1" applyFill="1" applyBorder="1" applyAlignment="1">
      <alignment horizontal="right" vertical="center"/>
    </xf>
    <xf numFmtId="188" fontId="7" fillId="0" borderId="0" xfId="4079" applyNumberFormat="1" applyFont="1" applyFill="1" applyBorder="1" applyAlignment="1">
      <alignment horizontal="right" vertical="center"/>
    </xf>
    <xf numFmtId="189" fontId="33" fillId="0" borderId="0" xfId="4079" applyNumberFormat="1" applyFont="1" applyFill="1" applyBorder="1" applyAlignment="1">
      <alignment horizontal="right" vertical="center"/>
    </xf>
    <xf numFmtId="189" fontId="7" fillId="0" borderId="0" xfId="4079" applyNumberFormat="1" applyFont="1" applyFill="1" applyBorder="1" applyAlignment="1">
      <alignment horizontal="right" vertical="center"/>
    </xf>
    <xf numFmtId="0" fontId="7" fillId="0" borderId="0" xfId="18293" applyFont="1" applyFill="1" applyBorder="1" applyAlignment="1">
      <alignment horizontal="left" vertical="center"/>
    </xf>
    <xf numFmtId="3" fontId="7" fillId="0" borderId="0" xfId="25580" applyNumberFormat="1" applyFont="1" applyFill="1" applyBorder="1" applyAlignment="1" applyProtection="1">
      <alignment horizontal="left" vertical="center"/>
      <protection locked="0"/>
    </xf>
    <xf numFmtId="41" fontId="7" fillId="0" borderId="0" xfId="6" applyNumberFormat="1" applyFont="1" applyFill="1" applyBorder="1" applyAlignment="1">
      <alignment horizontal="right" vertical="center"/>
    </xf>
    <xf numFmtId="3" fontId="7" fillId="0" borderId="0" xfId="6" applyNumberFormat="1" applyFont="1" applyFill="1" applyBorder="1" applyAlignment="1" applyProtection="1">
      <alignment horizontal="left" vertical="center" wrapText="1"/>
      <protection locked="0"/>
    </xf>
    <xf numFmtId="0" fontId="33" fillId="0" borderId="1" xfId="36433" applyFont="1" applyFill="1" applyBorder="1" applyAlignment="1">
      <alignment horizontal="center"/>
    </xf>
    <xf numFmtId="41" fontId="33" fillId="0" borderId="0" xfId="36433" applyNumberFormat="1" applyFont="1" applyFill="1" applyBorder="1" applyAlignment="1">
      <alignment vertical="center"/>
    </xf>
    <xf numFmtId="3" fontId="7" fillId="0" borderId="0" xfId="25579" applyNumberFormat="1" applyFont="1" applyFill="1" applyAlignment="1" applyProtection="1">
      <alignment horizontal="left" vertical="center"/>
      <protection locked="0"/>
    </xf>
    <xf numFmtId="41" fontId="7" fillId="0" borderId="0" xfId="36433" applyNumberFormat="1" applyFont="1" applyFill="1" applyBorder="1" applyAlignment="1">
      <alignment vertical="center"/>
    </xf>
    <xf numFmtId="41" fontId="7" fillId="0" borderId="0" xfId="36433" applyNumberFormat="1" applyFont="1" applyFill="1" applyBorder="1"/>
    <xf numFmtId="41" fontId="7" fillId="0" borderId="0" xfId="36433" applyNumberFormat="1" applyFont="1" applyFill="1" applyBorder="1" applyAlignment="1">
      <alignment horizontal="right" vertical="center"/>
    </xf>
    <xf numFmtId="3" fontId="33" fillId="0" borderId="0" xfId="36433" applyNumberFormat="1" applyFont="1" applyFill="1" applyBorder="1" applyAlignment="1">
      <alignment vertical="center"/>
    </xf>
    <xf numFmtId="3" fontId="33" fillId="0" borderId="0" xfId="36433" applyNumberFormat="1" applyFont="1" applyFill="1" applyBorder="1" applyAlignment="1">
      <alignment horizontal="center" vertical="center"/>
    </xf>
    <xf numFmtId="0" fontId="7" fillId="0" borderId="0" xfId="36433" applyFont="1" applyBorder="1" applyAlignment="1">
      <alignment horizontal="left" vertical="center"/>
    </xf>
    <xf numFmtId="3" fontId="7" fillId="0" borderId="0" xfId="36433" applyNumberFormat="1" applyFont="1" applyFill="1" applyBorder="1" applyAlignment="1">
      <alignment vertical="center"/>
    </xf>
    <xf numFmtId="3" fontId="7" fillId="0" borderId="0" xfId="36433" applyNumberFormat="1" applyFont="1" applyBorder="1" applyAlignment="1">
      <alignment vertical="center"/>
    </xf>
    <xf numFmtId="3" fontId="7" fillId="0" borderId="0" xfId="36433" applyNumberFormat="1" applyFont="1" applyFill="1" applyBorder="1" applyAlignment="1" applyProtection="1">
      <alignment horizontal="left" vertical="center"/>
      <protection locked="0"/>
    </xf>
    <xf numFmtId="3" fontId="33" fillId="0" borderId="0" xfId="36433" applyNumberFormat="1" applyFont="1"/>
    <xf numFmtId="0" fontId="7" fillId="0" borderId="0" xfId="36433" applyFont="1" applyFill="1" applyBorder="1" applyAlignment="1">
      <alignment horizontal="center" vertical="center"/>
    </xf>
    <xf numFmtId="173" fontId="33" fillId="0" borderId="0" xfId="36433" applyNumberFormat="1" applyFont="1" applyFill="1" applyBorder="1" applyAlignment="1">
      <alignment vertical="center"/>
    </xf>
    <xf numFmtId="173" fontId="7" fillId="0" borderId="0" xfId="36433" applyNumberFormat="1" applyFont="1" applyFill="1" applyBorder="1" applyAlignment="1">
      <alignment vertical="center"/>
    </xf>
    <xf numFmtId="173" fontId="7" fillId="0" borderId="0" xfId="36433" applyNumberFormat="1" applyFont="1" applyBorder="1" applyAlignment="1">
      <alignment vertical="center"/>
    </xf>
    <xf numFmtId="170" fontId="7" fillId="0" borderId="0" xfId="36433" applyNumberFormat="1" applyFont="1" applyBorder="1" applyAlignment="1">
      <alignment vertical="center"/>
    </xf>
    <xf numFmtId="3" fontId="7" fillId="0" borderId="0" xfId="36433" applyNumberFormat="1" applyFont="1" applyFill="1" applyBorder="1" applyAlignment="1" applyProtection="1">
      <alignment horizontal="left" vertical="center" wrapText="1"/>
      <protection locked="0"/>
    </xf>
    <xf numFmtId="0" fontId="7" fillId="0" borderId="0" xfId="36433" applyFont="1" applyFill="1" applyBorder="1" applyAlignment="1">
      <alignment horizontal="left" vertical="center"/>
    </xf>
    <xf numFmtId="171" fontId="7" fillId="0" borderId="0" xfId="30866" applyNumberFormat="1" applyFont="1" applyBorder="1" applyAlignment="1">
      <alignment vertical="center"/>
    </xf>
    <xf numFmtId="0" fontId="33" fillId="0" borderId="1" xfId="30865" applyFont="1" applyFill="1" applyBorder="1" applyAlignment="1">
      <alignment horizontal="center" vertical="center"/>
    </xf>
    <xf numFmtId="0" fontId="33" fillId="0" borderId="0" xfId="36433" applyFont="1" applyFill="1" applyBorder="1" applyAlignment="1">
      <alignment vertical="center" wrapText="1"/>
    </xf>
    <xf numFmtId="0" fontId="33" fillId="0" borderId="0" xfId="30865" applyFont="1" applyFill="1" applyBorder="1" applyAlignment="1">
      <alignment horizontal="center" vertical="center"/>
    </xf>
    <xf numFmtId="3" fontId="33" fillId="0" borderId="0" xfId="36433" applyNumberFormat="1" applyFont="1" applyFill="1" applyBorder="1" applyAlignment="1">
      <alignment horizontal="right" vertical="center"/>
    </xf>
    <xf numFmtId="0" fontId="33" fillId="0" borderId="0" xfId="7185" applyFont="1" applyFill="1" applyBorder="1" applyAlignment="1">
      <alignment horizontal="left" vertical="center" wrapText="1"/>
    </xf>
    <xf numFmtId="0" fontId="33" fillId="0" borderId="1" xfId="7185" applyFont="1" applyFill="1" applyBorder="1" applyAlignment="1">
      <alignment horizontal="center" vertical="center" wrapText="1"/>
    </xf>
    <xf numFmtId="0" fontId="33" fillId="0" borderId="0" xfId="7185" applyFont="1" applyFill="1" applyBorder="1" applyAlignment="1">
      <alignment horizontal="justify" vertical="center" wrapText="1"/>
    </xf>
    <xf numFmtId="3" fontId="33" fillId="0" borderId="0" xfId="7185" applyNumberFormat="1" applyFont="1" applyFill="1" applyBorder="1" applyAlignment="1">
      <alignment horizontal="right" vertical="center" wrapText="1"/>
    </xf>
    <xf numFmtId="172" fontId="33" fillId="0" borderId="0" xfId="7185" applyNumberFormat="1" applyFont="1" applyFill="1" applyBorder="1" applyAlignment="1">
      <alignment horizontal="right" vertical="center" wrapText="1"/>
    </xf>
    <xf numFmtId="0" fontId="7" fillId="0" borderId="0" xfId="7185" applyFont="1" applyFill="1" applyBorder="1" applyAlignment="1">
      <alignment horizontal="justify" vertical="center"/>
    </xf>
    <xf numFmtId="3" fontId="7" fillId="0" borderId="0" xfId="7185" applyNumberFormat="1" applyFont="1" applyFill="1" applyBorder="1" applyAlignment="1">
      <alignment horizontal="right" vertical="center"/>
    </xf>
    <xf numFmtId="10" fontId="7" fillId="0" borderId="0" xfId="7185" applyNumberFormat="1" applyFont="1" applyFill="1" applyBorder="1" applyAlignment="1">
      <alignment horizontal="right" vertical="center"/>
    </xf>
    <xf numFmtId="165" fontId="7" fillId="0" borderId="0" xfId="4079" applyNumberFormat="1" applyFont="1" applyFill="1" applyBorder="1" applyAlignment="1">
      <alignment vertical="center"/>
    </xf>
    <xf numFmtId="0" fontId="7" fillId="0" borderId="0" xfId="7185" applyFont="1" applyFill="1" applyBorder="1" applyAlignment="1">
      <alignment horizontal="justify" vertical="center" wrapText="1"/>
    </xf>
    <xf numFmtId="3" fontId="7" fillId="0" borderId="0" xfId="7185" applyNumberFormat="1" applyFont="1" applyFill="1" applyBorder="1" applyAlignment="1">
      <alignment horizontal="right" vertical="center" wrapText="1"/>
    </xf>
    <xf numFmtId="0" fontId="33" fillId="0" borderId="0" xfId="36433" applyFont="1" applyAlignment="1"/>
    <xf numFmtId="0" fontId="33" fillId="0" borderId="0" xfId="36433" applyFont="1" applyAlignment="1">
      <alignment horizontal="left" vertical="center" wrapText="1"/>
    </xf>
    <xf numFmtId="0" fontId="33" fillId="0" borderId="0" xfId="36433" applyFont="1" applyFill="1" applyBorder="1" applyAlignment="1">
      <alignment horizontal="left" vertical="center" wrapText="1"/>
    </xf>
    <xf numFmtId="0" fontId="33" fillId="0" borderId="0" xfId="36433" applyFont="1" applyFill="1" applyBorder="1" applyAlignment="1">
      <alignment horizontal="justify" vertical="center" wrapText="1"/>
    </xf>
    <xf numFmtId="3" fontId="33" fillId="0" borderId="0" xfId="36433" applyNumberFormat="1" applyFont="1" applyFill="1" applyBorder="1" applyAlignment="1">
      <alignment horizontal="right" vertical="center" wrapText="1"/>
    </xf>
    <xf numFmtId="3" fontId="33" fillId="0" borderId="10" xfId="36433" applyNumberFormat="1" applyFont="1" applyFill="1" applyBorder="1" applyAlignment="1">
      <alignment horizontal="right" vertical="center"/>
    </xf>
    <xf numFmtId="0" fontId="7" fillId="0" borderId="0" xfId="36433" applyFont="1" applyFill="1" applyBorder="1" applyAlignment="1">
      <alignment horizontal="justify" vertical="center" wrapText="1"/>
    </xf>
    <xf numFmtId="3" fontId="7" fillId="0" borderId="0" xfId="36433" applyNumberFormat="1" applyFont="1" applyFill="1" applyBorder="1" applyAlignment="1" applyProtection="1">
      <alignment horizontal="justify" vertical="center" wrapText="1"/>
      <protection locked="0"/>
    </xf>
    <xf numFmtId="3" fontId="7" fillId="0" borderId="10" xfId="36433" applyNumberFormat="1" applyFont="1" applyFill="1" applyBorder="1" applyAlignment="1">
      <alignment horizontal="right" vertical="center"/>
    </xf>
    <xf numFmtId="0" fontId="7" fillId="0" borderId="0" xfId="36433" applyFont="1" applyFill="1" applyBorder="1" applyAlignment="1">
      <alignment horizontal="justify" vertical="center"/>
    </xf>
    <xf numFmtId="0" fontId="7" fillId="0" borderId="0" xfId="36433" applyFont="1" applyFill="1" applyBorder="1" applyAlignment="1">
      <alignment vertical="center" wrapText="1"/>
    </xf>
    <xf numFmtId="0" fontId="11" fillId="0" borderId="0" xfId="36433" applyFont="1" applyFill="1"/>
    <xf numFmtId="0" fontId="11" fillId="0" borderId="0" xfId="36433" applyFont="1" applyFill="1" applyBorder="1" applyAlignment="1">
      <alignment vertical="center"/>
    </xf>
    <xf numFmtId="0" fontId="7" fillId="0" borderId="0" xfId="28002" applyFont="1" applyFill="1" applyAlignment="1"/>
    <xf numFmtId="178" fontId="11" fillId="0" borderId="0" xfId="36433" applyNumberFormat="1" applyFont="1" applyFill="1" applyBorder="1" applyAlignment="1"/>
    <xf numFmtId="178" fontId="7" fillId="0" borderId="0" xfId="28002" applyNumberFormat="1" applyFont="1" applyFill="1" applyAlignment="1"/>
    <xf numFmtId="178" fontId="7" fillId="0" borderId="0" xfId="36433" applyNumberFormat="1" applyFont="1" applyFill="1" applyBorder="1" applyAlignment="1">
      <alignment horizontal="right" wrapText="1"/>
    </xf>
    <xf numFmtId="178" fontId="11" fillId="0" borderId="0" xfId="36433" applyNumberFormat="1" applyFont="1" applyFill="1" applyBorder="1" applyAlignment="1">
      <alignment wrapText="1"/>
    </xf>
    <xf numFmtId="178" fontId="11" fillId="0" borderId="0" xfId="36433" applyNumberFormat="1" applyFont="1" applyFill="1" applyBorder="1" applyAlignment="1">
      <alignment horizontal="center"/>
    </xf>
    <xf numFmtId="0" fontId="11" fillId="0" borderId="0" xfId="36433" applyFont="1" applyFill="1" applyBorder="1" applyAlignment="1"/>
    <xf numFmtId="0" fontId="11" fillId="0" borderId="0" xfId="36433" applyFont="1" applyFill="1" applyAlignment="1"/>
    <xf numFmtId="178" fontId="7" fillId="0" borderId="0" xfId="36433" applyNumberFormat="1" applyFont="1" applyFill="1" applyBorder="1" applyAlignment="1">
      <alignment horizontal="center" wrapText="1"/>
    </xf>
    <xf numFmtId="0" fontId="11" fillId="0" borderId="0" xfId="36433" applyFont="1" applyFill="1" applyBorder="1" applyAlignment="1">
      <alignment horizontal="left" vertical="center"/>
    </xf>
    <xf numFmtId="0" fontId="32" fillId="0" borderId="0" xfId="36433" applyFont="1" applyAlignment="1"/>
    <xf numFmtId="0" fontId="33" fillId="0" borderId="0" xfId="36433" applyFont="1" applyFill="1" applyBorder="1" applyAlignment="1">
      <alignment horizontal="left" vertical="center"/>
    </xf>
    <xf numFmtId="0" fontId="7" fillId="0" borderId="0" xfId="36433" applyFont="1" applyFill="1" applyBorder="1" applyAlignment="1">
      <alignment horizontal="left" vertical="center" wrapText="1"/>
    </xf>
    <xf numFmtId="0" fontId="45" fillId="0" borderId="0" xfId="36433" applyFont="1" applyFill="1" applyBorder="1" applyAlignment="1">
      <alignment horizontal="left" vertical="center" wrapText="1"/>
    </xf>
    <xf numFmtId="178" fontId="11" fillId="0" borderId="0" xfId="36433" applyNumberFormat="1" applyFont="1" applyFill="1" applyBorder="1" applyAlignment="1">
      <alignment horizontal="center" wrapText="1"/>
    </xf>
    <xf numFmtId="0" fontId="11" fillId="0" borderId="0" xfId="36433" applyFont="1" applyFill="1" applyBorder="1" applyAlignment="1">
      <alignment wrapText="1"/>
    </xf>
    <xf numFmtId="0" fontId="11" fillId="0" borderId="0" xfId="36433" applyFont="1" applyFill="1" applyAlignment="1">
      <alignment wrapText="1"/>
    </xf>
    <xf numFmtId="0" fontId="11" fillId="0" borderId="0" xfId="36433" applyFont="1" applyFill="1" applyBorder="1" applyAlignment="1">
      <alignment horizontal="left" vertical="center" wrapText="1"/>
    </xf>
    <xf numFmtId="0" fontId="7" fillId="0" borderId="0" xfId="28002" applyFont="1" applyFill="1" applyAlignment="1">
      <alignment vertical="top" wrapText="1"/>
    </xf>
    <xf numFmtId="0" fontId="7" fillId="0" borderId="0" xfId="36433" applyFont="1" applyFill="1" applyBorder="1" applyAlignment="1">
      <alignment horizontal="justify"/>
    </xf>
    <xf numFmtId="0" fontId="33" fillId="0" borderId="0" xfId="28002" applyFont="1" applyFill="1" applyBorder="1" applyAlignment="1">
      <alignment horizontal="left" vertical="top" wrapText="1"/>
    </xf>
    <xf numFmtId="0" fontId="33" fillId="0" borderId="1" xfId="28002" applyFont="1" applyFill="1" applyBorder="1" applyAlignment="1">
      <alignment horizontal="center" vertical="top" wrapText="1"/>
    </xf>
    <xf numFmtId="0" fontId="33" fillId="0" borderId="1" xfId="36433" applyFont="1" applyFill="1" applyBorder="1" applyAlignment="1">
      <alignment horizontal="center" wrapText="1"/>
    </xf>
    <xf numFmtId="178" fontId="7" fillId="0" borderId="0" xfId="36433" applyNumberFormat="1" applyFont="1" applyFill="1" applyBorder="1" applyAlignment="1">
      <alignment wrapText="1"/>
    </xf>
    <xf numFmtId="178" fontId="7" fillId="0" borderId="0" xfId="36433" applyNumberFormat="1" applyFont="1" applyFill="1" applyBorder="1" applyAlignment="1">
      <alignment horizontal="right"/>
    </xf>
    <xf numFmtId="178" fontId="11" fillId="0" borderId="0" xfId="36433" applyNumberFormat="1" applyFont="1" applyFill="1" applyBorder="1" applyAlignment="1">
      <alignment horizontal="right"/>
    </xf>
    <xf numFmtId="0" fontId="7" fillId="0" borderId="0" xfId="28002" applyFont="1" applyFill="1" applyBorder="1" applyAlignment="1">
      <alignment horizontal="left" vertical="top"/>
    </xf>
    <xf numFmtId="165" fontId="7" fillId="0" borderId="0" xfId="4079" applyNumberFormat="1" applyFont="1" applyFill="1" applyBorder="1" applyAlignment="1">
      <alignment horizontal="center"/>
    </xf>
    <xf numFmtId="165" fontId="33" fillId="0" borderId="0" xfId="4079" applyNumberFormat="1" applyFont="1" applyFill="1" applyBorder="1" applyAlignment="1">
      <alignment horizontal="center" wrapText="1"/>
    </xf>
    <xf numFmtId="0" fontId="7" fillId="0" borderId="0" xfId="28002" applyFont="1" applyFill="1" applyBorder="1" applyAlignment="1">
      <alignment vertical="top"/>
    </xf>
    <xf numFmtId="0" fontId="7" fillId="0" borderId="0" xfId="28002" applyFont="1" applyFill="1" applyBorder="1" applyAlignment="1">
      <alignment horizontal="left" vertical="top" wrapText="1"/>
    </xf>
    <xf numFmtId="0" fontId="57" fillId="0" borderId="0" xfId="36433" applyFont="1" applyAlignment="1"/>
    <xf numFmtId="0" fontId="33" fillId="0" borderId="1" xfId="28002" applyFont="1" applyFill="1" applyBorder="1" applyAlignment="1">
      <alignment horizontal="center" vertical="center" wrapText="1"/>
    </xf>
    <xf numFmtId="0" fontId="33" fillId="0" borderId="1" xfId="28002" applyFont="1" applyFill="1" applyBorder="1" applyAlignment="1">
      <alignment horizontal="center"/>
    </xf>
    <xf numFmtId="0" fontId="45" fillId="0" borderId="0" xfId="28002" applyFont="1" applyFill="1" applyBorder="1" applyAlignment="1">
      <alignment horizontal="center"/>
    </xf>
    <xf numFmtId="0" fontId="33" fillId="0" borderId="0" xfId="28002" applyFont="1" applyFill="1" applyBorder="1" applyAlignment="1">
      <alignment vertical="top" wrapText="1"/>
    </xf>
    <xf numFmtId="2" fontId="33" fillId="0" borderId="0" xfId="28002" applyNumberFormat="1" applyFont="1" applyFill="1"/>
    <xf numFmtId="2" fontId="7" fillId="0" borderId="0" xfId="28002" applyNumberFormat="1" applyFont="1" applyFill="1" applyBorder="1"/>
    <xf numFmtId="0" fontId="7" fillId="0" borderId="0" xfId="28002" applyFont="1" applyFill="1" applyBorder="1" applyAlignment="1">
      <alignment vertical="top" wrapText="1"/>
    </xf>
    <xf numFmtId="3" fontId="7" fillId="0" borderId="0" xfId="28002" applyNumberFormat="1" applyFont="1" applyFill="1" applyBorder="1"/>
    <xf numFmtId="3" fontId="7" fillId="0" borderId="0" xfId="28002" applyNumberFormat="1" applyFont="1" applyFill="1" applyBorder="1" applyAlignment="1">
      <alignment horizontal="center"/>
    </xf>
    <xf numFmtId="3" fontId="7" fillId="0" borderId="0" xfId="28002" applyNumberFormat="1" applyFont="1" applyFill="1"/>
    <xf numFmtId="178" fontId="7" fillId="0" borderId="0" xfId="28002" applyNumberFormat="1" applyFont="1" applyFill="1"/>
    <xf numFmtId="41" fontId="33" fillId="0" borderId="0" xfId="28002" applyNumberFormat="1" applyFont="1" applyFill="1" applyBorder="1"/>
    <xf numFmtId="41" fontId="7" fillId="0" borderId="0" xfId="28002" applyNumberFormat="1" applyFont="1" applyFill="1"/>
    <xf numFmtId="41" fontId="7" fillId="0" borderId="0" xfId="28002" applyNumberFormat="1" applyFont="1" applyFill="1" applyBorder="1"/>
    <xf numFmtId="41" fontId="7" fillId="0" borderId="0" xfId="4079" applyNumberFormat="1" applyFont="1" applyFill="1" applyBorder="1" applyAlignment="1">
      <alignment wrapText="1"/>
    </xf>
    <xf numFmtId="41" fontId="11" fillId="0" borderId="0" xfId="4079" applyNumberFormat="1" applyFont="1" applyFill="1" applyBorder="1" applyAlignment="1">
      <alignment horizontal="right" wrapText="1"/>
    </xf>
    <xf numFmtId="172" fontId="7" fillId="0" borderId="0" xfId="2" applyNumberFormat="1" applyFont="1" applyFill="1"/>
    <xf numFmtId="165" fontId="7" fillId="0" borderId="0" xfId="28002" applyNumberFormat="1" applyFont="1" applyFill="1" applyBorder="1"/>
    <xf numFmtId="3" fontId="7" fillId="0" borderId="0" xfId="36433" quotePrefix="1" applyNumberFormat="1" applyFont="1" applyFill="1" applyAlignment="1" applyProtection="1">
      <alignment horizontal="left" vertical="center"/>
      <protection locked="0"/>
    </xf>
    <xf numFmtId="165" fontId="7" fillId="0" borderId="0" xfId="28002" applyNumberFormat="1" applyFont="1" applyFill="1"/>
    <xf numFmtId="3" fontId="33" fillId="0" borderId="0" xfId="28002" applyNumberFormat="1" applyFont="1" applyFill="1" applyBorder="1" applyAlignment="1">
      <alignment horizontal="right"/>
    </xf>
    <xf numFmtId="165" fontId="33" fillId="0" borderId="0" xfId="4079" applyNumberFormat="1" applyFont="1" applyFill="1" applyBorder="1" applyAlignment="1">
      <alignment horizontal="right"/>
    </xf>
    <xf numFmtId="3" fontId="7" fillId="0" borderId="0" xfId="25624" applyNumberFormat="1" applyFont="1" applyFill="1" applyAlignment="1" applyProtection="1">
      <alignment horizontal="left" vertical="center"/>
      <protection locked="0"/>
    </xf>
    <xf numFmtId="165" fontId="7" fillId="0" borderId="0" xfId="4079" applyNumberFormat="1" applyFont="1" applyFill="1" applyBorder="1" applyAlignment="1">
      <alignment horizontal="right"/>
    </xf>
    <xf numFmtId="166" fontId="7" fillId="0" borderId="0" xfId="4079" applyNumberFormat="1" applyFont="1" applyFill="1" applyBorder="1" applyAlignment="1">
      <alignment horizontal="center"/>
    </xf>
    <xf numFmtId="3" fontId="33" fillId="0" borderId="0" xfId="28002" applyNumberFormat="1" applyFont="1" applyFill="1" applyBorder="1"/>
    <xf numFmtId="0" fontId="11" fillId="0" borderId="0" xfId="36433" quotePrefix="1" applyFont="1" applyFill="1" applyBorder="1"/>
    <xf numFmtId="0" fontId="7" fillId="0" borderId="0" xfId="28002" applyFont="1" applyFill="1" applyAlignment="1">
      <alignment wrapText="1"/>
    </xf>
    <xf numFmtId="0" fontId="33" fillId="0" borderId="0" xfId="36433" applyFont="1" applyFill="1" applyAlignment="1"/>
    <xf numFmtId="0" fontId="33" fillId="0" borderId="0" xfId="28002" applyFont="1" applyFill="1" applyBorder="1" applyAlignment="1">
      <alignment vertical="center"/>
    </xf>
    <xf numFmtId="0" fontId="33" fillId="0" borderId="3" xfId="28002" applyFont="1" applyFill="1" applyBorder="1" applyAlignment="1"/>
    <xf numFmtId="0" fontId="33" fillId="0" borderId="5" xfId="28002" applyFont="1" applyFill="1" applyBorder="1" applyAlignment="1"/>
    <xf numFmtId="0" fontId="33" fillId="0" borderId="0" xfId="28002" applyFont="1" applyFill="1" applyBorder="1" applyAlignment="1">
      <alignment horizontal="right"/>
    </xf>
    <xf numFmtId="166" fontId="33" fillId="0" borderId="0" xfId="8" applyNumberFormat="1" applyFont="1" applyFill="1" applyBorder="1" applyAlignment="1">
      <alignment horizontal="right"/>
    </xf>
    <xf numFmtId="0" fontId="33" fillId="0" borderId="0" xfId="28002" applyFont="1" applyFill="1" applyAlignment="1">
      <alignment horizontal="right"/>
    </xf>
    <xf numFmtId="0" fontId="33" fillId="0" borderId="28" xfId="28002" applyFont="1" applyFill="1" applyBorder="1" applyAlignment="1"/>
    <xf numFmtId="0" fontId="33" fillId="0" borderId="0" xfId="28002" applyFont="1" applyFill="1"/>
    <xf numFmtId="3" fontId="7" fillId="0" borderId="0" xfId="25623" applyNumberFormat="1" applyFont="1" applyFill="1" applyAlignment="1" applyProtection="1">
      <alignment horizontal="left" vertical="center"/>
      <protection locked="0"/>
    </xf>
    <xf numFmtId="0" fontId="7" fillId="0" borderId="0" xfId="28002" applyFont="1" applyFill="1" applyAlignment="1">
      <alignment horizontal="right"/>
    </xf>
    <xf numFmtId="166" fontId="7" fillId="0" borderId="0" xfId="8" applyNumberFormat="1" applyFont="1" applyFill="1" applyBorder="1" applyAlignment="1">
      <alignment horizontal="right"/>
    </xf>
    <xf numFmtId="0" fontId="7" fillId="0" borderId="0" xfId="28002" applyFont="1" applyFill="1" applyAlignment="1">
      <alignment horizontal="center"/>
    </xf>
    <xf numFmtId="0" fontId="7" fillId="0" borderId="0" xfId="28002" applyFont="1" applyFill="1" applyBorder="1" applyAlignment="1">
      <alignment horizontal="right"/>
    </xf>
    <xf numFmtId="0" fontId="11" fillId="0" borderId="0" xfId="36433" applyFont="1" applyFill="1" applyAlignment="1">
      <alignment horizontal="right"/>
    </xf>
    <xf numFmtId="0" fontId="7" fillId="0" borderId="0" xfId="28002" applyFont="1" applyFill="1" applyBorder="1" applyAlignment="1">
      <alignment horizontal="center"/>
    </xf>
    <xf numFmtId="0" fontId="11" fillId="0" borderId="0" xfId="36433" applyFont="1" applyFill="1" applyAlignment="1">
      <alignment horizontal="center"/>
    </xf>
    <xf numFmtId="166" fontId="7" fillId="0" borderId="0" xfId="8" applyNumberFormat="1" applyFont="1" applyFill="1" applyBorder="1" applyAlignment="1">
      <alignment horizontal="center"/>
    </xf>
    <xf numFmtId="0" fontId="7" fillId="0" borderId="0" xfId="28002" applyFont="1" applyFill="1" applyAlignment="1">
      <alignment vertical="center"/>
    </xf>
    <xf numFmtId="0" fontId="7" fillId="25" borderId="0" xfId="36433" quotePrefix="1" applyFont="1" applyFill="1" applyBorder="1"/>
    <xf numFmtId="0" fontId="7" fillId="0" borderId="0" xfId="28002" applyFont="1" applyFill="1" applyBorder="1" applyAlignment="1">
      <alignment horizontal="left" wrapText="1"/>
    </xf>
    <xf numFmtId="0" fontId="11" fillId="0" borderId="0" xfId="0" applyFont="1" applyFill="1" applyBorder="1" applyAlignment="1">
      <alignment horizontal="right" wrapText="1"/>
    </xf>
    <xf numFmtId="172" fontId="11" fillId="0" borderId="0" xfId="2" applyNumberFormat="1" applyFont="1" applyFill="1" applyBorder="1"/>
    <xf numFmtId="0" fontId="11" fillId="0" borderId="0" xfId="0" applyFont="1" applyBorder="1" applyAlignment="1">
      <alignment wrapText="1"/>
    </xf>
    <xf numFmtId="0" fontId="10" fillId="0" borderId="0" xfId="0" applyFont="1" applyBorder="1" applyAlignment="1">
      <alignment wrapText="1"/>
    </xf>
    <xf numFmtId="165" fontId="11" fillId="0" borderId="0" xfId="1" applyNumberFormat="1" applyFont="1" applyFill="1" applyBorder="1" applyAlignment="1"/>
    <xf numFmtId="165" fontId="11" fillId="0" borderId="0" xfId="1" applyNumberFormat="1" applyFont="1" applyBorder="1" applyAlignment="1"/>
    <xf numFmtId="165" fontId="10" fillId="0" borderId="1" xfId="1" applyNumberFormat="1" applyFont="1" applyBorder="1" applyAlignment="1">
      <alignment horizontal="center" vertical="center"/>
    </xf>
    <xf numFmtId="165" fontId="10" fillId="0" borderId="0" xfId="1" applyNumberFormat="1" applyFont="1" applyBorder="1" applyAlignment="1"/>
    <xf numFmtId="0" fontId="10" fillId="0" borderId="0" xfId="0" applyFont="1" applyBorder="1" applyAlignment="1"/>
    <xf numFmtId="165" fontId="11" fillId="0" borderId="0" xfId="1" applyNumberFormat="1" applyFont="1" applyBorder="1"/>
    <xf numFmtId="0" fontId="10" fillId="0" borderId="1" xfId="0" applyNumberFormat="1" applyFont="1" applyBorder="1" applyAlignment="1">
      <alignment horizontal="center" vertical="center" wrapText="1"/>
    </xf>
    <xf numFmtId="165" fontId="10" fillId="0" borderId="0" xfId="1" applyNumberFormat="1" applyFont="1" applyBorder="1"/>
    <xf numFmtId="165" fontId="11" fillId="0" borderId="0" xfId="1" applyNumberFormat="1" applyFont="1" applyBorder="1" applyAlignment="1">
      <alignment horizontal="left"/>
    </xf>
    <xf numFmtId="0" fontId="45" fillId="0" borderId="0" xfId="0" applyFont="1" applyFill="1" applyBorder="1" applyAlignment="1">
      <alignment wrapText="1"/>
    </xf>
    <xf numFmtId="0" fontId="45" fillId="0" borderId="0" xfId="0" applyFont="1" applyBorder="1" applyAlignment="1">
      <alignment wrapText="1"/>
    </xf>
    <xf numFmtId="3" fontId="10" fillId="0" borderId="0" xfId="0" applyNumberFormat="1" applyFont="1" applyBorder="1" applyAlignment="1">
      <alignment wrapText="1"/>
    </xf>
    <xf numFmtId="172" fontId="10" fillId="0" borderId="0" xfId="2" applyNumberFormat="1" applyFont="1" applyBorder="1" applyAlignment="1">
      <alignment wrapText="1"/>
    </xf>
    <xf numFmtId="3" fontId="11" fillId="0" borderId="0" xfId="0" applyNumberFormat="1" applyFont="1" applyBorder="1" applyAlignment="1">
      <alignment wrapText="1"/>
    </xf>
    <xf numFmtId="0" fontId="10" fillId="0" borderId="1" xfId="0" applyFont="1" applyBorder="1" applyAlignment="1">
      <alignment horizontal="center" wrapText="1"/>
    </xf>
    <xf numFmtId="165" fontId="11" fillId="0" borderId="0" xfId="0" applyNumberFormat="1" applyFont="1" applyBorder="1" applyAlignment="1"/>
    <xf numFmtId="0" fontId="10" fillId="0" borderId="0" xfId="0" applyFont="1"/>
    <xf numFmtId="0" fontId="11" fillId="0" borderId="1" xfId="0" applyFont="1" applyBorder="1"/>
    <xf numFmtId="0" fontId="10" fillId="0" borderId="1" xfId="0" applyFont="1" applyBorder="1" applyAlignment="1">
      <alignment horizontal="center"/>
    </xf>
    <xf numFmtId="0" fontId="10" fillId="0" borderId="0" xfId="0" applyFont="1" applyBorder="1" applyAlignment="1">
      <alignment horizontal="center"/>
    </xf>
    <xf numFmtId="3" fontId="10" fillId="0" borderId="0" xfId="0" applyNumberFormat="1" applyFont="1" applyBorder="1"/>
    <xf numFmtId="172" fontId="10" fillId="0" borderId="0" xfId="0" applyNumberFormat="1" applyFont="1" applyBorder="1"/>
    <xf numFmtId="172" fontId="11" fillId="0" borderId="0" xfId="0" applyNumberFormat="1" applyFont="1" applyBorder="1"/>
    <xf numFmtId="3" fontId="11" fillId="0" borderId="0" xfId="0" applyNumberFormat="1" applyFont="1" applyBorder="1"/>
    <xf numFmtId="0" fontId="33" fillId="0" borderId="0" xfId="0" applyFont="1" applyAlignment="1">
      <alignment horizontal="justify" wrapText="1"/>
    </xf>
    <xf numFmtId="3" fontId="7" fillId="0" borderId="0" xfId="0" applyNumberFormat="1" applyFont="1" applyFill="1" applyBorder="1" applyAlignment="1">
      <alignment vertical="center" wrapText="1"/>
    </xf>
    <xf numFmtId="0" fontId="33" fillId="0" borderId="0" xfId="0" applyFont="1" applyAlignment="1">
      <alignment horizontal="justify"/>
    </xf>
    <xf numFmtId="0" fontId="11" fillId="0" borderId="0" xfId="0" applyFont="1" applyAlignment="1"/>
    <xf numFmtId="0" fontId="10" fillId="0" borderId="1" xfId="0" applyFont="1" applyBorder="1" applyAlignment="1">
      <alignment wrapText="1"/>
    </xf>
    <xf numFmtId="172" fontId="33" fillId="0" borderId="0" xfId="0" applyNumberFormat="1" applyFont="1" applyBorder="1"/>
    <xf numFmtId="0" fontId="60" fillId="0" borderId="0" xfId="0" applyFont="1" applyBorder="1"/>
    <xf numFmtId="0" fontId="33" fillId="0" borderId="1" xfId="0" applyFont="1" applyBorder="1" applyAlignment="1">
      <alignment horizontal="center" vertical="center" wrapText="1"/>
    </xf>
    <xf numFmtId="3" fontId="59" fillId="0" borderId="0" xfId="0" applyNumberFormat="1" applyFont="1" applyBorder="1" applyAlignment="1">
      <alignment horizontal="center" vertical="center" wrapText="1"/>
    </xf>
    <xf numFmtId="3" fontId="59" fillId="0" borderId="0" xfId="0" applyNumberFormat="1" applyFont="1" applyBorder="1" applyAlignment="1">
      <alignment horizontal="left" vertical="center"/>
    </xf>
    <xf numFmtId="41" fontId="59" fillId="0" borderId="0" xfId="0" applyNumberFormat="1" applyFont="1" applyBorder="1" applyAlignment="1">
      <alignment horizontal="right" vertical="center"/>
    </xf>
    <xf numFmtId="3" fontId="11" fillId="0" borderId="0" xfId="0" applyNumberFormat="1" applyFont="1" applyBorder="1" applyAlignment="1">
      <alignment horizontal="left" vertical="center"/>
    </xf>
    <xf numFmtId="3" fontId="60" fillId="0" borderId="0" xfId="0" applyNumberFormat="1" applyFont="1" applyBorder="1" applyAlignment="1">
      <alignment horizontal="left" vertical="center"/>
    </xf>
    <xf numFmtId="41" fontId="60" fillId="0" borderId="0" xfId="0" applyNumberFormat="1" applyFont="1" applyBorder="1" applyAlignment="1">
      <alignment horizontal="right"/>
    </xf>
    <xf numFmtId="41" fontId="60" fillId="0" borderId="0" xfId="0" applyNumberFormat="1" applyFont="1" applyBorder="1" applyAlignment="1">
      <alignment horizontal="right" vertical="center"/>
    </xf>
    <xf numFmtId="49" fontId="60" fillId="0" borderId="0" xfId="0" applyNumberFormat="1" applyFont="1" applyFill="1" applyBorder="1" applyAlignment="1">
      <alignment vertical="center"/>
    </xf>
    <xf numFmtId="49" fontId="60" fillId="0" borderId="0" xfId="0" applyNumberFormat="1" applyFont="1" applyFill="1" applyBorder="1" applyAlignment="1">
      <alignment vertical="center" wrapText="1"/>
    </xf>
    <xf numFmtId="3" fontId="60" fillId="0" borderId="0" xfId="0" applyNumberFormat="1" applyFont="1" applyFill="1" applyBorder="1" applyAlignment="1">
      <alignment vertical="center"/>
    </xf>
    <xf numFmtId="0" fontId="33" fillId="0" borderId="0" xfId="0" applyFont="1" applyBorder="1" applyAlignment="1">
      <alignment horizontal="justify" wrapText="1"/>
    </xf>
    <xf numFmtId="0" fontId="32" fillId="0" borderId="0" xfId="30874" applyFont="1" applyFill="1" applyAlignment="1">
      <alignment vertical="center"/>
    </xf>
    <xf numFmtId="0" fontId="32" fillId="0" borderId="0" xfId="30874" applyFont="1" applyFill="1"/>
    <xf numFmtId="0" fontId="33" fillId="0" borderId="0" xfId="30874" applyFont="1" applyFill="1" applyBorder="1" applyAlignment="1">
      <alignment vertical="center" wrapText="1"/>
    </xf>
    <xf numFmtId="0" fontId="7" fillId="0" borderId="0" xfId="30874" applyFont="1" applyFill="1" applyBorder="1" applyAlignment="1">
      <alignment vertical="center"/>
    </xf>
    <xf numFmtId="0" fontId="7" fillId="0" borderId="0" xfId="30874" applyFont="1" applyFill="1" applyBorder="1" applyAlignment="1">
      <alignment horizontal="center"/>
    </xf>
    <xf numFmtId="0" fontId="33" fillId="0" borderId="1" xfId="30864" applyFont="1" applyFill="1" applyBorder="1" applyAlignment="1">
      <alignment horizontal="center" vertical="center" wrapText="1"/>
    </xf>
    <xf numFmtId="0" fontId="33" fillId="0" borderId="1" xfId="30874" applyFont="1" applyFill="1" applyBorder="1" applyAlignment="1">
      <alignment horizontal="center" vertical="center" wrapText="1"/>
    </xf>
    <xf numFmtId="3" fontId="7" fillId="0" borderId="0" xfId="30874" applyNumberFormat="1" applyFont="1" applyFill="1" applyBorder="1" applyAlignment="1">
      <alignment horizontal="center" vertical="center" wrapText="1"/>
    </xf>
    <xf numFmtId="14" fontId="7" fillId="0" borderId="0" xfId="30874" applyNumberFormat="1" applyFont="1" applyFill="1" applyBorder="1" applyAlignment="1">
      <alignment horizontal="center" vertical="center" wrapText="1"/>
    </xf>
    <xf numFmtId="0" fontId="7" fillId="0" borderId="0" xfId="30874" applyFont="1" applyFill="1" applyBorder="1" applyAlignment="1">
      <alignment horizontal="center" vertical="center" wrapText="1"/>
    </xf>
    <xf numFmtId="0" fontId="7" fillId="0" borderId="0" xfId="30874" quotePrefix="1" applyFont="1" applyFill="1" applyBorder="1" applyAlignment="1">
      <alignment horizontal="center" vertical="center" wrapText="1"/>
    </xf>
    <xf numFmtId="0" fontId="7" fillId="0" borderId="0" xfId="30874" applyFont="1" applyFill="1" applyBorder="1" applyAlignment="1">
      <alignment horizontal="left"/>
    </xf>
    <xf numFmtId="0" fontId="7" fillId="0" borderId="0" xfId="30874" applyFont="1" applyFill="1" applyBorder="1" applyAlignment="1">
      <alignment vertical="center" wrapText="1"/>
    </xf>
    <xf numFmtId="0" fontId="32" fillId="0" borderId="0" xfId="30874" applyFont="1" applyAlignment="1">
      <alignment vertical="center"/>
    </xf>
    <xf numFmtId="0" fontId="7" fillId="0" borderId="0" xfId="30874" applyFont="1" applyBorder="1" applyAlignment="1">
      <alignment horizontal="center"/>
    </xf>
    <xf numFmtId="0" fontId="33" fillId="0" borderId="0" xfId="30874" applyFont="1" applyBorder="1" applyAlignment="1">
      <alignment vertical="center" wrapText="1"/>
    </xf>
    <xf numFmtId="0" fontId="7" fillId="0" borderId="0" xfId="30874" applyFont="1" applyBorder="1" applyAlignment="1">
      <alignment vertical="center"/>
    </xf>
    <xf numFmtId="0" fontId="33" fillId="0" borderId="1" xfId="30874" applyFont="1" applyBorder="1" applyAlignment="1">
      <alignment horizontal="center" vertical="center" wrapText="1"/>
    </xf>
    <xf numFmtId="3" fontId="7" fillId="0" borderId="0" xfId="30874" applyNumberFormat="1" applyFont="1" applyFill="1" applyBorder="1" applyAlignment="1">
      <alignment horizontal="center"/>
    </xf>
    <xf numFmtId="14" fontId="7" fillId="0" borderId="0" xfId="30874" applyNumberFormat="1" applyFont="1" applyFill="1" applyBorder="1" applyAlignment="1">
      <alignment horizontal="center"/>
    </xf>
    <xf numFmtId="0" fontId="7" fillId="0" borderId="0" xfId="30874" applyFont="1" applyFill="1" applyAlignment="1">
      <alignment horizontal="center"/>
    </xf>
    <xf numFmtId="14" fontId="7" fillId="0" borderId="0" xfId="30874" applyNumberFormat="1" applyFont="1" applyBorder="1" applyAlignment="1">
      <alignment horizontal="center"/>
    </xf>
    <xf numFmtId="0" fontId="7" fillId="0" borderId="0" xfId="30874" applyFont="1" applyBorder="1" applyAlignment="1">
      <alignment vertical="center" wrapText="1"/>
    </xf>
    <xf numFmtId="0" fontId="33" fillId="0" borderId="1" xfId="30874" applyFont="1" applyBorder="1" applyAlignment="1">
      <alignment horizontal="center" vertical="center"/>
    </xf>
    <xf numFmtId="3" fontId="33" fillId="0" borderId="1" xfId="30874" applyNumberFormat="1" applyFont="1" applyFill="1" applyBorder="1" applyAlignment="1" applyProtection="1">
      <alignment horizontal="center" vertical="center"/>
      <protection locked="0"/>
    </xf>
    <xf numFmtId="3" fontId="33" fillId="0" borderId="1" xfId="30874" applyNumberFormat="1" applyFont="1" applyFill="1" applyBorder="1" applyAlignment="1" applyProtection="1">
      <alignment horizontal="center" vertical="center" wrapText="1"/>
      <protection locked="0"/>
    </xf>
    <xf numFmtId="3" fontId="7" fillId="0" borderId="0" xfId="30874" applyNumberFormat="1" applyFont="1" applyFill="1" applyAlignment="1" applyProtection="1">
      <alignment vertical="center"/>
      <protection locked="0"/>
    </xf>
    <xf numFmtId="41" fontId="33" fillId="0" borderId="0" xfId="30874" applyNumberFormat="1" applyFont="1"/>
    <xf numFmtId="172" fontId="33" fillId="0" borderId="0" xfId="2" applyNumberFormat="1" applyFont="1"/>
    <xf numFmtId="3" fontId="7" fillId="0" borderId="0" xfId="25604" applyNumberFormat="1" applyFont="1" applyFill="1" applyAlignment="1" applyProtection="1">
      <alignment horizontal="left" vertical="center"/>
      <protection locked="0"/>
    </xf>
    <xf numFmtId="41" fontId="7" fillId="0" borderId="0" xfId="30874" applyNumberFormat="1" applyFont="1"/>
    <xf numFmtId="3" fontId="7" fillId="0" borderId="0" xfId="30874" applyNumberFormat="1" applyFont="1"/>
    <xf numFmtId="3" fontId="7" fillId="0" borderId="0" xfId="30874" applyNumberFormat="1" applyFont="1" applyFill="1" applyAlignment="1" applyProtection="1">
      <alignment horizontal="left" vertical="center" wrapText="1"/>
      <protection locked="0"/>
    </xf>
    <xf numFmtId="49" fontId="7" fillId="0" borderId="0" xfId="30874" applyNumberFormat="1" applyFont="1" applyFill="1" applyAlignment="1">
      <alignment vertical="center" wrapText="1"/>
    </xf>
    <xf numFmtId="0" fontId="7" fillId="0" borderId="0" xfId="30874" applyFont="1" applyFill="1" applyAlignment="1">
      <alignment horizontal="left" vertical="center" wrapText="1"/>
    </xf>
    <xf numFmtId="0" fontId="7" fillId="0" borderId="0" xfId="30874" applyFont="1" applyFill="1" applyBorder="1" applyAlignment="1"/>
    <xf numFmtId="41" fontId="33" fillId="0" borderId="0" xfId="30874" applyNumberFormat="1" applyFont="1" applyFill="1"/>
    <xf numFmtId="41" fontId="32" fillId="0" borderId="0" xfId="30874" applyNumberFormat="1" applyFont="1" applyFill="1"/>
    <xf numFmtId="0" fontId="33" fillId="0" borderId="0" xfId="36432" applyFont="1" applyFill="1"/>
    <xf numFmtId="0" fontId="33" fillId="0" borderId="0" xfId="36431" applyFont="1" applyFill="1" applyBorder="1" applyAlignment="1">
      <alignment horizontal="left" wrapText="1"/>
    </xf>
    <xf numFmtId="0" fontId="7" fillId="0" borderId="0" xfId="36432" applyFont="1" applyFill="1"/>
    <xf numFmtId="4" fontId="33" fillId="0" borderId="1" xfId="36432" applyNumberFormat="1" applyFont="1" applyFill="1" applyBorder="1" applyAlignment="1">
      <alignment horizontal="center" vertical="center"/>
    </xf>
    <xf numFmtId="3" fontId="7" fillId="0" borderId="0" xfId="25535" applyNumberFormat="1" applyFont="1" applyFill="1" applyAlignment="1" applyProtection="1">
      <alignment horizontal="left" vertical="center"/>
      <protection locked="0"/>
    </xf>
    <xf numFmtId="41" fontId="33" fillId="0" borderId="0" xfId="30874" applyNumberFormat="1" applyFont="1" applyFill="1" applyAlignment="1">
      <alignment horizontal="right"/>
    </xf>
    <xf numFmtId="41" fontId="7" fillId="0" borderId="0" xfId="30874" applyNumberFormat="1" applyFont="1" applyFill="1" applyAlignment="1">
      <alignment horizontal="right"/>
    </xf>
    <xf numFmtId="3" fontId="7" fillId="0" borderId="0" xfId="30874" applyNumberFormat="1" applyFont="1" applyFill="1" applyAlignment="1" applyProtection="1">
      <alignment horizontal="left" vertical="center"/>
      <protection locked="0"/>
    </xf>
    <xf numFmtId="3" fontId="7" fillId="0" borderId="0" xfId="30864" applyNumberFormat="1" applyFont="1" applyFill="1" applyAlignment="1">
      <alignment horizontal="center"/>
    </xf>
    <xf numFmtId="0" fontId="7" fillId="0" borderId="0" xfId="30874" applyFont="1" applyFill="1" applyAlignment="1">
      <alignment vertical="center"/>
    </xf>
    <xf numFmtId="165" fontId="7" fillId="0" borderId="0" xfId="4079" applyNumberFormat="1" applyFont="1" applyFill="1"/>
    <xf numFmtId="0" fontId="7" fillId="0" borderId="0" xfId="36431" applyFont="1" applyFill="1" applyBorder="1" applyAlignment="1"/>
    <xf numFmtId="0" fontId="33" fillId="0" borderId="0" xfId="36431" applyFont="1" applyFill="1"/>
    <xf numFmtId="0" fontId="7" fillId="0" borderId="0" xfId="36431" applyFont="1" applyFill="1"/>
    <xf numFmtId="0" fontId="33" fillId="0" borderId="1" xfId="36431" applyFont="1" applyFill="1" applyBorder="1" applyAlignment="1">
      <alignment horizontal="center" vertical="center" wrapText="1"/>
    </xf>
    <xf numFmtId="0" fontId="33" fillId="0" borderId="0" xfId="30864" applyFont="1" applyFill="1" applyBorder="1" applyAlignment="1">
      <alignment wrapText="1"/>
    </xf>
    <xf numFmtId="41" fontId="33" fillId="0" borderId="0" xfId="30874" applyNumberFormat="1" applyFont="1" applyFill="1" applyAlignment="1"/>
    <xf numFmtId="3" fontId="7" fillId="0" borderId="0" xfId="30874" applyNumberFormat="1" applyFont="1" applyFill="1" applyBorder="1" applyAlignment="1"/>
    <xf numFmtId="3" fontId="7" fillId="0" borderId="0" xfId="25512" applyNumberFormat="1" applyFont="1" applyFill="1" applyAlignment="1" applyProtection="1">
      <alignment horizontal="left" vertical="center"/>
      <protection locked="0"/>
    </xf>
    <xf numFmtId="41" fontId="7" fillId="0" borderId="0" xfId="4079" applyNumberFormat="1" applyFont="1" applyFill="1" applyAlignment="1">
      <alignment horizontal="right"/>
    </xf>
    <xf numFmtId="0" fontId="33" fillId="0" borderId="0" xfId="36431" applyFont="1" applyFill="1" applyBorder="1" applyAlignment="1">
      <alignment vertical="center"/>
    </xf>
    <xf numFmtId="0" fontId="33" fillId="0" borderId="0" xfId="36431" applyFont="1" applyFill="1" applyBorder="1" applyAlignment="1">
      <alignment horizontal="left"/>
    </xf>
    <xf numFmtId="0" fontId="33" fillId="0" borderId="0" xfId="36431" applyFont="1" applyFill="1" applyBorder="1" applyAlignment="1"/>
    <xf numFmtId="172" fontId="32" fillId="0" borderId="0" xfId="30874" applyNumberFormat="1" applyFont="1" applyFill="1"/>
    <xf numFmtId="0" fontId="7" fillId="0" borderId="0" xfId="30864" applyFont="1" applyFill="1" applyBorder="1" applyAlignment="1">
      <alignment horizontal="left"/>
    </xf>
    <xf numFmtId="10" fontId="32" fillId="0" borderId="0" xfId="30874" applyNumberFormat="1" applyFont="1" applyFill="1"/>
    <xf numFmtId="0" fontId="33" fillId="0" borderId="1" xfId="30874" applyFont="1" applyFill="1" applyBorder="1" applyAlignment="1">
      <alignment horizontal="center" vertical="center"/>
    </xf>
    <xf numFmtId="0" fontId="7" fillId="0" borderId="0" xfId="30874" applyFont="1" applyFill="1" applyBorder="1" applyAlignment="1">
      <alignment horizontal="left" vertical="center" wrapText="1"/>
    </xf>
    <xf numFmtId="41" fontId="33" fillId="0" borderId="0" xfId="30874" applyNumberFormat="1" applyFont="1" applyFill="1" applyBorder="1"/>
    <xf numFmtId="41" fontId="7" fillId="0" borderId="0" xfId="30874" applyNumberFormat="1" applyFont="1" applyFill="1" applyBorder="1" applyAlignment="1">
      <alignment horizontal="right"/>
    </xf>
    <xf numFmtId="41" fontId="7" fillId="0" borderId="0" xfId="30874" applyNumberFormat="1" applyFont="1" applyFill="1" applyBorder="1" applyAlignment="1">
      <alignment horizontal="right" wrapText="1"/>
    </xf>
    <xf numFmtId="49" fontId="7" fillId="0" borderId="0" xfId="30874" applyNumberFormat="1" applyFont="1" applyFill="1" applyBorder="1"/>
    <xf numFmtId="41" fontId="7" fillId="0" borderId="0" xfId="30874" applyNumberFormat="1" applyFont="1" applyFill="1" applyBorder="1"/>
    <xf numFmtId="49" fontId="7" fillId="0" borderId="0" xfId="30874" applyNumberFormat="1" applyFont="1" applyFill="1"/>
    <xf numFmtId="0" fontId="7" fillId="0" borderId="0" xfId="30874" applyFont="1" applyFill="1" applyAlignment="1"/>
    <xf numFmtId="0" fontId="7" fillId="0" borderId="0" xfId="30874" applyFont="1" applyFill="1" applyAlignment="1">
      <alignment horizontal="left" vertical="center"/>
    </xf>
    <xf numFmtId="0" fontId="32" fillId="0" borderId="0" xfId="30874" applyFont="1" applyFill="1" applyBorder="1" applyAlignment="1"/>
    <xf numFmtId="41" fontId="7" fillId="0" borderId="0" xfId="30874" applyNumberFormat="1" applyFont="1" applyFill="1" applyBorder="1" applyAlignment="1"/>
    <xf numFmtId="0" fontId="7" fillId="0" borderId="0" xfId="30874" applyFont="1" applyFill="1" applyBorder="1" applyAlignment="1">
      <alignment horizontal="center" vertical="center"/>
    </xf>
    <xf numFmtId="178" fontId="32" fillId="0" borderId="0" xfId="30874" applyNumberFormat="1" applyFont="1" applyFill="1" applyBorder="1" applyAlignment="1"/>
    <xf numFmtId="191" fontId="7" fillId="0" borderId="0" xfId="30874" applyNumberFormat="1" applyFont="1" applyFill="1" applyBorder="1" applyAlignment="1"/>
    <xf numFmtId="0" fontId="7" fillId="0" borderId="0" xfId="30864" applyFont="1" applyFill="1" applyBorder="1" applyAlignment="1">
      <alignment horizontal="center"/>
    </xf>
    <xf numFmtId="1" fontId="33" fillId="0" borderId="0" xfId="30864" applyNumberFormat="1" applyFont="1" applyFill="1" applyAlignment="1">
      <alignment horizontal="right"/>
    </xf>
    <xf numFmtId="3" fontId="33" fillId="0" borderId="0" xfId="30864" applyNumberFormat="1" applyFont="1" applyFill="1" applyAlignment="1">
      <alignment horizontal="right"/>
    </xf>
    <xf numFmtId="3" fontId="7" fillId="0" borderId="0" xfId="30864" applyNumberFormat="1" applyFont="1" applyFill="1" applyBorder="1" applyAlignment="1">
      <alignment horizontal="right"/>
    </xf>
    <xf numFmtId="1" fontId="7" fillId="0" borderId="0" xfId="4079" applyNumberFormat="1" applyFont="1" applyFill="1" applyAlignment="1">
      <alignment horizontal="right"/>
    </xf>
    <xf numFmtId="3" fontId="7" fillId="0" borderId="0" xfId="4079" applyNumberFormat="1" applyFont="1" applyFill="1" applyAlignment="1">
      <alignment horizontal="right"/>
    </xf>
    <xf numFmtId="3" fontId="7" fillId="0" borderId="0" xfId="30874" applyNumberFormat="1" applyFont="1" applyFill="1" applyBorder="1" applyAlignment="1" applyProtection="1">
      <alignment horizontal="left" vertical="center"/>
      <protection locked="0"/>
    </xf>
    <xf numFmtId="187" fontId="7" fillId="0" borderId="0" xfId="4079" applyNumberFormat="1" applyFont="1" applyFill="1" applyBorder="1" applyAlignment="1">
      <alignment horizontal="right"/>
    </xf>
    <xf numFmtId="187" fontId="7" fillId="0" borderId="0" xfId="4079" applyNumberFormat="1" applyFont="1" applyFill="1" applyAlignment="1">
      <alignment horizontal="right"/>
    </xf>
    <xf numFmtId="0" fontId="7" fillId="0" borderId="0" xfId="30864" applyFont="1" applyFill="1" applyBorder="1" applyAlignment="1">
      <alignment vertical="center" wrapText="1"/>
    </xf>
    <xf numFmtId="0" fontId="32" fillId="0" borderId="0" xfId="30874" applyFont="1" applyFill="1" applyBorder="1" applyAlignment="1">
      <alignment vertical="center" wrapText="1"/>
    </xf>
    <xf numFmtId="3" fontId="7" fillId="0" borderId="0" xfId="30864" applyNumberFormat="1" applyFont="1" applyFill="1" applyAlignment="1">
      <alignment horizontal="right" vertical="center" wrapText="1"/>
    </xf>
    <xf numFmtId="0" fontId="7" fillId="0" borderId="0" xfId="30864" applyFont="1" applyFill="1" applyAlignment="1">
      <alignment vertical="center" wrapText="1"/>
    </xf>
    <xf numFmtId="3" fontId="7" fillId="0" borderId="0" xfId="30864" applyNumberFormat="1" applyFont="1" applyFill="1" applyBorder="1"/>
    <xf numFmtId="0" fontId="7" fillId="0" borderId="0" xfId="30864" applyFont="1" applyFill="1" applyAlignment="1" applyProtection="1">
      <alignment horizontal="left"/>
    </xf>
    <xf numFmtId="0" fontId="7" fillId="0" borderId="0" xfId="4093" applyFont="1" applyAlignment="1">
      <alignment vertical="center"/>
    </xf>
    <xf numFmtId="0" fontId="10" fillId="0" borderId="1" xfId="4093" applyFont="1" applyBorder="1" applyAlignment="1">
      <alignment horizontal="center" vertical="center" wrapText="1"/>
    </xf>
    <xf numFmtId="0" fontId="10" fillId="0" borderId="0" xfId="4093" applyFont="1" applyAlignment="1"/>
    <xf numFmtId="41" fontId="10" fillId="0" borderId="0" xfId="4093" applyNumberFormat="1" applyFont="1" applyAlignment="1">
      <alignment horizontal="right" vertical="center" wrapText="1"/>
    </xf>
    <xf numFmtId="41" fontId="10" fillId="0" borderId="0" xfId="4093" applyNumberFormat="1" applyFont="1" applyAlignment="1">
      <alignment horizontal="right"/>
    </xf>
    <xf numFmtId="0" fontId="7" fillId="0" borderId="0" xfId="4093" applyFont="1" applyAlignment="1">
      <alignment horizontal="left"/>
    </xf>
    <xf numFmtId="41" fontId="33" fillId="0" borderId="0" xfId="4093" applyNumberFormat="1" applyFont="1" applyAlignment="1">
      <alignment horizontal="right" vertical="center" wrapText="1"/>
    </xf>
    <xf numFmtId="41" fontId="7" fillId="0" borderId="0" xfId="4093" applyNumberFormat="1" applyFont="1" applyAlignment="1">
      <alignment horizontal="right" vertical="center" wrapText="1"/>
    </xf>
    <xf numFmtId="0" fontId="7" fillId="0" borderId="0" xfId="4093" applyFont="1" applyFill="1" applyBorder="1" applyAlignment="1">
      <alignment vertical="top" wrapText="1"/>
    </xf>
    <xf numFmtId="49" fontId="7" fillId="0" borderId="0" xfId="4093" applyNumberFormat="1" applyFont="1" applyFill="1" applyBorder="1" applyAlignment="1">
      <alignment horizontal="left" vertical="top"/>
    </xf>
    <xf numFmtId="0" fontId="7" fillId="0" borderId="0" xfId="4093" applyFont="1" applyFill="1" applyBorder="1" applyAlignment="1">
      <alignment horizontal="left" vertical="top" wrapText="1"/>
    </xf>
    <xf numFmtId="3" fontId="33" fillId="0" borderId="0" xfId="30874" applyNumberFormat="1" applyFont="1" applyFill="1" applyBorder="1" applyAlignment="1"/>
    <xf numFmtId="3" fontId="7" fillId="0" borderId="0" xfId="30874" applyNumberFormat="1" applyFont="1" applyAlignment="1">
      <alignment horizontal="right"/>
    </xf>
    <xf numFmtId="0" fontId="33" fillId="0" borderId="0" xfId="30874" applyFont="1" applyAlignment="1"/>
    <xf numFmtId="0" fontId="33" fillId="0" borderId="1" xfId="30874" applyFont="1" applyBorder="1" applyAlignment="1">
      <alignment horizontal="center"/>
    </xf>
    <xf numFmtId="0" fontId="33" fillId="0" borderId="0" xfId="30864" applyFont="1" applyBorder="1" applyAlignment="1">
      <alignment horizontal="left"/>
    </xf>
    <xf numFmtId="41" fontId="33" fillId="0" borderId="0" xfId="30864" applyNumberFormat="1" applyFont="1" applyBorder="1" applyAlignment="1">
      <alignment horizontal="right"/>
    </xf>
    <xf numFmtId="3" fontId="7" fillId="0" borderId="0" xfId="25627" applyNumberFormat="1" applyFont="1" applyFill="1" applyAlignment="1" applyProtection="1">
      <alignment horizontal="left" vertical="center"/>
      <protection locked="0"/>
    </xf>
    <xf numFmtId="3" fontId="7" fillId="0" borderId="0" xfId="30874" applyNumberFormat="1" applyFont="1" applyAlignment="1" applyProtection="1">
      <alignment horizontal="left" vertical="center" wrapText="1"/>
      <protection locked="0"/>
    </xf>
    <xf numFmtId="0" fontId="33" fillId="0" borderId="0" xfId="30874" applyFont="1" applyFill="1" applyBorder="1"/>
    <xf numFmtId="41" fontId="33" fillId="0" borderId="0" xfId="30874" applyNumberFormat="1" applyFont="1" applyFill="1" applyBorder="1" applyAlignment="1"/>
    <xf numFmtId="3" fontId="7" fillId="0" borderId="0" xfId="25558" applyNumberFormat="1" applyFont="1" applyFill="1" applyAlignment="1" applyProtection="1">
      <alignment horizontal="left" vertical="center"/>
      <protection locked="0"/>
    </xf>
    <xf numFmtId="0" fontId="33" fillId="0" borderId="0" xfId="30864" applyFont="1" applyBorder="1"/>
    <xf numFmtId="41" fontId="33" fillId="0" borderId="0" xfId="4079" applyNumberFormat="1" applyFont="1" applyAlignment="1">
      <alignment horizontal="right"/>
    </xf>
    <xf numFmtId="3" fontId="7" fillId="0" borderId="0" xfId="25581" applyNumberFormat="1" applyFont="1" applyFill="1" applyAlignment="1" applyProtection="1">
      <alignment horizontal="left" vertical="center"/>
      <protection locked="0"/>
    </xf>
    <xf numFmtId="41" fontId="7" fillId="0" borderId="0" xfId="4079" applyNumberFormat="1" applyFont="1" applyAlignment="1">
      <alignment horizontal="right"/>
    </xf>
    <xf numFmtId="41" fontId="33" fillId="0" borderId="0" xfId="4079" applyNumberFormat="1" applyFont="1" applyFill="1" applyBorder="1" applyAlignment="1">
      <alignment horizontal="right"/>
    </xf>
    <xf numFmtId="41" fontId="7" fillId="0" borderId="0" xfId="4079" applyNumberFormat="1" applyFont="1" applyFill="1" applyBorder="1" applyAlignment="1">
      <alignment horizontal="right"/>
    </xf>
    <xf numFmtId="3" fontId="7" fillId="0" borderId="0" xfId="30874" applyNumberFormat="1" applyFont="1" applyAlignment="1" applyProtection="1">
      <alignment horizontal="left" vertical="center"/>
      <protection locked="0"/>
    </xf>
    <xf numFmtId="165" fontId="7" fillId="0" borderId="0" xfId="4079" applyNumberFormat="1" applyFont="1"/>
    <xf numFmtId="49" fontId="7" fillId="0" borderId="0" xfId="30874" applyNumberFormat="1" applyFont="1" applyFill="1" applyAlignment="1">
      <alignment vertical="center"/>
    </xf>
    <xf numFmtId="172" fontId="7" fillId="0" borderId="0" xfId="30874" applyNumberFormat="1" applyFont="1"/>
    <xf numFmtId="0" fontId="33" fillId="0" borderId="0" xfId="30874" applyFont="1" applyAlignment="1">
      <alignment wrapText="1"/>
    </xf>
    <xf numFmtId="0" fontId="7" fillId="0" borderId="0" xfId="30874" applyFont="1" applyAlignment="1">
      <alignment vertical="center"/>
    </xf>
    <xf numFmtId="0" fontId="33" fillId="0" borderId="1" xfId="36427" applyFont="1" applyBorder="1" applyAlignment="1">
      <alignment horizontal="center" vertical="center" wrapText="1"/>
    </xf>
    <xf numFmtId="0" fontId="33" fillId="0" borderId="0" xfId="36427" applyFont="1" applyBorder="1" applyAlignment="1">
      <alignment horizontal="left" vertical="top"/>
    </xf>
    <xf numFmtId="3" fontId="33" fillId="0" borderId="0" xfId="4079" applyNumberFormat="1" applyFont="1" applyBorder="1"/>
    <xf numFmtId="9" fontId="33" fillId="0" borderId="0" xfId="30871" applyFont="1" applyBorder="1"/>
    <xf numFmtId="0" fontId="7" fillId="0" borderId="0" xfId="36427" applyFont="1" applyBorder="1" applyAlignment="1">
      <alignment horizontal="left" vertical="top"/>
    </xf>
    <xf numFmtId="3" fontId="7" fillId="0" borderId="0" xfId="4079" applyNumberFormat="1" applyFont="1" applyBorder="1" applyAlignment="1">
      <alignment horizontal="right" vertical="center"/>
    </xf>
    <xf numFmtId="172" fontId="7" fillId="0" borderId="0" xfId="30871" applyNumberFormat="1" applyFont="1" applyBorder="1" applyAlignment="1">
      <alignment horizontal="right" vertical="top"/>
    </xf>
    <xf numFmtId="3" fontId="7" fillId="0" borderId="0" xfId="30872" applyNumberFormat="1" applyFont="1" applyBorder="1" applyAlignment="1">
      <alignment horizontal="right" vertical="center"/>
    </xf>
    <xf numFmtId="165" fontId="7" fillId="0" borderId="0" xfId="4079" applyNumberFormat="1" applyFont="1" applyBorder="1"/>
    <xf numFmtId="165" fontId="7" fillId="0" borderId="0" xfId="4079" applyNumberFormat="1" applyFont="1" applyBorder="1" applyAlignment="1">
      <alignment horizontal="right" vertical="top"/>
    </xf>
    <xf numFmtId="0" fontId="7" fillId="0" borderId="0" xfId="6" applyFont="1" applyAlignment="1"/>
    <xf numFmtId="0" fontId="33" fillId="0" borderId="0" xfId="30874" applyFont="1" applyBorder="1" applyAlignment="1">
      <alignment wrapText="1"/>
    </xf>
    <xf numFmtId="1" fontId="7" fillId="0" borderId="0" xfId="30874" applyNumberFormat="1" applyFont="1" applyBorder="1"/>
    <xf numFmtId="178" fontId="7" fillId="0" borderId="0" xfId="30874" applyNumberFormat="1" applyFont="1" applyBorder="1"/>
    <xf numFmtId="0" fontId="7" fillId="0" borderId="0" xfId="6" applyFont="1" applyBorder="1" applyAlignment="1"/>
    <xf numFmtId="0" fontId="33" fillId="0" borderId="1" xfId="36425" applyFont="1" applyBorder="1" applyAlignment="1">
      <alignment horizontal="center" wrapText="1"/>
    </xf>
    <xf numFmtId="0" fontId="33" fillId="0" borderId="0" xfId="36425" applyFont="1" applyBorder="1" applyAlignment="1">
      <alignment horizontal="left" vertical="top" wrapText="1"/>
    </xf>
    <xf numFmtId="165" fontId="33" fillId="0" borderId="0" xfId="4079" applyNumberFormat="1" applyFont="1" applyBorder="1"/>
    <xf numFmtId="0" fontId="7" fillId="0" borderId="0" xfId="36425" applyFont="1" applyBorder="1" applyAlignment="1">
      <alignment horizontal="left" vertical="top" wrapText="1"/>
    </xf>
    <xf numFmtId="172" fontId="7" fillId="0" borderId="0" xfId="30871" applyNumberFormat="1" applyFont="1" applyBorder="1"/>
    <xf numFmtId="167" fontId="7" fillId="0" borderId="0" xfId="36429" applyNumberFormat="1" applyFont="1" applyBorder="1" applyAlignment="1">
      <alignment horizontal="right" vertical="top"/>
    </xf>
    <xf numFmtId="178" fontId="7" fillId="0" borderId="0" xfId="30874" applyNumberFormat="1" applyFont="1"/>
    <xf numFmtId="0" fontId="33" fillId="0" borderId="0" xfId="6" applyFont="1" applyBorder="1" applyAlignment="1"/>
    <xf numFmtId="1" fontId="33" fillId="0" borderId="0" xfId="30874" applyNumberFormat="1" applyFont="1" applyBorder="1"/>
    <xf numFmtId="172" fontId="7" fillId="0" borderId="0" xfId="30871" applyNumberFormat="1" applyFont="1"/>
    <xf numFmtId="167" fontId="7" fillId="0" borderId="0" xfId="36428" applyNumberFormat="1" applyFont="1" applyBorder="1" applyAlignment="1">
      <alignment horizontal="right" vertical="top"/>
    </xf>
    <xf numFmtId="49" fontId="7" fillId="0" borderId="0" xfId="30874" applyNumberFormat="1" applyFont="1" applyBorder="1" applyAlignment="1">
      <alignment horizontal="left" vertical="center"/>
    </xf>
    <xf numFmtId="165" fontId="7" fillId="0" borderId="0" xfId="4079" applyNumberFormat="1" applyFont="1" applyBorder="1" applyAlignment="1">
      <alignment horizontal="right"/>
    </xf>
    <xf numFmtId="49" fontId="7" fillId="0" borderId="0" xfId="30874" applyNumberFormat="1" applyFont="1" applyBorder="1" applyAlignment="1">
      <alignment horizontal="center" vertical="center"/>
    </xf>
    <xf numFmtId="0" fontId="7" fillId="0" borderId="0" xfId="28002" applyFont="1"/>
    <xf numFmtId="0" fontId="33" fillId="0" borderId="0" xfId="6" applyFont="1" applyFill="1" applyBorder="1" applyAlignment="1">
      <alignment horizontal="right"/>
    </xf>
    <xf numFmtId="0" fontId="33" fillId="0" borderId="0" xfId="6" applyFont="1" applyFill="1" applyBorder="1" applyAlignment="1"/>
    <xf numFmtId="165" fontId="33" fillId="0" borderId="1" xfId="4079" applyNumberFormat="1" applyFont="1" applyFill="1" applyBorder="1" applyAlignment="1">
      <alignment horizontal="center"/>
    </xf>
    <xf numFmtId="0" fontId="33" fillId="0" borderId="0" xfId="28002" applyFont="1" applyBorder="1" applyAlignment="1">
      <alignment horizontal="left" wrapText="1"/>
    </xf>
    <xf numFmtId="165" fontId="33" fillId="0" borderId="0" xfId="28002" applyNumberFormat="1" applyFont="1" applyBorder="1" applyAlignment="1">
      <alignment horizontal="left" wrapText="1"/>
    </xf>
    <xf numFmtId="165" fontId="7" fillId="0" borderId="0" xfId="28002" applyNumberFormat="1" applyFont="1" applyBorder="1" applyAlignment="1">
      <alignment horizontal="left" wrapText="1"/>
    </xf>
    <xf numFmtId="0" fontId="7" fillId="0" borderId="0" xfId="28002" applyFont="1" applyBorder="1" applyAlignment="1">
      <alignment wrapText="1"/>
    </xf>
    <xf numFmtId="165" fontId="7" fillId="0" borderId="0" xfId="28002" applyNumberFormat="1" applyFont="1" applyBorder="1" applyAlignment="1">
      <alignment wrapText="1"/>
    </xf>
    <xf numFmtId="0" fontId="33" fillId="0" borderId="0" xfId="28002" applyFont="1" applyFill="1" applyBorder="1" applyAlignment="1">
      <alignment wrapText="1"/>
    </xf>
    <xf numFmtId="0" fontId="32" fillId="0" borderId="0" xfId="4093" applyFont="1" applyFill="1" applyAlignment="1">
      <alignment wrapText="1"/>
    </xf>
    <xf numFmtId="0" fontId="7" fillId="0" borderId="0" xfId="4093" applyFont="1" applyAlignment="1">
      <alignment horizontal="center"/>
    </xf>
    <xf numFmtId="0" fontId="33" fillId="0" borderId="1" xfId="28002" applyFont="1" applyBorder="1" applyAlignment="1">
      <alignment horizontal="center" vertical="center"/>
    </xf>
    <xf numFmtId="3" fontId="33" fillId="0" borderId="0" xfId="30869" applyNumberFormat="1" applyFont="1" applyBorder="1" applyAlignment="1">
      <alignment horizontal="right"/>
    </xf>
    <xf numFmtId="3" fontId="7" fillId="0" borderId="0" xfId="28002" applyNumberFormat="1" applyFont="1" applyBorder="1" applyAlignment="1">
      <alignment horizontal="right"/>
    </xf>
    <xf numFmtId="3" fontId="33" fillId="0" borderId="0" xfId="28002" applyNumberFormat="1" applyFont="1" applyBorder="1" applyAlignment="1">
      <alignment horizontal="right"/>
    </xf>
    <xf numFmtId="3" fontId="7" fillId="0" borderId="0" xfId="30869" applyNumberFormat="1" applyFont="1" applyBorder="1" applyAlignment="1">
      <alignment horizontal="right"/>
    </xf>
    <xf numFmtId="0" fontId="7" fillId="0" borderId="0" xfId="28002" applyFont="1" applyFill="1" applyBorder="1" applyAlignment="1">
      <alignment wrapText="1"/>
    </xf>
    <xf numFmtId="3" fontId="7" fillId="0" borderId="0" xfId="28002" applyNumberFormat="1" applyFont="1" applyFill="1" applyBorder="1" applyAlignment="1">
      <alignment horizontal="right"/>
    </xf>
    <xf numFmtId="3" fontId="7" fillId="0" borderId="0" xfId="30869" applyNumberFormat="1" applyFont="1" applyFill="1" applyBorder="1" applyAlignment="1">
      <alignment horizontal="right"/>
    </xf>
    <xf numFmtId="0" fontId="7" fillId="0" borderId="0" xfId="4093" applyFont="1" applyBorder="1" applyAlignment="1">
      <alignment horizontal="left"/>
    </xf>
    <xf numFmtId="0" fontId="7" fillId="0" borderId="0" xfId="28002" applyFont="1" applyAlignment="1"/>
    <xf numFmtId="165" fontId="33" fillId="0" borderId="0" xfId="4079" applyNumberFormat="1" applyFont="1" applyBorder="1" applyAlignment="1">
      <alignment vertical="top" wrapText="1"/>
    </xf>
    <xf numFmtId="165" fontId="33" fillId="0" borderId="0" xfId="30874" applyNumberFormat="1" applyFont="1"/>
    <xf numFmtId="165" fontId="7" fillId="0" borderId="0" xfId="4079" applyNumberFormat="1" applyFont="1" applyBorder="1" applyAlignment="1"/>
    <xf numFmtId="0" fontId="32" fillId="0" borderId="0" xfId="6" applyFont="1" applyAlignment="1">
      <alignment wrapText="1"/>
    </xf>
    <xf numFmtId="0" fontId="33" fillId="0" borderId="1" xfId="28002" applyFont="1" applyBorder="1" applyAlignment="1">
      <alignment horizontal="center"/>
    </xf>
    <xf numFmtId="41" fontId="33" fillId="0" borderId="0" xfId="28002" applyNumberFormat="1" applyFont="1" applyBorder="1" applyAlignment="1">
      <alignment vertical="top" wrapText="1"/>
    </xf>
    <xf numFmtId="0" fontId="7" fillId="0" borderId="0" xfId="28002" applyFont="1" applyBorder="1" applyAlignment="1">
      <alignment vertical="top" wrapText="1"/>
    </xf>
    <xf numFmtId="41" fontId="7" fillId="0" borderId="0" xfId="28002" applyNumberFormat="1" applyFont="1"/>
    <xf numFmtId="41" fontId="7" fillId="0" borderId="0" xfId="28002" applyNumberFormat="1" applyFont="1" applyBorder="1" applyAlignment="1">
      <alignment vertical="top" wrapText="1"/>
    </xf>
    <xf numFmtId="41" fontId="7" fillId="0" borderId="0" xfId="28002" applyNumberFormat="1" applyFont="1" applyBorder="1"/>
    <xf numFmtId="0" fontId="48" fillId="0" borderId="0" xfId="36426" quotePrefix="1" applyFont="1" applyBorder="1" applyAlignment="1"/>
    <xf numFmtId="0" fontId="33" fillId="0" borderId="0" xfId="28002" applyFont="1" applyBorder="1" applyAlignment="1">
      <alignment vertical="top" wrapText="1"/>
    </xf>
    <xf numFmtId="0" fontId="33" fillId="0" borderId="1" xfId="28002" applyFont="1" applyBorder="1" applyAlignment="1">
      <alignment horizontal="center" wrapText="1"/>
    </xf>
    <xf numFmtId="0" fontId="33" fillId="0" borderId="1" xfId="28002" applyFont="1" applyBorder="1" applyAlignment="1">
      <alignment horizontal="center" vertical="center" wrapText="1"/>
    </xf>
    <xf numFmtId="165" fontId="32" fillId="0" borderId="0" xfId="30874" applyNumberFormat="1" applyFont="1"/>
    <xf numFmtId="41" fontId="7" fillId="0" borderId="0" xfId="28002" applyNumberFormat="1" applyFont="1" applyBorder="1" applyAlignment="1">
      <alignment horizontal="right" vertical="top" wrapText="1"/>
    </xf>
    <xf numFmtId="0" fontId="32" fillId="0" borderId="0" xfId="30874" applyFont="1" applyAlignment="1">
      <alignment wrapText="1"/>
    </xf>
    <xf numFmtId="0" fontId="7" fillId="0" borderId="0" xfId="28002" applyFont="1" applyBorder="1" applyAlignment="1">
      <alignment horizontal="left"/>
    </xf>
    <xf numFmtId="0" fontId="32" fillId="0" borderId="0" xfId="30874" applyFont="1" applyAlignment="1">
      <alignment horizontal="left"/>
    </xf>
    <xf numFmtId="0" fontId="33" fillId="0" borderId="0" xfId="30874" applyFont="1" applyBorder="1" applyAlignment="1"/>
    <xf numFmtId="0" fontId="10" fillId="0" borderId="0" xfId="30874" applyFont="1" applyBorder="1" applyAlignment="1"/>
    <xf numFmtId="0" fontId="7" fillId="0" borderId="0" xfId="30874" applyFont="1" applyBorder="1" applyAlignment="1">
      <alignment horizontal="left" wrapText="1" indent="3"/>
    </xf>
    <xf numFmtId="165" fontId="48" fillId="0" borderId="0" xfId="4079" applyNumberFormat="1" applyFont="1" applyBorder="1" applyAlignment="1">
      <alignment horizontal="right" vertical="center"/>
    </xf>
    <xf numFmtId="167" fontId="48" fillId="0" borderId="0" xfId="36424" applyNumberFormat="1" applyFont="1" applyBorder="1" applyAlignment="1">
      <alignment horizontal="right" vertical="center"/>
    </xf>
    <xf numFmtId="0" fontId="33" fillId="0" borderId="0" xfId="30874" applyFont="1" applyBorder="1"/>
    <xf numFmtId="165" fontId="33" fillId="0" borderId="0" xfId="4079" applyNumberFormat="1" applyFont="1" applyFill="1" applyBorder="1"/>
    <xf numFmtId="9" fontId="33" fillId="0" borderId="0" xfId="30871" applyNumberFormat="1" applyFont="1" applyBorder="1"/>
    <xf numFmtId="9" fontId="33" fillId="0" borderId="0" xfId="30874" applyNumberFormat="1" applyFont="1" applyBorder="1"/>
    <xf numFmtId="167" fontId="7" fillId="0" borderId="0" xfId="36424" applyNumberFormat="1" applyFont="1" applyBorder="1" applyAlignment="1">
      <alignment horizontal="right" vertical="center"/>
    </xf>
    <xf numFmtId="0" fontId="33" fillId="0" borderId="0" xfId="6" applyFont="1" applyBorder="1" applyAlignment="1">
      <alignment horizontal="left" wrapText="1"/>
    </xf>
    <xf numFmtId="41" fontId="33" fillId="0" borderId="0" xfId="6" applyNumberFormat="1" applyFont="1" applyFill="1" applyBorder="1" applyAlignment="1"/>
    <xf numFmtId="3" fontId="33" fillId="0" borderId="0" xfId="6" applyNumberFormat="1" applyFont="1" applyFill="1" applyBorder="1" applyAlignment="1"/>
    <xf numFmtId="41" fontId="7" fillId="0" borderId="0" xfId="36423" applyNumberFormat="1" applyFont="1" applyBorder="1" applyAlignment="1">
      <alignment horizontal="right" vertical="top"/>
    </xf>
    <xf numFmtId="191" fontId="7" fillId="0" borderId="0" xfId="6" applyNumberFormat="1" applyFont="1" applyBorder="1" applyAlignment="1">
      <alignment horizontal="right"/>
    </xf>
    <xf numFmtId="41" fontId="7" fillId="0" borderId="0" xfId="6" applyNumberFormat="1" applyFont="1" applyBorder="1" applyAlignment="1">
      <alignment horizontal="right"/>
    </xf>
    <xf numFmtId="0" fontId="7" fillId="0" borderId="0" xfId="30872" applyFont="1" applyBorder="1" applyAlignment="1">
      <alignment horizontal="left" vertical="top"/>
    </xf>
    <xf numFmtId="41" fontId="7" fillId="0" borderId="0" xfId="30874" applyNumberFormat="1" applyFont="1" applyBorder="1"/>
    <xf numFmtId="41" fontId="7" fillId="0" borderId="0" xfId="4079" applyNumberFormat="1" applyFont="1" applyBorder="1" applyAlignment="1">
      <alignment horizontal="right"/>
    </xf>
    <xf numFmtId="185" fontId="7" fillId="0" borderId="0" xfId="6" applyNumberFormat="1" applyFont="1" applyFill="1"/>
    <xf numFmtId="0" fontId="11" fillId="0" borderId="0" xfId="4093" applyFont="1" applyFill="1" applyAlignment="1">
      <alignment horizontal="left"/>
    </xf>
    <xf numFmtId="0" fontId="11" fillId="0" borderId="0" xfId="4093" applyFont="1" applyFill="1" applyAlignment="1">
      <alignment wrapText="1"/>
    </xf>
    <xf numFmtId="167" fontId="7" fillId="0" borderId="0" xfId="36423" applyNumberFormat="1" applyFont="1" applyBorder="1" applyAlignment="1">
      <alignment horizontal="right" vertical="top"/>
    </xf>
    <xf numFmtId="185" fontId="7" fillId="0" borderId="0" xfId="6" applyNumberFormat="1" applyFont="1" applyFill="1" applyBorder="1" applyAlignment="1"/>
    <xf numFmtId="0" fontId="7" fillId="0" borderId="0" xfId="30872" applyFont="1" applyFill="1" applyBorder="1" applyAlignment="1">
      <alignment horizontal="left" vertical="top"/>
    </xf>
    <xf numFmtId="1" fontId="7" fillId="0" borderId="0" xfId="6" applyNumberFormat="1" applyFont="1" applyBorder="1"/>
    <xf numFmtId="186" fontId="7" fillId="0" borderId="0" xfId="4079" applyNumberFormat="1" applyFont="1"/>
    <xf numFmtId="167" fontId="7" fillId="0" borderId="0" xfId="36422" applyNumberFormat="1" applyFont="1" applyBorder="1" applyAlignment="1">
      <alignment horizontal="right" vertical="top"/>
    </xf>
    <xf numFmtId="0" fontId="33" fillId="0" borderId="0" xfId="6" applyFont="1" applyFill="1" applyBorder="1" applyAlignment="1">
      <alignment horizontal="left" wrapText="1"/>
    </xf>
    <xf numFmtId="3" fontId="33" fillId="0" borderId="0" xfId="6" applyNumberFormat="1" applyFont="1" applyFill="1" applyBorder="1" applyAlignment="1">
      <alignment horizontal="right"/>
    </xf>
    <xf numFmtId="167" fontId="7" fillId="0" borderId="0" xfId="30874" applyNumberFormat="1" applyFont="1" applyFill="1" applyBorder="1" applyAlignment="1">
      <alignment horizontal="right" vertical="top"/>
    </xf>
    <xf numFmtId="1" fontId="7" fillId="0" borderId="0" xfId="6" applyNumberFormat="1" applyFont="1" applyFill="1" applyBorder="1"/>
    <xf numFmtId="0" fontId="7" fillId="0" borderId="0" xfId="6" applyFont="1" applyFill="1" applyAlignment="1">
      <alignment wrapText="1"/>
    </xf>
    <xf numFmtId="0" fontId="7" fillId="0" borderId="0" xfId="6" applyFont="1" applyFill="1" applyAlignment="1"/>
    <xf numFmtId="0" fontId="61" fillId="0" borderId="0" xfId="6" applyFont="1" applyFill="1" applyAlignment="1"/>
    <xf numFmtId="0" fontId="61" fillId="0" borderId="0" xfId="6" applyFont="1" applyFill="1" applyAlignment="1">
      <alignment horizontal="justify"/>
    </xf>
    <xf numFmtId="0" fontId="11" fillId="0" borderId="0" xfId="30874" applyFont="1" applyBorder="1"/>
    <xf numFmtId="0" fontId="55" fillId="0" borderId="0" xfId="30874" applyFont="1" applyBorder="1"/>
    <xf numFmtId="0" fontId="48" fillId="0" borderId="0" xfId="36420" applyFont="1" applyBorder="1" applyAlignment="1">
      <alignment vertical="center" wrapText="1"/>
    </xf>
    <xf numFmtId="185" fontId="33" fillId="0" borderId="0" xfId="6" applyNumberFormat="1" applyFont="1" applyFill="1" applyBorder="1" applyAlignment="1"/>
    <xf numFmtId="0" fontId="7" fillId="0" borderId="0" xfId="36420" applyFont="1" applyBorder="1" applyAlignment="1">
      <alignment vertical="center"/>
    </xf>
    <xf numFmtId="0" fontId="48" fillId="0" borderId="0" xfId="36420" applyFont="1" applyBorder="1" applyAlignment="1">
      <alignment horizontal="center" wrapText="1"/>
    </xf>
    <xf numFmtId="165" fontId="11" fillId="0" borderId="0" xfId="4079" applyNumberFormat="1" applyFont="1" applyFill="1" applyBorder="1" applyAlignment="1">
      <alignment horizontal="right"/>
    </xf>
    <xf numFmtId="0" fontId="48" fillId="0" borderId="0" xfId="36420" applyFont="1" applyBorder="1" applyAlignment="1">
      <alignment horizontal="left" vertical="top" wrapText="1"/>
    </xf>
    <xf numFmtId="165" fontId="11" fillId="0" borderId="0" xfId="4079" applyNumberFormat="1" applyFont="1" applyBorder="1"/>
    <xf numFmtId="178" fontId="11" fillId="0" borderId="0" xfId="30874" applyNumberFormat="1" applyFont="1" applyBorder="1"/>
    <xf numFmtId="0" fontId="48" fillId="0" borderId="0" xfId="36421" applyFont="1" applyBorder="1" applyAlignment="1">
      <alignment horizontal="left" vertical="top" wrapText="1"/>
    </xf>
    <xf numFmtId="0" fontId="62" fillId="0" borderId="0" xfId="4093" applyFont="1"/>
    <xf numFmtId="14" fontId="34" fillId="0" borderId="0" xfId="4093" applyNumberFormat="1" applyFont="1"/>
    <xf numFmtId="0" fontId="34" fillId="0" borderId="0" xfId="4093" applyFont="1"/>
    <xf numFmtId="0" fontId="45" fillId="0" borderId="0" xfId="4093" applyFont="1"/>
    <xf numFmtId="0" fontId="10" fillId="0" borderId="1" xfId="4093" applyFont="1" applyFill="1" applyBorder="1" applyAlignment="1">
      <alignment horizontal="center" vertical="center"/>
    </xf>
    <xf numFmtId="0" fontId="10" fillId="0" borderId="0" xfId="4093" applyFont="1" applyFill="1" applyBorder="1" applyAlignment="1">
      <alignment horizontal="left"/>
    </xf>
    <xf numFmtId="41" fontId="33" fillId="0" borderId="0" xfId="4093" applyNumberFormat="1" applyFont="1" applyFill="1" applyBorder="1" applyAlignment="1">
      <alignment horizontal="center" vertical="center"/>
    </xf>
    <xf numFmtId="0" fontId="10" fillId="0" borderId="0" xfId="4093" applyFont="1" applyFill="1" applyBorder="1" applyAlignment="1">
      <alignment horizontal="center" vertical="center"/>
    </xf>
    <xf numFmtId="0" fontId="33" fillId="0" borderId="0" xfId="4093" applyFont="1" applyAlignment="1"/>
    <xf numFmtId="0" fontId="33" fillId="0" borderId="1" xfId="4093" applyFont="1" applyBorder="1" applyAlignment="1">
      <alignment horizontal="center" vertical="center" wrapText="1"/>
    </xf>
    <xf numFmtId="0" fontId="33" fillId="0" borderId="0" xfId="4093" applyFont="1" applyBorder="1" applyAlignment="1">
      <alignment horizontal="center" vertical="center" wrapText="1"/>
    </xf>
    <xf numFmtId="0" fontId="7" fillId="0" borderId="0" xfId="4093" applyFont="1" applyFill="1" applyAlignment="1">
      <alignment horizontal="justify"/>
    </xf>
    <xf numFmtId="0" fontId="7" fillId="0" borderId="0" xfId="4093" applyFont="1" applyAlignment="1">
      <alignment horizontal="justify"/>
    </xf>
    <xf numFmtId="0" fontId="33" fillId="0" borderId="0" xfId="36417" applyFont="1" applyFill="1" applyAlignment="1">
      <alignment horizontal="center" vertical="center" wrapText="1"/>
    </xf>
    <xf numFmtId="0" fontId="7" fillId="0" borderId="0" xfId="36417" applyFont="1" applyFill="1" applyBorder="1" applyAlignment="1">
      <alignment vertical="top" wrapText="1"/>
    </xf>
    <xf numFmtId="0" fontId="7" fillId="0" borderId="0" xfId="36417" applyFont="1" applyFill="1" applyAlignment="1">
      <alignment vertical="top" wrapText="1"/>
    </xf>
    <xf numFmtId="0" fontId="33" fillId="0" borderId="1" xfId="36417" applyFont="1" applyFill="1" applyBorder="1" applyAlignment="1">
      <alignment horizontal="center" vertical="center" wrapText="1"/>
    </xf>
    <xf numFmtId="0" fontId="7" fillId="0" borderId="0" xfId="36417" applyFont="1" applyFill="1" applyAlignment="1">
      <alignment horizontal="center" vertical="center" wrapText="1"/>
    </xf>
    <xf numFmtId="0" fontId="33" fillId="0" borderId="28" xfId="36417" applyFont="1" applyFill="1" applyBorder="1" applyAlignment="1">
      <alignment horizontal="left" vertical="top" wrapText="1"/>
    </xf>
    <xf numFmtId="3" fontId="33" fillId="0" borderId="0" xfId="36417" applyNumberFormat="1" applyFont="1" applyFill="1" applyBorder="1" applyAlignment="1">
      <alignment horizontal="right" vertical="top" wrapText="1"/>
    </xf>
    <xf numFmtId="184" fontId="7" fillId="0" borderId="0" xfId="36417" applyNumberFormat="1" applyFont="1" applyFill="1">
      <alignment wrapText="1"/>
    </xf>
    <xf numFmtId="49" fontId="7" fillId="0" borderId="0" xfId="36417" applyNumberFormat="1" applyFont="1" applyFill="1" applyBorder="1" applyAlignment="1" applyProtection="1">
      <alignment horizontal="left" vertical="top" wrapText="1"/>
    </xf>
    <xf numFmtId="3" fontId="7" fillId="0" borderId="0" xfId="36417" applyNumberFormat="1" applyFont="1" applyFill="1" applyBorder="1" applyAlignment="1" applyProtection="1">
      <alignment horizontal="right" vertical="top" wrapText="1"/>
    </xf>
    <xf numFmtId="3" fontId="7" fillId="0" borderId="0" xfId="36417" applyNumberFormat="1" applyFont="1" applyFill="1" applyBorder="1" applyAlignment="1" applyProtection="1">
      <alignment vertical="top" wrapText="1"/>
    </xf>
    <xf numFmtId="184" fontId="33" fillId="0" borderId="0" xfId="36417" applyNumberFormat="1" applyFont="1" applyFill="1" applyBorder="1" applyAlignment="1">
      <alignment vertical="top" wrapText="1"/>
    </xf>
    <xf numFmtId="0" fontId="7" fillId="0" borderId="0" xfId="36417" applyFont="1" applyFill="1" applyBorder="1" applyAlignment="1" applyProtection="1">
      <alignment horizontal="left" vertical="top" wrapText="1"/>
    </xf>
    <xf numFmtId="184" fontId="7" fillId="0" borderId="0" xfId="36417" applyNumberFormat="1" applyFont="1" applyFill="1" applyBorder="1" applyAlignment="1" applyProtection="1">
      <alignment vertical="top" wrapText="1"/>
    </xf>
    <xf numFmtId="184" fontId="33" fillId="0" borderId="28" xfId="36417" applyNumberFormat="1" applyFont="1" applyFill="1" applyBorder="1" applyAlignment="1">
      <alignment vertical="top" wrapText="1"/>
    </xf>
    <xf numFmtId="3" fontId="7" fillId="0" borderId="0" xfId="36417" applyNumberFormat="1" applyFont="1" applyFill="1">
      <alignment wrapText="1"/>
    </xf>
    <xf numFmtId="3" fontId="7" fillId="0" borderId="0" xfId="36417" applyNumberFormat="1" applyFont="1" applyFill="1" applyBorder="1" applyAlignment="1">
      <alignment vertical="top" wrapText="1"/>
    </xf>
    <xf numFmtId="0" fontId="32" fillId="0" borderId="0" xfId="36417" applyFont="1" applyFill="1" applyBorder="1" applyAlignment="1">
      <alignment vertical="top" wrapText="1"/>
    </xf>
    <xf numFmtId="0" fontId="32" fillId="0" borderId="0" xfId="36417" applyFont="1" applyFill="1" applyAlignment="1">
      <alignment vertical="top" wrapText="1"/>
    </xf>
    <xf numFmtId="0" fontId="33" fillId="0" borderId="1" xfId="36417" applyFont="1" applyFill="1" applyBorder="1" applyAlignment="1">
      <alignment horizontal="center" vertical="top" wrapText="1"/>
    </xf>
    <xf numFmtId="0" fontId="33" fillId="0" borderId="28" xfId="36417" applyFont="1" applyFill="1" applyBorder="1" applyAlignment="1">
      <alignment vertical="top" wrapText="1"/>
    </xf>
    <xf numFmtId="184" fontId="33" fillId="0" borderId="0" xfId="36417" applyNumberFormat="1" applyFont="1" applyFill="1" applyBorder="1" applyAlignment="1">
      <alignment horizontal="right" vertical="top" wrapText="1"/>
    </xf>
    <xf numFmtId="0" fontId="33" fillId="0" borderId="0" xfId="36417" applyFont="1" applyFill="1" applyBorder="1" applyAlignment="1" applyProtection="1">
      <alignment vertical="top" wrapText="1"/>
    </xf>
    <xf numFmtId="184" fontId="33" fillId="0" borderId="0" xfId="36417" applyNumberFormat="1" applyFont="1" applyFill="1" applyBorder="1" applyAlignment="1" applyProtection="1">
      <alignment horizontal="right" vertical="top" wrapText="1"/>
    </xf>
    <xf numFmtId="0" fontId="7" fillId="0" borderId="0" xfId="36417" applyFont="1" applyFill="1" applyBorder="1" applyAlignment="1" applyProtection="1">
      <alignment vertical="top" wrapText="1"/>
    </xf>
    <xf numFmtId="184" fontId="7" fillId="0" borderId="0" xfId="36417" applyNumberFormat="1" applyFont="1" applyFill="1" applyBorder="1" applyAlignment="1">
      <alignment horizontal="right" vertical="top" wrapText="1"/>
    </xf>
    <xf numFmtId="184" fontId="7" fillId="0" borderId="0" xfId="36417" applyNumberFormat="1" applyFont="1" applyFill="1" applyBorder="1" applyAlignment="1" applyProtection="1">
      <alignment horizontal="right" vertical="top" wrapText="1"/>
    </xf>
    <xf numFmtId="0" fontId="32" fillId="0" borderId="0" xfId="0" applyFont="1" applyFill="1" applyBorder="1" applyAlignment="1">
      <alignment vertical="top" wrapText="1"/>
    </xf>
    <xf numFmtId="0" fontId="32" fillId="0" borderId="0" xfId="0" applyFont="1" applyFill="1" applyAlignment="1">
      <alignment vertical="top" wrapText="1"/>
    </xf>
    <xf numFmtId="0" fontId="33" fillId="0" borderId="0" xfId="0" applyFont="1" applyFill="1" applyBorder="1" applyAlignment="1">
      <alignment vertical="top" wrapText="1"/>
    </xf>
    <xf numFmtId="184" fontId="33" fillId="0" borderId="0" xfId="0" applyNumberFormat="1" applyFont="1" applyFill="1" applyBorder="1" applyAlignment="1">
      <alignment horizontal="right" vertical="top" wrapText="1"/>
    </xf>
    <xf numFmtId="182" fontId="33" fillId="0" borderId="28" xfId="0" applyNumberFormat="1" applyFont="1" applyFill="1" applyBorder="1" applyAlignment="1">
      <alignment vertical="top" wrapText="1"/>
    </xf>
    <xf numFmtId="0" fontId="7" fillId="0" borderId="0" xfId="0" applyFont="1" applyFill="1" applyBorder="1" applyAlignment="1" applyProtection="1">
      <alignment vertical="top" wrapText="1"/>
    </xf>
    <xf numFmtId="184" fontId="7" fillId="0" borderId="0" xfId="0" applyNumberFormat="1" applyFont="1" applyFill="1" applyBorder="1" applyAlignment="1" applyProtection="1">
      <alignment horizontal="right" vertical="top" wrapText="1"/>
    </xf>
    <xf numFmtId="182" fontId="7" fillId="0" borderId="0" xfId="0" applyNumberFormat="1" applyFont="1" applyFill="1" applyBorder="1" applyAlignment="1" applyProtection="1">
      <alignment vertical="top" wrapText="1"/>
    </xf>
    <xf numFmtId="0" fontId="7" fillId="0" borderId="0" xfId="0" applyFont="1" applyFill="1" applyBorder="1" applyAlignment="1">
      <alignment vertical="top" wrapText="1"/>
    </xf>
    <xf numFmtId="179" fontId="33" fillId="0" borderId="0" xfId="36417" applyNumberFormat="1" applyFont="1" applyFill="1" applyBorder="1" applyAlignment="1">
      <alignment horizontal="right" vertical="top" wrapText="1"/>
    </xf>
    <xf numFmtId="179" fontId="7" fillId="0" borderId="0" xfId="36417" applyNumberFormat="1" applyFont="1" applyFill="1" applyBorder="1" applyAlignment="1" applyProtection="1">
      <alignment horizontal="right" vertical="top" wrapText="1"/>
    </xf>
    <xf numFmtId="179" fontId="7" fillId="0" borderId="0" xfId="36417" applyNumberFormat="1" applyFont="1" applyFill="1">
      <alignment wrapText="1"/>
    </xf>
    <xf numFmtId="0" fontId="32" fillId="0" borderId="0" xfId="36417" applyFont="1" applyFill="1" applyAlignment="1">
      <alignment vertical="center" wrapText="1"/>
    </xf>
    <xf numFmtId="41" fontId="33" fillId="0" borderId="0" xfId="36419" applyNumberFormat="1" applyFont="1" applyFill="1" applyBorder="1" applyAlignment="1">
      <alignment horizontal="right" vertical="top" wrapText="1"/>
    </xf>
    <xf numFmtId="41" fontId="7" fillId="0" borderId="0" xfId="36419" applyNumberFormat="1" applyFont="1" applyFill="1" applyBorder="1" applyAlignment="1" applyProtection="1">
      <alignment horizontal="right" vertical="top" wrapText="1"/>
    </xf>
    <xf numFmtId="179" fontId="32" fillId="0" borderId="0" xfId="36417" applyNumberFormat="1" applyFont="1" applyFill="1">
      <alignment wrapText="1"/>
    </xf>
    <xf numFmtId="41" fontId="32" fillId="0" borderId="0" xfId="36417" applyNumberFormat="1" applyFont="1" applyFill="1">
      <alignment wrapText="1"/>
    </xf>
    <xf numFmtId="179" fontId="32" fillId="0" borderId="0" xfId="36417" applyNumberFormat="1" applyFont="1" applyFill="1" applyBorder="1" applyAlignment="1">
      <alignment vertical="top" wrapText="1"/>
    </xf>
    <xf numFmtId="183" fontId="33" fillId="0" borderId="0" xfId="36419" applyNumberFormat="1" applyFont="1" applyFill="1" applyBorder="1" applyAlignment="1">
      <alignment horizontal="right" vertical="top" wrapText="1"/>
    </xf>
    <xf numFmtId="183" fontId="7" fillId="0" borderId="0" xfId="36419" applyNumberFormat="1" applyFont="1" applyFill="1" applyBorder="1" applyAlignment="1" applyProtection="1">
      <alignment horizontal="right" vertical="top" wrapText="1"/>
    </xf>
    <xf numFmtId="183" fontId="33" fillId="0" borderId="0" xfId="36419" applyNumberFormat="1" applyFont="1" applyFill="1" applyBorder="1" applyAlignment="1" applyProtection="1">
      <alignment horizontal="right" vertical="top" wrapText="1"/>
    </xf>
    <xf numFmtId="0" fontId="32" fillId="0" borderId="0" xfId="36417" applyFont="1" applyFill="1" applyBorder="1" applyAlignment="1">
      <alignment wrapText="1"/>
    </xf>
    <xf numFmtId="0" fontId="32" fillId="0" borderId="0" xfId="36417" applyFont="1" applyFill="1" applyAlignment="1">
      <alignment wrapText="1"/>
    </xf>
    <xf numFmtId="49" fontId="7" fillId="0" borderId="0" xfId="36417" applyNumberFormat="1" applyFont="1" applyFill="1" applyBorder="1" applyAlignment="1">
      <alignment horizontal="left" vertical="top"/>
    </xf>
    <xf numFmtId="0" fontId="7" fillId="0" borderId="0" xfId="28002" applyFont="1" applyFill="1" applyBorder="1" applyAlignment="1">
      <alignment horizontal="justify" vertical="top" wrapText="1"/>
    </xf>
    <xf numFmtId="0" fontId="32" fillId="0" borderId="0" xfId="36417" applyFont="1" applyFill="1" applyBorder="1" applyAlignment="1">
      <alignment vertical="center" wrapText="1"/>
    </xf>
    <xf numFmtId="181" fontId="7" fillId="0" borderId="0" xfId="36419" applyNumberFormat="1" applyFont="1" applyFill="1" applyBorder="1" applyAlignment="1">
      <alignment horizontal="right" vertical="top" wrapText="1"/>
    </xf>
    <xf numFmtId="181" fontId="33" fillId="0" borderId="0" xfId="36419" applyNumberFormat="1" applyFont="1" applyFill="1" applyBorder="1" applyAlignment="1" applyProtection="1">
      <alignment horizontal="right" vertical="top" wrapText="1"/>
    </xf>
    <xf numFmtId="181" fontId="7" fillId="0" borderId="0" xfId="36419" applyNumberFormat="1" applyFont="1" applyFill="1" applyBorder="1" applyAlignment="1" applyProtection="1">
      <alignment horizontal="right" vertical="top" wrapText="1"/>
    </xf>
    <xf numFmtId="181" fontId="32" fillId="0" borderId="0" xfId="36417" applyNumberFormat="1" applyFont="1" applyFill="1">
      <alignment wrapText="1"/>
    </xf>
    <xf numFmtId="41" fontId="33" fillId="0" borderId="0" xfId="36417" applyNumberFormat="1" applyFont="1" applyFill="1" applyBorder="1" applyAlignment="1">
      <alignment vertical="top" wrapText="1"/>
    </xf>
    <xf numFmtId="3" fontId="7" fillId="0" borderId="0" xfId="36417" applyNumberFormat="1" applyFont="1" applyAlignment="1"/>
    <xf numFmtId="41" fontId="7" fillId="0" borderId="0" xfId="36417" applyNumberFormat="1" applyFont="1" applyFill="1" applyBorder="1" applyAlignment="1" applyProtection="1">
      <alignment vertical="top" wrapText="1"/>
    </xf>
    <xf numFmtId="41" fontId="33" fillId="0" borderId="0" xfId="36417" applyNumberFormat="1" applyFont="1" applyFill="1" applyBorder="1" applyAlignment="1" applyProtection="1">
      <alignment vertical="top" wrapText="1"/>
    </xf>
    <xf numFmtId="179" fontId="33" fillId="0" borderId="0" xfId="36417" applyNumberFormat="1" applyFont="1" applyFill="1" applyBorder="1" applyAlignment="1">
      <alignment vertical="top" wrapText="1"/>
    </xf>
    <xf numFmtId="179" fontId="7" fillId="0" borderId="0" xfId="36417" applyNumberFormat="1" applyFont="1" applyFill="1" applyBorder="1" applyAlignment="1" applyProtection="1">
      <alignment vertical="top" wrapText="1"/>
    </xf>
    <xf numFmtId="0" fontId="32" fillId="0" borderId="0" xfId="36417" applyNumberFormat="1" applyFont="1" applyFill="1">
      <alignment wrapText="1"/>
    </xf>
    <xf numFmtId="41" fontId="33" fillId="0" borderId="0" xfId="36417" applyNumberFormat="1" applyFont="1" applyFill="1" applyBorder="1" applyAlignment="1">
      <alignment horizontal="right" vertical="top" wrapText="1"/>
    </xf>
    <xf numFmtId="3" fontId="33" fillId="0" borderId="0" xfId="28002" applyNumberFormat="1" applyFont="1" applyBorder="1" applyAlignment="1">
      <alignment horizontal="justify" vertical="top"/>
    </xf>
    <xf numFmtId="41" fontId="7" fillId="0" borderId="0" xfId="28002" applyNumberFormat="1" applyFont="1" applyFill="1" applyBorder="1" applyAlignment="1">
      <alignment horizontal="justify" vertical="top"/>
    </xf>
    <xf numFmtId="0" fontId="33" fillId="0" borderId="1" xfId="36417" applyFont="1" applyFill="1" applyBorder="1" applyAlignment="1">
      <alignment horizontal="right" vertical="center" wrapText="1"/>
    </xf>
    <xf numFmtId="181" fontId="33" fillId="0" borderId="0" xfId="36419" applyNumberFormat="1" applyFont="1" applyFill="1" applyBorder="1" applyAlignment="1">
      <alignment horizontal="right" vertical="top" wrapText="1"/>
    </xf>
    <xf numFmtId="182" fontId="33" fillId="0" borderId="0" xfId="36417" applyNumberFormat="1" applyFont="1" applyFill="1" applyBorder="1" applyAlignment="1">
      <alignment horizontal="right" vertical="top" wrapText="1"/>
    </xf>
    <xf numFmtId="182" fontId="7" fillId="0" borderId="0" xfId="36417" applyNumberFormat="1" applyFont="1" applyFill="1" applyBorder="1" applyAlignment="1" applyProtection="1">
      <alignment horizontal="right" vertical="top" wrapText="1"/>
    </xf>
    <xf numFmtId="0" fontId="7" fillId="0" borderId="0" xfId="36417" applyFont="1" applyFill="1" applyBorder="1" applyAlignment="1">
      <alignment horizontal="justify" vertical="top" wrapText="1"/>
    </xf>
    <xf numFmtId="0" fontId="7" fillId="0" borderId="0" xfId="36417" applyFont="1" applyFill="1" applyBorder="1" applyAlignment="1"/>
    <xf numFmtId="0" fontId="7" fillId="0" borderId="0" xfId="36417" applyFont="1" applyFill="1" applyBorder="1" applyAlignment="1">
      <alignment vertical="top"/>
    </xf>
    <xf numFmtId="41" fontId="32" fillId="0" borderId="0" xfId="36417" applyNumberFormat="1" applyFont="1" applyFill="1" applyBorder="1">
      <alignment wrapText="1"/>
    </xf>
    <xf numFmtId="0" fontId="63" fillId="0" borderId="0" xfId="30874" applyFont="1"/>
    <xf numFmtId="0" fontId="33" fillId="0" borderId="0" xfId="30874" applyFont="1" applyFill="1" applyAlignment="1"/>
    <xf numFmtId="0" fontId="33" fillId="0" borderId="0" xfId="30874" applyFont="1" applyFill="1" applyBorder="1" applyAlignment="1">
      <alignment horizontal="left" vertical="center" wrapText="1"/>
    </xf>
    <xf numFmtId="0" fontId="33" fillId="0" borderId="0" xfId="30874" applyFont="1" applyFill="1" applyBorder="1" applyAlignment="1">
      <alignment horizontal="left"/>
    </xf>
    <xf numFmtId="3" fontId="7" fillId="0" borderId="0" xfId="25625" applyNumberFormat="1" applyFont="1" applyFill="1" applyAlignment="1" applyProtection="1">
      <alignment horizontal="left" vertical="center"/>
      <protection locked="0"/>
    </xf>
    <xf numFmtId="165" fontId="7" fillId="0" borderId="0" xfId="4079" applyNumberFormat="1" applyFont="1" applyFill="1" applyBorder="1"/>
    <xf numFmtId="0" fontId="7" fillId="0" borderId="0" xfId="30874" applyFont="1" applyFill="1" applyBorder="1" applyAlignment="1">
      <alignment horizontal="right"/>
    </xf>
    <xf numFmtId="165" fontId="7" fillId="0" borderId="0" xfId="4079" applyNumberFormat="1" applyFont="1" applyFill="1" applyBorder="1" applyAlignment="1"/>
    <xf numFmtId="3" fontId="7" fillId="0" borderId="0" xfId="28002" applyNumberFormat="1" applyFont="1" applyFill="1" applyAlignment="1"/>
    <xf numFmtId="0" fontId="7" fillId="0" borderId="0" xfId="28002" applyFont="1" applyFill="1" applyAlignment="1">
      <alignment vertical="top"/>
    </xf>
    <xf numFmtId="0" fontId="7" fillId="0" borderId="0" xfId="36416" applyFont="1" applyFill="1"/>
    <xf numFmtId="172" fontId="7" fillId="0" borderId="0" xfId="36416" applyNumberFormat="1" applyFont="1" applyFill="1"/>
    <xf numFmtId="3" fontId="7" fillId="0" borderId="0" xfId="36416" applyNumberFormat="1" applyFont="1" applyFill="1" applyAlignment="1" applyProtection="1">
      <alignment horizontal="left" vertical="center"/>
      <protection locked="0"/>
    </xf>
    <xf numFmtId="3" fontId="7" fillId="0" borderId="0" xfId="36416" applyNumberFormat="1" applyFont="1" applyFill="1" applyAlignment="1" applyProtection="1">
      <alignment vertical="center"/>
      <protection locked="0"/>
    </xf>
    <xf numFmtId="3" fontId="7" fillId="0" borderId="0" xfId="36416" applyNumberFormat="1" applyFont="1" applyFill="1" applyAlignment="1" applyProtection="1">
      <alignment horizontal="left" vertical="center" wrapText="1"/>
      <protection locked="0"/>
    </xf>
    <xf numFmtId="0" fontId="7" fillId="0" borderId="0" xfId="36416" applyNumberFormat="1" applyFont="1" applyFill="1" applyBorder="1" applyAlignment="1"/>
    <xf numFmtId="0" fontId="7" fillId="0" borderId="0" xfId="30873" applyFont="1" applyFill="1" applyBorder="1"/>
    <xf numFmtId="0" fontId="33" fillId="0" borderId="22" xfId="0" applyFont="1" applyBorder="1" applyAlignment="1">
      <alignment horizontal="center" vertical="center" wrapText="1"/>
    </xf>
    <xf numFmtId="0" fontId="7" fillId="0" borderId="0" xfId="0" applyFont="1" applyBorder="1" applyAlignment="1">
      <alignment horizontal="center"/>
    </xf>
    <xf numFmtId="0" fontId="7" fillId="0" borderId="0" xfId="0" applyFont="1" applyBorder="1" applyAlignment="1">
      <alignment horizontal="left" vertical="top" wrapText="1"/>
    </xf>
    <xf numFmtId="0" fontId="33" fillId="0" borderId="0" xfId="0" applyFont="1" applyBorder="1"/>
    <xf numFmtId="3" fontId="33" fillId="0" borderId="0" xfId="4079" applyNumberFormat="1" applyFont="1" applyBorder="1" applyAlignment="1">
      <alignment horizontal="right"/>
    </xf>
    <xf numFmtId="1" fontId="33" fillId="0" borderId="0" xfId="4079" applyNumberFormat="1" applyFont="1" applyBorder="1" applyAlignment="1">
      <alignment horizontal="right"/>
    </xf>
    <xf numFmtId="3" fontId="7" fillId="0" borderId="0" xfId="25626" applyNumberFormat="1" applyFont="1" applyFill="1" applyAlignment="1" applyProtection="1">
      <alignment horizontal="left" vertical="center"/>
      <protection locked="0"/>
    </xf>
    <xf numFmtId="3" fontId="7" fillId="0" borderId="0" xfId="4079" applyNumberFormat="1" applyFont="1" applyBorder="1" applyAlignment="1">
      <alignment horizontal="right" vertical="top" wrapText="1"/>
    </xf>
    <xf numFmtId="165" fontId="7" fillId="0" borderId="0" xfId="4079" applyNumberFormat="1" applyFont="1" applyBorder="1" applyAlignment="1">
      <alignment horizontal="right" vertical="top" wrapText="1"/>
    </xf>
    <xf numFmtId="3" fontId="7" fillId="0" borderId="0" xfId="4079" applyNumberFormat="1" applyFont="1" applyBorder="1" applyAlignment="1">
      <alignment horizontal="right" vertical="top"/>
    </xf>
    <xf numFmtId="1" fontId="7" fillId="0" borderId="0" xfId="4079" applyNumberFormat="1" applyFont="1" applyBorder="1" applyAlignment="1">
      <alignment horizontal="right" vertical="top"/>
    </xf>
    <xf numFmtId="1" fontId="7" fillId="0" borderId="0" xfId="4079" applyNumberFormat="1" applyFont="1" applyBorder="1" applyAlignment="1">
      <alignment horizontal="right" vertical="top" wrapText="1"/>
    </xf>
    <xf numFmtId="1" fontId="7" fillId="0" borderId="0" xfId="4079" applyNumberFormat="1" applyFont="1" applyBorder="1" applyAlignment="1">
      <alignment horizontal="right"/>
    </xf>
    <xf numFmtId="3" fontId="7" fillId="0" borderId="0" xfId="4079" applyNumberFormat="1" applyFont="1" applyBorder="1" applyAlignment="1">
      <alignment horizontal="right"/>
    </xf>
    <xf numFmtId="3" fontId="33" fillId="0" borderId="0" xfId="0" applyNumberFormat="1" applyFont="1" applyBorder="1" applyAlignment="1">
      <alignment horizontal="right"/>
    </xf>
    <xf numFmtId="1" fontId="33" fillId="0" borderId="0" xfId="0" applyNumberFormat="1" applyFont="1" applyBorder="1" applyAlignment="1">
      <alignment horizontal="right"/>
    </xf>
    <xf numFmtId="0" fontId="7" fillId="0" borderId="0" xfId="0" applyFont="1" applyBorder="1" applyAlignment="1">
      <alignment horizontal="left" vertical="top"/>
    </xf>
    <xf numFmtId="0" fontId="33" fillId="0" borderId="22" xfId="0" applyFont="1" applyBorder="1" applyAlignment="1">
      <alignment horizontal="center"/>
    </xf>
    <xf numFmtId="3" fontId="7" fillId="0" borderId="0" xfId="25640" applyNumberFormat="1" applyFont="1" applyFill="1" applyAlignment="1" applyProtection="1">
      <alignment horizontal="left" vertical="center"/>
      <protection locked="0"/>
    </xf>
    <xf numFmtId="41" fontId="33" fillId="0" borderId="0" xfId="0" applyNumberFormat="1" applyFont="1" applyFill="1" applyAlignment="1">
      <alignment horizontal="left" wrapText="1"/>
    </xf>
    <xf numFmtId="3" fontId="7" fillId="0" borderId="0" xfId="0" applyNumberFormat="1" applyFont="1" applyFill="1" applyAlignment="1" applyProtection="1">
      <alignment horizontal="left" vertical="center"/>
      <protection locked="0"/>
    </xf>
    <xf numFmtId="0" fontId="33" fillId="0" borderId="0" xfId="0" applyFont="1" applyFill="1" applyBorder="1" applyAlignment="1">
      <alignment horizontal="left" vertical="top" wrapText="1"/>
    </xf>
    <xf numFmtId="41" fontId="33" fillId="0" borderId="0" xfId="0" applyNumberFormat="1" applyFont="1" applyFill="1"/>
    <xf numFmtId="3" fontId="7" fillId="0" borderId="0" xfId="0" applyNumberFormat="1" applyFont="1" applyFill="1" applyBorder="1" applyAlignment="1">
      <alignment horizontal="left" vertical="top" wrapText="1"/>
    </xf>
    <xf numFmtId="41" fontId="7" fillId="0" borderId="0" xfId="0" applyNumberFormat="1" applyFont="1"/>
    <xf numFmtId="3" fontId="7" fillId="0" borderId="0" xfId="0" applyNumberFormat="1" applyFont="1"/>
    <xf numFmtId="0" fontId="7" fillId="0" borderId="0" xfId="0" applyFont="1" applyFill="1" applyBorder="1" applyAlignment="1">
      <alignment horizontal="left"/>
    </xf>
    <xf numFmtId="3" fontId="7" fillId="0" borderId="0" xfId="0" applyNumberFormat="1" applyFont="1" applyFill="1"/>
    <xf numFmtId="172" fontId="64" fillId="0" borderId="0" xfId="0" applyNumberFormat="1" applyFont="1" applyFill="1" applyBorder="1"/>
    <xf numFmtId="172" fontId="64" fillId="0" borderId="0" xfId="0" applyNumberFormat="1" applyFont="1" applyFill="1" applyBorder="1" applyAlignment="1">
      <alignment wrapText="1"/>
    </xf>
    <xf numFmtId="0" fontId="10" fillId="0" borderId="22" xfId="0" applyFont="1" applyBorder="1" applyAlignment="1">
      <alignment horizontal="center" vertical="center"/>
    </xf>
    <xf numFmtId="0" fontId="10" fillId="0" borderId="22" xfId="0" applyFont="1" applyBorder="1" applyAlignment="1">
      <alignment horizontal="center" vertical="center" wrapText="1"/>
    </xf>
    <xf numFmtId="165" fontId="10" fillId="0" borderId="0" xfId="0" applyNumberFormat="1" applyFont="1" applyBorder="1" applyAlignment="1">
      <alignment horizontal="right" vertical="center"/>
    </xf>
    <xf numFmtId="165" fontId="10" fillId="0" borderId="0" xfId="0" applyNumberFormat="1" applyFont="1" applyBorder="1" applyAlignment="1">
      <alignment horizontal="right" vertical="center" wrapText="1"/>
    </xf>
    <xf numFmtId="165" fontId="7" fillId="0" borderId="0" xfId="0" applyNumberFormat="1" applyFont="1" applyAlignment="1">
      <alignment horizontal="right" vertical="center"/>
    </xf>
    <xf numFmtId="165" fontId="10" fillId="0" borderId="0" xfId="0" applyNumberFormat="1" applyFont="1" applyAlignment="1">
      <alignment horizontal="right" vertical="center"/>
    </xf>
    <xf numFmtId="165" fontId="7" fillId="0" borderId="0" xfId="0" applyNumberFormat="1" applyFont="1" applyAlignment="1">
      <alignment horizontal="right" vertical="center" wrapText="1"/>
    </xf>
    <xf numFmtId="0" fontId="7" fillId="0" borderId="0" xfId="0" applyFont="1" applyAlignment="1">
      <alignment wrapText="1"/>
    </xf>
    <xf numFmtId="49" fontId="7" fillId="0" borderId="0" xfId="0" applyNumberFormat="1" applyFont="1" applyFill="1" applyBorder="1" applyAlignment="1">
      <alignment horizontal="center"/>
    </xf>
    <xf numFmtId="3" fontId="7" fillId="0" borderId="0" xfId="0" applyNumberFormat="1" applyFont="1" applyFill="1" applyBorder="1" applyAlignment="1">
      <alignment wrapText="1"/>
    </xf>
    <xf numFmtId="3" fontId="11" fillId="0" borderId="0" xfId="0" applyNumberFormat="1" applyFont="1" applyBorder="1" applyAlignment="1">
      <alignment horizontal="right" vertical="center"/>
    </xf>
    <xf numFmtId="3" fontId="11" fillId="0" borderId="0" xfId="0" applyNumberFormat="1" applyFont="1" applyBorder="1" applyAlignment="1">
      <alignment horizontal="right" vertical="center" wrapText="1"/>
    </xf>
    <xf numFmtId="0" fontId="32" fillId="0" borderId="0" xfId="0" applyFont="1"/>
    <xf numFmtId="0" fontId="32" fillId="0" borderId="0" xfId="0" applyFont="1" applyAlignment="1">
      <alignment wrapText="1"/>
    </xf>
    <xf numFmtId="3" fontId="7" fillId="0" borderId="0" xfId="0" applyNumberFormat="1" applyFont="1" applyFill="1" applyBorder="1" applyAlignment="1">
      <alignment horizontal="right" wrapText="1"/>
    </xf>
    <xf numFmtId="0" fontId="33" fillId="0" borderId="0" xfId="6" applyFont="1" applyBorder="1" applyAlignment="1">
      <alignment wrapText="1"/>
    </xf>
    <xf numFmtId="0" fontId="33" fillId="0" borderId="0" xfId="6" applyFont="1" applyFill="1" applyBorder="1" applyAlignment="1">
      <alignment wrapText="1"/>
    </xf>
    <xf numFmtId="3" fontId="33" fillId="0" borderId="0" xfId="6" applyNumberFormat="1" applyFont="1" applyBorder="1"/>
    <xf numFmtId="3" fontId="43" fillId="0" borderId="0" xfId="6" applyNumberFormat="1" applyFont="1" applyBorder="1"/>
    <xf numFmtId="0" fontId="33" fillId="0" borderId="0" xfId="5" applyFont="1" applyFill="1" applyAlignment="1">
      <alignment horizontal="left" wrapText="1"/>
    </xf>
    <xf numFmtId="0" fontId="33" fillId="0" borderId="22" xfId="5" applyFont="1" applyFill="1" applyBorder="1" applyAlignment="1">
      <alignment horizontal="center" vertical="center"/>
    </xf>
    <xf numFmtId="0" fontId="33" fillId="0" borderId="0" xfId="5" applyFont="1" applyFill="1" applyBorder="1" applyAlignment="1">
      <alignment wrapText="1"/>
    </xf>
    <xf numFmtId="3" fontId="33" fillId="0" borderId="0" xfId="5" applyNumberFormat="1" applyFont="1" applyFill="1"/>
    <xf numFmtId="3" fontId="7" fillId="0" borderId="0" xfId="5" applyNumberFormat="1" applyFont="1" applyFill="1"/>
    <xf numFmtId="3" fontId="7" fillId="0" borderId="0" xfId="5" applyNumberFormat="1" applyFont="1" applyFill="1" applyBorder="1"/>
    <xf numFmtId="3" fontId="7" fillId="0" borderId="0" xfId="12" applyNumberFormat="1" applyFont="1" applyFill="1" applyBorder="1"/>
    <xf numFmtId="0" fontId="7" fillId="0" borderId="0" xfId="5" applyFont="1" applyFill="1" applyBorder="1" applyAlignment="1"/>
    <xf numFmtId="3" fontId="7" fillId="0" borderId="0" xfId="25554" applyNumberFormat="1" applyFont="1" applyFill="1" applyAlignment="1" applyProtection="1">
      <alignment horizontal="left" vertical="center"/>
      <protection locked="0"/>
    </xf>
    <xf numFmtId="3" fontId="7" fillId="0" borderId="0" xfId="5" applyNumberFormat="1" applyFont="1" applyFill="1" applyAlignment="1" applyProtection="1">
      <alignment horizontal="left" vertical="center"/>
      <protection locked="0"/>
    </xf>
    <xf numFmtId="0" fontId="33" fillId="0" borderId="0" xfId="12" applyFont="1" applyAlignment="1">
      <alignment horizontal="left" wrapText="1"/>
    </xf>
    <xf numFmtId="0" fontId="7" fillId="0" borderId="0" xfId="12" applyFont="1"/>
    <xf numFmtId="0" fontId="33" fillId="0" borderId="22" xfId="12" applyFont="1" applyFill="1" applyBorder="1" applyAlignment="1">
      <alignment horizontal="center" vertical="center"/>
    </xf>
    <xf numFmtId="0" fontId="33" fillId="0" borderId="22" xfId="12" applyFont="1" applyBorder="1" applyAlignment="1">
      <alignment horizontal="center" vertical="center"/>
    </xf>
    <xf numFmtId="3" fontId="11" fillId="0" borderId="0" xfId="12" applyNumberFormat="1" applyFont="1" applyFill="1" applyAlignment="1" applyProtection="1">
      <alignment horizontal="left" vertical="center" wrapText="1"/>
      <protection locked="0"/>
    </xf>
    <xf numFmtId="3" fontId="11" fillId="0" borderId="0" xfId="12" applyNumberFormat="1" applyFont="1" applyFill="1"/>
    <xf numFmtId="3" fontId="11" fillId="0" borderId="0" xfId="12" applyNumberFormat="1" applyFont="1"/>
    <xf numFmtId="3" fontId="11" fillId="0" borderId="0" xfId="12" applyNumberFormat="1" applyFont="1" applyAlignment="1">
      <alignment horizontal="right"/>
    </xf>
    <xf numFmtId="3" fontId="7" fillId="0" borderId="0" xfId="12" applyNumberFormat="1" applyFont="1" applyFill="1" applyAlignment="1" applyProtection="1">
      <alignment horizontal="left" vertical="center" wrapText="1"/>
      <protection locked="0"/>
    </xf>
    <xf numFmtId="3" fontId="7" fillId="0" borderId="0" xfId="12" applyNumberFormat="1" applyFont="1" applyFill="1"/>
    <xf numFmtId="3" fontId="7" fillId="0" borderId="0" xfId="12" applyNumberFormat="1" applyFont="1"/>
    <xf numFmtId="3" fontId="7" fillId="0" borderId="0" xfId="12" applyNumberFormat="1" applyFont="1" applyAlignment="1">
      <alignment horizontal="right"/>
    </xf>
    <xf numFmtId="0" fontId="33" fillId="0" borderId="22" xfId="5" applyFont="1" applyBorder="1" applyAlignment="1">
      <alignment horizontal="center" vertical="center"/>
    </xf>
    <xf numFmtId="0" fontId="33" fillId="0" borderId="22" xfId="5" applyFont="1" applyBorder="1" applyAlignment="1">
      <alignment horizontal="center" vertical="center" wrapText="1"/>
    </xf>
    <xf numFmtId="3" fontId="7" fillId="0" borderId="0" xfId="25553" applyNumberFormat="1" applyFont="1" applyFill="1" applyAlignment="1" applyProtection="1">
      <alignment horizontal="left" vertical="center"/>
      <protection locked="0"/>
    </xf>
    <xf numFmtId="3" fontId="33" fillId="0" borderId="0" xfId="5" applyNumberFormat="1" applyFont="1" applyFill="1" applyBorder="1"/>
    <xf numFmtId="3" fontId="7" fillId="0" borderId="0" xfId="12" applyNumberFormat="1" applyFont="1" applyBorder="1"/>
    <xf numFmtId="3" fontId="7" fillId="0" borderId="0" xfId="5" applyNumberFormat="1" applyFont="1" applyAlignment="1" applyProtection="1">
      <alignment horizontal="left" vertical="center"/>
      <protection locked="0"/>
    </xf>
    <xf numFmtId="3" fontId="7" fillId="0" borderId="0" xfId="5" applyNumberFormat="1" applyFont="1" applyBorder="1"/>
    <xf numFmtId="0" fontId="33" fillId="0" borderId="0" xfId="12" applyFont="1" applyAlignment="1">
      <alignment wrapText="1"/>
    </xf>
    <xf numFmtId="0" fontId="32" fillId="0" borderId="0" xfId="12" applyFont="1" applyAlignment="1">
      <alignment wrapText="1"/>
    </xf>
    <xf numFmtId="0" fontId="33" fillId="0" borderId="0" xfId="12" applyFont="1"/>
    <xf numFmtId="0" fontId="33" fillId="0" borderId="22" xfId="12" applyFont="1" applyBorder="1" applyAlignment="1">
      <alignment horizontal="center" vertical="center" wrapText="1"/>
    </xf>
    <xf numFmtId="0" fontId="7" fillId="0" borderId="0" xfId="12" applyFont="1" applyBorder="1" applyAlignment="1">
      <alignment wrapText="1"/>
    </xf>
    <xf numFmtId="3" fontId="7" fillId="0" borderId="0" xfId="4079" applyNumberFormat="1" applyFont="1" applyAlignment="1">
      <alignment horizontal="right"/>
    </xf>
    <xf numFmtId="0" fontId="33" fillId="0" borderId="0" xfId="12" applyFont="1" applyBorder="1" applyAlignment="1">
      <alignment horizontal="right"/>
    </xf>
    <xf numFmtId="3" fontId="7" fillId="0" borderId="0" xfId="12" applyNumberFormat="1" applyFont="1" applyFill="1" applyBorder="1" applyAlignment="1">
      <alignment horizontal="right"/>
    </xf>
    <xf numFmtId="41" fontId="7" fillId="0" borderId="0" xfId="12" applyNumberFormat="1" applyFont="1" applyBorder="1"/>
    <xf numFmtId="3" fontId="11" fillId="0" borderId="0" xfId="4079" applyNumberFormat="1" applyFont="1" applyBorder="1" applyAlignment="1">
      <alignment horizontal="right"/>
    </xf>
    <xf numFmtId="0" fontId="33" fillId="0" borderId="0" xfId="12" applyFont="1" applyBorder="1" applyAlignment="1">
      <alignment horizontal="center"/>
    </xf>
    <xf numFmtId="0" fontId="7" fillId="0" borderId="0" xfId="12" applyFont="1" applyFill="1" applyBorder="1" applyAlignment="1"/>
    <xf numFmtId="0" fontId="7" fillId="0" borderId="0" xfId="12" applyFont="1" applyFill="1" applyBorder="1" applyAlignment="1">
      <alignment horizontal="left" vertical="top"/>
    </xf>
    <xf numFmtId="0" fontId="7" fillId="0" borderId="0" xfId="12" applyFont="1" applyFill="1" applyBorder="1" applyAlignment="1">
      <alignment horizontal="left" vertical="top" wrapText="1"/>
    </xf>
    <xf numFmtId="0" fontId="7" fillId="0" borderId="0" xfId="12" applyFont="1" applyBorder="1" applyAlignment="1">
      <alignment vertical="center"/>
    </xf>
    <xf numFmtId="0" fontId="7" fillId="0" borderId="0" xfId="12" applyFont="1" applyFill="1" applyAlignment="1">
      <alignment wrapText="1"/>
    </xf>
    <xf numFmtId="0" fontId="33" fillId="0" borderId="0" xfId="12" applyFont="1" applyBorder="1" applyAlignment="1">
      <alignment horizontal="left"/>
    </xf>
    <xf numFmtId="3" fontId="33" fillId="0" borderId="0" xfId="12" applyNumberFormat="1" applyFont="1" applyFill="1" applyBorder="1" applyAlignment="1">
      <alignment horizontal="right"/>
    </xf>
    <xf numFmtId="0" fontId="7" fillId="0" borderId="0" xfId="12" applyFont="1" applyFill="1"/>
    <xf numFmtId="41" fontId="7" fillId="0" borderId="0" xfId="12" applyNumberFormat="1" applyFont="1"/>
    <xf numFmtId="3" fontId="7" fillId="0" borderId="0" xfId="12" applyNumberFormat="1" applyFont="1" applyBorder="1" applyAlignment="1">
      <alignment horizontal="right"/>
    </xf>
    <xf numFmtId="41" fontId="7" fillId="0" borderId="0" xfId="12" applyNumberFormat="1" applyFont="1" applyFill="1" applyBorder="1"/>
    <xf numFmtId="0" fontId="33" fillId="0" borderId="0" xfId="12" applyFont="1" applyAlignment="1">
      <alignment horizontal="left" vertical="top"/>
    </xf>
    <xf numFmtId="0" fontId="7" fillId="0" borderId="0" xfId="12" applyFont="1" applyAlignment="1"/>
    <xf numFmtId="3" fontId="7" fillId="0" borderId="0" xfId="12" applyNumberFormat="1" applyFont="1" applyAlignment="1">
      <alignment vertical="center"/>
    </xf>
    <xf numFmtId="41" fontId="7" fillId="0" borderId="0" xfId="12" applyNumberFormat="1" applyFont="1" applyAlignment="1">
      <alignment vertical="center"/>
    </xf>
    <xf numFmtId="3" fontId="7" fillId="0" borderId="0" xfId="12" applyNumberFormat="1" applyFont="1" applyBorder="1" applyAlignment="1">
      <alignment vertical="center"/>
    </xf>
    <xf numFmtId="41" fontId="7" fillId="0" borderId="0" xfId="12" applyNumberFormat="1" applyFont="1" applyFill="1" applyBorder="1" applyAlignment="1">
      <alignment vertical="center"/>
    </xf>
    <xf numFmtId="0" fontId="7" fillId="0" borderId="0" xfId="12" applyFont="1" applyAlignment="1">
      <alignment vertical="center"/>
    </xf>
    <xf numFmtId="0" fontId="33" fillId="0" borderId="0" xfId="12" applyFont="1" applyFill="1" applyAlignment="1">
      <alignment vertical="center"/>
    </xf>
    <xf numFmtId="0" fontId="32" fillId="0" borderId="0" xfId="5" applyFont="1" applyAlignment="1">
      <alignment wrapText="1"/>
    </xf>
    <xf numFmtId="0" fontId="33" fillId="0" borderId="22" xfId="5" applyFont="1" applyFill="1" applyBorder="1" applyAlignment="1">
      <alignment horizontal="center"/>
    </xf>
    <xf numFmtId="3" fontId="33" fillId="0" borderId="0" xfId="12" applyNumberFormat="1" applyFont="1" applyFill="1" applyBorder="1"/>
    <xf numFmtId="0" fontId="7" fillId="0" borderId="0" xfId="5" applyFont="1" applyFill="1" applyBorder="1" applyAlignment="1">
      <alignment wrapText="1"/>
    </xf>
    <xf numFmtId="0" fontId="7" fillId="0" borderId="0" xfId="5" applyFont="1" applyBorder="1" applyAlignment="1">
      <alignment wrapText="1"/>
    </xf>
    <xf numFmtId="0" fontId="7" fillId="0" borderId="0" xfId="5" applyFont="1" applyBorder="1" applyAlignment="1">
      <alignment horizontal="left" wrapText="1"/>
    </xf>
    <xf numFmtId="3" fontId="33" fillId="0" borderId="0" xfId="5" applyNumberFormat="1" applyFont="1" applyBorder="1"/>
    <xf numFmtId="165" fontId="33" fillId="0" borderId="0" xfId="4079" applyNumberFormat="1" applyFont="1" applyFill="1"/>
    <xf numFmtId="3" fontId="33" fillId="0" borderId="0" xfId="5" applyNumberFormat="1" applyFont="1" applyFill="1" applyAlignment="1">
      <alignment horizontal="center" vertical="center"/>
    </xf>
    <xf numFmtId="3" fontId="7" fillId="0" borderId="0" xfId="5" applyNumberFormat="1" applyFont="1" applyFill="1" applyAlignment="1">
      <alignment horizontal="center" vertical="center"/>
    </xf>
    <xf numFmtId="0" fontId="7" fillId="0" borderId="0" xfId="5" applyFont="1" applyAlignment="1">
      <alignment wrapText="1"/>
    </xf>
    <xf numFmtId="3" fontId="7" fillId="0" borderId="0" xfId="5" applyNumberFormat="1" applyFont="1"/>
    <xf numFmtId="0" fontId="7" fillId="0" borderId="0" xfId="5" applyFont="1" applyBorder="1" applyAlignment="1"/>
    <xf numFmtId="9" fontId="8" fillId="0" borderId="0" xfId="2" applyFont="1"/>
    <xf numFmtId="0" fontId="33" fillId="0" borderId="0" xfId="12" applyFont="1" applyAlignment="1">
      <alignment horizontal="left" vertical="center" wrapText="1"/>
    </xf>
    <xf numFmtId="0" fontId="7" fillId="0" borderId="0" xfId="12" applyFont="1" applyFill="1" applyBorder="1"/>
    <xf numFmtId="0" fontId="7" fillId="0" borderId="0" xfId="12" applyNumberFormat="1" applyFont="1" applyFill="1" applyAlignment="1">
      <alignment horizontal="left"/>
    </xf>
    <xf numFmtId="0" fontId="7" fillId="0" borderId="0" xfId="12" applyFont="1" applyBorder="1" applyAlignment="1">
      <alignment horizontal="left" vertical="top" wrapText="1"/>
    </xf>
    <xf numFmtId="41" fontId="7" fillId="0" borderId="0" xfId="4079" applyNumberFormat="1" applyFont="1" applyFill="1" applyBorder="1"/>
    <xf numFmtId="0" fontId="7" fillId="0" borderId="0" xfId="5" applyFont="1" applyFill="1" applyBorder="1" applyAlignment="1">
      <alignment vertical="center"/>
    </xf>
    <xf numFmtId="0" fontId="32" fillId="0" borderId="0" xfId="5" applyFont="1" applyFill="1" applyAlignment="1">
      <alignment vertical="center"/>
    </xf>
    <xf numFmtId="0" fontId="7" fillId="0" borderId="0" xfId="5" applyFont="1" applyFill="1" applyAlignment="1">
      <alignment vertical="center"/>
    </xf>
    <xf numFmtId="0" fontId="7" fillId="0" borderId="0" xfId="5" applyFont="1" applyAlignment="1">
      <alignment horizontal="left"/>
    </xf>
    <xf numFmtId="0" fontId="7" fillId="0" borderId="0" xfId="5" applyFont="1" applyAlignment="1">
      <alignment horizontal="center"/>
    </xf>
    <xf numFmtId="0" fontId="7" fillId="0" borderId="0" xfId="5" applyFont="1" applyBorder="1" applyAlignment="1">
      <alignment horizontal="center"/>
    </xf>
    <xf numFmtId="0" fontId="7" fillId="0" borderId="0" xfId="12" applyFont="1" applyBorder="1" applyAlignment="1">
      <alignment horizontal="center"/>
    </xf>
    <xf numFmtId="41" fontId="33" fillId="0" borderId="0" xfId="5" applyNumberFormat="1" applyFont="1"/>
    <xf numFmtId="3" fontId="7" fillId="0" borderId="0" xfId="25552" applyNumberFormat="1" applyFont="1" applyFill="1" applyAlignment="1" applyProtection="1">
      <alignment horizontal="left" vertical="center"/>
      <protection locked="0"/>
    </xf>
    <xf numFmtId="41" fontId="7" fillId="0" borderId="0" xfId="5" applyNumberFormat="1" applyFont="1"/>
    <xf numFmtId="41" fontId="7" fillId="0" borderId="0" xfId="5" applyNumberFormat="1" applyFont="1" applyBorder="1" applyAlignment="1">
      <alignment horizontal="right"/>
    </xf>
    <xf numFmtId="41" fontId="7" fillId="0" borderId="0" xfId="12" applyNumberFormat="1" applyFont="1" applyBorder="1" applyAlignment="1">
      <alignment horizontal="right"/>
    </xf>
    <xf numFmtId="2" fontId="33" fillId="0" borderId="22" xfId="5" applyNumberFormat="1" applyFont="1" applyBorder="1" applyAlignment="1">
      <alignment horizontal="center" vertical="center" wrapText="1"/>
    </xf>
    <xf numFmtId="41" fontId="33" fillId="0" borderId="0" xfId="5" applyNumberFormat="1" applyFont="1" applyAlignment="1"/>
    <xf numFmtId="3" fontId="7" fillId="0" borderId="0" xfId="25551" applyNumberFormat="1" applyFont="1" applyFill="1" applyAlignment="1" applyProtection="1">
      <alignment horizontal="left" vertical="center"/>
      <protection locked="0"/>
    </xf>
    <xf numFmtId="41" fontId="33" fillId="0" borderId="0" xfId="5" applyNumberFormat="1" applyFont="1" applyFill="1" applyBorder="1" applyAlignment="1"/>
    <xf numFmtId="41" fontId="7" fillId="0" borderId="0" xfId="5" applyNumberFormat="1" applyFont="1" applyFill="1" applyBorder="1" applyAlignment="1"/>
    <xf numFmtId="0" fontId="32" fillId="0" borderId="0" xfId="6" applyFont="1" applyBorder="1"/>
    <xf numFmtId="0" fontId="66" fillId="0" borderId="0" xfId="28002" applyFont="1"/>
    <xf numFmtId="0" fontId="33" fillId="0" borderId="22" xfId="28002" applyFont="1" applyBorder="1" applyAlignment="1">
      <alignment horizontal="center" vertical="center" wrapText="1"/>
    </xf>
    <xf numFmtId="0" fontId="33" fillId="0" borderId="0" xfId="28002" applyFont="1" applyBorder="1"/>
    <xf numFmtId="3" fontId="33" fillId="0" borderId="0" xfId="28002" applyNumberFormat="1" applyFont="1" applyBorder="1"/>
    <xf numFmtId="3" fontId="7" fillId="0" borderId="0" xfId="28002" applyNumberFormat="1" applyFont="1" applyBorder="1"/>
    <xf numFmtId="178" fontId="8" fillId="0" borderId="0" xfId="0" applyNumberFormat="1" applyFont="1"/>
    <xf numFmtId="0" fontId="8" fillId="0" borderId="0" xfId="0" applyFont="1" applyAlignment="1">
      <alignment wrapText="1"/>
    </xf>
    <xf numFmtId="0" fontId="7" fillId="0" borderId="0" xfId="4093" applyFont="1" applyBorder="1" applyAlignment="1">
      <alignment wrapText="1"/>
    </xf>
    <xf numFmtId="0" fontId="33" fillId="0" borderId="22" xfId="4093" applyFont="1" applyBorder="1" applyAlignment="1">
      <alignment horizontal="center" wrapText="1"/>
    </xf>
    <xf numFmtId="0" fontId="33" fillId="0" borderId="22" xfId="4093" applyFont="1" applyFill="1" applyBorder="1" applyAlignment="1">
      <alignment vertical="center" wrapText="1"/>
    </xf>
    <xf numFmtId="0" fontId="33" fillId="0" borderId="22" xfId="4093" applyFont="1" applyBorder="1" applyAlignment="1">
      <alignment vertical="center" wrapText="1"/>
    </xf>
    <xf numFmtId="0" fontId="33" fillId="0" borderId="22" xfId="4093" applyFont="1" applyBorder="1" applyAlignment="1">
      <alignment vertical="center"/>
    </xf>
    <xf numFmtId="0" fontId="33" fillId="0" borderId="22" xfId="4093" applyFont="1" applyFill="1" applyBorder="1" applyAlignment="1">
      <alignment horizontal="center" wrapText="1"/>
    </xf>
    <xf numFmtId="0" fontId="33" fillId="0" borderId="22" xfId="4093" applyFont="1" applyFill="1" applyBorder="1" applyAlignment="1">
      <alignment vertical="center"/>
    </xf>
    <xf numFmtId="0" fontId="33" fillId="0" borderId="0" xfId="4093" applyFont="1" applyFill="1" applyBorder="1" applyAlignment="1">
      <alignment horizontal="center" wrapText="1"/>
    </xf>
    <xf numFmtId="0" fontId="33" fillId="0" borderId="0" xfId="4093" applyFont="1" applyBorder="1" applyAlignment="1">
      <alignment horizontal="center" wrapText="1"/>
    </xf>
    <xf numFmtId="0" fontId="33" fillId="0" borderId="0" xfId="4093" applyFont="1" applyFill="1" applyBorder="1" applyAlignment="1">
      <alignment horizontal="center"/>
    </xf>
    <xf numFmtId="0" fontId="33" fillId="0" borderId="0" xfId="4093" applyFont="1" applyBorder="1" applyAlignment="1">
      <alignment horizontal="center"/>
    </xf>
    <xf numFmtId="0" fontId="7" fillId="0" borderId="0" xfId="4093" applyFont="1" applyBorder="1" applyAlignment="1">
      <alignment horizontal="center" wrapText="1"/>
    </xf>
    <xf numFmtId="0" fontId="7" fillId="0" borderId="0" xfId="4093" applyFont="1" applyBorder="1" applyAlignment="1">
      <alignment horizontal="left" wrapText="1"/>
    </xf>
    <xf numFmtId="0" fontId="7" fillId="0" borderId="0" xfId="0" applyFont="1" applyBorder="1" applyAlignment="1">
      <alignment wrapText="1"/>
    </xf>
    <xf numFmtId="0" fontId="7" fillId="0" borderId="0" xfId="4093" applyFont="1" applyFill="1" applyBorder="1" applyAlignment="1">
      <alignment horizontal="left" wrapText="1"/>
    </xf>
    <xf numFmtId="0" fontId="33" fillId="0" borderId="22" xfId="0" applyFont="1" applyFill="1" applyBorder="1" applyAlignment="1">
      <alignment horizontal="center" vertical="top" wrapText="1"/>
    </xf>
    <xf numFmtId="3" fontId="33" fillId="0" borderId="0" xfId="0" applyNumberFormat="1" applyFont="1" applyFill="1" applyBorder="1" applyAlignment="1">
      <alignment horizontal="center" vertical="top" wrapText="1"/>
    </xf>
    <xf numFmtId="9" fontId="33" fillId="0" borderId="0" xfId="30871" applyNumberFormat="1" applyFont="1" applyFill="1"/>
    <xf numFmtId="0" fontId="7" fillId="0" borderId="0" xfId="0" applyFont="1" applyBorder="1" applyAlignment="1">
      <alignment horizontal="center" vertical="top" wrapText="1"/>
    </xf>
    <xf numFmtId="172" fontId="7" fillId="0" borderId="0" xfId="30871" applyNumberFormat="1" applyFont="1" applyFill="1"/>
    <xf numFmtId="10" fontId="7" fillId="0" borderId="0" xfId="30871" applyNumberFormat="1" applyFont="1" applyFill="1"/>
    <xf numFmtId="0" fontId="33" fillId="0" borderId="0" xfId="0" applyFont="1" applyFill="1" applyBorder="1" applyAlignment="1">
      <alignment horizontal="center" vertical="top"/>
    </xf>
    <xf numFmtId="0" fontId="33" fillId="0" borderId="0" xfId="0" applyFont="1" applyFill="1" applyBorder="1" applyAlignment="1">
      <alignment vertical="top"/>
    </xf>
    <xf numFmtId="0" fontId="33" fillId="0" borderId="22" xfId="0" applyFont="1" applyFill="1" applyBorder="1" applyAlignment="1">
      <alignment horizontal="center" vertical="center"/>
    </xf>
    <xf numFmtId="41" fontId="33" fillId="0" borderId="0" xfId="28002" applyNumberFormat="1" applyFont="1" applyFill="1" applyBorder="1" applyAlignment="1">
      <alignment horizontal="right" vertical="center"/>
    </xf>
    <xf numFmtId="9" fontId="33" fillId="0" borderId="0" xfId="30871" applyFont="1" applyFill="1" applyBorder="1" applyAlignment="1">
      <alignment horizontal="right" vertical="center"/>
    </xf>
    <xf numFmtId="3" fontId="7" fillId="0" borderId="0" xfId="25533" applyNumberFormat="1" applyFont="1" applyFill="1" applyAlignment="1" applyProtection="1">
      <alignment horizontal="left" vertical="center"/>
      <protection locked="0"/>
    </xf>
    <xf numFmtId="41" fontId="7" fillId="0" borderId="0" xfId="28002" applyNumberFormat="1" applyFont="1" applyFill="1" applyBorder="1" applyAlignment="1">
      <alignment horizontal="right" vertical="center"/>
    </xf>
    <xf numFmtId="172" fontId="7" fillId="0" borderId="0" xfId="30771" applyNumberFormat="1" applyFont="1" applyFill="1" applyBorder="1" applyAlignment="1">
      <alignment horizontal="right" vertical="center"/>
    </xf>
    <xf numFmtId="41" fontId="7" fillId="0" borderId="0" xfId="0" applyNumberFormat="1" applyFont="1" applyFill="1" applyBorder="1" applyAlignment="1">
      <alignment horizontal="right" vertical="center" wrapText="1"/>
    </xf>
    <xf numFmtId="0" fontId="7" fillId="0" borderId="0" xfId="0" applyFont="1" applyFill="1" applyBorder="1" applyAlignment="1">
      <alignment horizontal="right" vertical="center" wrapText="1"/>
    </xf>
    <xf numFmtId="172" fontId="7" fillId="0" borderId="0" xfId="28002" applyNumberFormat="1" applyFont="1" applyFill="1" applyBorder="1" applyAlignment="1">
      <alignment horizontal="right" vertical="center"/>
    </xf>
    <xf numFmtId="172" fontId="7" fillId="0" borderId="0" xfId="28002" applyNumberFormat="1" applyFont="1" applyFill="1" applyBorder="1" applyAlignment="1">
      <alignment horizontal="right"/>
    </xf>
    <xf numFmtId="0" fontId="7" fillId="0" borderId="0" xfId="0" applyFont="1" applyFill="1" applyBorder="1" applyAlignment="1">
      <alignment horizontal="right" vertical="top" wrapText="1"/>
    </xf>
    <xf numFmtId="0" fontId="33" fillId="0" borderId="0" xfId="28002" applyFont="1" applyFill="1" applyBorder="1" applyAlignment="1">
      <alignment horizontal="left" wrapText="1"/>
    </xf>
    <xf numFmtId="0" fontId="33" fillId="0" borderId="22" xfId="28002" applyFont="1" applyFill="1" applyBorder="1" applyAlignment="1">
      <alignment horizontal="center" vertical="center"/>
    </xf>
    <xf numFmtId="0" fontId="33" fillId="0" borderId="0" xfId="30864" applyFont="1" applyFill="1" applyBorder="1" applyAlignment="1">
      <alignment vertical="center"/>
    </xf>
    <xf numFmtId="41" fontId="33" fillId="0" borderId="0" xfId="28002" applyNumberFormat="1" applyFont="1" applyFill="1" applyBorder="1" applyAlignment="1">
      <alignment vertical="center"/>
    </xf>
    <xf numFmtId="9" fontId="33" fillId="0" borderId="0" xfId="30871" applyFont="1" applyFill="1" applyBorder="1" applyAlignment="1">
      <alignment vertical="center"/>
    </xf>
    <xf numFmtId="9" fontId="33" fillId="0" borderId="0" xfId="28002" applyNumberFormat="1" applyFont="1" applyFill="1" applyBorder="1" applyAlignment="1">
      <alignment vertical="center"/>
    </xf>
    <xf numFmtId="9" fontId="33" fillId="0" borderId="0" xfId="0" applyNumberFormat="1" applyFont="1" applyFill="1" applyBorder="1" applyAlignment="1">
      <alignment horizontal="right" vertical="center"/>
    </xf>
    <xf numFmtId="0" fontId="7" fillId="0" borderId="0" xfId="28002" applyFont="1" applyFill="1" applyBorder="1" applyAlignment="1">
      <alignment vertical="center"/>
    </xf>
    <xf numFmtId="10" fontId="7" fillId="0" borderId="0" xfId="28002" applyNumberFormat="1" applyFont="1" applyFill="1" applyBorder="1" applyAlignment="1">
      <alignment horizontal="right" vertical="center"/>
    </xf>
    <xf numFmtId="41" fontId="7" fillId="0" borderId="0" xfId="28002" applyNumberFormat="1" applyFont="1" applyFill="1" applyBorder="1" applyAlignment="1">
      <alignment horizontal="right"/>
    </xf>
    <xf numFmtId="172" fontId="7" fillId="0" borderId="0" xfId="30871" applyNumberFormat="1" applyFont="1" applyFill="1" applyBorder="1" applyAlignment="1">
      <alignment horizontal="right"/>
    </xf>
    <xf numFmtId="41" fontId="7" fillId="0" borderId="0" xfId="0" applyNumberFormat="1" applyFont="1" applyFill="1" applyBorder="1" applyAlignment="1">
      <alignment wrapText="1"/>
    </xf>
    <xf numFmtId="172" fontId="7" fillId="0" borderId="0" xfId="30871" applyNumberFormat="1" applyFont="1" applyFill="1" applyBorder="1" applyAlignment="1">
      <alignment wrapText="1"/>
    </xf>
    <xf numFmtId="41" fontId="7" fillId="0" borderId="0" xfId="0" applyNumberFormat="1" applyFont="1" applyFill="1" applyBorder="1" applyAlignment="1">
      <alignment horizontal="right" wrapText="1"/>
    </xf>
    <xf numFmtId="0" fontId="7" fillId="0" borderId="0" xfId="0" applyFont="1" applyFill="1" applyBorder="1" applyAlignment="1">
      <alignment vertical="top"/>
    </xf>
    <xf numFmtId="0" fontId="7" fillId="0" borderId="0" xfId="28002" applyFont="1" applyFill="1" applyBorder="1" applyAlignment="1"/>
    <xf numFmtId="10" fontId="7" fillId="0" borderId="0" xfId="28002" applyNumberFormat="1" applyFont="1" applyFill="1" applyBorder="1"/>
    <xf numFmtId="3" fontId="7" fillId="0" borderId="0" xfId="0" applyNumberFormat="1" applyFont="1" applyFill="1" applyBorder="1" applyAlignment="1">
      <alignment horizontal="center" vertical="top" wrapText="1"/>
    </xf>
    <xf numFmtId="172" fontId="7" fillId="0" borderId="0" xfId="28002" applyNumberFormat="1" applyFont="1" applyFill="1" applyBorder="1"/>
    <xf numFmtId="9" fontId="33" fillId="0" borderId="0" xfId="28002" applyNumberFormat="1" applyFont="1" applyFill="1" applyBorder="1"/>
    <xf numFmtId="0" fontId="7" fillId="0" borderId="0" xfId="28002" applyFont="1" applyFill="1" applyBorder="1" applyAlignment="1">
      <alignment horizontal="left"/>
    </xf>
    <xf numFmtId="3" fontId="7" fillId="0" borderId="0" xfId="0" applyNumberFormat="1" applyFont="1" applyFill="1" applyBorder="1" applyAlignment="1">
      <alignment horizontal="right" vertical="top" wrapText="1"/>
    </xf>
    <xf numFmtId="3" fontId="7" fillId="0" borderId="0" xfId="0" applyNumberFormat="1" applyFont="1" applyBorder="1" applyAlignment="1">
      <alignment horizontal="right" vertical="top" wrapText="1"/>
    </xf>
    <xf numFmtId="0" fontId="7" fillId="0" borderId="0" xfId="0" applyFont="1" applyBorder="1" applyAlignment="1">
      <alignment horizontal="right" vertical="top" wrapText="1"/>
    </xf>
    <xf numFmtId="0" fontId="33" fillId="0" borderId="22" xfId="28002" applyFont="1" applyFill="1" applyBorder="1" applyAlignment="1">
      <alignment horizontal="center" vertical="center" wrapText="1"/>
    </xf>
    <xf numFmtId="172" fontId="7" fillId="0" borderId="0" xfId="0" applyNumberFormat="1" applyFont="1" applyFill="1" applyBorder="1" applyAlignment="1">
      <alignment horizontal="right" vertical="top" wrapText="1"/>
    </xf>
    <xf numFmtId="10" fontId="7" fillId="0" borderId="0" xfId="0" applyNumberFormat="1" applyFont="1" applyFill="1" applyBorder="1" applyAlignment="1">
      <alignment horizontal="right" vertical="top" wrapText="1"/>
    </xf>
    <xf numFmtId="10" fontId="33" fillId="0" borderId="22" xfId="28002" applyNumberFormat="1" applyFont="1" applyFill="1" applyBorder="1" applyAlignment="1">
      <alignment horizontal="center" vertical="center"/>
    </xf>
    <xf numFmtId="0" fontId="33" fillId="0" borderId="0" xfId="28002" applyFont="1" applyFill="1" applyBorder="1" applyAlignment="1">
      <alignment horizontal="right" vertical="center"/>
    </xf>
    <xf numFmtId="9" fontId="33" fillId="0" borderId="0" xfId="28002" applyNumberFormat="1" applyFont="1" applyFill="1" applyBorder="1" applyAlignment="1">
      <alignment horizontal="right" vertical="center"/>
    </xf>
    <xf numFmtId="9" fontId="33" fillId="0" borderId="0" xfId="30871" applyNumberFormat="1" applyFont="1" applyFill="1" applyBorder="1" applyAlignment="1">
      <alignment horizontal="right" vertical="center"/>
    </xf>
    <xf numFmtId="0" fontId="7" fillId="0" borderId="0" xfId="0" applyFont="1" applyAlignment="1">
      <alignment horizontal="right"/>
    </xf>
    <xf numFmtId="10" fontId="7" fillId="0" borderId="0" xfId="28002" applyNumberFormat="1" applyFont="1" applyFill="1" applyBorder="1" applyAlignment="1">
      <alignment horizontal="right"/>
    </xf>
    <xf numFmtId="1" fontId="33" fillId="0" borderId="8" xfId="28002" applyNumberFormat="1" applyFont="1" applyFill="1" applyBorder="1" applyAlignment="1"/>
    <xf numFmtId="0" fontId="7" fillId="0" borderId="0" xfId="30876" applyFont="1" applyFill="1" applyBorder="1" applyAlignment="1">
      <alignment horizontal="right" vertical="top" wrapText="1"/>
    </xf>
    <xf numFmtId="0" fontId="7" fillId="0" borderId="0" xfId="30876" applyFont="1" applyBorder="1" applyAlignment="1">
      <alignment horizontal="right" vertical="top" wrapText="1"/>
    </xf>
    <xf numFmtId="0" fontId="38" fillId="0" borderId="0" xfId="0" applyFont="1"/>
    <xf numFmtId="0" fontId="32" fillId="0" borderId="0" xfId="30875" applyFont="1"/>
    <xf numFmtId="0" fontId="7" fillId="0" borderId="0" xfId="30875" applyFont="1" applyFill="1" applyBorder="1" applyAlignment="1">
      <alignment horizontal="right" vertical="top" wrapText="1"/>
    </xf>
    <xf numFmtId="0" fontId="7" fillId="0" borderId="0" xfId="30875" applyFont="1" applyBorder="1" applyAlignment="1">
      <alignment horizontal="right" vertical="top" wrapText="1"/>
    </xf>
    <xf numFmtId="3" fontId="7" fillId="0" borderId="0" xfId="30875" applyNumberFormat="1" applyFont="1" applyFill="1" applyBorder="1" applyAlignment="1">
      <alignment horizontal="right" vertical="top" wrapText="1"/>
    </xf>
    <xf numFmtId="172" fontId="33" fillId="0" borderId="0" xfId="28002" applyNumberFormat="1" applyFont="1" applyFill="1" applyBorder="1"/>
    <xf numFmtId="0" fontId="7" fillId="0" borderId="0" xfId="0" applyFont="1" applyFill="1" applyAlignment="1">
      <alignment horizontal="left"/>
    </xf>
    <xf numFmtId="0" fontId="33" fillId="0" borderId="22" xfId="28002" applyFont="1" applyBorder="1" applyAlignment="1">
      <alignment horizontal="center" wrapText="1"/>
    </xf>
    <xf numFmtId="0" fontId="33" fillId="0" borderId="0" xfId="28002" applyFont="1" applyFill="1" applyBorder="1" applyAlignment="1">
      <alignment horizontal="left"/>
    </xf>
    <xf numFmtId="0" fontId="33" fillId="0" borderId="0" xfId="28002" applyFont="1" applyFill="1" applyBorder="1" applyAlignment="1"/>
    <xf numFmtId="0" fontId="33" fillId="0" borderId="0" xfId="28002" applyFont="1" applyBorder="1" applyAlignment="1"/>
    <xf numFmtId="0" fontId="7" fillId="0" borderId="0" xfId="30873" applyFont="1" applyFill="1" applyBorder="1" applyAlignment="1">
      <alignment vertical="center"/>
    </xf>
    <xf numFmtId="9" fontId="33" fillId="0" borderId="0" xfId="30871" applyNumberFormat="1" applyFont="1" applyFill="1" applyBorder="1"/>
    <xf numFmtId="9" fontId="33" fillId="0" borderId="0" xfId="30871" applyFont="1" applyFill="1" applyBorder="1"/>
    <xf numFmtId="3" fontId="7" fillId="0" borderId="0" xfId="25532" applyNumberFormat="1" applyFont="1" applyFill="1" applyAlignment="1" applyProtection="1">
      <alignment horizontal="left" vertical="center"/>
      <protection locked="0"/>
    </xf>
    <xf numFmtId="0" fontId="7" fillId="0" borderId="0" xfId="30874" applyFont="1" applyFill="1" applyBorder="1" applyAlignment="1">
      <alignment horizontal="right" vertical="top" wrapText="1"/>
    </xf>
    <xf numFmtId="0" fontId="7" fillId="0" borderId="0" xfId="30874" applyFont="1" applyBorder="1" applyAlignment="1">
      <alignment horizontal="right" vertical="top" wrapText="1"/>
    </xf>
    <xf numFmtId="3" fontId="7" fillId="0" borderId="0" xfId="30874" applyNumberFormat="1" applyFont="1" applyFill="1" applyBorder="1" applyAlignment="1">
      <alignment horizontal="right" vertical="top" wrapText="1"/>
    </xf>
    <xf numFmtId="3" fontId="7" fillId="0" borderId="0" xfId="30874" applyNumberFormat="1" applyFont="1" applyBorder="1" applyAlignment="1">
      <alignment horizontal="right" vertical="top" wrapText="1"/>
    </xf>
    <xf numFmtId="0" fontId="33" fillId="0" borderId="0" xfId="0" applyFont="1" applyFill="1" applyBorder="1" applyAlignment="1">
      <alignment horizontal="center" vertical="center"/>
    </xf>
    <xf numFmtId="165" fontId="33" fillId="0" borderId="0" xfId="1" applyNumberFormat="1" applyFont="1" applyFill="1" applyBorder="1"/>
    <xf numFmtId="3" fontId="33" fillId="0" borderId="0" xfId="0" applyNumberFormat="1" applyFont="1" applyFill="1" applyBorder="1" applyAlignment="1">
      <alignment horizontal="center" vertical="center"/>
    </xf>
    <xf numFmtId="0" fontId="33" fillId="0" borderId="0" xfId="0" applyFont="1" applyFill="1" applyBorder="1" applyAlignment="1">
      <alignment vertical="center" wrapText="1"/>
    </xf>
    <xf numFmtId="165" fontId="33" fillId="0" borderId="0" xfId="1" applyNumberFormat="1" applyFont="1" applyFill="1" applyBorder="1" applyAlignment="1">
      <alignment horizontal="center" vertical="center"/>
    </xf>
    <xf numFmtId="165" fontId="7" fillId="0" borderId="0" xfId="1" applyNumberFormat="1" applyFont="1" applyFill="1" applyBorder="1" applyAlignment="1">
      <alignment horizontal="center" vertical="center"/>
    </xf>
    <xf numFmtId="165" fontId="10" fillId="0" borderId="0" xfId="1" applyNumberFormat="1" applyFont="1" applyFill="1" applyBorder="1"/>
    <xf numFmtId="165" fontId="11" fillId="0" borderId="0" xfId="1" applyNumberFormat="1" applyFont="1" applyFill="1" applyBorder="1"/>
    <xf numFmtId="0" fontId="11" fillId="0" borderId="0" xfId="0" applyFont="1" applyBorder="1" applyAlignment="1">
      <alignment horizontal="justify" vertical="top" wrapText="1"/>
    </xf>
    <xf numFmtId="0" fontId="11" fillId="0" borderId="0" xfId="0" applyFont="1" applyBorder="1" applyAlignment="1">
      <alignment horizontal="center"/>
    </xf>
    <xf numFmtId="0" fontId="11" fillId="0" borderId="8" xfId="0" applyFont="1" applyBorder="1" applyAlignment="1">
      <alignment horizontal="justify" vertical="top" wrapText="1"/>
    </xf>
    <xf numFmtId="0" fontId="11" fillId="0" borderId="0" xfId="0" applyFont="1" applyBorder="1" applyAlignment="1">
      <alignment horizontal="center" vertical="center"/>
    </xf>
    <xf numFmtId="165" fontId="11" fillId="0" borderId="0" xfId="1" applyNumberFormat="1" applyFont="1" applyBorder="1" applyAlignment="1">
      <alignment horizontal="center" vertical="center"/>
    </xf>
    <xf numFmtId="165" fontId="11" fillId="0" borderId="0" xfId="1" applyNumberFormat="1" applyFont="1" applyFill="1" applyBorder="1" applyAlignment="1">
      <alignment horizontal="center" vertical="center"/>
    </xf>
    <xf numFmtId="0" fontId="11" fillId="0" borderId="0" xfId="0" applyFont="1" applyAlignment="1">
      <alignment wrapText="1"/>
    </xf>
    <xf numFmtId="0" fontId="10" fillId="0" borderId="0" xfId="0" applyFont="1" applyAlignment="1">
      <alignment horizontal="center" vertical="center"/>
    </xf>
    <xf numFmtId="0" fontId="11" fillId="0" borderId="0" xfId="0" applyFont="1" applyBorder="1" applyAlignment="1">
      <alignment horizontal="left"/>
    </xf>
    <xf numFmtId="0" fontId="8" fillId="0" borderId="0" xfId="0" applyFont="1" applyAlignment="1">
      <alignment horizontal="left"/>
    </xf>
    <xf numFmtId="0" fontId="8" fillId="0" borderId="0" xfId="0" applyNumberFormat="1" applyFont="1"/>
    <xf numFmtId="0" fontId="11" fillId="0" borderId="0" xfId="0" applyFont="1" applyAlignment="1">
      <alignment vertical="center"/>
    </xf>
    <xf numFmtId="0" fontId="10" fillId="0" borderId="0" xfId="0" applyFont="1" applyAlignment="1">
      <alignment horizontal="justify" wrapText="1"/>
    </xf>
    <xf numFmtId="0" fontId="10" fillId="0" borderId="22" xfId="0" applyFont="1" applyBorder="1" applyAlignment="1">
      <alignment horizontal="center"/>
    </xf>
    <xf numFmtId="0" fontId="10" fillId="0" borderId="0" xfId="0" applyFont="1" applyBorder="1" applyAlignment="1">
      <alignment horizontal="left" vertical="center"/>
    </xf>
    <xf numFmtId="41" fontId="10" fillId="0" borderId="0" xfId="0" applyNumberFormat="1" applyFont="1" applyBorder="1" applyAlignment="1">
      <alignment horizontal="right" vertical="center"/>
    </xf>
    <xf numFmtId="41" fontId="10" fillId="0" borderId="0" xfId="0" applyNumberFormat="1" applyFont="1" applyBorder="1" applyAlignment="1">
      <alignment horizontal="right"/>
    </xf>
    <xf numFmtId="41" fontId="11" fillId="0" borderId="0" xfId="0" applyNumberFormat="1" applyFont="1" applyBorder="1" applyAlignment="1">
      <alignment horizontal="right"/>
    </xf>
    <xf numFmtId="49" fontId="11" fillId="0" borderId="0" xfId="0" applyNumberFormat="1" applyFont="1"/>
    <xf numFmtId="0" fontId="11" fillId="0" borderId="0" xfId="0" applyFont="1" applyFill="1" applyAlignment="1">
      <alignment vertical="center"/>
    </xf>
    <xf numFmtId="3" fontId="10" fillId="0" borderId="0" xfId="0" applyNumberFormat="1" applyFont="1" applyFill="1"/>
    <xf numFmtId="3" fontId="7" fillId="0" borderId="0" xfId="0" applyNumberFormat="1" applyFont="1" applyBorder="1" applyAlignment="1"/>
    <xf numFmtId="3" fontId="10" fillId="0" borderId="0" xfId="0" applyNumberFormat="1" applyFont="1"/>
    <xf numFmtId="3" fontId="11" fillId="0" borderId="0" xfId="0" applyNumberFormat="1" applyFont="1"/>
    <xf numFmtId="0" fontId="38" fillId="0" borderId="0" xfId="5" applyFont="1" applyAlignment="1">
      <alignment vertical="center"/>
    </xf>
    <xf numFmtId="0" fontId="33" fillId="0" borderId="22" xfId="7184" applyFont="1" applyFill="1" applyBorder="1" applyAlignment="1">
      <alignment horizontal="center" vertical="center" wrapText="1"/>
    </xf>
    <xf numFmtId="0" fontId="7" fillId="0" borderId="0" xfId="5" applyFont="1" applyBorder="1" applyAlignment="1">
      <alignment horizontal="center" wrapText="1"/>
    </xf>
    <xf numFmtId="0" fontId="38" fillId="0" borderId="22" xfId="5" applyFont="1" applyFill="1" applyBorder="1" applyAlignment="1">
      <alignment horizontal="center" vertical="center"/>
    </xf>
    <xf numFmtId="0" fontId="38" fillId="0" borderId="22" xfId="5" applyFont="1" applyFill="1" applyBorder="1" applyAlignment="1">
      <alignment horizontal="left" vertical="top" wrapText="1"/>
    </xf>
    <xf numFmtId="0" fontId="38" fillId="0" borderId="22" xfId="5" applyFont="1" applyFill="1" applyBorder="1" applyAlignment="1">
      <alignment horizontal="center" vertical="center" wrapText="1"/>
    </xf>
    <xf numFmtId="0" fontId="7" fillId="0" borderId="0" xfId="5" applyFont="1" applyAlignment="1">
      <alignment horizontal="left" vertical="center"/>
    </xf>
    <xf numFmtId="0" fontId="7" fillId="0" borderId="0" xfId="5" applyFont="1" applyBorder="1" applyAlignment="1">
      <alignment horizontal="left" vertical="center"/>
    </xf>
    <xf numFmtId="0" fontId="33" fillId="0" borderId="22" xfId="4093" applyFont="1" applyFill="1" applyBorder="1" applyAlignment="1">
      <alignment horizontal="center" vertical="center" wrapText="1"/>
    </xf>
    <xf numFmtId="0" fontId="33" fillId="0" borderId="0" xfId="4093" applyFont="1" applyFill="1" applyBorder="1" applyAlignment="1">
      <alignment horizontal="left" vertical="top" wrapText="1"/>
    </xf>
    <xf numFmtId="41" fontId="33" fillId="0" borderId="0" xfId="4093" applyNumberFormat="1" applyFont="1" applyFill="1"/>
    <xf numFmtId="0" fontId="7" fillId="0" borderId="0" xfId="4093" applyFont="1" applyAlignment="1">
      <alignment horizontal="left" wrapText="1"/>
    </xf>
    <xf numFmtId="41" fontId="7" fillId="0" borderId="0" xfId="4093" applyNumberFormat="1" applyFont="1" applyAlignment="1">
      <alignment horizontal="right" wrapText="1"/>
    </xf>
    <xf numFmtId="0" fontId="7" fillId="0" borderId="0" xfId="4093" applyFont="1" applyAlignment="1">
      <alignment horizontal="right" wrapText="1"/>
    </xf>
    <xf numFmtId="41" fontId="7" fillId="0" borderId="0" xfId="4093" applyNumberFormat="1" applyFont="1"/>
    <xf numFmtId="0" fontId="7" fillId="0" borderId="0" xfId="4093" applyFont="1" applyFill="1" applyAlignment="1">
      <alignment horizontal="left" vertical="top" wrapText="1"/>
    </xf>
    <xf numFmtId="0" fontId="33" fillId="0" borderId="22" xfId="4093" applyFont="1" applyBorder="1" applyAlignment="1">
      <alignment horizontal="center" vertical="center" wrapText="1"/>
    </xf>
    <xf numFmtId="49" fontId="7" fillId="0" borderId="0" xfId="4093" applyNumberFormat="1" applyFont="1" applyFill="1" applyBorder="1"/>
    <xf numFmtId="0" fontId="7" fillId="0" borderId="0" xfId="4093" applyFont="1" applyFill="1" applyAlignment="1">
      <alignment horizontal="center" wrapText="1"/>
    </xf>
    <xf numFmtId="177" fontId="7" fillId="0" borderId="0" xfId="4093" applyNumberFormat="1" applyFont="1" applyFill="1" applyAlignment="1">
      <alignment horizontal="center" wrapText="1"/>
    </xf>
    <xf numFmtId="178" fontId="32" fillId="0" borderId="0" xfId="4093" applyNumberFormat="1" applyFont="1"/>
    <xf numFmtId="0" fontId="32" fillId="0" borderId="0" xfId="4093" applyFont="1" applyBorder="1"/>
    <xf numFmtId="3" fontId="7" fillId="0" borderId="0" xfId="4093" applyNumberFormat="1" applyFont="1" applyFill="1" applyBorder="1" applyAlignment="1">
      <alignment horizontal="right"/>
    </xf>
    <xf numFmtId="0" fontId="32" fillId="0" borderId="0" xfId="4093" applyFont="1" applyFill="1" applyBorder="1"/>
    <xf numFmtId="0" fontId="33" fillId="0" borderId="22" xfId="4093" applyFont="1" applyFill="1" applyBorder="1" applyAlignment="1">
      <alignment horizontal="center" vertical="center"/>
    </xf>
    <xf numFmtId="177" fontId="7" fillId="0" borderId="0" xfId="4093" applyNumberFormat="1" applyFont="1" applyFill="1" applyAlignment="1">
      <alignment wrapText="1"/>
    </xf>
    <xf numFmtId="0" fontId="7" fillId="0" borderId="0" xfId="4093" applyFont="1" applyBorder="1"/>
    <xf numFmtId="0" fontId="10" fillId="0" borderId="22" xfId="4093" applyFont="1" applyBorder="1" applyAlignment="1">
      <alignment horizontal="center" vertical="center" wrapText="1"/>
    </xf>
    <xf numFmtId="0" fontId="7" fillId="0" borderId="0" xfId="4093" applyFont="1" applyAlignment="1">
      <alignment wrapText="1"/>
    </xf>
    <xf numFmtId="3" fontId="10" fillId="0" borderId="0" xfId="4093" applyNumberFormat="1" applyFont="1" applyAlignment="1">
      <alignment horizontal="right"/>
    </xf>
    <xf numFmtId="3" fontId="10" fillId="0" borderId="0" xfId="4093" applyNumberFormat="1" applyFont="1" applyAlignment="1">
      <alignment horizontal="right" vertical="center"/>
    </xf>
    <xf numFmtId="3" fontId="7" fillId="0" borderId="0" xfId="4093" applyNumberFormat="1" applyFont="1"/>
    <xf numFmtId="3" fontId="7" fillId="0" borderId="0" xfId="4093" applyNumberFormat="1" applyFont="1" applyAlignment="1">
      <alignment horizontal="right" vertical="center"/>
    </xf>
    <xf numFmtId="0" fontId="10" fillId="0" borderId="0" xfId="4093" applyFont="1" applyAlignment="1">
      <alignment wrapText="1"/>
    </xf>
    <xf numFmtId="41" fontId="10" fillId="0" borderId="0" xfId="4093" applyNumberFormat="1" applyFont="1" applyAlignment="1">
      <alignment horizontal="right" wrapText="1"/>
    </xf>
    <xf numFmtId="41" fontId="7" fillId="0" borderId="0" xfId="4093" applyNumberFormat="1" applyFont="1" applyAlignment="1">
      <alignment horizontal="right" vertical="center"/>
    </xf>
    <xf numFmtId="0" fontId="7" fillId="0" borderId="0" xfId="28002" quotePrefix="1" applyFont="1" applyFill="1" applyBorder="1"/>
    <xf numFmtId="0" fontId="38" fillId="0" borderId="0" xfId="5" applyFont="1" applyAlignment="1">
      <alignment vertical="center" wrapText="1"/>
    </xf>
    <xf numFmtId="3" fontId="7" fillId="0" borderId="0" xfId="5" applyNumberFormat="1" applyFont="1" applyFill="1" applyBorder="1" applyAlignment="1">
      <alignment horizontal="right" vertical="center"/>
    </xf>
    <xf numFmtId="0" fontId="7" fillId="0" borderId="0" xfId="5" applyFont="1" applyBorder="1" applyAlignment="1">
      <alignment vertical="center"/>
    </xf>
    <xf numFmtId="0" fontId="33" fillId="0" borderId="0" xfId="5" applyFont="1" applyFill="1" applyBorder="1" applyAlignment="1">
      <alignment vertical="center"/>
    </xf>
    <xf numFmtId="3" fontId="33" fillId="0" borderId="0" xfId="5" applyNumberFormat="1" applyFont="1" applyFill="1" applyBorder="1" applyAlignment="1">
      <alignment horizontal="right" vertical="center"/>
    </xf>
    <xf numFmtId="0" fontId="7" fillId="0" borderId="0" xfId="5" applyFont="1" applyFill="1" applyBorder="1" applyAlignment="1">
      <alignment horizontal="right" vertical="center"/>
    </xf>
    <xf numFmtId="0" fontId="7" fillId="0" borderId="0" xfId="4093" applyFont="1" applyFill="1" applyBorder="1" applyAlignment="1">
      <alignment horizontal="right" vertical="center"/>
    </xf>
    <xf numFmtId="0" fontId="7" fillId="0" borderId="0" xfId="5" applyFont="1" applyAlignment="1">
      <alignment vertical="center" wrapText="1"/>
    </xf>
    <xf numFmtId="0" fontId="7" fillId="0" borderId="0" xfId="28002" applyFont="1" applyBorder="1" applyAlignment="1"/>
    <xf numFmtId="0" fontId="7" fillId="0" borderId="0" xfId="5" applyFont="1" applyAlignment="1">
      <alignment horizontal="right" vertical="center"/>
    </xf>
    <xf numFmtId="3" fontId="10" fillId="0" borderId="0" xfId="4093" applyNumberFormat="1" applyFont="1" applyAlignment="1">
      <alignment horizontal="right" vertical="center" wrapText="1"/>
    </xf>
    <xf numFmtId="3" fontId="7" fillId="0" borderId="0" xfId="4093" applyNumberFormat="1" applyFont="1" applyAlignment="1">
      <alignment horizontal="left"/>
    </xf>
    <xf numFmtId="3" fontId="7" fillId="0" borderId="0" xfId="4093" applyNumberFormat="1" applyFont="1" applyAlignment="1">
      <alignment horizontal="right" vertical="center" wrapText="1"/>
    </xf>
    <xf numFmtId="2" fontId="7" fillId="0" borderId="0" xfId="4093" applyNumberFormat="1" applyFont="1" applyFill="1"/>
    <xf numFmtId="172" fontId="7" fillId="0" borderId="0" xfId="4093" applyNumberFormat="1" applyFont="1"/>
    <xf numFmtId="172" fontId="7" fillId="0" borderId="0" xfId="4093" applyNumberFormat="1" applyFont="1" applyAlignment="1">
      <alignment wrapText="1"/>
    </xf>
    <xf numFmtId="49" fontId="7" fillId="0" borderId="0" xfId="4093" applyNumberFormat="1" applyFont="1" applyFill="1" applyBorder="1" applyAlignment="1">
      <alignment horizontal="center"/>
    </xf>
    <xf numFmtId="49" fontId="32" fillId="0" borderId="0" xfId="4093" applyNumberFormat="1" applyFont="1" applyFill="1"/>
    <xf numFmtId="178" fontId="32" fillId="0" borderId="0" xfId="4093" applyNumberFormat="1" applyFont="1" applyBorder="1"/>
    <xf numFmtId="0" fontId="7" fillId="0" borderId="0" xfId="5" applyFont="1" applyFill="1" applyAlignment="1">
      <alignment horizontal="right" vertical="center"/>
    </xf>
    <xf numFmtId="0" fontId="7" fillId="0" borderId="0" xfId="5" applyFont="1" applyFill="1" applyBorder="1" applyAlignment="1">
      <alignment vertical="center" wrapText="1"/>
    </xf>
    <xf numFmtId="0" fontId="7" fillId="0" borderId="0" xfId="5" applyFont="1" applyFill="1" applyAlignment="1">
      <alignment horizontal="right"/>
    </xf>
    <xf numFmtId="0" fontId="38" fillId="0" borderId="0" xfId="5" applyFont="1" applyFill="1" applyAlignment="1">
      <alignment vertical="center"/>
    </xf>
    <xf numFmtId="0" fontId="7" fillId="0" borderId="0" xfId="28002" applyFont="1" applyFill="1" applyBorder="1" applyAlignment="1">
      <alignment horizontal="center" wrapText="1"/>
    </xf>
    <xf numFmtId="0" fontId="33" fillId="0" borderId="22" xfId="5" applyNumberFormat="1" applyFont="1" applyFill="1" applyBorder="1" applyAlignment="1">
      <alignment horizontal="center" vertical="center"/>
    </xf>
    <xf numFmtId="0" fontId="32" fillId="0" borderId="0" xfId="5" applyFont="1" applyFill="1" applyBorder="1" applyAlignment="1"/>
    <xf numFmtId="0" fontId="7" fillId="0" borderId="0" xfId="28002" applyFont="1" applyBorder="1" applyAlignment="1">
      <alignment horizontal="center" wrapText="1"/>
    </xf>
    <xf numFmtId="0" fontId="33" fillId="0" borderId="22" xfId="28002" applyFont="1" applyBorder="1" applyAlignment="1">
      <alignment horizontal="center" vertical="center"/>
    </xf>
    <xf numFmtId="41" fontId="33" fillId="0" borderId="0" xfId="28002" applyNumberFormat="1" applyFont="1" applyBorder="1"/>
    <xf numFmtId="41" fontId="7" fillId="0" borderId="0" xfId="5" applyNumberFormat="1" applyFont="1" applyFill="1" applyBorder="1"/>
    <xf numFmtId="41" fontId="7" fillId="0" borderId="0" xfId="28002" applyNumberFormat="1" applyFont="1" applyBorder="1" applyAlignment="1">
      <alignment horizontal="right"/>
    </xf>
    <xf numFmtId="41" fontId="7" fillId="0" borderId="0" xfId="28002" applyNumberFormat="1" applyFont="1" applyBorder="1" applyAlignment="1"/>
    <xf numFmtId="178" fontId="7" fillId="0" borderId="0" xfId="28002" applyNumberFormat="1" applyFont="1" applyFill="1" applyBorder="1" applyAlignment="1">
      <alignment vertical="center"/>
    </xf>
    <xf numFmtId="49" fontId="7" fillId="0" borderId="0" xfId="5" applyNumberFormat="1" applyFont="1" applyFill="1" applyAlignment="1">
      <alignment vertical="center" wrapText="1"/>
    </xf>
    <xf numFmtId="0" fontId="7" fillId="0" borderId="0" xfId="30864" applyFont="1" applyFill="1" applyBorder="1" applyAlignment="1">
      <alignment vertical="center"/>
    </xf>
    <xf numFmtId="0" fontId="7" fillId="0" borderId="0" xfId="30864" applyFont="1" applyFill="1" applyAlignment="1">
      <alignment vertical="center"/>
    </xf>
    <xf numFmtId="0" fontId="7" fillId="0" borderId="0" xfId="28002" applyFont="1" applyFill="1" applyBorder="1" applyAlignment="1">
      <alignment horizontal="left" vertical="center"/>
    </xf>
    <xf numFmtId="0" fontId="33" fillId="0" borderId="0" xfId="5" applyFont="1" applyBorder="1" applyAlignment="1">
      <alignment horizontal="left" vertical="center"/>
    </xf>
    <xf numFmtId="41" fontId="33" fillId="0" borderId="0" xfId="5" applyNumberFormat="1" applyFont="1" applyBorder="1" applyAlignment="1">
      <alignment horizontal="right"/>
    </xf>
    <xf numFmtId="41" fontId="33" fillId="0" borderId="0" xfId="5" applyNumberFormat="1" applyFont="1" applyFill="1" applyBorder="1" applyAlignment="1">
      <alignment horizontal="right"/>
    </xf>
    <xf numFmtId="41" fontId="7" fillId="0" borderId="0" xfId="5" applyNumberFormat="1" applyFont="1" applyFill="1" applyBorder="1" applyAlignment="1">
      <alignment horizontal="right"/>
    </xf>
    <xf numFmtId="3" fontId="33" fillId="0" borderId="0" xfId="5" applyNumberFormat="1" applyFont="1" applyBorder="1" applyAlignment="1">
      <alignment horizontal="right"/>
    </xf>
    <xf numFmtId="3" fontId="33" fillId="0" borderId="0" xfId="5" applyNumberFormat="1" applyFont="1" applyFill="1" applyBorder="1" applyAlignment="1">
      <alignment horizontal="right"/>
    </xf>
    <xf numFmtId="3" fontId="7" fillId="0" borderId="0" xfId="5" applyNumberFormat="1" applyFont="1" applyBorder="1" applyAlignment="1">
      <alignment horizontal="right"/>
    </xf>
    <xf numFmtId="3" fontId="7" fillId="0" borderId="0" xfId="5" applyNumberFormat="1" applyFont="1" applyFill="1" applyBorder="1" applyAlignment="1">
      <alignment horizontal="right"/>
    </xf>
    <xf numFmtId="0" fontId="7" fillId="0" borderId="0" xfId="5" applyFont="1" applyFill="1" applyBorder="1" applyAlignment="1">
      <alignment horizontal="left"/>
    </xf>
    <xf numFmtId="49" fontId="7" fillId="0" borderId="0" xfId="5" applyNumberFormat="1" applyFont="1" applyFill="1" applyBorder="1" applyAlignment="1">
      <alignment horizontal="left" wrapText="1"/>
    </xf>
    <xf numFmtId="0" fontId="33" fillId="0" borderId="0" xfId="5" applyFont="1" applyFill="1" applyBorder="1" applyAlignment="1">
      <alignment horizontal="center" vertical="center"/>
    </xf>
    <xf numFmtId="0" fontId="33" fillId="0" borderId="0" xfId="5" applyFont="1" applyFill="1" applyBorder="1" applyAlignment="1">
      <alignment horizontal="left" vertical="center"/>
    </xf>
    <xf numFmtId="0" fontId="67" fillId="0" borderId="0" xfId="5" applyFont="1"/>
    <xf numFmtId="3" fontId="33" fillId="0" borderId="0" xfId="5" applyNumberFormat="1" applyFont="1" applyBorder="1" applyAlignment="1">
      <alignment horizontal="right" vertical="center"/>
    </xf>
    <xf numFmtId="0" fontId="63" fillId="0" borderId="0" xfId="5" applyFont="1" applyBorder="1"/>
    <xf numFmtId="0" fontId="7" fillId="0" borderId="0" xfId="5" applyFont="1" applyFill="1" applyBorder="1" applyAlignment="1">
      <alignment horizontal="left" wrapText="1"/>
    </xf>
    <xf numFmtId="0" fontId="33" fillId="0" borderId="0" xfId="5" applyFont="1" applyFill="1" applyBorder="1" applyAlignment="1"/>
    <xf numFmtId="165" fontId="7" fillId="0" borderId="0" xfId="4079" applyNumberFormat="1" applyFont="1" applyBorder="1" applyAlignment="1">
      <alignment horizontal="right" vertical="center" wrapText="1"/>
    </xf>
    <xf numFmtId="3" fontId="7" fillId="0" borderId="0" xfId="28002" applyNumberFormat="1" applyFont="1" applyFill="1" applyAlignment="1">
      <alignment horizontal="right"/>
    </xf>
    <xf numFmtId="3" fontId="7" fillId="0" borderId="0" xfId="28002" applyNumberFormat="1" applyFont="1" applyAlignment="1">
      <alignment horizontal="right"/>
    </xf>
    <xf numFmtId="165" fontId="7" fillId="0" borderId="0" xfId="4079" applyNumberFormat="1" applyFont="1" applyBorder="1" applyAlignment="1">
      <alignment horizontal="right" wrapText="1"/>
    </xf>
    <xf numFmtId="4" fontId="7" fillId="0" borderId="0" xfId="28002" applyNumberFormat="1" applyFont="1" applyFill="1" applyBorder="1" applyAlignment="1">
      <alignment horizontal="right"/>
    </xf>
    <xf numFmtId="3" fontId="7" fillId="0" borderId="0" xfId="28002" applyNumberFormat="1" applyFont="1" applyFill="1" applyBorder="1" applyAlignment="1"/>
    <xf numFmtId="3" fontId="7" fillId="0" borderId="0" xfId="28002" applyNumberFormat="1" applyFont="1" applyBorder="1" applyAlignment="1"/>
    <xf numFmtId="41" fontId="7" fillId="0" borderId="0" xfId="28002" applyNumberFormat="1" applyFont="1" applyFill="1" applyAlignment="1">
      <alignment horizontal="right"/>
    </xf>
    <xf numFmtId="0" fontId="7" fillId="0" borderId="0" xfId="5" applyFont="1" applyFill="1" applyAlignment="1">
      <alignment horizontal="left" vertical="center" wrapText="1"/>
    </xf>
    <xf numFmtId="49" fontId="7" fillId="0" borderId="0" xfId="5" applyNumberFormat="1" applyFont="1" applyFill="1" applyAlignment="1">
      <alignment horizontal="left" vertical="center" wrapText="1"/>
    </xf>
    <xf numFmtId="0" fontId="7" fillId="0" borderId="0" xfId="28002" applyFont="1" applyBorder="1" applyAlignment="1">
      <alignment horizontal="center"/>
    </xf>
    <xf numFmtId="0" fontId="33" fillId="0" borderId="0" xfId="28002" applyFont="1" applyBorder="1" applyAlignment="1">
      <alignment horizontal="left"/>
    </xf>
    <xf numFmtId="3" fontId="33" fillId="0" borderId="0" xfId="4079" applyNumberFormat="1" applyFont="1" applyFill="1" applyBorder="1"/>
    <xf numFmtId="3" fontId="7" fillId="0" borderId="0" xfId="4079" applyNumberFormat="1" applyFont="1" applyFill="1" applyBorder="1"/>
    <xf numFmtId="3" fontId="7" fillId="0" borderId="0" xfId="4079" applyNumberFormat="1" applyFont="1" applyBorder="1" applyAlignment="1">
      <alignment horizontal="right" wrapText="1" indent="1"/>
    </xf>
    <xf numFmtId="165" fontId="7" fillId="0" borderId="0" xfId="4079" applyNumberFormat="1" applyFont="1" applyBorder="1" applyAlignment="1">
      <alignment horizontal="right" wrapText="1" indent="1"/>
    </xf>
    <xf numFmtId="166" fontId="7" fillId="0" borderId="0" xfId="4079" applyNumberFormat="1" applyFont="1" applyBorder="1" applyAlignment="1">
      <alignment horizontal="right" vertical="center" wrapText="1"/>
    </xf>
    <xf numFmtId="172" fontId="7" fillId="0" borderId="0" xfId="2" applyNumberFormat="1" applyFont="1" applyBorder="1"/>
    <xf numFmtId="0" fontId="7" fillId="0" borderId="0" xfId="28002" applyFont="1" applyBorder="1" applyAlignment="1">
      <alignment vertical="center"/>
    </xf>
    <xf numFmtId="3" fontId="7" fillId="0" borderId="0" xfId="28002" applyNumberFormat="1" applyFont="1" applyAlignment="1"/>
    <xf numFmtId="0" fontId="7" fillId="0" borderId="0" xfId="28002" applyNumberFormat="1" applyFont="1" applyBorder="1"/>
    <xf numFmtId="0" fontId="33" fillId="0" borderId="22" xfId="0" applyFont="1" applyBorder="1" applyAlignment="1">
      <alignment horizontal="center" vertical="center"/>
    </xf>
    <xf numFmtId="0" fontId="7" fillId="0" borderId="0" xfId="0" applyFont="1" applyAlignment="1">
      <alignment horizontal="center" vertical="center"/>
    </xf>
    <xf numFmtId="0" fontId="7" fillId="0" borderId="0" xfId="0" applyNumberFormat="1" applyFont="1" applyFill="1" applyBorder="1" applyAlignment="1">
      <alignment wrapText="1"/>
    </xf>
    <xf numFmtId="0" fontId="7" fillId="0" borderId="0" xfId="30873" applyFont="1" applyFill="1" applyAlignment="1">
      <alignment wrapText="1"/>
    </xf>
    <xf numFmtId="0" fontId="7" fillId="0" borderId="0" xfId="30873" applyFont="1" applyFill="1" applyBorder="1" applyAlignment="1">
      <alignment wrapText="1"/>
    </xf>
    <xf numFmtId="3" fontId="7" fillId="0" borderId="0" xfId="0" applyNumberFormat="1" applyFont="1" applyFill="1" applyAlignment="1" applyProtection="1">
      <alignment horizontal="left" vertical="center" wrapText="1"/>
      <protection locked="0"/>
    </xf>
    <xf numFmtId="178" fontId="7" fillId="0" borderId="0" xfId="30873" applyNumberFormat="1" applyFont="1" applyFill="1"/>
    <xf numFmtId="0" fontId="51" fillId="0" borderId="0" xfId="30872" applyFont="1" applyFill="1" applyBorder="1" applyAlignment="1">
      <alignment horizontal="left" vertical="center" wrapText="1"/>
    </xf>
    <xf numFmtId="0" fontId="51" fillId="0" borderId="22" xfId="30872" applyFont="1" applyFill="1" applyBorder="1" applyAlignment="1">
      <alignment horizontal="center" vertical="center" wrapText="1"/>
    </xf>
    <xf numFmtId="41" fontId="51" fillId="0" borderId="0" xfId="30872" applyNumberFormat="1" applyFont="1" applyFill="1" applyBorder="1" applyAlignment="1">
      <alignment horizontal="right" vertical="center" wrapText="1"/>
    </xf>
    <xf numFmtId="175" fontId="51" fillId="0" borderId="0" xfId="30771" applyNumberFormat="1" applyFont="1" applyFill="1" applyBorder="1" applyAlignment="1">
      <alignment horizontal="right" vertical="center"/>
    </xf>
    <xf numFmtId="0" fontId="48" fillId="0" borderId="0" xfId="30872" applyFont="1" applyFill="1" applyBorder="1" applyAlignment="1">
      <alignment horizontal="left" vertical="center" wrapText="1"/>
    </xf>
    <xf numFmtId="41" fontId="48" fillId="0" borderId="0" xfId="30872" applyNumberFormat="1" applyFont="1" applyFill="1" applyBorder="1" applyAlignment="1">
      <alignment horizontal="right" vertical="center"/>
    </xf>
    <xf numFmtId="176" fontId="48" fillId="0" borderId="0" xfId="30771" applyNumberFormat="1" applyFont="1" applyFill="1" applyBorder="1" applyAlignment="1">
      <alignment horizontal="right" vertical="center"/>
    </xf>
    <xf numFmtId="9" fontId="51" fillId="0" borderId="0" xfId="30871" applyFont="1" applyFill="1" applyBorder="1" applyAlignment="1">
      <alignment horizontal="right" vertical="center"/>
    </xf>
    <xf numFmtId="172" fontId="48" fillId="0" borderId="0" xfId="30871" applyNumberFormat="1" applyFont="1" applyFill="1" applyBorder="1" applyAlignment="1">
      <alignment horizontal="right" vertical="center"/>
    </xf>
    <xf numFmtId="41" fontId="33" fillId="0" borderId="0" xfId="30872" applyNumberFormat="1" applyFont="1" applyFill="1" applyBorder="1" applyAlignment="1">
      <alignment horizontal="right" vertical="center" wrapText="1"/>
    </xf>
    <xf numFmtId="41" fontId="7" fillId="0" borderId="0" xfId="30872" applyNumberFormat="1" applyFont="1" applyFill="1" applyBorder="1" applyAlignment="1">
      <alignment horizontal="right" vertical="center"/>
    </xf>
    <xf numFmtId="172" fontId="7" fillId="0" borderId="0" xfId="30871" applyNumberFormat="1" applyFont="1" applyFill="1" applyBorder="1" applyAlignment="1">
      <alignment horizontal="right" vertical="center"/>
    </xf>
    <xf numFmtId="41" fontId="38" fillId="0" borderId="0" xfId="0" applyNumberFormat="1" applyFont="1" applyFill="1"/>
    <xf numFmtId="9" fontId="7" fillId="0" borderId="0" xfId="30871" applyFont="1" applyFill="1" applyBorder="1" applyAlignment="1">
      <alignment horizontal="right" vertical="center"/>
    </xf>
    <xf numFmtId="0" fontId="48" fillId="0" borderId="0" xfId="30872" applyFont="1" applyFill="1" applyBorder="1" applyAlignment="1">
      <alignment horizontal="left" vertical="center"/>
    </xf>
    <xf numFmtId="178" fontId="32" fillId="0" borderId="0" xfId="5" applyNumberFormat="1" applyFont="1"/>
    <xf numFmtId="0" fontId="33" fillId="0" borderId="6" xfId="28002" applyFont="1" applyBorder="1" applyAlignment="1">
      <alignment horizontal="center" vertical="center" wrapText="1"/>
    </xf>
    <xf numFmtId="0" fontId="7" fillId="0" borderId="0" xfId="28002" applyFont="1" applyBorder="1" applyAlignment="1">
      <alignment horizontal="left" wrapText="1"/>
    </xf>
    <xf numFmtId="0" fontId="33" fillId="0" borderId="0" xfId="5" applyFont="1" applyFill="1"/>
    <xf numFmtId="0" fontId="33" fillId="0" borderId="22" xfId="5" applyFont="1" applyFill="1" applyBorder="1" applyAlignment="1">
      <alignment horizontal="center" vertical="center" wrapText="1"/>
    </xf>
    <xf numFmtId="3" fontId="33" fillId="0" borderId="0" xfId="5" applyNumberFormat="1" applyFont="1" applyFill="1" applyAlignment="1">
      <alignment horizontal="right"/>
    </xf>
    <xf numFmtId="0" fontId="7" fillId="0" borderId="0" xfId="5" applyFont="1" applyFill="1" applyBorder="1" applyAlignment="1">
      <alignment horizontal="left" vertical="center" wrapText="1"/>
    </xf>
    <xf numFmtId="0" fontId="7" fillId="0" borderId="0" xfId="5" applyFont="1" applyFill="1" applyBorder="1" applyAlignment="1">
      <alignment horizontal="right"/>
    </xf>
    <xf numFmtId="172" fontId="32" fillId="0" borderId="0" xfId="2" applyNumberFormat="1" applyFont="1"/>
    <xf numFmtId="9" fontId="32" fillId="0" borderId="0" xfId="2" applyFont="1"/>
    <xf numFmtId="0" fontId="33" fillId="0" borderId="0" xfId="5" applyFont="1" applyFill="1" applyAlignment="1">
      <alignment horizontal="left"/>
    </xf>
    <xf numFmtId="178" fontId="7" fillId="0" borderId="0" xfId="28002" applyNumberFormat="1" applyFont="1" applyBorder="1"/>
    <xf numFmtId="9" fontId="33" fillId="0" borderId="0" xfId="4079" applyNumberFormat="1" applyFont="1" applyFill="1" applyBorder="1" applyAlignment="1">
      <alignment horizontal="right" vertical="center"/>
    </xf>
    <xf numFmtId="10" fontId="7" fillId="0" borderId="0" xfId="5" applyNumberFormat="1" applyFont="1" applyFill="1" applyBorder="1" applyAlignment="1">
      <alignment horizontal="right" vertical="center"/>
    </xf>
    <xf numFmtId="41" fontId="33" fillId="0" borderId="0" xfId="28002" applyNumberFormat="1" applyFont="1" applyFill="1" applyBorder="1" applyAlignment="1"/>
    <xf numFmtId="4" fontId="7" fillId="0" borderId="0" xfId="5" applyNumberFormat="1" applyFont="1" applyFill="1" applyBorder="1" applyAlignment="1" applyProtection="1">
      <alignment horizontal="left" vertical="center"/>
      <protection locked="0"/>
    </xf>
    <xf numFmtId="3" fontId="7" fillId="0" borderId="0" xfId="25548" applyNumberFormat="1" applyFont="1" applyFill="1" applyAlignment="1" applyProtection="1">
      <alignment horizontal="left" vertical="center"/>
      <protection locked="0"/>
    </xf>
    <xf numFmtId="3" fontId="7" fillId="0" borderId="0" xfId="5" applyNumberFormat="1" applyFont="1" applyFill="1" applyBorder="1" applyAlignment="1" applyProtection="1">
      <alignment horizontal="left" vertical="center"/>
      <protection locked="0"/>
    </xf>
    <xf numFmtId="41" fontId="7" fillId="0" borderId="0" xfId="28002" applyNumberFormat="1" applyFont="1" applyFill="1" applyBorder="1" applyAlignment="1"/>
    <xf numFmtId="10" fontId="7" fillId="0" borderId="0" xfId="30871" applyNumberFormat="1" applyFont="1" applyFill="1" applyBorder="1"/>
    <xf numFmtId="3" fontId="7" fillId="0" borderId="0" xfId="28002" applyNumberFormat="1" applyFont="1" applyFill="1" applyBorder="1" applyAlignment="1">
      <alignment wrapText="1"/>
    </xf>
    <xf numFmtId="10" fontId="7" fillId="0" borderId="0" xfId="28002" applyNumberFormat="1" applyFont="1" applyFill="1" applyBorder="1" applyAlignment="1">
      <alignment wrapText="1"/>
    </xf>
    <xf numFmtId="41" fontId="32" fillId="0" borderId="0" xfId="5" applyNumberFormat="1" applyFont="1" applyFill="1"/>
    <xf numFmtId="165" fontId="33" fillId="0" borderId="0" xfId="8" applyNumberFormat="1" applyFont="1" applyFill="1" applyBorder="1" applyAlignment="1">
      <alignment horizontal="right" vertical="center"/>
    </xf>
    <xf numFmtId="9" fontId="33" fillId="0" borderId="0" xfId="5" applyNumberFormat="1" applyFont="1" applyFill="1" applyBorder="1" applyAlignment="1">
      <alignment horizontal="right" vertical="center"/>
    </xf>
    <xf numFmtId="3" fontId="7" fillId="0" borderId="0" xfId="25549" applyNumberFormat="1" applyFont="1" applyFill="1" applyAlignment="1" applyProtection="1">
      <alignment horizontal="left" vertical="center"/>
      <protection locked="0"/>
    </xf>
    <xf numFmtId="43" fontId="7" fillId="0" borderId="0" xfId="28002" applyNumberFormat="1" applyFont="1" applyFill="1" applyBorder="1" applyAlignment="1">
      <alignment horizontal="right"/>
    </xf>
    <xf numFmtId="41" fontId="7" fillId="0" borderId="0" xfId="5" applyNumberFormat="1" applyFont="1" applyFill="1" applyBorder="1" applyAlignment="1">
      <alignment horizontal="right" vertical="center"/>
    </xf>
    <xf numFmtId="2" fontId="7" fillId="0" borderId="0" xfId="5" applyNumberFormat="1" applyFont="1" applyFill="1" applyBorder="1" applyAlignment="1">
      <alignment horizontal="right" vertical="center"/>
    </xf>
    <xf numFmtId="1" fontId="7" fillId="0" borderId="0" xfId="28002" applyNumberFormat="1" applyFont="1" applyFill="1" applyBorder="1" applyAlignment="1">
      <alignment horizontal="right"/>
    </xf>
    <xf numFmtId="1" fontId="7" fillId="0" borderId="0" xfId="8" applyNumberFormat="1" applyFont="1" applyBorder="1" applyAlignment="1">
      <alignment horizontal="right" vertical="center"/>
    </xf>
    <xf numFmtId="165" fontId="7" fillId="0" borderId="0" xfId="8" applyNumberFormat="1" applyFont="1" applyBorder="1" applyAlignment="1">
      <alignment horizontal="right" vertical="center"/>
    </xf>
    <xf numFmtId="2" fontId="7" fillId="0" borderId="0" xfId="5" applyNumberFormat="1" applyFont="1" applyBorder="1" applyAlignment="1">
      <alignment horizontal="right" vertical="center"/>
    </xf>
    <xf numFmtId="3" fontId="33" fillId="0" borderId="0" xfId="4093" applyNumberFormat="1" applyFont="1" applyFill="1" applyBorder="1" applyAlignment="1">
      <alignment horizontal="left" vertical="top" wrapText="1"/>
    </xf>
    <xf numFmtId="0" fontId="10" fillId="0" borderId="22" xfId="4093" applyFont="1" applyFill="1" applyBorder="1" applyAlignment="1">
      <alignment horizontal="center" vertical="center" wrapText="1"/>
    </xf>
    <xf numFmtId="172" fontId="64" fillId="0" borderId="0" xfId="4093" applyNumberFormat="1" applyFont="1" applyFill="1" applyBorder="1"/>
    <xf numFmtId="3" fontId="32" fillId="0" borderId="0" xfId="4093" applyNumberFormat="1" applyFont="1"/>
    <xf numFmtId="172" fontId="7" fillId="0" borderId="0" xfId="30868" applyNumberFormat="1" applyFont="1" applyFill="1" applyBorder="1"/>
    <xf numFmtId="172" fontId="33" fillId="0" borderId="0" xfId="30868" applyNumberFormat="1" applyFont="1" applyFill="1" applyBorder="1"/>
    <xf numFmtId="0" fontId="44" fillId="0" borderId="0" xfId="28002" applyFont="1" applyFill="1" applyBorder="1" applyAlignment="1"/>
    <xf numFmtId="3" fontId="7" fillId="0" borderId="0" xfId="28002" applyNumberFormat="1" applyFont="1" applyFill="1" applyBorder="1" applyAlignment="1">
      <alignment vertical="center"/>
    </xf>
    <xf numFmtId="165" fontId="11" fillId="0" borderId="0" xfId="4079" applyNumberFormat="1" applyFont="1" applyFill="1" applyBorder="1" applyAlignment="1">
      <alignment horizontal="right" vertical="center"/>
    </xf>
    <xf numFmtId="3" fontId="11" fillId="0" borderId="0" xfId="25418" applyNumberFormat="1" applyFont="1" applyFill="1" applyBorder="1" applyAlignment="1">
      <alignment horizontal="right" vertical="center"/>
    </xf>
    <xf numFmtId="0" fontId="33" fillId="0" borderId="0" xfId="28002" applyFont="1" applyFill="1" applyBorder="1" applyAlignment="1">
      <alignment horizontal="left" vertical="center"/>
    </xf>
    <xf numFmtId="1" fontId="33" fillId="0" borderId="0" xfId="28002" applyNumberFormat="1" applyFont="1" applyFill="1" applyBorder="1" applyAlignment="1">
      <alignment horizontal="center" vertical="center"/>
    </xf>
    <xf numFmtId="1" fontId="45" fillId="0" borderId="0" xfId="28002" applyNumberFormat="1" applyFont="1" applyFill="1" applyBorder="1" applyAlignment="1">
      <alignment horizontal="center" vertical="center"/>
    </xf>
    <xf numFmtId="0" fontId="7" fillId="0" borderId="0" xfId="28002" applyFont="1" applyFill="1" applyBorder="1" applyAlignment="1">
      <alignment horizontal="left" vertical="center" wrapText="1"/>
    </xf>
    <xf numFmtId="3" fontId="7" fillId="0" borderId="0" xfId="28002" applyNumberFormat="1" applyFont="1" applyFill="1" applyBorder="1" applyAlignment="1">
      <alignment horizontal="right" vertical="center"/>
    </xf>
    <xf numFmtId="0" fontId="49" fillId="0" borderId="0" xfId="28002" applyFont="1" applyFill="1" applyBorder="1" applyAlignment="1">
      <alignment vertical="center"/>
    </xf>
    <xf numFmtId="3" fontId="7" fillId="0" borderId="0" xfId="25418" applyNumberFormat="1" applyFont="1" applyFill="1" applyBorder="1" applyAlignment="1">
      <alignment horizontal="right" vertical="center"/>
    </xf>
    <xf numFmtId="0" fontId="8" fillId="0" borderId="0" xfId="25418" applyFont="1" applyAlignment="1">
      <alignment vertical="center"/>
    </xf>
    <xf numFmtId="0" fontId="44" fillId="0" borderId="0" xfId="28002" applyFont="1" applyFill="1" applyBorder="1" applyAlignment="1">
      <alignment vertical="center" wrapText="1"/>
    </xf>
    <xf numFmtId="0" fontId="44" fillId="0" borderId="0" xfId="25418" applyFont="1" applyFill="1" applyBorder="1" applyAlignment="1">
      <alignment horizontal="right" vertical="center" wrapText="1"/>
    </xf>
    <xf numFmtId="0" fontId="7" fillId="0" borderId="0" xfId="25418" applyFont="1" applyFill="1" applyBorder="1" applyAlignment="1">
      <alignment horizontal="right" vertical="center"/>
    </xf>
    <xf numFmtId="0" fontId="7" fillId="0" borderId="0" xfId="25418" applyFont="1" applyFill="1" applyBorder="1"/>
    <xf numFmtId="0" fontId="7" fillId="0" borderId="0" xfId="25418" applyFont="1" applyFill="1" applyBorder="1" applyAlignment="1">
      <alignment vertical="center"/>
    </xf>
    <xf numFmtId="0" fontId="7" fillId="0" borderId="0" xfId="25418" applyFont="1" applyFill="1" applyBorder="1" applyAlignment="1">
      <alignment horizontal="center" vertical="center"/>
    </xf>
    <xf numFmtId="0" fontId="7" fillId="0" borderId="0" xfId="25418" applyFont="1" applyFill="1" applyBorder="1" applyAlignment="1">
      <alignment horizontal="center" vertical="center" wrapText="1"/>
    </xf>
    <xf numFmtId="0" fontId="44" fillId="0" borderId="0" xfId="25418" applyFont="1" applyFill="1" applyBorder="1"/>
    <xf numFmtId="0" fontId="33" fillId="0" borderId="0" xfId="28002" applyFont="1" applyFill="1" applyBorder="1" applyAlignment="1">
      <alignment horizontal="left" vertical="center" wrapText="1"/>
    </xf>
    <xf numFmtId="0" fontId="7" fillId="0" borderId="0" xfId="25418" applyFont="1" applyFill="1" applyBorder="1" applyAlignment="1">
      <alignment vertical="center" wrapText="1"/>
    </xf>
    <xf numFmtId="0" fontId="11" fillId="0" borderId="0" xfId="25418" applyFont="1" applyFill="1" applyBorder="1"/>
    <xf numFmtId="0" fontId="10" fillId="0" borderId="0" xfId="6" applyFont="1" applyFill="1" applyBorder="1" applyAlignment="1">
      <alignment horizontal="right" vertical="center"/>
    </xf>
    <xf numFmtId="0" fontId="33" fillId="0" borderId="0" xfId="25418" applyFont="1" applyBorder="1"/>
    <xf numFmtId="0" fontId="7" fillId="0" borderId="0" xfId="25418" applyFont="1" applyBorder="1"/>
    <xf numFmtId="178" fontId="7" fillId="0" borderId="0" xfId="25418" applyNumberFormat="1" applyFont="1" applyBorder="1"/>
    <xf numFmtId="0" fontId="45" fillId="0" borderId="0" xfId="25418" applyFont="1" applyBorder="1"/>
    <xf numFmtId="0" fontId="49" fillId="0" borderId="0" xfId="25418" applyFont="1" applyBorder="1"/>
    <xf numFmtId="0" fontId="32" fillId="0" borderId="0" xfId="25418" applyFont="1" applyBorder="1"/>
    <xf numFmtId="0" fontId="7" fillId="0" borderId="0" xfId="25418" applyFont="1"/>
    <xf numFmtId="0" fontId="11" fillId="0" borderId="0" xfId="25418" applyFont="1" applyFill="1" applyBorder="1" applyAlignment="1">
      <alignment vertical="center"/>
    </xf>
    <xf numFmtId="0" fontId="11" fillId="0" borderId="0" xfId="25418" applyFont="1" applyFill="1" applyBorder="1" applyAlignment="1">
      <alignment horizontal="center" vertical="center"/>
    </xf>
    <xf numFmtId="0" fontId="11" fillId="0" borderId="0" xfId="25418" applyFont="1" applyFill="1" applyBorder="1" applyAlignment="1">
      <alignment horizontal="center" vertical="center" wrapText="1"/>
    </xf>
    <xf numFmtId="0" fontId="11" fillId="0" borderId="0" xfId="25418" applyFont="1" applyFill="1" applyBorder="1" applyAlignment="1">
      <alignment horizontal="right" vertical="center"/>
    </xf>
    <xf numFmtId="0" fontId="11" fillId="0" borderId="0" xfId="25418" applyFont="1" applyFill="1" applyBorder="1" applyAlignment="1">
      <alignment horizontal="center"/>
    </xf>
    <xf numFmtId="0" fontId="11" fillId="0" borderId="0" xfId="6" applyFont="1" applyFill="1" applyBorder="1" applyAlignment="1">
      <alignment horizontal="right" vertical="center"/>
    </xf>
    <xf numFmtId="0" fontId="11" fillId="0" borderId="0" xfId="25418" applyFont="1" applyFill="1" applyBorder="1" applyAlignment="1">
      <alignment horizontal="right"/>
    </xf>
    <xf numFmtId="178" fontId="32" fillId="0" borderId="0" xfId="25418" applyNumberFormat="1" applyFont="1"/>
    <xf numFmtId="0" fontId="7" fillId="0" borderId="0" xfId="30865" applyFont="1" applyFill="1" applyBorder="1" applyAlignment="1">
      <alignment horizontal="center"/>
    </xf>
    <xf numFmtId="165" fontId="33" fillId="0" borderId="0" xfId="4079" applyNumberFormat="1" applyFont="1" applyFill="1" applyBorder="1" applyAlignment="1"/>
    <xf numFmtId="174" fontId="7" fillId="0" borderId="0" xfId="4079" applyNumberFormat="1" applyFont="1" applyFill="1" applyBorder="1" applyAlignment="1"/>
    <xf numFmtId="0" fontId="33" fillId="0" borderId="22" xfId="30865" applyFont="1" applyFill="1" applyBorder="1" applyAlignment="1">
      <alignment horizontal="center" vertical="center" wrapText="1"/>
    </xf>
    <xf numFmtId="0" fontId="7" fillId="0" borderId="0" xfId="30865" applyFont="1" applyFill="1" applyBorder="1" applyAlignment="1">
      <alignment horizontal="center" vertical="center" wrapText="1"/>
    </xf>
    <xf numFmtId="41" fontId="7" fillId="0" borderId="0" xfId="25418" applyNumberFormat="1" applyFont="1" applyFill="1" applyBorder="1" applyAlignment="1">
      <alignment horizontal="right"/>
    </xf>
    <xf numFmtId="41" fontId="33" fillId="0" borderId="0" xfId="6" applyNumberFormat="1" applyFont="1" applyFill="1" applyBorder="1" applyAlignment="1">
      <alignment horizontal="right"/>
    </xf>
    <xf numFmtId="41" fontId="7" fillId="0" borderId="0" xfId="6" applyNumberFormat="1" applyFont="1" applyFill="1" applyBorder="1" applyAlignment="1">
      <alignment horizontal="right"/>
    </xf>
    <xf numFmtId="41" fontId="33" fillId="0" borderId="0" xfId="25418" applyNumberFormat="1" applyFont="1" applyFill="1" applyBorder="1" applyAlignment="1">
      <alignment horizontal="right"/>
    </xf>
    <xf numFmtId="0" fontId="7" fillId="0" borderId="0" xfId="6" applyFont="1" applyFill="1" applyBorder="1" applyAlignment="1">
      <alignment wrapText="1"/>
    </xf>
    <xf numFmtId="0" fontId="7" fillId="0" borderId="0" xfId="6" applyFont="1" applyFill="1" applyBorder="1" applyAlignment="1">
      <alignment horizontal="left" wrapText="1"/>
    </xf>
    <xf numFmtId="0" fontId="38" fillId="0" borderId="0" xfId="25418" applyFont="1" applyAlignment="1">
      <alignment vertical="center"/>
    </xf>
    <xf numFmtId="174" fontId="33" fillId="0" borderId="0" xfId="4079" applyNumberFormat="1" applyFont="1" applyFill="1" applyBorder="1" applyAlignment="1"/>
    <xf numFmtId="0" fontId="68" fillId="0" borderId="0" xfId="6" applyFont="1" applyFill="1" applyAlignment="1">
      <alignment horizontal="right" vertical="center" wrapText="1"/>
    </xf>
    <xf numFmtId="0" fontId="68" fillId="0" borderId="0" xfId="6" applyFont="1" applyFill="1" applyAlignment="1">
      <alignment vertical="center" wrapText="1"/>
    </xf>
    <xf numFmtId="0" fontId="69" fillId="0" borderId="0" xfId="6" applyFont="1" applyFill="1" applyAlignment="1">
      <alignment vertical="center" wrapText="1"/>
    </xf>
    <xf numFmtId="0" fontId="45" fillId="0" borderId="0" xfId="28002" applyFont="1" applyFill="1" applyBorder="1" applyAlignment="1">
      <alignment vertical="center"/>
    </xf>
    <xf numFmtId="0" fontId="45" fillId="0" borderId="0" xfId="25418" applyFont="1" applyFill="1" applyBorder="1" applyAlignment="1"/>
    <xf numFmtId="0" fontId="45" fillId="0" borderId="0" xfId="30865" applyFont="1" applyFill="1" applyBorder="1" applyAlignment="1">
      <alignment horizontal="center" vertical="center"/>
    </xf>
    <xf numFmtId="0" fontId="55" fillId="0" borderId="0" xfId="25418" applyFont="1" applyFill="1" applyBorder="1" applyAlignment="1">
      <alignment vertical="center"/>
    </xf>
    <xf numFmtId="0" fontId="45" fillId="0" borderId="0" xfId="28002" applyFont="1" applyFill="1" applyBorder="1" applyAlignment="1">
      <alignment horizontal="center" vertical="center"/>
    </xf>
    <xf numFmtId="3" fontId="45" fillId="0" borderId="0" xfId="28002" applyNumberFormat="1" applyFont="1" applyFill="1" applyBorder="1" applyAlignment="1">
      <alignment horizontal="center" vertical="center"/>
    </xf>
    <xf numFmtId="0" fontId="55" fillId="0" borderId="0" xfId="25418" applyFont="1" applyFill="1" applyBorder="1" applyAlignment="1">
      <alignment horizontal="right" vertical="center"/>
    </xf>
    <xf numFmtId="0" fontId="7" fillId="0" borderId="0" xfId="28002" applyFont="1" applyFill="1" applyBorder="1" applyAlignment="1">
      <alignment horizontal="center" vertical="center"/>
    </xf>
    <xf numFmtId="3" fontId="33" fillId="0" borderId="0" xfId="28002" applyNumberFormat="1" applyFont="1" applyFill="1" applyBorder="1" applyAlignment="1">
      <alignment horizontal="center" vertical="center"/>
    </xf>
    <xf numFmtId="3" fontId="7" fillId="0" borderId="0" xfId="30865" applyNumberFormat="1" applyFont="1" applyFill="1" applyBorder="1" applyAlignment="1">
      <alignment horizontal="center" vertical="center"/>
    </xf>
    <xf numFmtId="3" fontId="7" fillId="0" borderId="0" xfId="28002" applyNumberFormat="1" applyFont="1" applyFill="1" applyBorder="1" applyAlignment="1">
      <alignment horizontal="center" vertical="center"/>
    </xf>
    <xf numFmtId="3" fontId="11" fillId="0" borderId="0" xfId="6" applyNumberFormat="1" applyFont="1" applyFill="1" applyBorder="1" applyAlignment="1">
      <alignment horizontal="center" vertical="center"/>
    </xf>
    <xf numFmtId="0" fontId="11" fillId="0" borderId="0" xfId="6" applyFont="1" applyFill="1" applyBorder="1" applyAlignment="1">
      <alignment vertical="center"/>
    </xf>
    <xf numFmtId="3" fontId="11" fillId="0" borderId="0" xfId="25418" applyNumberFormat="1" applyFont="1" applyFill="1" applyBorder="1" applyAlignment="1">
      <alignment horizontal="center"/>
    </xf>
    <xf numFmtId="0" fontId="70" fillId="0" borderId="0" xfId="6" applyFont="1" applyFill="1" applyBorder="1" applyAlignment="1">
      <alignment horizontal="right" vertical="center"/>
    </xf>
    <xf numFmtId="0" fontId="8" fillId="0" borderId="0" xfId="6" applyFont="1" applyFill="1" applyBorder="1" applyAlignment="1">
      <alignment vertical="center"/>
    </xf>
    <xf numFmtId="3" fontId="33" fillId="0" borderId="0" xfId="28002" applyNumberFormat="1" applyFont="1"/>
    <xf numFmtId="0" fontId="34" fillId="0" borderId="0" xfId="25418" applyFont="1" applyBorder="1"/>
    <xf numFmtId="178" fontId="32" fillId="0" borderId="0" xfId="25418" applyNumberFormat="1" applyFont="1" applyBorder="1"/>
    <xf numFmtId="0" fontId="33" fillId="0" borderId="0" xfId="28002" applyFont="1" applyBorder="1" applyAlignment="1">
      <alignment vertical="center"/>
    </xf>
    <xf numFmtId="0" fontId="33" fillId="0" borderId="0" xfId="6" applyFont="1" applyBorder="1" applyAlignment="1">
      <alignment vertical="center"/>
    </xf>
    <xf numFmtId="3" fontId="33" fillId="0" borderId="0" xfId="28002" applyNumberFormat="1" applyFont="1" applyBorder="1" applyAlignment="1">
      <alignment horizontal="center"/>
    </xf>
    <xf numFmtId="0" fontId="33" fillId="0" borderId="0" xfId="30865" applyFont="1" applyFill="1" applyBorder="1" applyAlignment="1">
      <alignment horizontal="center" vertical="center" wrapText="1"/>
    </xf>
    <xf numFmtId="0" fontId="32" fillId="0" borderId="0" xfId="25418" applyFont="1" applyFill="1"/>
    <xf numFmtId="0" fontId="32" fillId="0" borderId="0" xfId="25418" applyFont="1" applyAlignment="1"/>
    <xf numFmtId="49" fontId="7" fillId="0" borderId="0" xfId="25418" applyNumberFormat="1" applyFont="1" applyFill="1" applyAlignment="1">
      <alignment vertical="center"/>
    </xf>
    <xf numFmtId="174" fontId="33" fillId="0" borderId="0" xfId="4079" applyNumberFormat="1" applyFont="1" applyFill="1" applyBorder="1" applyAlignment="1">
      <alignment vertical="center"/>
    </xf>
    <xf numFmtId="0" fontId="7" fillId="0" borderId="0" xfId="25418" applyFont="1" applyFill="1" applyAlignment="1">
      <alignment vertical="center" wrapText="1"/>
    </xf>
    <xf numFmtId="0" fontId="11" fillId="0" borderId="0" xfId="21" applyFont="1"/>
    <xf numFmtId="0" fontId="10" fillId="0" borderId="22" xfId="21" applyFont="1" applyFill="1" applyBorder="1" applyAlignment="1">
      <alignment horizontal="center" vertical="center" wrapText="1"/>
    </xf>
    <xf numFmtId="0" fontId="32" fillId="0" borderId="0" xfId="21" applyFont="1" applyFill="1"/>
    <xf numFmtId="3" fontId="7" fillId="0" borderId="0" xfId="4093" applyNumberFormat="1" applyFont="1" applyFill="1" applyBorder="1" applyAlignment="1" applyProtection="1">
      <alignment horizontal="left" vertical="center" wrapText="1"/>
      <protection locked="0"/>
    </xf>
    <xf numFmtId="49" fontId="7" fillId="0" borderId="0" xfId="21" applyNumberFormat="1" applyFont="1" applyFill="1" applyAlignment="1">
      <alignment horizontal="left" vertical="center"/>
    </xf>
    <xf numFmtId="0" fontId="7" fillId="0" borderId="0" xfId="21" applyFont="1" applyFill="1" applyAlignment="1">
      <alignment horizontal="justify" vertical="center" wrapText="1"/>
    </xf>
    <xf numFmtId="0" fontId="7" fillId="0" borderId="0" xfId="21" applyFont="1" applyFill="1"/>
    <xf numFmtId="171" fontId="33" fillId="0" borderId="0" xfId="30866" applyNumberFormat="1" applyFont="1" applyFill="1" applyBorder="1"/>
    <xf numFmtId="3" fontId="7" fillId="0" borderId="0" xfId="21" applyNumberFormat="1" applyFont="1" applyFill="1" applyBorder="1"/>
    <xf numFmtId="3" fontId="7" fillId="0" borderId="0" xfId="21" applyNumberFormat="1" applyFont="1" applyFill="1" applyBorder="1" applyAlignment="1">
      <alignment horizontal="right"/>
    </xf>
    <xf numFmtId="0" fontId="7" fillId="0" borderId="0" xfId="21" applyFont="1" applyFill="1" applyBorder="1"/>
    <xf numFmtId="178" fontId="32" fillId="0" borderId="0" xfId="21" applyNumberFormat="1" applyFont="1"/>
    <xf numFmtId="0" fontId="33" fillId="0" borderId="0" xfId="30865" applyFont="1" applyFill="1" applyBorder="1" applyAlignment="1"/>
    <xf numFmtId="0" fontId="71" fillId="0" borderId="0" xfId="30865" applyFont="1" applyFill="1" applyBorder="1" applyAlignment="1"/>
    <xf numFmtId="0" fontId="7" fillId="0" borderId="0" xfId="21" applyFont="1"/>
    <xf numFmtId="0" fontId="33" fillId="0" borderId="0" xfId="7184" applyFont="1" applyFill="1" applyBorder="1" applyAlignment="1">
      <alignment horizontal="left" wrapText="1"/>
    </xf>
    <xf numFmtId="3" fontId="7" fillId="0" borderId="0" xfId="7184" applyNumberFormat="1" applyFont="1" applyFill="1" applyBorder="1" applyAlignment="1" applyProtection="1">
      <alignment horizontal="left" vertical="center"/>
      <protection locked="0"/>
    </xf>
    <xf numFmtId="0" fontId="7" fillId="0" borderId="0" xfId="7184" applyFont="1" applyFill="1" applyBorder="1"/>
    <xf numFmtId="49" fontId="7" fillId="0" borderId="0" xfId="21" applyNumberFormat="1" applyFont="1" applyFill="1" applyAlignment="1">
      <alignment vertical="center" wrapText="1"/>
    </xf>
    <xf numFmtId="0" fontId="7" fillId="0" borderId="0" xfId="7184" applyFont="1" applyFill="1" applyBorder="1" applyAlignment="1">
      <alignment horizontal="left"/>
    </xf>
    <xf numFmtId="0" fontId="38" fillId="0" borderId="0" xfId="21" applyFont="1" applyAlignment="1">
      <alignment vertical="center"/>
    </xf>
    <xf numFmtId="0" fontId="7" fillId="0" borderId="0" xfId="21" applyFont="1" applyFill="1" applyAlignment="1">
      <alignment wrapText="1"/>
    </xf>
    <xf numFmtId="0" fontId="7" fillId="0" borderId="0" xfId="21" applyFont="1" applyFill="1" applyBorder="1" applyAlignment="1"/>
    <xf numFmtId="0" fontId="7" fillId="0" borderId="0" xfId="21" applyFont="1" applyFill="1" applyAlignment="1">
      <alignment vertical="center"/>
    </xf>
    <xf numFmtId="0" fontId="7" fillId="0" borderId="0" xfId="21" applyFont="1" applyFill="1" applyBorder="1" applyAlignment="1">
      <alignment wrapText="1"/>
    </xf>
    <xf numFmtId="0" fontId="33" fillId="0" borderId="22" xfId="21" applyFont="1" applyFill="1" applyBorder="1" applyAlignment="1">
      <alignment horizontal="center" vertical="center"/>
    </xf>
    <xf numFmtId="0" fontId="7" fillId="0" borderId="0" xfId="21" applyFont="1" applyFill="1" applyBorder="1" applyAlignment="1">
      <alignment horizontal="center"/>
    </xf>
    <xf numFmtId="3" fontId="7" fillId="0" borderId="0" xfId="21" applyNumberFormat="1" applyFont="1" applyFill="1"/>
    <xf numFmtId="3" fontId="7" fillId="0" borderId="0" xfId="21" applyNumberFormat="1" applyFont="1" applyFill="1" applyAlignment="1">
      <alignment horizontal="right"/>
    </xf>
    <xf numFmtId="6" fontId="7" fillId="0" borderId="0" xfId="21" applyNumberFormat="1" applyFont="1" applyFill="1"/>
    <xf numFmtId="0" fontId="7" fillId="0" borderId="0" xfId="28002" applyFont="1" applyFill="1" applyBorder="1" applyAlignment="1">
      <alignment horizontal="right" wrapText="1"/>
    </xf>
    <xf numFmtId="49" fontId="7" fillId="0" borderId="0" xfId="21" applyNumberFormat="1" applyFont="1" applyFill="1" applyAlignment="1">
      <alignment horizontal="justify" vertical="center" wrapText="1"/>
    </xf>
    <xf numFmtId="6" fontId="7" fillId="0" borderId="0" xfId="21" applyNumberFormat="1" applyFont="1" applyFill="1" applyBorder="1" applyAlignment="1">
      <alignment horizontal="center"/>
    </xf>
    <xf numFmtId="0" fontId="7" fillId="0" borderId="0" xfId="21" applyFont="1" applyFill="1" applyBorder="1" applyAlignment="1">
      <alignment vertical="center"/>
    </xf>
    <xf numFmtId="0" fontId="7" fillId="0" borderId="0" xfId="21" applyFont="1" applyFill="1" applyBorder="1" applyAlignment="1">
      <alignment vertical="center" wrapText="1"/>
    </xf>
    <xf numFmtId="172" fontId="7" fillId="0" borderId="0" xfId="30867" applyNumberFormat="1" applyFont="1" applyFill="1" applyAlignment="1">
      <alignment vertical="center"/>
    </xf>
    <xf numFmtId="171" fontId="7" fillId="0" borderId="0" xfId="30866" applyNumberFormat="1" applyFont="1" applyFill="1" applyBorder="1" applyAlignment="1">
      <alignment vertical="center"/>
    </xf>
    <xf numFmtId="3" fontId="7" fillId="0" borderId="0" xfId="21" applyNumberFormat="1" applyFont="1" applyFill="1" applyBorder="1" applyAlignment="1">
      <alignment vertical="center"/>
    </xf>
    <xf numFmtId="0" fontId="61" fillId="0" borderId="0" xfId="21" applyFont="1" applyFill="1" applyAlignment="1">
      <alignment vertical="center"/>
    </xf>
    <xf numFmtId="3" fontId="7" fillId="0" borderId="0" xfId="21" applyNumberFormat="1" applyFont="1" applyFill="1" applyBorder="1" applyAlignment="1">
      <alignment horizontal="right" vertical="center"/>
    </xf>
    <xf numFmtId="0" fontId="7" fillId="0" borderId="0" xfId="21" applyFont="1" applyFill="1" applyAlignment="1">
      <alignment horizontal="right"/>
    </xf>
    <xf numFmtId="171" fontId="7" fillId="0" borderId="0" xfId="30866" applyNumberFormat="1" applyFont="1" applyFill="1" applyBorder="1" applyAlignment="1"/>
    <xf numFmtId="171" fontId="7" fillId="0" borderId="0" xfId="21" applyNumberFormat="1" applyFont="1" applyFill="1" applyBorder="1" applyAlignment="1"/>
    <xf numFmtId="0" fontId="33" fillId="0" borderId="0" xfId="21" applyFont="1" applyAlignment="1"/>
    <xf numFmtId="0" fontId="33" fillId="0" borderId="0" xfId="21" applyFont="1" applyFill="1" applyBorder="1" applyAlignment="1">
      <alignment horizontal="left" wrapText="1"/>
    </xf>
    <xf numFmtId="0" fontId="33" fillId="0" borderId="0" xfId="21" applyFont="1" applyFill="1" applyBorder="1" applyAlignment="1">
      <alignment wrapText="1"/>
    </xf>
    <xf numFmtId="0" fontId="33" fillId="0" borderId="0" xfId="21" applyFont="1" applyFill="1"/>
    <xf numFmtId="0" fontId="33" fillId="0" borderId="0" xfId="21" applyFont="1" applyFill="1" applyBorder="1"/>
    <xf numFmtId="0" fontId="33" fillId="0" borderId="22" xfId="21" applyFont="1" applyFill="1" applyBorder="1" applyAlignment="1">
      <alignment vertical="center"/>
    </xf>
    <xf numFmtId="0" fontId="7" fillId="0" borderId="0" xfId="21" applyNumberFormat="1" applyFont="1" applyFill="1" applyAlignment="1">
      <alignment horizontal="left"/>
    </xf>
    <xf numFmtId="3" fontId="7" fillId="0" borderId="0" xfId="21" applyNumberFormat="1" applyFont="1" applyFill="1" applyBorder="1" applyAlignment="1" applyProtection="1">
      <alignment horizontal="left" vertical="center"/>
      <protection locked="0"/>
    </xf>
    <xf numFmtId="3" fontId="7" fillId="0" borderId="0" xfId="21" applyNumberFormat="1" applyFont="1" applyFill="1" applyAlignment="1" applyProtection="1">
      <alignment horizontal="left" vertical="center"/>
      <protection locked="0"/>
    </xf>
    <xf numFmtId="0" fontId="33" fillId="0" borderId="0" xfId="21" applyFont="1" applyFill="1" applyBorder="1" applyAlignment="1"/>
    <xf numFmtId="0" fontId="7" fillId="0" borderId="0" xfId="21" applyFont="1" applyFill="1" applyBorder="1" applyAlignment="1">
      <alignment horizontal="center" vertical="center"/>
    </xf>
    <xf numFmtId="178" fontId="33" fillId="0" borderId="0" xfId="21" applyNumberFormat="1" applyFont="1" applyFill="1" applyBorder="1"/>
    <xf numFmtId="0" fontId="33" fillId="0" borderId="0" xfId="30864" applyFont="1" applyFill="1" applyBorder="1" applyAlignment="1"/>
    <xf numFmtId="0" fontId="45" fillId="0" borderId="0" xfId="28002" applyFont="1" applyBorder="1"/>
    <xf numFmtId="0" fontId="11" fillId="0" borderId="0" xfId="21" applyFont="1" applyAlignment="1">
      <alignment vertical="center" wrapText="1"/>
    </xf>
    <xf numFmtId="0" fontId="33" fillId="0" borderId="22" xfId="21" applyFont="1" applyBorder="1" applyAlignment="1">
      <alignment horizontal="center" vertical="center" wrapText="1"/>
    </xf>
    <xf numFmtId="0" fontId="33" fillId="0" borderId="22" xfId="21" applyFont="1" applyFill="1" applyBorder="1" applyAlignment="1">
      <alignment horizontal="center" vertical="center" wrapText="1"/>
    </xf>
    <xf numFmtId="0" fontId="7" fillId="0" borderId="0" xfId="21" applyFont="1" applyAlignment="1">
      <alignment horizontal="center"/>
    </xf>
    <xf numFmtId="0" fontId="7" fillId="0" borderId="0" xfId="21" applyFont="1" applyFill="1" applyAlignment="1">
      <alignment horizontal="center"/>
    </xf>
    <xf numFmtId="0" fontId="11" fillId="0" borderId="0" xfId="21" applyFont="1" applyBorder="1"/>
    <xf numFmtId="0" fontId="11" fillId="0" borderId="0" xfId="21" applyFont="1" applyFill="1"/>
    <xf numFmtId="0" fontId="11" fillId="0" borderId="0" xfId="21" applyFont="1" applyFill="1" applyAlignment="1">
      <alignment wrapText="1"/>
    </xf>
    <xf numFmtId="0" fontId="7" fillId="0" borderId="0" xfId="21" applyFont="1" applyAlignment="1">
      <alignment vertical="center" wrapText="1"/>
    </xf>
    <xf numFmtId="0" fontId="7" fillId="0" borderId="0" xfId="21" applyFont="1" applyAlignment="1">
      <alignment horizontal="left" vertical="center" wrapText="1"/>
    </xf>
    <xf numFmtId="0" fontId="7" fillId="0" borderId="0" xfId="21" applyFont="1" applyAlignment="1">
      <alignment wrapText="1"/>
    </xf>
    <xf numFmtId="0" fontId="7" fillId="0" borderId="0" xfId="21" applyFont="1" applyAlignment="1">
      <alignment horizontal="right"/>
    </xf>
    <xf numFmtId="0" fontId="7" fillId="0" borderId="0" xfId="21" applyFont="1" applyFill="1" applyAlignment="1">
      <alignment horizontal="center" vertical="center"/>
    </xf>
    <xf numFmtId="41" fontId="33" fillId="0" borderId="0" xfId="21" applyNumberFormat="1" applyFont="1" applyFill="1" applyAlignment="1">
      <alignment horizontal="right"/>
    </xf>
    <xf numFmtId="41" fontId="7" fillId="0" borderId="0" xfId="21" applyNumberFormat="1" applyFont="1" applyFill="1" applyAlignment="1">
      <alignment horizontal="right"/>
    </xf>
    <xf numFmtId="41" fontId="7" fillId="0" borderId="0" xfId="21" applyNumberFormat="1" applyFont="1" applyFill="1"/>
    <xf numFmtId="0" fontId="7" fillId="0" borderId="0" xfId="21" applyFont="1" applyFill="1" applyAlignment="1">
      <alignment horizontal="left" vertical="center" wrapText="1"/>
    </xf>
    <xf numFmtId="0" fontId="33" fillId="0" borderId="6" xfId="21" applyFont="1" applyFill="1" applyBorder="1" applyAlignment="1">
      <alignment horizontal="center" vertical="center" wrapText="1"/>
    </xf>
    <xf numFmtId="0" fontId="33" fillId="0" borderId="0" xfId="21" applyFont="1" applyFill="1" applyBorder="1" applyAlignment="1">
      <alignment horizontal="left" vertical="center"/>
    </xf>
    <xf numFmtId="165" fontId="51" fillId="0" borderId="0" xfId="4079" applyNumberFormat="1" applyFont="1" applyFill="1" applyBorder="1" applyAlignment="1">
      <alignment horizontal="right" vertical="top"/>
    </xf>
    <xf numFmtId="165" fontId="48" fillId="0" borderId="0" xfId="4079" applyNumberFormat="1" applyFont="1" applyFill="1" applyBorder="1" applyAlignment="1">
      <alignment horizontal="right" vertical="top"/>
    </xf>
    <xf numFmtId="167" fontId="51" fillId="0" borderId="0" xfId="28003" applyNumberFormat="1" applyFont="1" applyFill="1" applyBorder="1" applyAlignment="1">
      <alignment horizontal="right" vertical="top"/>
    </xf>
    <xf numFmtId="167" fontId="48" fillId="0" borderId="0" xfId="28003" applyNumberFormat="1" applyFont="1" applyFill="1" applyBorder="1" applyAlignment="1">
      <alignment horizontal="right" vertical="top"/>
    </xf>
    <xf numFmtId="0" fontId="48" fillId="0" borderId="0" xfId="28003" applyFont="1" applyFill="1" applyBorder="1" applyAlignment="1">
      <alignment horizontal="left" vertical="top"/>
    </xf>
    <xf numFmtId="41" fontId="33" fillId="0" borderId="0" xfId="21" applyNumberFormat="1" applyFont="1" applyFill="1" applyBorder="1" applyAlignment="1">
      <alignment horizontal="left" vertical="center"/>
    </xf>
    <xf numFmtId="41" fontId="7" fillId="0" borderId="0" xfId="21" applyNumberFormat="1" applyFont="1" applyFill="1" applyBorder="1"/>
    <xf numFmtId="165" fontId="32" fillId="0" borderId="0" xfId="21" applyNumberFormat="1" applyFont="1" applyFill="1"/>
    <xf numFmtId="0" fontId="8" fillId="0" borderId="0" xfId="21" applyFont="1" applyFill="1" applyAlignment="1">
      <alignment vertical="center"/>
    </xf>
    <xf numFmtId="0" fontId="33" fillId="0" borderId="0" xfId="21" applyFont="1" applyFill="1" applyAlignment="1">
      <alignment wrapText="1"/>
    </xf>
    <xf numFmtId="0" fontId="32" fillId="0" borderId="26" xfId="21" applyFont="1" applyBorder="1"/>
    <xf numFmtId="165" fontId="51" fillId="0" borderId="0" xfId="4079" applyNumberFormat="1" applyFont="1" applyBorder="1" applyAlignment="1">
      <alignment horizontal="right" vertical="top"/>
    </xf>
    <xf numFmtId="167" fontId="32" fillId="0" borderId="0" xfId="21" applyNumberFormat="1" applyFont="1"/>
    <xf numFmtId="165" fontId="48" fillId="0" borderId="0" xfId="4079" applyNumberFormat="1" applyFont="1" applyBorder="1" applyAlignment="1">
      <alignment horizontal="right" vertical="top"/>
    </xf>
    <xf numFmtId="165" fontId="8" fillId="0" borderId="0" xfId="4079" applyNumberFormat="1" applyFont="1"/>
    <xf numFmtId="165" fontId="32" fillId="0" borderId="0" xfId="21" applyNumberFormat="1" applyFont="1"/>
    <xf numFmtId="0" fontId="7" fillId="0" borderId="0" xfId="21" applyFont="1" applyBorder="1"/>
    <xf numFmtId="0" fontId="33" fillId="0" borderId="0" xfId="21" applyFont="1" applyBorder="1" applyAlignment="1">
      <alignment horizontal="left" vertical="center"/>
    </xf>
    <xf numFmtId="3" fontId="33" fillId="0" borderId="0" xfId="21" applyNumberFormat="1" applyFont="1" applyBorder="1" applyAlignment="1">
      <alignment horizontal="right" vertical="center"/>
    </xf>
    <xf numFmtId="3" fontId="33" fillId="0" borderId="0" xfId="21" applyNumberFormat="1" applyFont="1" applyBorder="1"/>
    <xf numFmtId="3" fontId="7" fillId="0" borderId="0" xfId="21" applyNumberFormat="1" applyFont="1" applyBorder="1"/>
    <xf numFmtId="0" fontId="33" fillId="0" borderId="1" xfId="5" applyFont="1" applyBorder="1" applyAlignment="1">
      <alignment horizontal="center" vertical="center" wrapText="1"/>
    </xf>
    <xf numFmtId="41" fontId="7" fillId="0" borderId="0" xfId="10" applyNumberFormat="1" applyFont="1"/>
    <xf numFmtId="0" fontId="33" fillId="0" borderId="1" xfId="10" applyFont="1" applyBorder="1" applyAlignment="1">
      <alignment horizontal="center" vertical="center" wrapText="1"/>
    </xf>
    <xf numFmtId="41" fontId="33" fillId="0" borderId="0" xfId="5" applyNumberFormat="1" applyFont="1" applyAlignment="1">
      <alignment horizontal="right"/>
    </xf>
    <xf numFmtId="41" fontId="7" fillId="0" borderId="0" xfId="5" applyNumberFormat="1" applyFont="1" applyAlignment="1">
      <alignment horizontal="right"/>
    </xf>
    <xf numFmtId="41" fontId="7" fillId="0" borderId="0" xfId="10" applyNumberFormat="1" applyFont="1" applyAlignment="1">
      <alignment horizontal="right"/>
    </xf>
    <xf numFmtId="0" fontId="33" fillId="0" borderId="1" xfId="10" applyFont="1" applyBorder="1" applyAlignment="1">
      <alignment horizontal="center" vertical="center"/>
    </xf>
    <xf numFmtId="0" fontId="7" fillId="0" borderId="0" xfId="0" applyNumberFormat="1" applyFont="1" applyFill="1" applyBorder="1"/>
    <xf numFmtId="0" fontId="7" fillId="0" borderId="0" xfId="0" applyFont="1" applyFill="1" applyAlignment="1">
      <alignment horizontal="center"/>
    </xf>
    <xf numFmtId="0" fontId="33" fillId="0" borderId="0" xfId="9" applyFont="1" applyFill="1"/>
    <xf numFmtId="41" fontId="33" fillId="0" borderId="0" xfId="9" applyNumberFormat="1" applyFont="1" applyFill="1"/>
    <xf numFmtId="3" fontId="33" fillId="0" borderId="0" xfId="9" applyNumberFormat="1" applyFont="1" applyFill="1"/>
    <xf numFmtId="41" fontId="7" fillId="0" borderId="0" xfId="0" applyNumberFormat="1" applyFont="1" applyAlignment="1">
      <alignment horizontal="right"/>
    </xf>
    <xf numFmtId="41" fontId="7" fillId="0" borderId="0" xfId="0" applyNumberFormat="1" applyFont="1" applyFill="1"/>
    <xf numFmtId="0" fontId="33" fillId="0" borderId="0" xfId="0" applyFont="1" applyBorder="1" applyAlignment="1">
      <alignment horizontal="center" vertical="center"/>
    </xf>
    <xf numFmtId="41" fontId="33" fillId="0" borderId="0" xfId="0" applyNumberFormat="1" applyFont="1"/>
    <xf numFmtId="0" fontId="33" fillId="0" borderId="0" xfId="0" applyNumberFormat="1" applyFont="1" applyFill="1" applyAlignment="1">
      <alignment horizontal="left" indent="2"/>
    </xf>
    <xf numFmtId="0" fontId="7" fillId="0" borderId="0" xfId="0" applyNumberFormat="1" applyFont="1" applyFill="1" applyAlignment="1">
      <alignment horizontal="left" indent="2"/>
    </xf>
    <xf numFmtId="0" fontId="33" fillId="0" borderId="0" xfId="0" applyNumberFormat="1" applyFont="1" applyFill="1" applyBorder="1" applyAlignment="1">
      <alignment horizontal="left" indent="2"/>
    </xf>
    <xf numFmtId="0" fontId="7" fillId="0" borderId="0" xfId="0" applyFont="1" applyFill="1" applyBorder="1" applyAlignment="1">
      <alignment horizontal="left" wrapText="1" indent="2"/>
    </xf>
    <xf numFmtId="0" fontId="33" fillId="0" borderId="0" xfId="0" applyFont="1" applyFill="1" applyBorder="1" applyAlignment="1">
      <alignment horizontal="left" wrapText="1" indent="2"/>
    </xf>
    <xf numFmtId="0" fontId="7" fillId="0" borderId="0" xfId="0" applyNumberFormat="1" applyFont="1" applyFill="1" applyBorder="1" applyAlignment="1">
      <alignment horizontal="left" indent="2"/>
    </xf>
    <xf numFmtId="0" fontId="7" fillId="0" borderId="0" xfId="0" applyFont="1" applyFill="1" applyAlignment="1">
      <alignment horizontal="left" indent="2"/>
    </xf>
    <xf numFmtId="0" fontId="7" fillId="0" borderId="0" xfId="5" applyFont="1" applyFill="1" applyBorder="1" applyAlignment="1">
      <alignment vertical="top"/>
    </xf>
    <xf numFmtId="0" fontId="7" fillId="0" borderId="0" xfId="0" applyFont="1" applyAlignment="1">
      <alignment horizontal="left" indent="2"/>
    </xf>
    <xf numFmtId="0" fontId="33" fillId="0" borderId="1" xfId="0" applyFont="1" applyBorder="1" applyAlignment="1">
      <alignment horizontal="center" vertical="center"/>
    </xf>
    <xf numFmtId="0" fontId="33" fillId="0" borderId="0" xfId="0" applyFont="1" applyAlignment="1">
      <alignment horizontal="center"/>
    </xf>
    <xf numFmtId="0" fontId="7" fillId="0" borderId="0" xfId="5" applyFont="1" applyFill="1" applyBorder="1" applyAlignment="1">
      <alignment horizontal="left" vertical="top" indent="2"/>
    </xf>
    <xf numFmtId="0" fontId="7" fillId="0" borderId="0" xfId="5" applyFont="1" applyFill="1" applyBorder="1" applyAlignment="1">
      <alignment horizontal="left" vertical="top"/>
    </xf>
    <xf numFmtId="0" fontId="33" fillId="0" borderId="0" xfId="10" applyFont="1" applyFill="1" applyBorder="1" applyAlignment="1" applyProtection="1">
      <alignment horizontal="left" vertical="center"/>
    </xf>
    <xf numFmtId="41" fontId="32" fillId="0" borderId="0" xfId="5" applyNumberFormat="1" applyFont="1" applyBorder="1"/>
    <xf numFmtId="0" fontId="33" fillId="0" borderId="0" xfId="5" applyFont="1" applyFill="1" applyBorder="1" applyAlignment="1">
      <alignment vertical="center" wrapText="1"/>
    </xf>
    <xf numFmtId="0" fontId="7" fillId="0" borderId="0" xfId="5" applyFont="1" applyFill="1" applyBorder="1" applyAlignment="1">
      <alignment horizontal="center" vertical="center"/>
    </xf>
    <xf numFmtId="41" fontId="33" fillId="0" borderId="0" xfId="0" applyNumberFormat="1" applyFont="1" applyBorder="1"/>
    <xf numFmtId="41" fontId="7" fillId="0" borderId="0" xfId="0" applyNumberFormat="1" applyFont="1" applyBorder="1"/>
    <xf numFmtId="41" fontId="33" fillId="0" borderId="0" xfId="0" applyNumberFormat="1" applyFont="1" applyBorder="1" applyAlignment="1">
      <alignment horizontal="right"/>
    </xf>
    <xf numFmtId="41" fontId="7" fillId="0" borderId="0" xfId="0" applyNumberFormat="1" applyFont="1" applyBorder="1" applyAlignment="1">
      <alignment horizontal="right"/>
    </xf>
    <xf numFmtId="49" fontId="7" fillId="0" borderId="0" xfId="0" applyNumberFormat="1" applyFont="1"/>
    <xf numFmtId="0" fontId="7" fillId="0" borderId="0" xfId="0" applyFont="1" applyAlignment="1">
      <alignment horizontal="justify" wrapText="1"/>
    </xf>
    <xf numFmtId="0" fontId="7" fillId="0" borderId="0" xfId="0" applyFont="1" applyFill="1" applyBorder="1" applyAlignment="1">
      <alignment horizontal="center" wrapText="1"/>
    </xf>
    <xf numFmtId="0" fontId="7" fillId="0" borderId="0" xfId="0" applyFont="1" applyFill="1" applyBorder="1" applyAlignment="1">
      <alignment horizontal="center"/>
    </xf>
    <xf numFmtId="0" fontId="7" fillId="0" borderId="0" xfId="0" applyFont="1" applyFill="1" applyBorder="1" applyAlignment="1">
      <alignment horizontal="center" vertical="top"/>
    </xf>
    <xf numFmtId="3" fontId="7" fillId="0" borderId="0" xfId="0" applyNumberFormat="1" applyFont="1" applyFill="1" applyBorder="1" applyAlignment="1">
      <alignment horizontal="right" vertical="top"/>
    </xf>
    <xf numFmtId="49" fontId="7" fillId="0" borderId="0" xfId="0" applyNumberFormat="1" applyFont="1" applyFill="1" applyBorder="1" applyAlignment="1">
      <alignment wrapText="1"/>
    </xf>
    <xf numFmtId="49" fontId="7" fillId="0" borderId="0" xfId="0" applyNumberFormat="1" applyFont="1" applyFill="1" applyBorder="1" applyAlignment="1">
      <alignment vertical="top"/>
    </xf>
    <xf numFmtId="0" fontId="7" fillId="0" borderId="0" xfId="0" applyFont="1" applyFill="1" applyBorder="1" applyAlignment="1">
      <alignment horizontal="center" vertical="top" wrapText="1"/>
    </xf>
    <xf numFmtId="49" fontId="7" fillId="0" borderId="0" xfId="0" applyNumberFormat="1" applyFont="1" applyFill="1" applyBorder="1" applyAlignment="1">
      <alignment horizontal="center" wrapText="1"/>
    </xf>
    <xf numFmtId="49" fontId="7" fillId="0" borderId="0" xfId="0" applyNumberFormat="1" applyFont="1" applyFill="1" applyBorder="1" applyAlignment="1">
      <alignment horizontal="center" vertical="top"/>
    </xf>
    <xf numFmtId="49" fontId="7" fillId="0" borderId="0" xfId="0" applyNumberFormat="1" applyFont="1" applyFill="1" applyBorder="1" applyAlignment="1">
      <alignment horizontal="right" vertical="top"/>
    </xf>
    <xf numFmtId="0" fontId="7" fillId="0" borderId="0" xfId="0" applyFont="1" applyFill="1" applyAlignment="1">
      <alignment horizontal="right"/>
    </xf>
    <xf numFmtId="9" fontId="33" fillId="0" borderId="0" xfId="2" applyFont="1" applyFill="1"/>
    <xf numFmtId="9" fontId="7" fillId="0" borderId="0" xfId="2" applyFont="1" applyFill="1"/>
    <xf numFmtId="41" fontId="7" fillId="0" borderId="0" xfId="0" applyNumberFormat="1" applyFont="1" applyFill="1" applyAlignment="1">
      <alignment horizontal="right"/>
    </xf>
    <xf numFmtId="0" fontId="7" fillId="0" borderId="0" xfId="5" applyFont="1" applyBorder="1" applyAlignment="1">
      <alignment horizontal="right" vertical="center" wrapText="1"/>
    </xf>
    <xf numFmtId="0" fontId="7" fillId="0" borderId="0" xfId="5" applyFont="1" applyBorder="1" applyAlignment="1">
      <alignment horizontal="right" vertical="center"/>
    </xf>
    <xf numFmtId="3" fontId="33" fillId="0" borderId="0" xfId="5" applyNumberFormat="1" applyFont="1" applyBorder="1" applyAlignment="1">
      <alignment vertical="center"/>
    </xf>
    <xf numFmtId="1" fontId="7" fillId="0" borderId="0" xfId="5" applyNumberFormat="1" applyFont="1" applyFill="1" applyBorder="1" applyAlignment="1">
      <alignment horizontal="right" vertical="center"/>
    </xf>
    <xf numFmtId="0" fontId="7" fillId="0" borderId="0" xfId="5" applyFont="1" applyFill="1" applyBorder="1" applyAlignment="1">
      <alignment horizontal="left" vertical="center"/>
    </xf>
    <xf numFmtId="1" fontId="7" fillId="0" borderId="0" xfId="5" applyNumberFormat="1" applyFont="1" applyFill="1" applyBorder="1" applyAlignment="1">
      <alignment horizontal="right"/>
    </xf>
    <xf numFmtId="3" fontId="7" fillId="0" borderId="0" xfId="5" applyNumberFormat="1" applyFont="1" applyBorder="1" applyAlignment="1">
      <alignment vertical="center"/>
    </xf>
    <xf numFmtId="0" fontId="72" fillId="0" borderId="0" xfId="5" applyFont="1" applyBorder="1" applyAlignment="1">
      <alignment horizontal="right" vertical="center"/>
    </xf>
    <xf numFmtId="0" fontId="7" fillId="0" borderId="0" xfId="5" quotePrefix="1" applyFont="1" applyFill="1" applyBorder="1" applyAlignment="1">
      <alignment vertical="center" wrapText="1"/>
    </xf>
    <xf numFmtId="0" fontId="7" fillId="0" borderId="0" xfId="5" quotePrefix="1" applyFont="1" applyFill="1" applyBorder="1" applyAlignment="1">
      <alignment vertical="center"/>
    </xf>
    <xf numFmtId="0" fontId="7" fillId="0" borderId="0" xfId="5" applyFont="1" applyFill="1" applyAlignment="1">
      <alignment horizontal="left" vertical="center"/>
    </xf>
    <xf numFmtId="3" fontId="33" fillId="0" borderId="0" xfId="5" applyNumberFormat="1" applyFont="1" applyFill="1" applyBorder="1" applyAlignment="1">
      <alignment vertical="center"/>
    </xf>
    <xf numFmtId="3" fontId="7" fillId="0" borderId="0" xfId="5" applyNumberFormat="1" applyFont="1" applyFill="1" applyBorder="1" applyAlignment="1">
      <alignment horizontal="right" vertical="center" wrapText="1"/>
    </xf>
    <xf numFmtId="0" fontId="56" fillId="0" borderId="0" xfId="0" applyFont="1" applyFill="1" applyAlignment="1">
      <alignment horizontal="left" vertical="top"/>
    </xf>
    <xf numFmtId="0" fontId="55" fillId="0" borderId="0" xfId="0" applyFont="1" applyFill="1" applyAlignment="1">
      <alignment horizontal="justify" wrapText="1"/>
    </xf>
    <xf numFmtId="0" fontId="38" fillId="0" borderId="0" xfId="11" applyFont="1" applyAlignment="1">
      <alignment horizontal="left"/>
    </xf>
    <xf numFmtId="1" fontId="38" fillId="0" borderId="0" xfId="11" applyNumberFormat="1" applyFont="1"/>
    <xf numFmtId="3" fontId="7" fillId="0" borderId="0" xfId="0" applyNumberFormat="1" applyFont="1" applyBorder="1" applyAlignment="1">
      <alignment vertical="center"/>
    </xf>
    <xf numFmtId="41" fontId="33" fillId="0" borderId="0" xfId="0" applyNumberFormat="1" applyFont="1" applyAlignment="1">
      <alignment horizontal="right"/>
    </xf>
    <xf numFmtId="3" fontId="33" fillId="0" borderId="0" xfId="0" applyNumberFormat="1" applyFont="1"/>
    <xf numFmtId="165" fontId="11" fillId="0" borderId="0" xfId="0" applyNumberFormat="1" applyFont="1"/>
    <xf numFmtId="0" fontId="10" fillId="0" borderId="0" xfId="0" applyFont="1" applyBorder="1" applyAlignment="1">
      <alignment vertical="center" wrapText="1"/>
    </xf>
    <xf numFmtId="0" fontId="51" fillId="0" borderId="0" xfId="20" applyFont="1" applyBorder="1" applyAlignment="1">
      <alignment horizontal="left" vertical="top" wrapText="1"/>
    </xf>
    <xf numFmtId="0" fontId="10" fillId="0" borderId="0" xfId="0" applyFont="1" applyAlignment="1">
      <alignment horizontal="left" wrapText="1"/>
    </xf>
    <xf numFmtId="0" fontId="10" fillId="0" borderId="0" xfId="0" applyFont="1" applyBorder="1" applyAlignment="1">
      <alignment vertical="center"/>
    </xf>
    <xf numFmtId="0" fontId="10" fillId="0" borderId="10" xfId="0" applyFont="1" applyBorder="1" applyAlignment="1">
      <alignment vertical="center"/>
    </xf>
    <xf numFmtId="165" fontId="10" fillId="0" borderId="0" xfId="1" applyNumberFormat="1" applyFont="1" applyBorder="1" applyAlignment="1">
      <alignment horizontal="right"/>
    </xf>
    <xf numFmtId="165" fontId="11" fillId="0" borderId="0" xfId="1" applyNumberFormat="1" applyFont="1" applyBorder="1" applyAlignment="1">
      <alignment horizontal="right"/>
    </xf>
    <xf numFmtId="0" fontId="10" fillId="0" borderId="0" xfId="0" applyFont="1" applyFill="1" applyBorder="1" applyAlignment="1">
      <alignment horizontal="left" vertical="center"/>
    </xf>
    <xf numFmtId="41" fontId="10" fillId="0" borderId="0" xfId="0" applyNumberFormat="1" applyFont="1" applyFill="1" applyBorder="1" applyAlignment="1">
      <alignment horizontal="center"/>
    </xf>
    <xf numFmtId="0" fontId="11" fillId="0" borderId="11" xfId="0" applyFont="1" applyBorder="1"/>
    <xf numFmtId="49" fontId="11" fillId="0" borderId="0" xfId="0" applyNumberFormat="1" applyFont="1" applyFill="1" applyBorder="1"/>
    <xf numFmtId="0" fontId="11" fillId="0" borderId="11" xfId="0" applyFont="1" applyFill="1" applyBorder="1" applyAlignment="1">
      <alignment wrapText="1"/>
    </xf>
    <xf numFmtId="0" fontId="11" fillId="0" borderId="0" xfId="0" applyFont="1" applyAlignment="1">
      <alignment horizontal="justify" wrapText="1"/>
    </xf>
    <xf numFmtId="0" fontId="10" fillId="0" borderId="0" xfId="0" applyFont="1" applyAlignment="1">
      <alignment wrapText="1"/>
    </xf>
    <xf numFmtId="0" fontId="10" fillId="0" borderId="0" xfId="0" applyFont="1" applyBorder="1" applyAlignment="1">
      <alignment horizontal="left" wrapText="1"/>
    </xf>
    <xf numFmtId="0" fontId="48" fillId="0" borderId="0" xfId="20" applyFont="1" applyBorder="1" applyAlignment="1">
      <alignment vertical="center"/>
    </xf>
    <xf numFmtId="0" fontId="10" fillId="0" borderId="0" xfId="0" applyFont="1" applyBorder="1" applyAlignment="1">
      <alignment horizontal="justify" wrapText="1"/>
    </xf>
    <xf numFmtId="0" fontId="7" fillId="0" borderId="1" xfId="0" applyFont="1" applyBorder="1" applyAlignment="1">
      <alignment wrapText="1"/>
    </xf>
    <xf numFmtId="0" fontId="7" fillId="0" borderId="1" xfId="0" applyFont="1" applyBorder="1"/>
    <xf numFmtId="0" fontId="33" fillId="0" borderId="0" xfId="0" applyFont="1" applyBorder="1" applyAlignment="1">
      <alignment horizontal="left" vertical="center" wrapText="1"/>
    </xf>
    <xf numFmtId="41" fontId="33" fillId="0" borderId="0" xfId="0" applyNumberFormat="1" applyFont="1" applyFill="1" applyBorder="1" applyAlignment="1">
      <alignment horizontal="right" vertical="center" wrapText="1"/>
    </xf>
    <xf numFmtId="0" fontId="33" fillId="0" borderId="0" xfId="0" applyFont="1" applyBorder="1" applyAlignment="1"/>
    <xf numFmtId="0" fontId="7" fillId="0" borderId="0" xfId="0" applyFont="1" applyBorder="1" applyAlignment="1"/>
    <xf numFmtId="41" fontId="33" fillId="0" borderId="0" xfId="0" applyNumberFormat="1" applyFont="1" applyBorder="1" applyAlignment="1"/>
    <xf numFmtId="41" fontId="7" fillId="0" borderId="0" xfId="0" applyNumberFormat="1" applyFont="1" applyBorder="1" applyAlignment="1"/>
    <xf numFmtId="0" fontId="33" fillId="0" borderId="1" xfId="0" applyFont="1" applyBorder="1"/>
    <xf numFmtId="0" fontId="33" fillId="0" borderId="1" xfId="12" applyFont="1" applyBorder="1" applyAlignment="1">
      <alignment horizontal="center" vertical="center" wrapText="1"/>
    </xf>
    <xf numFmtId="3" fontId="33" fillId="0" borderId="0" xfId="12" applyNumberFormat="1" applyFont="1" applyAlignment="1">
      <alignment horizontal="right"/>
    </xf>
    <xf numFmtId="41" fontId="33" fillId="0" borderId="0" xfId="12" applyNumberFormat="1" applyFont="1" applyAlignment="1">
      <alignment horizontal="right"/>
    </xf>
    <xf numFmtId="41" fontId="7" fillId="0" borderId="0" xfId="12" applyNumberFormat="1" applyFont="1" applyAlignment="1">
      <alignment horizontal="right"/>
    </xf>
    <xf numFmtId="165" fontId="7" fillId="0" borderId="0" xfId="13" applyNumberFormat="1" applyFont="1" applyBorder="1"/>
    <xf numFmtId="165" fontId="7" fillId="0" borderId="0" xfId="13" applyNumberFormat="1" applyFont="1" applyBorder="1" applyAlignment="1">
      <alignment horizontal="right"/>
    </xf>
    <xf numFmtId="0" fontId="49" fillId="0" borderId="0" xfId="5" applyFont="1"/>
    <xf numFmtId="41" fontId="11" fillId="0" borderId="0" xfId="12" applyNumberFormat="1" applyFont="1"/>
    <xf numFmtId="0" fontId="33" fillId="0" borderId="1" xfId="12" applyFont="1" applyFill="1" applyBorder="1" applyAlignment="1">
      <alignment horizontal="center" vertical="center" wrapText="1"/>
    </xf>
    <xf numFmtId="41" fontId="33" fillId="0" borderId="0" xfId="12" applyNumberFormat="1" applyFont="1"/>
    <xf numFmtId="41" fontId="33" fillId="0" borderId="0" xfId="12" applyNumberFormat="1" applyFont="1" applyFill="1"/>
    <xf numFmtId="9" fontId="7" fillId="0" borderId="0" xfId="5" applyNumberFormat="1" applyFont="1"/>
    <xf numFmtId="0" fontId="33" fillId="0" borderId="0" xfId="5" applyFont="1" applyAlignment="1">
      <alignment horizontal="right"/>
    </xf>
    <xf numFmtId="172" fontId="7" fillId="0" borderId="0" xfId="2" applyNumberFormat="1" applyFont="1"/>
    <xf numFmtId="166" fontId="33" fillId="0" borderId="0" xfId="5" applyNumberFormat="1" applyFont="1"/>
    <xf numFmtId="3" fontId="33" fillId="0" borderId="0" xfId="5" applyNumberFormat="1" applyFont="1" applyAlignment="1">
      <alignment horizontal="right"/>
    </xf>
    <xf numFmtId="172" fontId="7" fillId="0" borderId="0" xfId="2" applyNumberFormat="1" applyFont="1" applyAlignment="1">
      <alignment horizontal="right"/>
    </xf>
    <xf numFmtId="0" fontId="33" fillId="0" borderId="1" xfId="5" applyFont="1" applyFill="1" applyBorder="1" applyAlignment="1">
      <alignment horizontal="center" vertical="center"/>
    </xf>
    <xf numFmtId="41" fontId="33" fillId="0" borderId="0" xfId="5" applyNumberFormat="1" applyFont="1" applyFill="1"/>
    <xf numFmtId="41" fontId="7" fillId="0" borderId="0" xfId="5" applyNumberFormat="1" applyFont="1" applyFill="1"/>
    <xf numFmtId="41" fontId="7" fillId="0" borderId="0" xfId="12" applyNumberFormat="1" applyFont="1" applyFill="1"/>
    <xf numFmtId="0" fontId="33" fillId="0" borderId="0" xfId="5" applyFont="1" applyAlignment="1">
      <alignment horizontal="center" vertical="center"/>
    </xf>
    <xf numFmtId="0" fontId="33" fillId="0" borderId="1" xfId="12" applyFont="1" applyBorder="1" applyAlignment="1">
      <alignment horizontal="center" vertical="center"/>
    </xf>
    <xf numFmtId="0" fontId="7" fillId="0" borderId="0" xfId="12" applyFont="1" applyAlignment="1">
      <alignment horizontal="left" indent="2"/>
    </xf>
    <xf numFmtId="41" fontId="7" fillId="0" borderId="0" xfId="12" applyNumberFormat="1" applyFont="1" applyFill="1" applyAlignment="1">
      <alignment horizontal="right"/>
    </xf>
    <xf numFmtId="0" fontId="33" fillId="0" borderId="0" xfId="12" applyFont="1" applyFill="1"/>
    <xf numFmtId="41" fontId="10" fillId="0" borderId="0" xfId="12" applyNumberFormat="1" applyFont="1" applyFill="1" applyAlignment="1">
      <alignment horizontal="right"/>
    </xf>
    <xf numFmtId="0" fontId="7" fillId="0" borderId="0" xfId="12" applyFont="1" applyFill="1" applyAlignment="1">
      <alignment horizontal="left" indent="2"/>
    </xf>
    <xf numFmtId="41" fontId="11" fillId="0" borderId="0" xfId="12" applyNumberFormat="1" applyFont="1" applyFill="1" applyAlignment="1">
      <alignment horizontal="right"/>
    </xf>
    <xf numFmtId="0" fontId="11" fillId="0" borderId="0" xfId="12" applyFont="1" applyFill="1" applyAlignment="1">
      <alignment horizontal="right"/>
    </xf>
    <xf numFmtId="0" fontId="33" fillId="0" borderId="0" xfId="12" applyFont="1" applyAlignment="1"/>
    <xf numFmtId="0" fontId="33" fillId="0" borderId="0" xfId="5" applyFont="1" applyAlignment="1">
      <alignment vertical="top"/>
    </xf>
    <xf numFmtId="0" fontId="10" fillId="0" borderId="0" xfId="0" applyFont="1" applyAlignment="1"/>
    <xf numFmtId="0" fontId="33" fillId="0" borderId="0" xfId="0" applyFont="1" applyFill="1" applyAlignment="1"/>
    <xf numFmtId="2" fontId="33" fillId="0" borderId="0" xfId="5" applyNumberFormat="1" applyFont="1" applyFill="1" applyBorder="1" applyAlignment="1">
      <alignment vertical="center"/>
    </xf>
    <xf numFmtId="2" fontId="33" fillId="0" borderId="0" xfId="0" applyNumberFormat="1" applyFont="1" applyFill="1" applyAlignment="1"/>
    <xf numFmtId="0" fontId="33" fillId="0" borderId="0" xfId="21" applyFont="1" applyFill="1" applyAlignment="1"/>
    <xf numFmtId="49" fontId="33" fillId="0" borderId="0" xfId="21" applyNumberFormat="1" applyFont="1" applyFill="1" applyBorder="1" applyAlignment="1">
      <alignment vertical="center"/>
    </xf>
    <xf numFmtId="10" fontId="7" fillId="0" borderId="0" xfId="28002" applyNumberFormat="1" applyFont="1" applyFill="1" applyBorder="1" applyAlignment="1">
      <alignment vertical="center"/>
    </xf>
    <xf numFmtId="10" fontId="33" fillId="0" borderId="0" xfId="28002" applyNumberFormat="1" applyFont="1" applyFill="1" applyBorder="1" applyAlignment="1">
      <alignment vertical="center"/>
    </xf>
    <xf numFmtId="0" fontId="11" fillId="0" borderId="0" xfId="4093" applyFont="1" applyFill="1" applyAlignment="1">
      <alignment vertical="center"/>
    </xf>
    <xf numFmtId="49" fontId="33" fillId="0" borderId="0" xfId="28002" applyNumberFormat="1" applyFont="1" applyBorder="1" applyAlignment="1">
      <alignment vertical="center"/>
    </xf>
    <xf numFmtId="0" fontId="10" fillId="0" borderId="0" xfId="0" applyFont="1" applyFill="1" applyAlignment="1">
      <alignment vertical="center"/>
    </xf>
    <xf numFmtId="0" fontId="33" fillId="0" borderId="0" xfId="5" applyFont="1" applyAlignment="1">
      <alignment vertical="center"/>
    </xf>
    <xf numFmtId="0" fontId="10" fillId="0" borderId="0" xfId="4093" applyFont="1" applyAlignment="1">
      <alignment vertical="center"/>
    </xf>
    <xf numFmtId="0" fontId="10" fillId="0" borderId="0" xfId="0" applyFont="1" applyAlignment="1">
      <alignment vertical="top"/>
    </xf>
    <xf numFmtId="1" fontId="33" fillId="0" borderId="0" xfId="28002" applyNumberFormat="1" applyFont="1" applyFill="1" applyBorder="1" applyAlignment="1"/>
    <xf numFmtId="0" fontId="11" fillId="0" borderId="0" xfId="0" applyFont="1" applyBorder="1" applyAlignment="1">
      <alignment vertical="center"/>
    </xf>
    <xf numFmtId="0" fontId="11" fillId="0" borderId="32" xfId="0" applyFont="1" applyFill="1" applyBorder="1" applyAlignment="1">
      <alignment vertical="center"/>
    </xf>
    <xf numFmtId="0" fontId="73" fillId="0" borderId="32" xfId="36418" applyFont="1" applyFill="1" applyBorder="1" applyAlignment="1" applyProtection="1">
      <alignment vertical="center" wrapText="1"/>
    </xf>
    <xf numFmtId="0" fontId="11" fillId="0" borderId="33" xfId="0" applyFont="1" applyFill="1" applyBorder="1" applyAlignment="1">
      <alignment vertical="center"/>
    </xf>
    <xf numFmtId="0" fontId="10" fillId="0" borderId="22" xfId="0" applyFont="1" applyFill="1" applyBorder="1" applyAlignment="1">
      <alignment vertical="center"/>
    </xf>
    <xf numFmtId="0" fontId="73" fillId="0" borderId="33" xfId="36418" applyFont="1" applyFill="1" applyBorder="1" applyAlignment="1" applyProtection="1">
      <alignment vertical="center" wrapText="1"/>
    </xf>
    <xf numFmtId="0" fontId="48" fillId="0" borderId="0" xfId="20" applyFont="1" applyBorder="1" applyAlignment="1">
      <alignment horizontal="center" vertical="center" wrapText="1"/>
    </xf>
    <xf numFmtId="0" fontId="51" fillId="0" borderId="1" xfId="20" applyFont="1" applyBorder="1" applyAlignment="1">
      <alignment horizontal="center" vertical="center" wrapText="1"/>
    </xf>
    <xf numFmtId="0" fontId="51" fillId="0" borderId="0" xfId="20" applyFont="1" applyBorder="1" applyAlignment="1">
      <alignment horizontal="center" vertical="center" wrapText="1"/>
    </xf>
    <xf numFmtId="0" fontId="33" fillId="0" borderId="0" xfId="20" applyFont="1" applyFill="1" applyBorder="1" applyAlignment="1">
      <alignment vertical="center" wrapText="1"/>
    </xf>
    <xf numFmtId="165" fontId="51" fillId="0" borderId="0" xfId="20" applyNumberFormat="1" applyFont="1" applyBorder="1" applyAlignment="1">
      <alignment horizontal="right" wrapText="1"/>
    </xf>
    <xf numFmtId="167" fontId="11" fillId="0" borderId="0" xfId="0" applyNumberFormat="1" applyFont="1" applyBorder="1"/>
    <xf numFmtId="0" fontId="48" fillId="0" borderId="0" xfId="20" applyFont="1" applyBorder="1" applyAlignment="1">
      <alignment horizontal="left" vertical="top" wrapText="1"/>
    </xf>
    <xf numFmtId="0" fontId="48" fillId="0" borderId="0" xfId="20" applyFont="1" applyBorder="1" applyAlignment="1">
      <alignment vertical="center" wrapText="1"/>
    </xf>
    <xf numFmtId="0" fontId="51" fillId="0" borderId="0" xfId="20" applyFont="1" applyBorder="1" applyAlignment="1">
      <alignment vertical="center" wrapText="1"/>
    </xf>
    <xf numFmtId="165" fontId="51" fillId="0" borderId="0" xfId="20" applyNumberFormat="1" applyFont="1" applyBorder="1" applyAlignment="1">
      <alignment horizontal="right" vertical="top"/>
    </xf>
    <xf numFmtId="165" fontId="48" fillId="0" borderId="0" xfId="20" applyNumberFormat="1" applyFont="1" applyBorder="1" applyAlignment="1">
      <alignment horizontal="right" vertical="top"/>
    </xf>
    <xf numFmtId="9" fontId="11" fillId="0" borderId="0" xfId="2" applyFont="1" applyBorder="1"/>
    <xf numFmtId="0" fontId="10" fillId="0" borderId="0" xfId="0" applyFont="1" applyBorder="1" applyAlignment="1">
      <alignment horizontal="center" vertical="center"/>
    </xf>
    <xf numFmtId="41" fontId="51" fillId="0" borderId="0" xfId="20" applyNumberFormat="1" applyFont="1" applyFill="1" applyBorder="1" applyAlignment="1">
      <alignment horizontal="right" vertical="top"/>
    </xf>
    <xf numFmtId="0" fontId="51" fillId="0" borderId="0" xfId="20" applyFont="1" applyFill="1" applyBorder="1" applyAlignment="1">
      <alignment horizontal="left" vertical="top" wrapText="1"/>
    </xf>
    <xf numFmtId="0" fontId="51" fillId="0" borderId="0" xfId="20" applyFont="1" applyBorder="1" applyAlignment="1">
      <alignment horizontal="left" vertical="center" wrapText="1" indent="1"/>
    </xf>
    <xf numFmtId="9" fontId="10" fillId="0" borderId="0" xfId="2" applyFont="1" applyBorder="1"/>
    <xf numFmtId="0" fontId="48" fillId="0" borderId="0" xfId="20" applyFont="1" applyBorder="1" applyAlignment="1">
      <alignment horizontal="left" vertical="top" wrapText="1" indent="1"/>
    </xf>
    <xf numFmtId="41" fontId="48" fillId="0" borderId="0" xfId="20" applyNumberFormat="1" applyFont="1" applyBorder="1" applyAlignment="1">
      <alignment horizontal="right" vertical="top"/>
    </xf>
    <xf numFmtId="0" fontId="51" fillId="0" borderId="0" xfId="20" applyFont="1" applyBorder="1" applyAlignment="1">
      <alignment horizontal="left" vertical="top" wrapText="1" indent="1"/>
    </xf>
    <xf numFmtId="0" fontId="51" fillId="0" borderId="1" xfId="14" applyFont="1" applyBorder="1" applyAlignment="1">
      <alignment horizontal="center" vertical="center" wrapText="1"/>
    </xf>
    <xf numFmtId="0" fontId="51" fillId="0" borderId="0" xfId="14" applyFont="1" applyBorder="1" applyAlignment="1">
      <alignment horizontal="left" vertical="top" wrapText="1"/>
    </xf>
    <xf numFmtId="41" fontId="51" fillId="0" borderId="0" xfId="14" applyNumberFormat="1" applyFont="1" applyBorder="1" applyAlignment="1">
      <alignment horizontal="right" vertical="top"/>
    </xf>
    <xf numFmtId="0" fontId="48" fillId="0" borderId="0" xfId="14" applyFont="1" applyBorder="1" applyAlignment="1">
      <alignment horizontal="left" vertical="top" wrapText="1" indent="1"/>
    </xf>
    <xf numFmtId="41" fontId="48" fillId="0" borderId="0" xfId="14" applyNumberFormat="1" applyFont="1" applyBorder="1" applyAlignment="1">
      <alignment horizontal="right" vertical="top"/>
    </xf>
    <xf numFmtId="0" fontId="10" fillId="0" borderId="0" xfId="0" applyFont="1" applyBorder="1" applyAlignment="1">
      <alignment horizontal="left" indent="1"/>
    </xf>
    <xf numFmtId="0" fontId="48" fillId="0" borderId="0" xfId="14" applyFont="1" applyBorder="1" applyAlignment="1">
      <alignment horizontal="left" vertical="top" wrapText="1"/>
    </xf>
    <xf numFmtId="0" fontId="7" fillId="0" borderId="0" xfId="36416" applyFont="1" applyFill="1" applyBorder="1"/>
    <xf numFmtId="0" fontId="7" fillId="0" borderId="0" xfId="30873" applyFont="1" applyAlignment="1">
      <alignment vertical="top" wrapText="1"/>
    </xf>
    <xf numFmtId="3" fontId="33" fillId="0" borderId="0" xfId="30873" applyNumberFormat="1" applyFont="1" applyBorder="1" applyAlignment="1">
      <alignment horizontal="right"/>
    </xf>
    <xf numFmtId="3" fontId="7" fillId="0" borderId="0" xfId="30873" applyNumberFormat="1" applyFont="1" applyBorder="1"/>
    <xf numFmtId="3" fontId="7" fillId="0" borderId="0" xfId="30873" applyNumberFormat="1" applyFont="1"/>
    <xf numFmtId="3" fontId="7" fillId="0" borderId="0" xfId="30873" applyNumberFormat="1" applyFont="1" applyAlignment="1">
      <alignment vertical="top"/>
    </xf>
    <xf numFmtId="0" fontId="7" fillId="0" borderId="0" xfId="30873" applyFont="1" applyFill="1" applyAlignment="1">
      <alignment horizontal="left" vertical="top"/>
    </xf>
    <xf numFmtId="0" fontId="11" fillId="0" borderId="0" xfId="0" applyFont="1" applyFill="1" applyAlignment="1">
      <alignment horizontal="left" vertical="top" wrapText="1"/>
    </xf>
    <xf numFmtId="0" fontId="7" fillId="0" borderId="0" xfId="30873" applyFont="1" applyFill="1" applyAlignment="1">
      <alignment horizontal="left"/>
    </xf>
    <xf numFmtId="165" fontId="7" fillId="0" borderId="0" xfId="0" applyNumberFormat="1" applyFont="1"/>
    <xf numFmtId="0" fontId="10" fillId="0" borderId="0" xfId="0" applyFont="1" applyFill="1" applyBorder="1" applyAlignment="1">
      <alignment horizontal="left" vertical="center" wrapText="1"/>
    </xf>
    <xf numFmtId="0" fontId="7" fillId="0" borderId="0" xfId="0" applyFont="1"/>
    <xf numFmtId="0" fontId="33" fillId="0" borderId="0" xfId="0" applyFont="1" applyFill="1"/>
    <xf numFmtId="0" fontId="7" fillId="0" borderId="0" xfId="0" applyFont="1" applyFill="1" applyBorder="1"/>
    <xf numFmtId="0" fontId="7" fillId="0" borderId="0" xfId="0" applyFont="1" applyFill="1"/>
    <xf numFmtId="0" fontId="33" fillId="0" borderId="22" xfId="21" applyFont="1" applyFill="1" applyBorder="1" applyAlignment="1">
      <alignment horizontal="center" vertical="center"/>
    </xf>
    <xf numFmtId="0" fontId="33" fillId="0" borderId="22" xfId="28002" applyFont="1" applyFill="1" applyBorder="1" applyAlignment="1">
      <alignment horizontal="center" vertical="center"/>
    </xf>
    <xf numFmtId="0" fontId="33" fillId="0" borderId="22" xfId="7184" applyFont="1" applyFill="1" applyBorder="1" applyAlignment="1">
      <alignment horizontal="center" vertical="center"/>
    </xf>
    <xf numFmtId="0" fontId="33" fillId="0" borderId="22" xfId="4093" applyFont="1" applyFill="1" applyBorder="1" applyAlignment="1">
      <alignment horizontal="center" vertical="center"/>
    </xf>
    <xf numFmtId="0" fontId="33" fillId="0" borderId="22" xfId="30865" applyFont="1" applyFill="1" applyBorder="1" applyAlignment="1">
      <alignment horizontal="center" vertical="center"/>
    </xf>
    <xf numFmtId="0" fontId="33" fillId="0" borderId="22" xfId="6" applyFont="1" applyBorder="1" applyAlignment="1">
      <alignment horizontal="center" vertical="center"/>
    </xf>
    <xf numFmtId="0" fontId="33" fillId="0" borderId="22" xfId="4093" applyFont="1" applyFill="1" applyBorder="1" applyAlignment="1">
      <alignment horizontal="center" vertical="center" wrapText="1"/>
    </xf>
    <xf numFmtId="0" fontId="33" fillId="0" borderId="22" xfId="4093" applyFont="1" applyBorder="1" applyAlignment="1">
      <alignment horizontal="center" vertical="center" wrapText="1"/>
    </xf>
    <xf numFmtId="0" fontId="7" fillId="0" borderId="0" xfId="4093" applyFont="1" applyFill="1" applyBorder="1" applyAlignment="1">
      <alignment horizontal="left"/>
    </xf>
    <xf numFmtId="0" fontId="33" fillId="0" borderId="22" xfId="5" applyFont="1" applyFill="1" applyBorder="1" applyAlignment="1">
      <alignment horizontal="center" vertical="center" wrapText="1"/>
    </xf>
    <xf numFmtId="0" fontId="33" fillId="0" borderId="22" xfId="30873" applyFont="1" applyFill="1" applyBorder="1" applyAlignment="1">
      <alignment horizontal="center" vertical="center" wrapText="1"/>
    </xf>
    <xf numFmtId="0" fontId="33" fillId="0" borderId="23" xfId="4093" applyFont="1" applyFill="1" applyBorder="1" applyAlignment="1">
      <alignment horizontal="center" vertical="center" wrapText="1"/>
    </xf>
    <xf numFmtId="0" fontId="10" fillId="0" borderId="22" xfId="4093" applyFont="1" applyBorder="1" applyAlignment="1">
      <alignment horizontal="center" vertical="center" wrapText="1"/>
    </xf>
    <xf numFmtId="0" fontId="10" fillId="0" borderId="0" xfId="0" applyFont="1" applyAlignment="1">
      <alignment horizontal="justify" vertical="top" wrapText="1"/>
    </xf>
    <xf numFmtId="0" fontId="33" fillId="0" borderId="22" xfId="5" applyFont="1" applyBorder="1" applyAlignment="1">
      <alignment horizontal="center" vertical="center" wrapText="1"/>
    </xf>
    <xf numFmtId="0" fontId="33" fillId="0" borderId="22" xfId="5" applyFont="1" applyFill="1" applyBorder="1" applyAlignment="1">
      <alignment horizontal="center" vertical="center"/>
    </xf>
    <xf numFmtId="0" fontId="33" fillId="0" borderId="22" xfId="12" applyFont="1" applyFill="1" applyBorder="1" applyAlignment="1">
      <alignment horizontal="center" vertical="center"/>
    </xf>
    <xf numFmtId="0" fontId="33" fillId="0" borderId="22" xfId="0" applyFont="1" applyFill="1" applyBorder="1" applyAlignment="1">
      <alignment horizontal="center" vertical="center" wrapText="1"/>
    </xf>
    <xf numFmtId="0" fontId="33" fillId="0" borderId="1" xfId="28002" applyFont="1" applyFill="1" applyBorder="1" applyAlignment="1">
      <alignment horizontal="center" vertical="center" wrapText="1"/>
    </xf>
    <xf numFmtId="0" fontId="10" fillId="0" borderId="1" xfId="0" applyFont="1" applyFill="1" applyBorder="1" applyAlignment="1">
      <alignment horizontal="center" vertical="center" wrapText="1"/>
    </xf>
    <xf numFmtId="0" fontId="7" fillId="0" borderId="0" xfId="4093" applyFont="1" applyFill="1" applyBorder="1" applyAlignment="1">
      <alignment horizontal="left" wrapText="1"/>
    </xf>
    <xf numFmtId="0" fontId="7" fillId="0" borderId="0" xfId="0" applyFont="1" applyFill="1" applyBorder="1" applyAlignment="1">
      <alignment wrapText="1"/>
    </xf>
    <xf numFmtId="0" fontId="7" fillId="0" borderId="0" xfId="36435" applyFont="1" applyFill="1" applyBorder="1" applyAlignment="1">
      <alignment horizontal="left" vertical="center" wrapText="1"/>
    </xf>
    <xf numFmtId="0" fontId="7" fillId="0" borderId="0" xfId="4093" applyFont="1" applyFill="1" applyBorder="1" applyAlignment="1">
      <alignment horizontal="left" vertical="center" wrapText="1"/>
    </xf>
    <xf numFmtId="0" fontId="33" fillId="0" borderId="0" xfId="5" applyFont="1" applyAlignment="1">
      <alignment horizontal="left" vertical="top" wrapText="1"/>
    </xf>
    <xf numFmtId="0" fontId="33" fillId="0" borderId="1" xfId="5" applyFont="1" applyBorder="1" applyAlignment="1">
      <alignment horizontal="center" vertical="center"/>
    </xf>
    <xf numFmtId="0" fontId="7" fillId="0" borderId="0" xfId="5" applyFont="1"/>
    <xf numFmtId="0" fontId="33" fillId="0" borderId="0" xfId="5" applyFont="1" applyAlignment="1">
      <alignment horizontal="left" wrapText="1"/>
    </xf>
    <xf numFmtId="0" fontId="33" fillId="0" borderId="1" xfId="12" applyFont="1" applyBorder="1" applyAlignment="1">
      <alignment horizontal="center" vertical="center"/>
    </xf>
    <xf numFmtId="0" fontId="7" fillId="0" borderId="0" xfId="12" applyFont="1"/>
    <xf numFmtId="0" fontId="33" fillId="0" borderId="7" xfId="5" applyFont="1" applyBorder="1" applyAlignment="1">
      <alignment horizontal="center" vertical="center"/>
    </xf>
    <xf numFmtId="0" fontId="33" fillId="0" borderId="8" xfId="5" applyFont="1" applyBorder="1" applyAlignment="1">
      <alignment horizontal="center" vertical="center"/>
    </xf>
    <xf numFmtId="0" fontId="33" fillId="0" borderId="0" xfId="5" applyFont="1" applyAlignment="1">
      <alignment horizontal="justify" wrapText="1"/>
    </xf>
    <xf numFmtId="0" fontId="7" fillId="0" borderId="0" xfId="5" applyFont="1" applyFill="1" applyAlignment="1">
      <alignment horizontal="left" wrapText="1"/>
    </xf>
    <xf numFmtId="0" fontId="7" fillId="0" borderId="0" xfId="5" applyFont="1" applyAlignment="1">
      <alignment horizontal="left"/>
    </xf>
    <xf numFmtId="0" fontId="7" fillId="0" borderId="0" xfId="5" applyFont="1" applyAlignment="1">
      <alignment horizontal="left" wrapText="1"/>
    </xf>
    <xf numFmtId="0" fontId="33" fillId="0" borderId="0" xfId="0" applyFont="1" applyFill="1" applyAlignment="1">
      <alignment horizontal="left" wrapText="1"/>
    </xf>
    <xf numFmtId="0" fontId="33" fillId="0" borderId="2" xfId="5" applyFont="1" applyBorder="1" applyAlignment="1">
      <alignment horizontal="center" vertical="center" wrapText="1"/>
    </xf>
    <xf numFmtId="0" fontId="33" fillId="0" borderId="6" xfId="5" applyFont="1" applyBorder="1" applyAlignment="1">
      <alignment horizontal="center" vertical="center" wrapText="1"/>
    </xf>
    <xf numFmtId="0" fontId="7" fillId="0" borderId="0" xfId="12" applyFont="1" applyAlignment="1">
      <alignment horizontal="justify" wrapText="1"/>
    </xf>
    <xf numFmtId="0" fontId="33" fillId="0" borderId="1" xfId="5" applyFont="1" applyBorder="1" applyAlignment="1">
      <alignment horizontal="center" vertical="center" wrapText="1"/>
    </xf>
    <xf numFmtId="0" fontId="7" fillId="0" borderId="0" xfId="5" applyFont="1" applyAlignment="1">
      <alignment horizontal="justify" wrapText="1"/>
    </xf>
    <xf numFmtId="0" fontId="7" fillId="0" borderId="0" xfId="12" applyFont="1" applyFill="1" applyAlignment="1">
      <alignment horizontal="justify" wrapText="1"/>
    </xf>
    <xf numFmtId="0" fontId="33" fillId="0" borderId="0" xfId="5" applyFont="1" applyAlignment="1">
      <alignment wrapText="1"/>
    </xf>
    <xf numFmtId="49" fontId="7" fillId="0" borderId="0" xfId="5" applyNumberFormat="1" applyFont="1" applyAlignment="1">
      <alignment horizontal="left"/>
    </xf>
    <xf numFmtId="0" fontId="7" fillId="0" borderId="0" xfId="5" applyNumberFormat="1" applyFont="1" applyAlignment="1">
      <alignment horizontal="justify" vertical="top"/>
    </xf>
    <xf numFmtId="0" fontId="7" fillId="0" borderId="0" xfId="5" applyNumberFormat="1" applyFont="1" applyAlignment="1">
      <alignment horizontal="justify" vertical="top" wrapText="1"/>
    </xf>
    <xf numFmtId="0" fontId="33" fillId="0" borderId="0" xfId="12" applyFont="1" applyAlignment="1">
      <alignment horizontal="justify" wrapText="1"/>
    </xf>
    <xf numFmtId="0" fontId="33" fillId="0" borderId="1" xfId="12" applyFont="1" applyBorder="1" applyAlignment="1">
      <alignment horizontal="center" vertical="center" wrapText="1"/>
    </xf>
    <xf numFmtId="0" fontId="33" fillId="0" borderId="3" xfId="12" applyFont="1" applyBorder="1" applyAlignment="1">
      <alignment horizontal="center" vertical="center" wrapText="1"/>
    </xf>
    <xf numFmtId="0" fontId="33" fillId="0" borderId="5" xfId="12" applyFont="1" applyBorder="1" applyAlignment="1">
      <alignment horizontal="center" vertical="center" wrapText="1"/>
    </xf>
    <xf numFmtId="0" fontId="7" fillId="0" borderId="0" xfId="12" applyFont="1" applyFill="1" applyAlignment="1">
      <alignment horizontal="justify" vertical="top" wrapText="1"/>
    </xf>
    <xf numFmtId="0" fontId="7" fillId="0" borderId="0" xfId="12" applyFont="1" applyFill="1" applyAlignment="1">
      <alignment horizontal="left"/>
    </xf>
    <xf numFmtId="0" fontId="7" fillId="0" borderId="0" xfId="12" applyFont="1" applyFill="1" applyAlignment="1">
      <alignment horizontal="justify"/>
    </xf>
    <xf numFmtId="0" fontId="33" fillId="0" borderId="0" xfId="0" applyFont="1" applyAlignment="1">
      <alignment horizontal="left" wrapText="1"/>
    </xf>
    <xf numFmtId="0" fontId="7" fillId="0" borderId="0" xfId="0" applyFont="1" applyAlignment="1">
      <alignment horizontal="justify"/>
    </xf>
    <xf numFmtId="0" fontId="33" fillId="0" borderId="0" xfId="0" applyFont="1" applyAlignment="1">
      <alignment horizontal="justify"/>
    </xf>
    <xf numFmtId="0" fontId="33" fillId="0" borderId="1" xfId="0" applyFont="1" applyBorder="1" applyAlignment="1">
      <alignment horizontal="center" vertical="center"/>
    </xf>
    <xf numFmtId="0" fontId="33" fillId="0" borderId="3" xfId="0" applyFont="1" applyBorder="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7" fillId="0" borderId="0" xfId="0" applyFont="1" applyFill="1" applyAlignment="1">
      <alignment horizontal="justify"/>
    </xf>
    <xf numFmtId="0" fontId="33" fillId="0" borderId="0" xfId="0" applyFont="1" applyAlignment="1">
      <alignment horizontal="justify" wrapText="1"/>
    </xf>
    <xf numFmtId="0" fontId="7" fillId="0" borderId="0" xfId="0" applyFont="1" applyFill="1" applyAlignment="1">
      <alignment horizontal="left"/>
    </xf>
    <xf numFmtId="49" fontId="7" fillId="0" borderId="0" xfId="0" applyNumberFormat="1" applyFont="1" applyFill="1" applyAlignment="1">
      <alignment horizontal="left"/>
    </xf>
    <xf numFmtId="0" fontId="33" fillId="0" borderId="1" xfId="0" applyFont="1" applyBorder="1" applyAlignment="1">
      <alignment horizontal="center" vertical="center" wrapText="1"/>
    </xf>
    <xf numFmtId="0" fontId="7" fillId="0" borderId="0" xfId="0" applyFont="1" applyAlignment="1">
      <alignment horizontal="justify" wrapText="1"/>
    </xf>
    <xf numFmtId="0" fontId="7" fillId="0" borderId="0" xfId="0" applyFont="1"/>
    <xf numFmtId="0" fontId="7" fillId="0" borderId="0" xfId="0" applyFont="1" applyAlignment="1">
      <alignment horizontal="justify" vertical="top" wrapText="1"/>
    </xf>
    <xf numFmtId="0" fontId="8" fillId="0" borderId="0" xfId="0" applyFont="1" applyAlignment="1">
      <alignment horizontal="justify"/>
    </xf>
    <xf numFmtId="0" fontId="7" fillId="0" borderId="2" xfId="0" applyFont="1" applyBorder="1" applyAlignment="1">
      <alignment horizontal="left" vertical="center" wrapText="1"/>
    </xf>
    <xf numFmtId="0" fontId="7" fillId="0" borderId="9" xfId="0" applyFont="1" applyBorder="1" applyAlignment="1">
      <alignment horizontal="left" vertical="center" wrapText="1"/>
    </xf>
    <xf numFmtId="0" fontId="7" fillId="0" borderId="6" xfId="0" applyFont="1" applyBorder="1" applyAlignment="1">
      <alignment horizontal="left" vertical="center" wrapText="1"/>
    </xf>
    <xf numFmtId="0" fontId="11" fillId="0" borderId="0" xfId="0" applyFont="1" applyBorder="1" applyAlignment="1">
      <alignment horizontal="left" wrapText="1"/>
    </xf>
    <xf numFmtId="0" fontId="10" fillId="0" borderId="0" xfId="0" applyFont="1" applyBorder="1" applyAlignment="1">
      <alignment horizontal="justify" wrapText="1"/>
    </xf>
    <xf numFmtId="0" fontId="10" fillId="0" borderId="1" xfId="0" applyFont="1" applyBorder="1" applyAlignment="1">
      <alignment horizontal="center" vertical="center" wrapText="1"/>
    </xf>
    <xf numFmtId="0" fontId="10" fillId="0" borderId="3" xfId="0" applyFont="1" applyBorder="1" applyAlignment="1">
      <alignment horizontal="center"/>
    </xf>
    <xf numFmtId="0" fontId="10" fillId="0" borderId="4" xfId="0" applyFont="1" applyBorder="1" applyAlignment="1">
      <alignment horizontal="center"/>
    </xf>
    <xf numFmtId="0" fontId="10" fillId="0" borderId="5" xfId="0" applyFont="1" applyBorder="1" applyAlignment="1">
      <alignment horizontal="center"/>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51" fillId="0" borderId="1" xfId="20" applyFont="1" applyBorder="1" applyAlignment="1">
      <alignment horizontal="center" vertical="center" wrapText="1"/>
    </xf>
    <xf numFmtId="0" fontId="11" fillId="0" borderId="0" xfId="0" applyFont="1" applyFill="1" applyBorder="1" applyAlignment="1">
      <alignment horizontal="left" wrapText="1"/>
    </xf>
    <xf numFmtId="0" fontId="10" fillId="0" borderId="0" xfId="0" applyFont="1" applyBorder="1" applyAlignment="1">
      <alignment horizontal="left" vertical="center" wrapText="1"/>
    </xf>
    <xf numFmtId="0" fontId="51" fillId="0" borderId="2" xfId="20" applyFont="1" applyBorder="1" applyAlignment="1">
      <alignment horizontal="center" vertical="center" wrapText="1"/>
    </xf>
    <xf numFmtId="0" fontId="51" fillId="0" borderId="6" xfId="20" applyFont="1" applyBorder="1" applyAlignment="1">
      <alignment horizontal="center" vertical="center" wrapText="1"/>
    </xf>
    <xf numFmtId="0" fontId="51" fillId="0" borderId="1" xfId="20" applyFont="1" applyFill="1" applyBorder="1" applyAlignment="1">
      <alignment horizontal="center" vertical="center" wrapText="1"/>
    </xf>
    <xf numFmtId="0" fontId="51" fillId="0" borderId="2" xfId="14" applyFont="1" applyBorder="1" applyAlignment="1">
      <alignment horizontal="center" vertical="center" wrapText="1"/>
    </xf>
    <xf numFmtId="0" fontId="51" fillId="0" borderId="6" xfId="14" applyFont="1" applyBorder="1" applyAlignment="1">
      <alignment horizontal="center" vertical="center" wrapText="1"/>
    </xf>
    <xf numFmtId="0" fontId="51" fillId="0" borderId="1" xfId="14" applyFont="1" applyBorder="1" applyAlignment="1">
      <alignment horizontal="center" vertical="center" wrapText="1"/>
    </xf>
    <xf numFmtId="0" fontId="10" fillId="0" borderId="0" xfId="0" applyFont="1" applyAlignment="1">
      <alignment horizontal="left" wrapText="1"/>
    </xf>
    <xf numFmtId="0" fontId="11" fillId="0" borderId="0" xfId="0" applyFont="1" applyAlignment="1">
      <alignment horizontal="justify" wrapText="1"/>
    </xf>
    <xf numFmtId="0" fontId="11" fillId="0" borderId="0" xfId="0" applyFont="1" applyBorder="1" applyAlignment="1">
      <alignment horizontal="justify"/>
    </xf>
    <xf numFmtId="0" fontId="10" fillId="0" borderId="0" xfId="0" applyFont="1" applyAlignment="1">
      <alignment horizontal="justify" wrapText="1"/>
    </xf>
    <xf numFmtId="0" fontId="10" fillId="0" borderId="2"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 xfId="0" applyFont="1" applyBorder="1" applyAlignment="1">
      <alignment horizontal="center" wrapText="1"/>
    </xf>
    <xf numFmtId="0" fontId="10" fillId="0" borderId="0" xfId="0" applyFont="1" applyBorder="1" applyAlignment="1">
      <alignment horizontal="left" wrapText="1"/>
    </xf>
    <xf numFmtId="0" fontId="11" fillId="0" borderId="0" xfId="0" applyFont="1" applyBorder="1" applyAlignment="1">
      <alignment horizontal="justify" wrapText="1"/>
    </xf>
    <xf numFmtId="0" fontId="7" fillId="0" borderId="0" xfId="0" applyFont="1" applyFill="1" applyAlignment="1">
      <alignment wrapText="1"/>
    </xf>
    <xf numFmtId="0" fontId="7" fillId="0" borderId="0" xfId="0" applyFont="1" applyFill="1" applyAlignment="1">
      <alignment horizontal="justify" wrapText="1"/>
    </xf>
    <xf numFmtId="0" fontId="7" fillId="0" borderId="0" xfId="0" applyFont="1" applyAlignment="1">
      <alignment horizontal="left" wrapText="1"/>
    </xf>
    <xf numFmtId="0" fontId="33" fillId="0" borderId="0" xfId="0" applyFont="1" applyAlignment="1">
      <alignment horizontal="left"/>
    </xf>
    <xf numFmtId="0" fontId="7" fillId="0" borderId="0" xfId="0" applyFont="1" applyAlignment="1">
      <alignment wrapText="1"/>
    </xf>
    <xf numFmtId="0" fontId="33" fillId="0" borderId="0" xfId="0" applyFont="1" applyAlignment="1">
      <alignment wrapText="1"/>
    </xf>
    <xf numFmtId="0" fontId="7" fillId="0" borderId="0" xfId="0" applyFont="1" applyFill="1" applyBorder="1"/>
    <xf numFmtId="0" fontId="7" fillId="0" borderId="0" xfId="5" applyFont="1" applyFill="1" applyBorder="1" applyAlignment="1">
      <alignment horizontal="left" vertical="center" wrapText="1"/>
    </xf>
    <xf numFmtId="0" fontId="55" fillId="0" borderId="0" xfId="0" applyFont="1" applyFill="1" applyAlignment="1">
      <alignment horizontal="justify" wrapText="1"/>
    </xf>
    <xf numFmtId="0" fontId="56" fillId="0" borderId="0" xfId="0" applyFont="1" applyFill="1" applyAlignment="1">
      <alignment horizontal="justify"/>
    </xf>
    <xf numFmtId="0" fontId="33" fillId="0" borderId="0" xfId="0" applyFont="1" applyFill="1"/>
    <xf numFmtId="0" fontId="7" fillId="0" borderId="0" xfId="5" applyFont="1" applyFill="1" applyBorder="1" applyAlignment="1">
      <alignment horizontal="left" vertical="center"/>
    </xf>
    <xf numFmtId="0" fontId="55" fillId="0" borderId="0" xfId="0" applyFont="1" applyAlignment="1">
      <alignment horizontal="justify" wrapText="1"/>
    </xf>
    <xf numFmtId="0" fontId="7" fillId="0" borderId="0" xfId="0" applyFont="1" applyFill="1"/>
    <xf numFmtId="0" fontId="7" fillId="0" borderId="0" xfId="0" applyFont="1" applyBorder="1" applyAlignment="1">
      <alignment horizontal="justify" wrapText="1"/>
    </xf>
    <xf numFmtId="0" fontId="33" fillId="0" borderId="1" xfId="0" applyFont="1" applyFill="1" applyBorder="1" applyAlignment="1">
      <alignment horizontal="center" vertical="center" wrapText="1"/>
    </xf>
    <xf numFmtId="0" fontId="33" fillId="0" borderId="23" xfId="0" applyFont="1" applyFill="1" applyBorder="1" applyAlignment="1">
      <alignment horizontal="center" vertical="center"/>
    </xf>
    <xf numFmtId="0" fontId="33" fillId="0" borderId="6" xfId="0" applyFont="1" applyFill="1" applyBorder="1" applyAlignment="1">
      <alignment horizontal="center" vertical="center"/>
    </xf>
    <xf numFmtId="0" fontId="33" fillId="0" borderId="23" xfId="0" applyFont="1" applyBorder="1" applyAlignment="1">
      <alignment horizontal="center" vertical="center"/>
    </xf>
    <xf numFmtId="0" fontId="33" fillId="0" borderId="6" xfId="0" applyFont="1" applyBorder="1" applyAlignment="1">
      <alignment horizontal="center" vertical="center"/>
    </xf>
    <xf numFmtId="0" fontId="7" fillId="0" borderId="0" xfId="0" applyFont="1" applyFill="1" applyAlignment="1">
      <alignment horizontal="left" wrapText="1"/>
    </xf>
    <xf numFmtId="0" fontId="33" fillId="0" borderId="1" xfId="10" applyFont="1" applyFill="1" applyBorder="1" applyAlignment="1" applyProtection="1">
      <alignment horizontal="center" vertical="center" wrapText="1"/>
    </xf>
    <xf numFmtId="2" fontId="33" fillId="0" borderId="0" xfId="5" applyNumberFormat="1" applyFont="1" applyFill="1" applyBorder="1" applyAlignment="1">
      <alignment horizontal="justify" vertical="center" wrapText="1"/>
    </xf>
    <xf numFmtId="0" fontId="33" fillId="0" borderId="1" xfId="10" applyFont="1" applyFill="1" applyBorder="1" applyAlignment="1" applyProtection="1">
      <alignment horizontal="center" vertical="center"/>
    </xf>
    <xf numFmtId="2" fontId="33" fillId="0" borderId="0" xfId="0" applyNumberFormat="1" applyFont="1" applyFill="1" applyAlignment="1">
      <alignment horizontal="justify" wrapText="1"/>
    </xf>
    <xf numFmtId="0" fontId="33" fillId="0" borderId="2" xfId="9" applyFont="1" applyFill="1" applyBorder="1" applyAlignment="1">
      <alignment horizontal="center" vertical="center" wrapText="1"/>
    </xf>
    <xf numFmtId="0" fontId="33" fillId="0" borderId="6" xfId="9" applyFont="1" applyFill="1" applyBorder="1" applyAlignment="1">
      <alignment horizontal="center" vertical="center" wrapText="1"/>
    </xf>
    <xf numFmtId="0" fontId="7" fillId="0" borderId="0" xfId="4" quotePrefix="1" applyFont="1" applyBorder="1" applyAlignment="1">
      <alignment horizontal="left"/>
    </xf>
    <xf numFmtId="0" fontId="33" fillId="0" borderId="0" xfId="21" applyFont="1" applyBorder="1" applyAlignment="1">
      <alignment horizontal="left"/>
    </xf>
    <xf numFmtId="0" fontId="7" fillId="0" borderId="0" xfId="21" applyFont="1" applyFill="1" applyAlignment="1">
      <alignment horizontal="left" wrapText="1"/>
    </xf>
    <xf numFmtId="0" fontId="33" fillId="0" borderId="23" xfId="21" applyFont="1" applyBorder="1" applyAlignment="1">
      <alignment horizontal="center" vertical="center"/>
    </xf>
    <xf numFmtId="0" fontId="33" fillId="0" borderId="9" xfId="21" applyFont="1" applyBorder="1" applyAlignment="1">
      <alignment horizontal="center" vertical="center"/>
    </xf>
    <xf numFmtId="0" fontId="33" fillId="0" borderId="6" xfId="21" applyFont="1" applyBorder="1" applyAlignment="1">
      <alignment horizontal="center" vertical="center"/>
    </xf>
    <xf numFmtId="0" fontId="33" fillId="0" borderId="2" xfId="21" applyFont="1" applyBorder="1" applyAlignment="1">
      <alignment horizontal="center" vertical="center"/>
    </xf>
    <xf numFmtId="0" fontId="33" fillId="0" borderId="22" xfId="21" applyFont="1" applyFill="1" applyBorder="1" applyAlignment="1">
      <alignment horizontal="center" vertical="center"/>
    </xf>
    <xf numFmtId="0" fontId="33" fillId="0" borderId="23" xfId="21" applyFont="1" applyFill="1" applyBorder="1" applyAlignment="1">
      <alignment horizontal="center" vertical="center"/>
    </xf>
    <xf numFmtId="0" fontId="33" fillId="0" borderId="6" xfId="21" applyFont="1" applyFill="1" applyBorder="1" applyAlignment="1">
      <alignment horizontal="center" vertical="center"/>
    </xf>
    <xf numFmtId="0" fontId="33" fillId="0" borderId="24" xfId="21" applyFont="1" applyFill="1" applyBorder="1" applyAlignment="1">
      <alignment horizontal="center" vertical="center"/>
    </xf>
    <xf numFmtId="0" fontId="33" fillId="0" borderId="25" xfId="21" applyFont="1" applyFill="1" applyBorder="1" applyAlignment="1">
      <alignment horizontal="center" vertical="center"/>
    </xf>
    <xf numFmtId="0" fontId="7" fillId="0" borderId="0" xfId="21" applyFont="1" applyAlignment="1">
      <alignment horizontal="left" wrapText="1"/>
    </xf>
    <xf numFmtId="0" fontId="33" fillId="0" borderId="0" xfId="21" applyFont="1" applyFill="1" applyAlignment="1">
      <alignment horizontal="left" wrapText="1"/>
    </xf>
    <xf numFmtId="0" fontId="33" fillId="0" borderId="26" xfId="21" applyFont="1" applyFill="1" applyBorder="1" applyAlignment="1">
      <alignment horizontal="center" vertical="center"/>
    </xf>
    <xf numFmtId="0" fontId="33" fillId="0" borderId="23" xfId="21" applyFont="1" applyFill="1" applyBorder="1" applyAlignment="1">
      <alignment horizontal="center" vertical="center" wrapText="1"/>
    </xf>
    <xf numFmtId="0" fontId="33" fillId="0" borderId="6" xfId="21" applyFont="1" applyFill="1" applyBorder="1" applyAlignment="1">
      <alignment horizontal="center" vertical="center" wrapText="1"/>
    </xf>
    <xf numFmtId="0" fontId="33" fillId="0" borderId="22" xfId="21" applyFont="1" applyFill="1" applyBorder="1" applyAlignment="1">
      <alignment horizontal="center" vertical="center" wrapText="1"/>
    </xf>
    <xf numFmtId="0" fontId="7" fillId="0" borderId="0" xfId="21" applyFont="1" applyFill="1" applyAlignment="1">
      <alignment horizontal="left" vertical="center" wrapText="1"/>
    </xf>
    <xf numFmtId="0" fontId="33" fillId="0" borderId="0" xfId="21" applyFont="1" applyAlignment="1">
      <alignment wrapText="1"/>
    </xf>
    <xf numFmtId="49" fontId="7" fillId="0" borderId="0" xfId="21" applyNumberFormat="1" applyFont="1" applyFill="1" applyAlignment="1">
      <alignment horizontal="left" vertical="center" wrapText="1"/>
    </xf>
    <xf numFmtId="0" fontId="7" fillId="0" borderId="0" xfId="28002" applyFont="1" applyFill="1" applyBorder="1" applyAlignment="1">
      <alignment horizontal="left"/>
    </xf>
    <xf numFmtId="0" fontId="33" fillId="0" borderId="0" xfId="28002" applyFont="1" applyFill="1" applyBorder="1" applyAlignment="1">
      <alignment horizontal="justify" wrapText="1"/>
    </xf>
    <xf numFmtId="0" fontId="33" fillId="0" borderId="22" xfId="28002" applyFont="1" applyFill="1" applyBorder="1" applyAlignment="1">
      <alignment horizontal="center" vertical="center"/>
    </xf>
    <xf numFmtId="0" fontId="33" fillId="0" borderId="22" xfId="28002" applyFont="1" applyFill="1" applyBorder="1" applyAlignment="1">
      <alignment horizontal="center" vertical="center" wrapText="1"/>
    </xf>
    <xf numFmtId="0" fontId="33" fillId="0" borderId="22" xfId="21" applyFont="1" applyFill="1" applyBorder="1" applyAlignment="1">
      <alignment horizontal="center"/>
    </xf>
    <xf numFmtId="0" fontId="33" fillId="0" borderId="23" xfId="28002" applyFont="1" applyFill="1" applyBorder="1" applyAlignment="1">
      <alignment horizontal="center" vertical="center"/>
    </xf>
    <xf numFmtId="0" fontId="33" fillId="0" borderId="9" xfId="28002" applyFont="1" applyFill="1" applyBorder="1" applyAlignment="1">
      <alignment horizontal="center" vertical="center"/>
    </xf>
    <xf numFmtId="0" fontId="33" fillId="0" borderId="6" xfId="28002" applyFont="1" applyFill="1" applyBorder="1" applyAlignment="1">
      <alignment horizontal="center" vertical="center"/>
    </xf>
    <xf numFmtId="49" fontId="33" fillId="0" borderId="0" xfId="21" applyNumberFormat="1" applyFont="1" applyFill="1" applyBorder="1" applyAlignment="1">
      <alignment horizontal="justify" vertical="center" wrapText="1"/>
    </xf>
    <xf numFmtId="0" fontId="7" fillId="0" borderId="0" xfId="28002" applyFont="1" applyFill="1" applyBorder="1" applyAlignment="1">
      <alignment horizontal="left" vertical="center"/>
    </xf>
    <xf numFmtId="0" fontId="33" fillId="0" borderId="0" xfId="21" applyFont="1" applyFill="1" applyBorder="1" applyAlignment="1">
      <alignment horizontal="left" wrapText="1"/>
    </xf>
    <xf numFmtId="10" fontId="33" fillId="0" borderId="0" xfId="28002" applyNumberFormat="1" applyFont="1" applyFill="1" applyBorder="1" applyAlignment="1">
      <alignment horizontal="left" vertical="center" wrapText="1"/>
    </xf>
    <xf numFmtId="0" fontId="7" fillId="0" borderId="0" xfId="28002" applyFont="1" applyFill="1" applyBorder="1" applyAlignment="1">
      <alignment horizontal="justify"/>
    </xf>
    <xf numFmtId="0" fontId="7" fillId="0" borderId="0" xfId="21" applyFont="1" applyFill="1" applyAlignment="1">
      <alignment horizontal="left"/>
    </xf>
    <xf numFmtId="0" fontId="33" fillId="0" borderId="0" xfId="28002" applyFont="1" applyFill="1" applyBorder="1" applyAlignment="1">
      <alignment horizontal="left" vertical="center" wrapText="1"/>
    </xf>
    <xf numFmtId="0" fontId="7" fillId="0" borderId="0" xfId="21" applyFont="1" applyFill="1" applyAlignment="1">
      <alignment horizontal="justify" vertical="center" wrapText="1"/>
    </xf>
    <xf numFmtId="0" fontId="33" fillId="0" borderId="0" xfId="7184" applyFont="1" applyFill="1" applyBorder="1" applyAlignment="1">
      <alignment horizontal="left" wrapText="1"/>
    </xf>
    <xf numFmtId="0" fontId="33" fillId="0" borderId="22" xfId="7184" applyFont="1" applyFill="1" applyBorder="1" applyAlignment="1">
      <alignment horizontal="center" vertical="center"/>
    </xf>
    <xf numFmtId="0" fontId="33" fillId="0" borderId="22" xfId="7184" applyFont="1" applyFill="1" applyBorder="1" applyAlignment="1">
      <alignment horizontal="center"/>
    </xf>
    <xf numFmtId="0" fontId="33" fillId="0" borderId="22" xfId="7184" applyFont="1" applyFill="1" applyBorder="1" applyAlignment="1">
      <alignment horizontal="center" vertical="center" wrapText="1"/>
    </xf>
    <xf numFmtId="0" fontId="7" fillId="0" borderId="0" xfId="7184" applyFont="1" applyFill="1" applyBorder="1" applyAlignment="1">
      <alignment horizontal="left"/>
    </xf>
    <xf numFmtId="0" fontId="10" fillId="0" borderId="22" xfId="21" applyFont="1" applyFill="1" applyBorder="1" applyAlignment="1">
      <alignment horizontal="center"/>
    </xf>
    <xf numFmtId="0" fontId="33" fillId="0" borderId="22" xfId="4093" applyFont="1" applyFill="1" applyBorder="1" applyAlignment="1">
      <alignment horizontal="center" vertical="center"/>
    </xf>
    <xf numFmtId="0" fontId="10" fillId="0" borderId="22" xfId="21" applyFont="1" applyBorder="1" applyAlignment="1">
      <alignment horizontal="center"/>
    </xf>
    <xf numFmtId="0" fontId="33" fillId="0" borderId="0" xfId="28002" applyFont="1" applyFill="1" applyBorder="1" applyAlignment="1">
      <alignment horizontal="left"/>
    </xf>
    <xf numFmtId="0" fontId="33" fillId="0" borderId="22" xfId="30865" applyFont="1" applyFill="1" applyBorder="1" applyAlignment="1">
      <alignment horizontal="center" vertical="center"/>
    </xf>
    <xf numFmtId="174" fontId="33" fillId="0" borderId="22" xfId="4079" applyNumberFormat="1" applyFont="1" applyFill="1" applyBorder="1" applyAlignment="1">
      <alignment horizontal="center" vertical="center"/>
    </xf>
    <xf numFmtId="0" fontId="7" fillId="0" borderId="0" xfId="6" applyFont="1" applyFill="1" applyBorder="1" applyAlignment="1">
      <alignment horizontal="left" wrapText="1"/>
    </xf>
    <xf numFmtId="0" fontId="33" fillId="0" borderId="0" xfId="6" applyFont="1" applyFill="1" applyBorder="1" applyAlignment="1">
      <alignment horizontal="left" wrapText="1"/>
    </xf>
    <xf numFmtId="0" fontId="7" fillId="0" borderId="0" xfId="6" applyFont="1" applyFill="1" applyAlignment="1">
      <alignment horizontal="left"/>
    </xf>
    <xf numFmtId="0" fontId="32" fillId="0" borderId="22" xfId="25418" applyFont="1" applyBorder="1"/>
    <xf numFmtId="174" fontId="33" fillId="0" borderId="22" xfId="4079" applyNumberFormat="1" applyFont="1" applyFill="1" applyBorder="1" applyAlignment="1">
      <alignment horizontal="center"/>
    </xf>
    <xf numFmtId="0" fontId="33" fillId="0" borderId="22" xfId="4079" applyNumberFormat="1" applyFont="1" applyFill="1" applyBorder="1" applyAlignment="1">
      <alignment horizontal="center"/>
    </xf>
    <xf numFmtId="0" fontId="7" fillId="0" borderId="0" xfId="28002" applyFont="1" applyBorder="1" applyAlignment="1">
      <alignment horizontal="left"/>
    </xf>
    <xf numFmtId="0" fontId="33" fillId="0" borderId="0" xfId="28002" applyFont="1" applyBorder="1" applyAlignment="1">
      <alignment horizontal="left" wrapText="1"/>
    </xf>
    <xf numFmtId="0" fontId="33" fillId="0" borderId="22" xfId="28002" applyFont="1" applyBorder="1" applyAlignment="1">
      <alignment horizontal="center" vertical="center"/>
    </xf>
    <xf numFmtId="0" fontId="33" fillId="0" borderId="22" xfId="6" applyFont="1" applyBorder="1" applyAlignment="1">
      <alignment horizontal="center" vertical="center"/>
    </xf>
    <xf numFmtId="0" fontId="33" fillId="0" borderId="22" xfId="28002" applyFont="1" applyBorder="1" applyAlignment="1">
      <alignment horizontal="center"/>
    </xf>
    <xf numFmtId="0" fontId="7" fillId="0" borderId="0" xfId="28002" applyFont="1" applyFill="1" applyBorder="1" applyAlignment="1">
      <alignment horizontal="left" vertical="center" wrapText="1"/>
    </xf>
    <xf numFmtId="0" fontId="51" fillId="0" borderId="22" xfId="6" applyFont="1" applyFill="1" applyBorder="1" applyAlignment="1">
      <alignment horizontal="center" vertical="center" wrapText="1"/>
    </xf>
    <xf numFmtId="0" fontId="33" fillId="0" borderId="0" xfId="6" applyFont="1" applyFill="1" applyBorder="1" applyAlignment="1">
      <alignment horizontal="justify" wrapText="1"/>
    </xf>
    <xf numFmtId="0" fontId="33" fillId="0" borderId="0" xfId="25418" applyFont="1" applyFill="1" applyAlignment="1">
      <alignment horizontal="left" wrapText="1"/>
    </xf>
    <xf numFmtId="0" fontId="33" fillId="0" borderId="0" xfId="28002" applyFont="1" applyFill="1" applyBorder="1" applyAlignment="1">
      <alignment horizontal="justify" vertical="center" wrapText="1"/>
    </xf>
    <xf numFmtId="0" fontId="33" fillId="0" borderId="0" xfId="28002" applyFont="1" applyFill="1" applyBorder="1" applyAlignment="1">
      <alignment horizontal="left" wrapText="1"/>
    </xf>
    <xf numFmtId="0" fontId="7" fillId="0" borderId="0" xfId="6" applyFont="1" applyFill="1" applyAlignment="1">
      <alignment horizontal="justify" vertical="center" wrapText="1"/>
    </xf>
    <xf numFmtId="0" fontId="7" fillId="0" borderId="0" xfId="4093" applyFont="1" applyFill="1" applyBorder="1" applyAlignment="1">
      <alignment horizontal="justify" vertical="top" wrapText="1"/>
    </xf>
    <xf numFmtId="0" fontId="32" fillId="0" borderId="0" xfId="4093" applyFont="1" applyFill="1" applyAlignment="1">
      <alignment horizontal="justify" wrapText="1"/>
    </xf>
    <xf numFmtId="0" fontId="10" fillId="0" borderId="0" xfId="4093" applyFont="1" applyFill="1" applyAlignment="1">
      <alignment horizontal="left" vertical="center" wrapText="1"/>
    </xf>
    <xf numFmtId="0" fontId="33" fillId="0" borderId="22" xfId="4093" applyFont="1" applyFill="1" applyBorder="1" applyAlignment="1">
      <alignment horizontal="center" vertical="center" wrapText="1"/>
    </xf>
    <xf numFmtId="0" fontId="7" fillId="0" borderId="0" xfId="4093" applyFont="1" applyFill="1" applyAlignment="1">
      <alignment horizontal="justify" wrapText="1"/>
    </xf>
    <xf numFmtId="0" fontId="10" fillId="0" borderId="22" xfId="4093" applyFont="1" applyBorder="1" applyAlignment="1">
      <alignment horizontal="center" vertical="center"/>
    </xf>
    <xf numFmtId="0" fontId="33" fillId="0" borderId="22" xfId="4093" applyFont="1" applyFill="1" applyBorder="1" applyAlignment="1">
      <alignment horizontal="center"/>
    </xf>
    <xf numFmtId="0" fontId="10" fillId="0" borderId="0" xfId="4093" applyFont="1" applyFill="1" applyAlignment="1">
      <alignment horizontal="justify" vertical="center" wrapText="1"/>
    </xf>
    <xf numFmtId="0" fontId="10" fillId="0" borderId="22" xfId="4093" applyFont="1" applyFill="1" applyBorder="1" applyAlignment="1">
      <alignment horizontal="center" vertical="center"/>
    </xf>
    <xf numFmtId="0" fontId="33" fillId="0" borderId="22" xfId="4093" applyFont="1" applyBorder="1" applyAlignment="1">
      <alignment horizontal="center" vertical="center" wrapText="1"/>
    </xf>
    <xf numFmtId="0" fontId="33" fillId="0" borderId="22" xfId="4093" applyFont="1" applyBorder="1" applyAlignment="1">
      <alignment horizontal="center"/>
    </xf>
    <xf numFmtId="0" fontId="7" fillId="0" borderId="0" xfId="4093" applyFont="1" applyFill="1" applyAlignment="1">
      <alignment horizontal="justify" vertical="top" wrapText="1"/>
    </xf>
    <xf numFmtId="0" fontId="33" fillId="0" borderId="0" xfId="28002" applyFont="1" applyBorder="1" applyAlignment="1">
      <alignment horizontal="justify" wrapText="1"/>
    </xf>
    <xf numFmtId="0" fontId="7" fillId="0" borderId="0" xfId="28002" applyFont="1" applyBorder="1" applyAlignment="1">
      <alignment horizontal="justify" wrapText="1"/>
    </xf>
    <xf numFmtId="0" fontId="7" fillId="0" borderId="0" xfId="28002" applyFont="1" applyBorder="1" applyAlignment="1">
      <alignment horizontal="justify" vertical="center" wrapText="1"/>
    </xf>
    <xf numFmtId="49" fontId="7" fillId="0" borderId="0" xfId="5" applyNumberFormat="1" applyFont="1" applyFill="1" applyAlignment="1">
      <alignment horizontal="left" vertical="center" wrapText="1"/>
    </xf>
    <xf numFmtId="0" fontId="7" fillId="0" borderId="0" xfId="28002" applyFont="1" applyFill="1" applyBorder="1" applyAlignment="1">
      <alignment horizontal="justify" wrapText="1"/>
    </xf>
    <xf numFmtId="0" fontId="7" fillId="0" borderId="0" xfId="28002" applyFont="1" applyFill="1" applyBorder="1" applyAlignment="1">
      <alignment horizontal="left" wrapText="1"/>
    </xf>
    <xf numFmtId="0" fontId="7" fillId="0" borderId="0" xfId="4093" applyFont="1" applyFill="1" applyBorder="1" applyAlignment="1">
      <alignment horizontal="left"/>
    </xf>
    <xf numFmtId="49" fontId="7" fillId="0" borderId="0" xfId="4093" applyNumberFormat="1" applyFont="1" applyFill="1" applyAlignment="1">
      <alignment horizontal="left" vertical="center" wrapText="1"/>
    </xf>
    <xf numFmtId="0" fontId="33" fillId="0" borderId="0" xfId="28002" applyFont="1" applyBorder="1" applyAlignment="1">
      <alignment horizontal="left" vertical="center" wrapText="1"/>
    </xf>
    <xf numFmtId="0" fontId="33" fillId="0" borderId="0" xfId="5" applyFont="1" applyFill="1" applyAlignment="1">
      <alignment horizontal="justify" wrapText="1"/>
    </xf>
    <xf numFmtId="0" fontId="33" fillId="0" borderId="23" xfId="5" applyFont="1" applyFill="1" applyBorder="1" applyAlignment="1">
      <alignment horizontal="center" vertical="center" wrapText="1"/>
    </xf>
    <xf numFmtId="0" fontId="33" fillId="0" borderId="6" xfId="5" applyFont="1" applyFill="1" applyBorder="1" applyAlignment="1">
      <alignment horizontal="center" vertical="center" wrapText="1"/>
    </xf>
    <xf numFmtId="0" fontId="33" fillId="0" borderId="24" xfId="28002" applyFont="1" applyBorder="1" applyAlignment="1">
      <alignment horizontal="center" vertical="center"/>
    </xf>
    <xf numFmtId="0" fontId="33" fillId="0" borderId="25" xfId="28002" applyFont="1" applyBorder="1" applyAlignment="1">
      <alignment horizontal="center" vertical="center"/>
    </xf>
    <xf numFmtId="0" fontId="33" fillId="0" borderId="26" xfId="28002" applyFont="1" applyBorder="1" applyAlignment="1">
      <alignment horizontal="center" vertical="center"/>
    </xf>
    <xf numFmtId="0" fontId="7" fillId="0" borderId="0" xfId="4093" applyFont="1" applyBorder="1" applyAlignment="1">
      <alignment horizontal="left"/>
    </xf>
    <xf numFmtId="0" fontId="33" fillId="0" borderId="22" xfId="5" applyFont="1" applyFill="1" applyBorder="1" applyAlignment="1">
      <alignment horizontal="center" vertical="center" wrapText="1"/>
    </xf>
    <xf numFmtId="0" fontId="33" fillId="0" borderId="22" xfId="5" applyFont="1" applyFill="1" applyBorder="1" applyAlignment="1">
      <alignment horizontal="center" wrapText="1"/>
    </xf>
    <xf numFmtId="0" fontId="7" fillId="0" borderId="0" xfId="28002" applyFont="1" applyFill="1" applyBorder="1" applyAlignment="1">
      <alignment horizontal="justify" vertical="center" wrapText="1"/>
    </xf>
    <xf numFmtId="2" fontId="33" fillId="0" borderId="0" xfId="5" applyNumberFormat="1" applyFont="1" applyFill="1" applyAlignment="1">
      <alignment horizontal="justify" wrapText="1"/>
    </xf>
    <xf numFmtId="0" fontId="33" fillId="0" borderId="23" xfId="28002" applyFont="1" applyBorder="1" applyAlignment="1">
      <alignment horizontal="center" vertical="center"/>
    </xf>
    <xf numFmtId="0" fontId="33" fillId="0" borderId="6" xfId="28002" applyFont="1" applyBorder="1" applyAlignment="1">
      <alignment horizontal="center" vertical="center"/>
    </xf>
    <xf numFmtId="0" fontId="33" fillId="0" borderId="24" xfId="28002" applyFont="1" applyFill="1" applyBorder="1" applyAlignment="1">
      <alignment horizontal="center"/>
    </xf>
    <xf numFmtId="0" fontId="33" fillId="0" borderId="25" xfId="28002" applyFont="1" applyFill="1" applyBorder="1" applyAlignment="1">
      <alignment horizontal="center"/>
    </xf>
    <xf numFmtId="0" fontId="33" fillId="0" borderId="26" xfId="28002" applyFont="1" applyFill="1" applyBorder="1" applyAlignment="1">
      <alignment horizontal="center"/>
    </xf>
    <xf numFmtId="49" fontId="33" fillId="0" borderId="0" xfId="28002" applyNumberFormat="1" applyFont="1" applyBorder="1" applyAlignment="1">
      <alignment horizontal="justify" vertical="center" wrapText="1"/>
    </xf>
    <xf numFmtId="49" fontId="7" fillId="0" borderId="0" xfId="0" applyNumberFormat="1" applyFont="1" applyFill="1" applyAlignment="1">
      <alignment horizontal="left" vertical="center" wrapText="1"/>
    </xf>
    <xf numFmtId="0" fontId="10" fillId="0" borderId="0" xfId="0" applyFont="1" applyFill="1" applyAlignment="1">
      <alignment horizontal="left" vertical="center" wrapText="1"/>
    </xf>
    <xf numFmtId="0" fontId="33" fillId="0" borderId="23" xfId="0" applyFont="1" applyFill="1" applyBorder="1" applyAlignment="1">
      <alignment horizontal="center" vertical="center" wrapText="1"/>
    </xf>
    <xf numFmtId="0" fontId="33" fillId="0" borderId="6" xfId="0" applyFont="1" applyFill="1" applyBorder="1" applyAlignment="1">
      <alignment horizontal="center" vertical="center" wrapText="1"/>
    </xf>
    <xf numFmtId="0" fontId="10" fillId="0" borderId="24" xfId="0" applyFont="1" applyFill="1" applyBorder="1" applyAlignment="1">
      <alignment horizontal="center"/>
    </xf>
    <xf numFmtId="0" fontId="10" fillId="0" borderId="26" xfId="0" applyFont="1" applyFill="1" applyBorder="1" applyAlignment="1">
      <alignment horizontal="center"/>
    </xf>
    <xf numFmtId="0" fontId="51" fillId="0" borderId="22" xfId="30872" applyFont="1" applyFill="1" applyBorder="1" applyAlignment="1">
      <alignment horizontal="center" vertical="center"/>
    </xf>
    <xf numFmtId="0" fontId="33" fillId="0" borderId="0" xfId="0" applyNumberFormat="1" applyFont="1" applyFill="1" applyBorder="1" applyAlignment="1">
      <alignment horizontal="left" wrapText="1"/>
    </xf>
    <xf numFmtId="0" fontId="33" fillId="0" borderId="22" xfId="30873" applyFont="1" applyFill="1" applyBorder="1" applyAlignment="1">
      <alignment horizontal="center" vertical="center" wrapText="1"/>
    </xf>
    <xf numFmtId="0" fontId="33" fillId="0" borderId="22" xfId="30873" applyFont="1" applyFill="1" applyBorder="1" applyAlignment="1">
      <alignment horizontal="center" vertical="center"/>
    </xf>
    <xf numFmtId="0" fontId="33" fillId="0" borderId="0" xfId="5" applyFont="1" applyAlignment="1">
      <alignment horizontal="left" vertical="center" wrapText="1"/>
    </xf>
    <xf numFmtId="0" fontId="33" fillId="0" borderId="23" xfId="28002" applyFont="1" applyBorder="1" applyAlignment="1">
      <alignment horizontal="center" vertical="center" wrapText="1"/>
    </xf>
    <xf numFmtId="0" fontId="33" fillId="0" borderId="6" xfId="28002" applyFont="1" applyBorder="1" applyAlignment="1">
      <alignment horizontal="center" vertical="center" wrapText="1"/>
    </xf>
    <xf numFmtId="0" fontId="33" fillId="0" borderId="22" xfId="28002" applyFont="1" applyBorder="1" applyAlignment="1">
      <alignment horizontal="center" vertical="center" wrapText="1"/>
    </xf>
    <xf numFmtId="0" fontId="33" fillId="0" borderId="22" xfId="5" applyFont="1" applyBorder="1" applyAlignment="1">
      <alignment horizontal="center" vertical="center"/>
    </xf>
    <xf numFmtId="0" fontId="7" fillId="0" borderId="0" xfId="5" applyFont="1" applyFill="1" applyBorder="1" applyAlignment="1">
      <alignment horizontal="justify" wrapText="1"/>
    </xf>
    <xf numFmtId="0" fontId="33" fillId="0" borderId="0" xfId="5" applyFont="1" applyFill="1" applyBorder="1" applyAlignment="1">
      <alignment horizontal="center" vertical="center"/>
    </xf>
    <xf numFmtId="0" fontId="7" fillId="0" borderId="0" xfId="28002" applyFont="1" applyBorder="1" applyAlignment="1">
      <alignment horizontal="center" wrapText="1"/>
    </xf>
    <xf numFmtId="0" fontId="7" fillId="0" borderId="0" xfId="28002" applyFont="1" applyFill="1" applyBorder="1" applyAlignment="1">
      <alignment horizontal="center" wrapText="1"/>
    </xf>
    <xf numFmtId="0" fontId="7" fillId="0" borderId="0" xfId="5" applyFont="1" applyFill="1" applyAlignment="1">
      <alignment horizontal="justify" vertical="center" wrapText="1"/>
    </xf>
    <xf numFmtId="0" fontId="7" fillId="0" borderId="0" xfId="4093" applyFont="1" applyFill="1" applyAlignment="1">
      <alignment wrapText="1"/>
    </xf>
    <xf numFmtId="0" fontId="10" fillId="0" borderId="0" xfId="4093" applyFont="1" applyAlignment="1">
      <alignment horizontal="left" vertical="center" wrapText="1"/>
    </xf>
    <xf numFmtId="0" fontId="33" fillId="0" borderId="23" xfId="4093" applyFont="1" applyFill="1" applyBorder="1" applyAlignment="1">
      <alignment horizontal="center" vertical="center" wrapText="1"/>
    </xf>
    <xf numFmtId="0" fontId="33" fillId="0" borderId="9" xfId="4093" applyFont="1" applyFill="1" applyBorder="1" applyAlignment="1">
      <alignment horizontal="center" vertical="center" wrapText="1"/>
    </xf>
    <xf numFmtId="0" fontId="33" fillId="0" borderId="6" xfId="4093" applyFont="1" applyFill="1" applyBorder="1" applyAlignment="1">
      <alignment horizontal="center" vertical="center" wrapText="1"/>
    </xf>
    <xf numFmtId="0" fontId="33" fillId="0" borderId="24" xfId="4093" applyFont="1" applyFill="1" applyBorder="1" applyAlignment="1">
      <alignment horizontal="center"/>
    </xf>
    <xf numFmtId="0" fontId="33" fillId="0" borderId="25" xfId="4093" applyFont="1" applyFill="1" applyBorder="1" applyAlignment="1">
      <alignment horizontal="center"/>
    </xf>
    <xf numFmtId="0" fontId="33" fillId="0" borderId="26" xfId="4093" applyFont="1" applyFill="1" applyBorder="1" applyAlignment="1">
      <alignment horizontal="center"/>
    </xf>
    <xf numFmtId="0" fontId="7" fillId="0" borderId="0" xfId="4093" applyFont="1" applyFill="1" applyBorder="1" applyAlignment="1">
      <alignment horizontal="left" vertical="top" wrapText="1"/>
    </xf>
    <xf numFmtId="0" fontId="10" fillId="0" borderId="22" xfId="4093" applyFont="1" applyBorder="1" applyAlignment="1">
      <alignment horizontal="center" vertical="center" wrapText="1"/>
    </xf>
    <xf numFmtId="0" fontId="10" fillId="0" borderId="24" xfId="4093" applyFont="1" applyBorder="1" applyAlignment="1">
      <alignment horizontal="center" vertical="center"/>
    </xf>
    <xf numFmtId="0" fontId="10" fillId="0" borderId="25" xfId="4093" applyFont="1" applyBorder="1" applyAlignment="1">
      <alignment horizontal="center" vertical="center"/>
    </xf>
    <xf numFmtId="0" fontId="10" fillId="0" borderId="26" xfId="4093" applyFont="1" applyBorder="1" applyAlignment="1">
      <alignment horizontal="center" vertical="center"/>
    </xf>
    <xf numFmtId="0" fontId="7" fillId="0" borderId="0" xfId="5" applyFont="1" applyAlignment="1">
      <alignment horizontal="justify" vertical="center" wrapText="1"/>
    </xf>
    <xf numFmtId="0" fontId="10" fillId="0" borderId="0" xfId="4093" applyFont="1" applyAlignment="1">
      <alignment horizontal="justify" vertical="center" wrapText="1"/>
    </xf>
    <xf numFmtId="0" fontId="33" fillId="0" borderId="23" xfId="4093" applyFont="1" applyBorder="1" applyAlignment="1">
      <alignment horizontal="center" vertical="center" wrapText="1"/>
    </xf>
    <xf numFmtId="0" fontId="33" fillId="0" borderId="9" xfId="4093" applyFont="1" applyBorder="1" applyAlignment="1">
      <alignment horizontal="center" vertical="center" wrapText="1"/>
    </xf>
    <xf numFmtId="0" fontId="33" fillId="0" borderId="6" xfId="4093" applyFont="1" applyBorder="1" applyAlignment="1">
      <alignment horizontal="center" vertical="center" wrapText="1"/>
    </xf>
    <xf numFmtId="0" fontId="33" fillId="0" borderId="24" xfId="4093" applyFont="1" applyBorder="1" applyAlignment="1">
      <alignment horizontal="center"/>
    </xf>
    <xf numFmtId="0" fontId="33" fillId="0" borderId="25" xfId="4093" applyFont="1" applyBorder="1" applyAlignment="1">
      <alignment horizontal="center"/>
    </xf>
    <xf numFmtId="0" fontId="33" fillId="0" borderId="26" xfId="4093" applyFont="1" applyBorder="1" applyAlignment="1">
      <alignment horizontal="center"/>
    </xf>
    <xf numFmtId="0" fontId="7" fillId="0" borderId="0" xfId="4093" applyFont="1" applyFill="1" applyAlignment="1">
      <alignment horizontal="left" vertical="top" wrapText="1"/>
    </xf>
    <xf numFmtId="0" fontId="33" fillId="0" borderId="8" xfId="5" applyFont="1" applyFill="1" applyBorder="1" applyAlignment="1">
      <alignment horizontal="center" vertical="center"/>
    </xf>
    <xf numFmtId="0" fontId="10" fillId="0" borderId="23" xfId="0" applyFont="1" applyBorder="1" applyAlignment="1">
      <alignment horizontal="center" vertical="center" wrapText="1"/>
    </xf>
    <xf numFmtId="0" fontId="10" fillId="0" borderId="22" xfId="0" applyFont="1" applyBorder="1" applyAlignment="1">
      <alignment horizontal="center"/>
    </xf>
    <xf numFmtId="0" fontId="11" fillId="0" borderId="0" xfId="0" applyFont="1" applyAlignment="1">
      <alignment horizontal="left"/>
    </xf>
    <xf numFmtId="0" fontId="33" fillId="0" borderId="0" xfId="0" applyFont="1" applyFill="1" applyAlignment="1">
      <alignment horizontal="justify" wrapText="1"/>
    </xf>
    <xf numFmtId="0" fontId="10" fillId="0" borderId="22" xfId="0" applyFont="1" applyBorder="1" applyAlignment="1">
      <alignment horizontal="center" vertical="center"/>
    </xf>
    <xf numFmtId="0" fontId="10" fillId="0" borderId="0" xfId="0" applyFont="1" applyBorder="1" applyAlignment="1">
      <alignment horizontal="justify" vertical="top" wrapText="1"/>
    </xf>
    <xf numFmtId="0" fontId="11" fillId="0" borderId="0" xfId="0" applyFont="1" applyBorder="1" applyAlignment="1">
      <alignment horizontal="center" vertical="center"/>
    </xf>
    <xf numFmtId="0" fontId="11" fillId="0" borderId="0" xfId="0" applyFont="1" applyBorder="1" applyAlignment="1">
      <alignment horizontal="justify" vertical="top" wrapText="1"/>
    </xf>
    <xf numFmtId="0" fontId="10" fillId="0" borderId="0" xfId="0" applyFont="1" applyBorder="1" applyAlignment="1">
      <alignment horizontal="left" vertical="top" wrapText="1"/>
    </xf>
    <xf numFmtId="0" fontId="11" fillId="0" borderId="0" xfId="0" applyFont="1" applyBorder="1" applyAlignment="1">
      <alignment horizontal="center"/>
    </xf>
    <xf numFmtId="0" fontId="11" fillId="0" borderId="0" xfId="0" applyFont="1" applyBorder="1" applyAlignment="1">
      <alignment horizontal="justify" vertical="top"/>
    </xf>
    <xf numFmtId="0" fontId="11" fillId="0" borderId="0" xfId="0" applyFont="1" applyAlignment="1">
      <alignment horizontal="justify" vertical="top" wrapText="1"/>
    </xf>
    <xf numFmtId="0" fontId="11" fillId="0" borderId="0" xfId="0" applyFont="1" applyAlignment="1">
      <alignment horizontal="justify"/>
    </xf>
    <xf numFmtId="0" fontId="10" fillId="0" borderId="0" xfId="0" applyFont="1" applyAlignment="1">
      <alignment horizontal="justify" vertical="top" wrapText="1"/>
    </xf>
    <xf numFmtId="0" fontId="10" fillId="0" borderId="22" xfId="0" applyFont="1" applyBorder="1" applyAlignment="1">
      <alignment horizontal="center" vertical="center" wrapText="1"/>
    </xf>
    <xf numFmtId="0" fontId="8" fillId="0" borderId="0" xfId="0" applyFont="1" applyAlignment="1">
      <alignment horizontal="center"/>
    </xf>
    <xf numFmtId="0" fontId="11" fillId="0" borderId="0" xfId="0" applyFont="1" applyAlignment="1">
      <alignment horizontal="justify" vertical="top"/>
    </xf>
    <xf numFmtId="0" fontId="7" fillId="0" borderId="0" xfId="0" applyFont="1" applyFill="1" applyBorder="1" applyAlignment="1">
      <alignment horizontal="justify" vertical="top" wrapText="1"/>
    </xf>
    <xf numFmtId="0" fontId="33" fillId="0" borderId="0" xfId="0" applyFont="1" applyFill="1" applyBorder="1" applyAlignment="1">
      <alignment horizontal="justify" vertical="top" wrapText="1"/>
    </xf>
    <xf numFmtId="0" fontId="33" fillId="0" borderId="22" xfId="0" applyFont="1" applyFill="1" applyBorder="1" applyAlignment="1">
      <alignment horizontal="center" vertical="center"/>
    </xf>
    <xf numFmtId="0" fontId="33" fillId="0" borderId="22" xfId="0" applyFont="1" applyFill="1" applyBorder="1" applyAlignment="1">
      <alignment horizontal="center" vertical="top" wrapText="1"/>
    </xf>
    <xf numFmtId="0" fontId="38" fillId="0" borderId="0" xfId="0" applyFont="1" applyFill="1" applyBorder="1" applyAlignment="1">
      <alignment horizontal="center"/>
    </xf>
    <xf numFmtId="0" fontId="7" fillId="0" borderId="0" xfId="0" applyFont="1" applyFill="1" applyBorder="1" applyAlignment="1">
      <alignment horizontal="justify" vertical="top"/>
    </xf>
    <xf numFmtId="0" fontId="33" fillId="0" borderId="22" xfId="0" applyFont="1" applyFill="1" applyBorder="1" applyAlignment="1">
      <alignment horizontal="center"/>
    </xf>
    <xf numFmtId="0" fontId="11" fillId="0" borderId="0" xfId="0" applyFont="1" applyBorder="1" applyAlignment="1">
      <alignment horizontal="center" wrapText="1"/>
    </xf>
    <xf numFmtId="0" fontId="7" fillId="0" borderId="0" xfId="30874" applyFont="1" applyFill="1" applyAlignment="1">
      <alignment horizontal="left"/>
    </xf>
    <xf numFmtId="0" fontId="33" fillId="0" borderId="0" xfId="30874" applyFont="1" applyAlignment="1">
      <alignment horizontal="left" wrapText="1"/>
    </xf>
    <xf numFmtId="3" fontId="7" fillId="0" borderId="0" xfId="30873" applyNumberFormat="1" applyFont="1" applyFill="1" applyAlignment="1">
      <alignment horizontal="left" wrapText="1"/>
    </xf>
    <xf numFmtId="0" fontId="7" fillId="0" borderId="0" xfId="30873" applyFont="1" applyFill="1" applyAlignment="1">
      <alignment horizontal="left"/>
    </xf>
    <xf numFmtId="0" fontId="33" fillId="0" borderId="23" xfId="28002" applyFont="1" applyFill="1" applyBorder="1" applyAlignment="1">
      <alignment horizontal="center" vertical="center" wrapText="1"/>
    </xf>
    <xf numFmtId="0" fontId="33" fillId="0" borderId="6" xfId="28002" applyFont="1" applyFill="1" applyBorder="1" applyAlignment="1">
      <alignment horizontal="center" vertical="center" wrapText="1"/>
    </xf>
    <xf numFmtId="0" fontId="33" fillId="0" borderId="24" xfId="28002" applyFont="1" applyFill="1" applyBorder="1" applyAlignment="1">
      <alignment horizontal="center" vertical="center"/>
    </xf>
    <xf numFmtId="0" fontId="33" fillId="0" borderId="26" xfId="28002" applyFont="1" applyFill="1" applyBorder="1" applyAlignment="1">
      <alignment horizontal="center" vertical="center"/>
    </xf>
    <xf numFmtId="0" fontId="7" fillId="0" borderId="0" xfId="30875" applyFont="1" applyFill="1" applyAlignment="1">
      <alignment horizontal="left"/>
    </xf>
    <xf numFmtId="0" fontId="7" fillId="0" borderId="0" xfId="30876" applyFont="1" applyFill="1" applyAlignment="1">
      <alignment horizontal="left"/>
    </xf>
    <xf numFmtId="1" fontId="33" fillId="0" borderId="0" xfId="28002" applyNumberFormat="1" applyFont="1" applyFill="1" applyBorder="1" applyAlignment="1">
      <alignment horizontal="left" wrapText="1"/>
    </xf>
    <xf numFmtId="0" fontId="33" fillId="0" borderId="25" xfId="28002" applyFont="1" applyFill="1" applyBorder="1" applyAlignment="1">
      <alignment horizontal="center" vertical="center"/>
    </xf>
    <xf numFmtId="0" fontId="33" fillId="0" borderId="22" xfId="30876" applyFont="1" applyFill="1" applyBorder="1" applyAlignment="1">
      <alignment horizontal="center" vertical="center"/>
    </xf>
    <xf numFmtId="0" fontId="33" fillId="0" borderId="24" xfId="28002" applyFont="1" applyFill="1" applyBorder="1" applyAlignment="1">
      <alignment horizontal="center" vertical="center" wrapText="1"/>
    </xf>
    <xf numFmtId="0" fontId="33" fillId="0" borderId="26" xfId="28002" applyFont="1" applyFill="1" applyBorder="1" applyAlignment="1">
      <alignment horizontal="center" vertical="center" wrapText="1"/>
    </xf>
    <xf numFmtId="0" fontId="7" fillId="0" borderId="0" xfId="4093" applyFont="1" applyBorder="1" applyAlignment="1">
      <alignment horizontal="left" wrapText="1"/>
    </xf>
    <xf numFmtId="0" fontId="33" fillId="0" borderId="7" xfId="6" applyFont="1" applyBorder="1" applyAlignment="1">
      <alignment horizontal="center"/>
    </xf>
    <xf numFmtId="0" fontId="33" fillId="0" borderId="8" xfId="6" applyFont="1" applyBorder="1" applyAlignment="1">
      <alignment horizontal="center"/>
    </xf>
    <xf numFmtId="0" fontId="7" fillId="0" borderId="0" xfId="5" applyFont="1" applyFill="1" applyBorder="1" applyAlignment="1">
      <alignment horizontal="justify" vertical="top" wrapText="1" readingOrder="1"/>
    </xf>
    <xf numFmtId="0" fontId="7" fillId="0" borderId="0" xfId="5" applyFont="1" applyBorder="1" applyAlignment="1">
      <alignment horizontal="left"/>
    </xf>
    <xf numFmtId="0" fontId="7" fillId="0" borderId="0" xfId="5" applyFont="1" applyFill="1" applyBorder="1" applyAlignment="1">
      <alignment horizontal="left"/>
    </xf>
    <xf numFmtId="0" fontId="33" fillId="0" borderId="22" xfId="5" applyFont="1" applyBorder="1" applyAlignment="1">
      <alignment horizontal="center" vertical="center" wrapText="1"/>
    </xf>
    <xf numFmtId="0" fontId="7" fillId="0" borderId="0" xfId="5" applyNumberFormat="1" applyFont="1" applyAlignment="1">
      <alignment horizontal="justify" wrapText="1"/>
    </xf>
    <xf numFmtId="0" fontId="7" fillId="0" borderId="0" xfId="5" applyFont="1" applyFill="1" applyBorder="1" applyAlignment="1">
      <alignment horizontal="left" wrapText="1"/>
    </xf>
    <xf numFmtId="0" fontId="33" fillId="0" borderId="0" xfId="5" applyFont="1" applyFill="1" applyAlignment="1">
      <alignment horizontal="left" wrapText="1"/>
    </xf>
    <xf numFmtId="0" fontId="33" fillId="0" borderId="22" xfId="5" applyFont="1" applyFill="1" applyBorder="1" applyAlignment="1">
      <alignment horizontal="center" vertical="center"/>
    </xf>
    <xf numFmtId="0" fontId="33" fillId="0" borderId="23" xfId="5" applyFont="1" applyBorder="1" applyAlignment="1">
      <alignment horizontal="center" vertical="center"/>
    </xf>
    <xf numFmtId="0" fontId="33" fillId="0" borderId="6" xfId="5" applyFont="1" applyBorder="1" applyAlignment="1">
      <alignment horizontal="center" vertical="center"/>
    </xf>
    <xf numFmtId="0" fontId="7" fillId="0" borderId="0" xfId="5" applyNumberFormat="1" applyFont="1" applyFill="1" applyBorder="1" applyAlignment="1">
      <alignment horizontal="left" wrapText="1"/>
    </xf>
    <xf numFmtId="0" fontId="33" fillId="0" borderId="0" xfId="12" applyFont="1" applyAlignment="1">
      <alignment horizontal="left" vertical="top" wrapText="1"/>
    </xf>
    <xf numFmtId="0" fontId="7" fillId="0" borderId="0" xfId="12" applyFont="1" applyBorder="1" applyAlignment="1">
      <alignment horizontal="justify" vertical="top" wrapText="1"/>
    </xf>
    <xf numFmtId="0" fontId="33" fillId="0" borderId="22" xfId="5" applyFont="1" applyFill="1" applyBorder="1" applyAlignment="1">
      <alignment horizontal="center"/>
    </xf>
    <xf numFmtId="0" fontId="7" fillId="0" borderId="0" xfId="12" applyFont="1" applyFill="1" applyAlignment="1">
      <alignment horizontal="left" wrapText="1"/>
    </xf>
    <xf numFmtId="0" fontId="7" fillId="0" borderId="0" xfId="5" applyNumberFormat="1" applyFont="1" applyFill="1" applyBorder="1" applyAlignment="1">
      <alignment horizontal="justify" wrapText="1"/>
    </xf>
    <xf numFmtId="0" fontId="33" fillId="0" borderId="22" xfId="12" applyFont="1" applyBorder="1" applyAlignment="1">
      <alignment horizontal="center" vertical="center" wrapText="1"/>
    </xf>
    <xf numFmtId="0" fontId="33" fillId="0" borderId="22" xfId="12" applyFont="1" applyFill="1" applyBorder="1" applyAlignment="1">
      <alignment horizontal="center" vertical="center"/>
    </xf>
    <xf numFmtId="0" fontId="33" fillId="0" borderId="0" xfId="12" applyFont="1" applyAlignment="1">
      <alignment horizontal="left" vertical="center" wrapText="1"/>
    </xf>
    <xf numFmtId="0" fontId="7" fillId="0" borderId="0" xfId="12" applyFont="1" applyFill="1" applyBorder="1" applyAlignment="1">
      <alignment horizontal="left" vertical="top" wrapText="1"/>
    </xf>
    <xf numFmtId="0" fontId="33" fillId="0" borderId="22" xfId="12" applyFont="1" applyBorder="1" applyAlignment="1">
      <alignment horizontal="center" vertical="center"/>
    </xf>
    <xf numFmtId="0" fontId="7" fillId="0" borderId="0" xfId="12" applyFont="1" applyFill="1" applyBorder="1" applyAlignment="1">
      <alignment horizontal="left"/>
    </xf>
    <xf numFmtId="0" fontId="33" fillId="0" borderId="0" xfId="12" applyFont="1" applyAlignment="1">
      <alignment horizontal="left" wrapText="1"/>
    </xf>
    <xf numFmtId="0" fontId="7" fillId="0" borderId="0" xfId="12" applyFont="1" applyAlignment="1">
      <alignment horizontal="justify" vertical="top" wrapText="1"/>
    </xf>
    <xf numFmtId="0" fontId="33" fillId="0" borderId="23" xfId="5" applyFont="1" applyFill="1" applyBorder="1" applyAlignment="1">
      <alignment horizontal="center" vertical="center"/>
    </xf>
    <xf numFmtId="0" fontId="33" fillId="0" borderId="6" xfId="5" applyFont="1" applyFill="1" applyBorder="1" applyAlignment="1">
      <alignment horizontal="center" vertical="center"/>
    </xf>
    <xf numFmtId="0" fontId="7" fillId="0" borderId="0" xfId="12" applyFont="1" applyFill="1" applyBorder="1" applyAlignment="1">
      <alignment horizontal="justify" vertical="center" wrapText="1"/>
    </xf>
    <xf numFmtId="0" fontId="7" fillId="0" borderId="0" xfId="12" applyFont="1" applyFill="1" applyBorder="1" applyAlignment="1">
      <alignment horizontal="justify" wrapText="1"/>
    </xf>
    <xf numFmtId="0" fontId="33" fillId="0" borderId="0" xfId="6" applyFont="1" applyBorder="1" applyAlignment="1">
      <alignment horizontal="justify" wrapText="1"/>
    </xf>
    <xf numFmtId="0" fontId="33" fillId="0" borderId="23" xfId="6" applyFont="1" applyBorder="1" applyAlignment="1">
      <alignment horizontal="center" vertical="center"/>
    </xf>
    <xf numFmtId="0" fontId="33" fillId="0" borderId="6" xfId="6" applyFont="1" applyBorder="1" applyAlignment="1">
      <alignment horizontal="center" vertical="center"/>
    </xf>
    <xf numFmtId="0" fontId="7" fillId="0" borderId="0" xfId="6" applyFont="1" applyFill="1" applyBorder="1" applyAlignment="1">
      <alignment horizontal="justify" vertical="top" wrapText="1"/>
    </xf>
    <xf numFmtId="0" fontId="7" fillId="0" borderId="0" xfId="0" applyFont="1" applyFill="1" applyBorder="1" applyAlignment="1">
      <alignment horizontal="left" vertical="top" wrapText="1"/>
    </xf>
    <xf numFmtId="0" fontId="33" fillId="0" borderId="0" xfId="0" applyFont="1" applyAlignment="1">
      <alignment horizontal="left" vertical="center" wrapText="1"/>
    </xf>
    <xf numFmtId="0" fontId="33" fillId="0" borderId="9" xfId="0" applyFont="1" applyFill="1" applyBorder="1" applyAlignment="1">
      <alignment horizontal="center" vertical="center" wrapText="1"/>
    </xf>
    <xf numFmtId="0" fontId="33" fillId="0" borderId="24" xfId="0" applyFont="1" applyFill="1" applyBorder="1" applyAlignment="1">
      <alignment horizontal="center"/>
    </xf>
    <xf numFmtId="0" fontId="33" fillId="0" borderId="25" xfId="0" applyFont="1" applyFill="1" applyBorder="1" applyAlignment="1">
      <alignment horizontal="center"/>
    </xf>
    <xf numFmtId="0" fontId="33" fillId="0" borderId="26" xfId="0" applyFont="1" applyFill="1" applyBorder="1" applyAlignment="1">
      <alignment horizontal="center"/>
    </xf>
    <xf numFmtId="0" fontId="33" fillId="0" borderId="22" xfId="0" applyFont="1" applyFill="1" applyBorder="1" applyAlignment="1">
      <alignment horizontal="center" vertical="center" wrapText="1"/>
    </xf>
    <xf numFmtId="0" fontId="33" fillId="0" borderId="24" xfId="0" applyFont="1" applyFill="1" applyBorder="1" applyAlignment="1">
      <alignment horizontal="center" vertical="center" wrapText="1"/>
    </xf>
    <xf numFmtId="0" fontId="33" fillId="0" borderId="26" xfId="0" applyFont="1" applyFill="1" applyBorder="1" applyAlignment="1">
      <alignment horizontal="center" vertical="center" wrapText="1"/>
    </xf>
    <xf numFmtId="0" fontId="33" fillId="0" borderId="24" xfId="0" applyFont="1" applyFill="1" applyBorder="1" applyAlignment="1">
      <alignment horizontal="center" vertical="center"/>
    </xf>
    <xf numFmtId="0" fontId="33" fillId="0" borderId="25" xfId="0" applyFont="1" applyFill="1" applyBorder="1" applyAlignment="1">
      <alignment horizontal="center" vertical="center"/>
    </xf>
    <xf numFmtId="0" fontId="33" fillId="0" borderId="26" xfId="0" applyFont="1" applyFill="1" applyBorder="1" applyAlignment="1">
      <alignment horizontal="center" vertical="center"/>
    </xf>
    <xf numFmtId="0" fontId="7" fillId="0" borderId="0" xfId="0" applyFont="1" applyFill="1" applyAlignment="1">
      <alignment horizontal="left" vertical="top" wrapText="1"/>
    </xf>
    <xf numFmtId="0" fontId="33" fillId="0" borderId="23"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22" xfId="0" applyFont="1" applyBorder="1" applyAlignment="1">
      <alignment horizontal="center"/>
    </xf>
    <xf numFmtId="3" fontId="7" fillId="0" borderId="0" xfId="0" applyNumberFormat="1" applyFont="1" applyFill="1" applyAlignment="1" applyProtection="1">
      <alignment horizontal="justify" vertical="center" wrapText="1"/>
      <protection locked="0"/>
    </xf>
    <xf numFmtId="0" fontId="33" fillId="0" borderId="0" xfId="0" applyFont="1" applyAlignment="1">
      <alignment horizontal="justify" vertical="center" wrapText="1"/>
    </xf>
    <xf numFmtId="0" fontId="33" fillId="0" borderId="22" xfId="0" applyFont="1" applyBorder="1" applyAlignment="1">
      <alignment horizontal="center" vertical="center" wrapText="1"/>
    </xf>
    <xf numFmtId="0" fontId="33" fillId="0" borderId="24" xfId="30874" applyFont="1" applyFill="1" applyBorder="1" applyAlignment="1">
      <alignment horizontal="center" vertical="center"/>
    </xf>
    <xf numFmtId="0" fontId="33" fillId="0" borderId="25" xfId="30874" applyFont="1" applyFill="1" applyBorder="1" applyAlignment="1">
      <alignment horizontal="center" vertical="center"/>
    </xf>
    <xf numFmtId="0" fontId="33" fillId="0" borderId="26" xfId="30874" applyFont="1" applyFill="1" applyBorder="1" applyAlignment="1">
      <alignment horizontal="center" vertical="center"/>
    </xf>
    <xf numFmtId="0" fontId="33" fillId="0" borderId="0" xfId="30874" applyFont="1" applyFill="1" applyBorder="1" applyAlignment="1">
      <alignment horizontal="left" vertical="center" wrapText="1"/>
    </xf>
    <xf numFmtId="0" fontId="33" fillId="0" borderId="1" xfId="30874" applyFont="1" applyFill="1" applyBorder="1" applyAlignment="1">
      <alignment horizontal="center" vertical="center"/>
    </xf>
    <xf numFmtId="0" fontId="33" fillId="0" borderId="0" xfId="30874" applyFont="1" applyAlignment="1">
      <alignment horizontal="justify" wrapText="1"/>
    </xf>
    <xf numFmtId="0" fontId="7" fillId="0" borderId="0" xfId="4093" applyFont="1" applyFill="1" applyAlignment="1">
      <alignment horizontal="left"/>
    </xf>
    <xf numFmtId="0" fontId="7" fillId="0" borderId="0" xfId="4093" applyFont="1" applyFill="1" applyAlignment="1">
      <alignment horizontal="left" wrapText="1"/>
    </xf>
    <xf numFmtId="0" fontId="33" fillId="0" borderId="0" xfId="36417" applyFont="1" applyFill="1" applyBorder="1" applyAlignment="1">
      <alignment horizontal="left" vertical="top" wrapText="1"/>
    </xf>
    <xf numFmtId="0" fontId="33" fillId="0" borderId="27" xfId="36417" applyFont="1" applyFill="1" applyBorder="1" applyAlignment="1">
      <alignment horizontal="center" vertical="center" wrapText="1"/>
    </xf>
    <xf numFmtId="0" fontId="33" fillId="0" borderId="11" xfId="36417" applyFont="1" applyFill="1" applyBorder="1" applyAlignment="1">
      <alignment horizontal="center" vertical="center" wrapText="1"/>
    </xf>
    <xf numFmtId="0" fontId="33" fillId="0" borderId="7" xfId="36417" applyFont="1" applyFill="1" applyBorder="1" applyAlignment="1">
      <alignment horizontal="center" vertical="center" wrapText="1"/>
    </xf>
    <xf numFmtId="0" fontId="33" fillId="0" borderId="1" xfId="36417" applyFont="1" applyFill="1" applyBorder="1" applyAlignment="1">
      <alignment horizontal="center" vertical="top" wrapText="1"/>
    </xf>
    <xf numFmtId="0" fontId="33" fillId="0" borderId="2" xfId="36417" applyFont="1" applyFill="1" applyBorder="1" applyAlignment="1">
      <alignment horizontal="center" vertical="center" wrapText="1"/>
    </xf>
    <xf numFmtId="0" fontId="33" fillId="0" borderId="6" xfId="36417" applyFont="1" applyFill="1" applyBorder="1" applyAlignment="1">
      <alignment horizontal="center" vertical="center" wrapText="1"/>
    </xf>
    <xf numFmtId="41" fontId="33" fillId="0" borderId="0" xfId="36417" applyNumberFormat="1" applyFont="1" applyFill="1" applyBorder="1" applyAlignment="1">
      <alignment vertical="top" wrapText="1"/>
    </xf>
    <xf numFmtId="0" fontId="7" fillId="0" borderId="0" xfId="36417" applyFont="1" applyFill="1" applyBorder="1" applyAlignment="1">
      <alignment horizontal="justify" vertical="top" wrapText="1"/>
    </xf>
    <xf numFmtId="0" fontId="33" fillId="0" borderId="0" xfId="36417" applyFont="1" applyFill="1" applyBorder="1" applyAlignment="1">
      <alignment horizontal="justify" vertical="top" wrapText="1"/>
    </xf>
    <xf numFmtId="0" fontId="33" fillId="0" borderId="1" xfId="36417" applyFont="1" applyFill="1" applyBorder="1" applyAlignment="1">
      <alignment horizontal="center" vertical="center" wrapText="1"/>
    </xf>
    <xf numFmtId="0" fontId="7" fillId="0" borderId="0" xfId="28002" applyFont="1" applyFill="1" applyBorder="1" applyAlignment="1">
      <alignment horizontal="justify" vertical="top" wrapText="1"/>
    </xf>
    <xf numFmtId="0" fontId="7" fillId="0" borderId="0" xfId="28002" applyFont="1" applyFill="1" applyBorder="1" applyAlignment="1">
      <alignment horizontal="justify" vertical="top"/>
    </xf>
    <xf numFmtId="0" fontId="33" fillId="0" borderId="0" xfId="36417" applyFont="1" applyFill="1" applyBorder="1" applyAlignment="1">
      <alignment vertical="top" wrapText="1"/>
    </xf>
    <xf numFmtId="0" fontId="33" fillId="0" borderId="29" xfId="36417" applyFont="1" applyFill="1" applyBorder="1" applyAlignment="1">
      <alignment horizontal="center" vertical="center" wrapText="1"/>
    </xf>
    <xf numFmtId="0" fontId="7" fillId="0" borderId="0" xfId="36417" applyFont="1" applyFill="1" applyBorder="1" applyAlignment="1">
      <alignment horizontal="left" vertical="top" wrapText="1"/>
    </xf>
    <xf numFmtId="0" fontId="7" fillId="0" borderId="0" xfId="36417" applyFont="1" applyFill="1" applyBorder="1" applyAlignment="1">
      <alignment horizontal="justify" wrapText="1"/>
    </xf>
    <xf numFmtId="0" fontId="33" fillId="0" borderId="1" xfId="36417" applyFont="1" applyFill="1" applyBorder="1" applyAlignment="1">
      <alignment horizontal="center" wrapText="1"/>
    </xf>
    <xf numFmtId="0" fontId="33" fillId="0" borderId="23" xfId="36417" applyFont="1" applyFill="1" applyBorder="1" applyAlignment="1">
      <alignment horizontal="center" vertical="center" wrapText="1"/>
    </xf>
    <xf numFmtId="0" fontId="33" fillId="0" borderId="9" xfId="36417" applyFont="1" applyFill="1" applyBorder="1" applyAlignment="1">
      <alignment horizontal="center" vertical="center" wrapText="1"/>
    </xf>
    <xf numFmtId="0" fontId="33" fillId="0" borderId="3" xfId="36417" applyFont="1" applyFill="1" applyBorder="1" applyAlignment="1">
      <alignment horizontal="center" vertical="top" wrapText="1"/>
    </xf>
    <xf numFmtId="0" fontId="33" fillId="0" borderId="4" xfId="36417" applyFont="1" applyFill="1" applyBorder="1" applyAlignment="1">
      <alignment horizontal="center" vertical="top" wrapText="1"/>
    </xf>
    <xf numFmtId="0" fontId="33" fillId="0" borderId="5" xfId="36417" applyFont="1" applyFill="1" applyBorder="1" applyAlignment="1">
      <alignment horizontal="center" vertical="top" wrapText="1"/>
    </xf>
    <xf numFmtId="0" fontId="33" fillId="0" borderId="0" xfId="36417" applyFont="1" applyFill="1" applyBorder="1" applyAlignment="1">
      <alignment horizontal="justify" wrapText="1"/>
    </xf>
    <xf numFmtId="0" fontId="33" fillId="0" borderId="0" xfId="4093" applyFont="1" applyAlignment="1">
      <alignment horizontal="left" wrapText="1"/>
    </xf>
    <xf numFmtId="0" fontId="7" fillId="0" borderId="0" xfId="4093" applyFont="1" applyAlignment="1">
      <alignment horizontal="justify" vertical="center" wrapText="1"/>
    </xf>
    <xf numFmtId="0" fontId="7" fillId="0" borderId="0" xfId="6" applyFont="1" applyAlignment="1">
      <alignment horizontal="left"/>
    </xf>
    <xf numFmtId="0" fontId="10" fillId="0" borderId="1" xfId="4093" applyFont="1" applyFill="1" applyBorder="1" applyAlignment="1">
      <alignment horizontal="center" vertical="center"/>
    </xf>
    <xf numFmtId="0" fontId="7" fillId="0" borderId="0" xfId="28002" applyFont="1" applyFill="1" applyAlignment="1">
      <alignment horizontal="left" vertical="top" wrapText="1"/>
    </xf>
    <xf numFmtId="0" fontId="33" fillId="0" borderId="23" xfId="6" applyFont="1" applyBorder="1" applyAlignment="1">
      <alignment horizontal="center" vertical="center" wrapText="1"/>
    </xf>
    <xf numFmtId="0" fontId="33" fillId="0" borderId="6" xfId="6" applyFont="1" applyBorder="1" applyAlignment="1">
      <alignment horizontal="center" vertical="center" wrapText="1"/>
    </xf>
    <xf numFmtId="1" fontId="33" fillId="0" borderId="1" xfId="4079" applyNumberFormat="1" applyFont="1" applyBorder="1" applyAlignment="1">
      <alignment horizontal="center"/>
    </xf>
    <xf numFmtId="0" fontId="7" fillId="0" borderId="0" xfId="6" applyFont="1" applyBorder="1" applyAlignment="1">
      <alignment horizontal="justify" wrapText="1"/>
    </xf>
    <xf numFmtId="0" fontId="7" fillId="0" borderId="0" xfId="6" applyFont="1" applyFill="1" applyAlignment="1">
      <alignment horizontal="left" wrapText="1"/>
    </xf>
    <xf numFmtId="0" fontId="7" fillId="0" borderId="0" xfId="6" applyFont="1" applyFill="1" applyAlignment="1">
      <alignment horizontal="justify" wrapText="1"/>
    </xf>
    <xf numFmtId="0" fontId="33" fillId="0" borderId="23" xfId="6" applyFont="1" applyFill="1" applyBorder="1" applyAlignment="1">
      <alignment horizontal="center" vertical="center"/>
    </xf>
    <xf numFmtId="0" fontId="33" fillId="0" borderId="6" xfId="6" applyFont="1" applyFill="1" applyBorder="1" applyAlignment="1">
      <alignment horizontal="center" vertical="center"/>
    </xf>
    <xf numFmtId="1" fontId="33" fillId="0" borderId="1" xfId="4079" applyNumberFormat="1" applyFont="1" applyFill="1" applyBorder="1" applyAlignment="1">
      <alignment horizontal="center"/>
    </xf>
    <xf numFmtId="0" fontId="7" fillId="0" borderId="0" xfId="6" applyFont="1" applyAlignment="1">
      <alignment wrapText="1"/>
    </xf>
    <xf numFmtId="0" fontId="33" fillId="0" borderId="0" xfId="6" applyFont="1" applyBorder="1" applyAlignment="1">
      <alignment horizontal="left" wrapText="1"/>
    </xf>
    <xf numFmtId="0" fontId="7" fillId="0" borderId="0" xfId="6" applyFont="1" applyAlignment="1">
      <alignment horizontal="justify" wrapText="1"/>
    </xf>
    <xf numFmtId="0" fontId="7" fillId="0" borderId="0" xfId="6" applyFont="1" applyAlignment="1">
      <alignment horizontal="left" wrapText="1"/>
    </xf>
    <xf numFmtId="0" fontId="7" fillId="0" borderId="0" xfId="6" applyFont="1" applyFill="1" applyAlignment="1">
      <alignment wrapText="1"/>
    </xf>
    <xf numFmtId="186" fontId="7" fillId="0" borderId="0" xfId="4079" applyNumberFormat="1" applyFont="1" applyFill="1" applyAlignment="1">
      <alignment horizontal="left"/>
    </xf>
    <xf numFmtId="0" fontId="7" fillId="0" borderId="0" xfId="30874" applyFont="1" applyFill="1" applyBorder="1" applyAlignment="1">
      <alignment horizontal="left" vertical="center" wrapText="1"/>
    </xf>
    <xf numFmtId="0" fontId="7" fillId="0" borderId="0" xfId="30874" applyFont="1" applyFill="1" applyBorder="1" applyAlignment="1">
      <alignment horizontal="justify" vertical="center" wrapText="1"/>
    </xf>
    <xf numFmtId="0" fontId="33" fillId="0" borderId="23" xfId="30874" applyFont="1" applyBorder="1" applyAlignment="1">
      <alignment horizontal="center" vertical="center"/>
    </xf>
    <xf numFmtId="0" fontId="33" fillId="0" borderId="9" xfId="30874" applyFont="1" applyBorder="1" applyAlignment="1">
      <alignment horizontal="center" vertical="center"/>
    </xf>
    <xf numFmtId="0" fontId="33" fillId="0" borderId="6" xfId="30874" applyFont="1" applyBorder="1" applyAlignment="1">
      <alignment horizontal="center" vertical="center"/>
    </xf>
    <xf numFmtId="0" fontId="33" fillId="0" borderId="1" xfId="30874" applyFont="1" applyBorder="1" applyAlignment="1">
      <alignment horizontal="center"/>
    </xf>
    <xf numFmtId="0" fontId="7" fillId="0" borderId="0" xfId="30874" applyFont="1" applyBorder="1" applyAlignment="1">
      <alignment horizontal="left" vertical="center" wrapText="1"/>
    </xf>
    <xf numFmtId="0" fontId="11" fillId="0" borderId="0" xfId="30874" applyFont="1" applyBorder="1" applyAlignment="1">
      <alignment horizontal="left" vertical="center" wrapText="1"/>
    </xf>
    <xf numFmtId="0" fontId="11" fillId="0" borderId="0" xfId="30874" applyFont="1" applyFill="1" applyBorder="1" applyAlignment="1">
      <alignment horizontal="left" vertical="center" wrapText="1"/>
    </xf>
    <xf numFmtId="0" fontId="33" fillId="0" borderId="0" xfId="30874" applyFont="1" applyBorder="1" applyAlignment="1">
      <alignment horizontal="left" wrapText="1"/>
    </xf>
    <xf numFmtId="0" fontId="48" fillId="0" borderId="0" xfId="36426" quotePrefix="1" applyFont="1" applyBorder="1" applyAlignment="1">
      <alignment horizontal="left"/>
    </xf>
    <xf numFmtId="0" fontId="33" fillId="0" borderId="1" xfId="28002" applyFont="1" applyBorder="1" applyAlignment="1">
      <alignment horizontal="center"/>
    </xf>
    <xf numFmtId="0" fontId="7" fillId="0" borderId="0" xfId="28002" applyFont="1" applyBorder="1" applyAlignment="1">
      <alignment horizontal="left" wrapText="1"/>
    </xf>
    <xf numFmtId="0" fontId="33" fillId="0" borderId="1" xfId="6" applyFont="1" applyBorder="1" applyAlignment="1">
      <alignment horizontal="center" wrapText="1"/>
    </xf>
    <xf numFmtId="0" fontId="33" fillId="0" borderId="3" xfId="28002" applyFont="1" applyFill="1" applyBorder="1" applyAlignment="1">
      <alignment horizontal="center" vertical="center"/>
    </xf>
    <xf numFmtId="0" fontId="33" fillId="0" borderId="4" xfId="28002" applyFont="1" applyFill="1" applyBorder="1" applyAlignment="1">
      <alignment horizontal="center" vertical="center"/>
    </xf>
    <xf numFmtId="0" fontId="33" fillId="0" borderId="5" xfId="28002" applyFont="1" applyFill="1" applyBorder="1" applyAlignment="1">
      <alignment horizontal="center" vertical="center"/>
    </xf>
    <xf numFmtId="2" fontId="7" fillId="0" borderId="0" xfId="28002" applyNumberFormat="1" applyFont="1" applyBorder="1" applyAlignment="1">
      <alignment horizontal="justify" wrapText="1"/>
    </xf>
    <xf numFmtId="0" fontId="33" fillId="0" borderId="0" xfId="28002" applyFont="1" applyBorder="1" applyAlignment="1">
      <alignment horizontal="justify" vertical="center" wrapText="1"/>
    </xf>
    <xf numFmtId="0" fontId="33" fillId="0" borderId="1" xfId="28002" applyFont="1" applyFill="1" applyBorder="1" applyAlignment="1">
      <alignment horizontal="center" vertical="center" wrapText="1"/>
    </xf>
    <xf numFmtId="0" fontId="33" fillId="0" borderId="1" xfId="28002" applyFont="1" applyFill="1" applyBorder="1" applyAlignment="1">
      <alignment horizontal="center"/>
    </xf>
    <xf numFmtId="0" fontId="33" fillId="0" borderId="1" xfId="6" applyFont="1" applyFill="1" applyBorder="1" applyAlignment="1">
      <alignment horizontal="center" vertical="center" wrapText="1"/>
    </xf>
    <xf numFmtId="0" fontId="33" fillId="0" borderId="0" xfId="30874" applyFont="1" applyBorder="1" applyAlignment="1">
      <alignment horizontal="justify" wrapText="1"/>
    </xf>
    <xf numFmtId="0" fontId="33" fillId="0" borderId="29" xfId="30874" applyFont="1" applyBorder="1" applyAlignment="1">
      <alignment horizontal="center" vertical="center"/>
    </xf>
    <xf numFmtId="0" fontId="33" fillId="0" borderId="7" xfId="30874" applyFont="1" applyBorder="1" applyAlignment="1">
      <alignment horizontal="center" vertical="center"/>
    </xf>
    <xf numFmtId="0" fontId="33" fillId="0" borderId="3" xfId="30874" applyFont="1" applyBorder="1" applyAlignment="1">
      <alignment horizontal="center"/>
    </xf>
    <xf numFmtId="0" fontId="33" fillId="0" borderId="5" xfId="30874" applyFont="1" applyBorder="1" applyAlignment="1">
      <alignment horizontal="center"/>
    </xf>
    <xf numFmtId="0" fontId="7" fillId="0" borderId="0" xfId="30874" applyFont="1" applyFill="1" applyBorder="1" applyAlignment="1">
      <alignment horizontal="left" vertical="center"/>
    </xf>
    <xf numFmtId="0" fontId="7" fillId="0" borderId="11" xfId="30874" applyFont="1" applyFill="1" applyBorder="1" applyAlignment="1">
      <alignment horizontal="left" vertical="center" wrapText="1"/>
    </xf>
    <xf numFmtId="0" fontId="33" fillId="0" borderId="23" xfId="30874" applyFont="1" applyBorder="1" applyAlignment="1">
      <alignment horizontal="center" vertical="center" wrapText="1"/>
    </xf>
    <xf numFmtId="0" fontId="33" fillId="0" borderId="9" xfId="30874" applyFont="1" applyBorder="1" applyAlignment="1">
      <alignment horizontal="center" vertical="center" wrapText="1"/>
    </xf>
    <xf numFmtId="0" fontId="33" fillId="0" borderId="6" xfId="30874" applyFont="1" applyBorder="1" applyAlignment="1">
      <alignment horizontal="center" vertical="center" wrapText="1"/>
    </xf>
    <xf numFmtId="0" fontId="33" fillId="0" borderId="1" xfId="36425" applyFont="1" applyBorder="1" applyAlignment="1">
      <alignment horizontal="center" wrapText="1"/>
    </xf>
    <xf numFmtId="0" fontId="33" fillId="0" borderId="1" xfId="36425" applyFont="1" applyBorder="1" applyAlignment="1">
      <alignment horizontal="center" vertical="center"/>
    </xf>
    <xf numFmtId="0" fontId="33" fillId="0" borderId="1" xfId="30874" applyFont="1" applyBorder="1" applyAlignment="1">
      <alignment horizontal="center" vertical="center"/>
    </xf>
    <xf numFmtId="0" fontId="7" fillId="0" borderId="0" xfId="30874" applyFont="1" applyBorder="1" applyAlignment="1">
      <alignment horizontal="left" vertical="center"/>
    </xf>
    <xf numFmtId="0" fontId="7" fillId="0" borderId="0" xfId="30864" applyFont="1" applyFill="1" applyBorder="1" applyAlignment="1">
      <alignment horizontal="left"/>
    </xf>
    <xf numFmtId="0" fontId="33" fillId="0" borderId="1" xfId="30874" applyFont="1" applyBorder="1" applyAlignment="1">
      <alignment horizontal="center" vertical="center" wrapText="1"/>
    </xf>
    <xf numFmtId="0" fontId="33" fillId="0" borderId="0" xfId="30874" applyFont="1" applyAlignment="1">
      <alignment horizontal="left"/>
    </xf>
    <xf numFmtId="3" fontId="7" fillId="0" borderId="0" xfId="30874" applyNumberFormat="1" applyFont="1" applyFill="1" applyAlignment="1" applyProtection="1">
      <alignment horizontal="left" vertical="center" wrapText="1"/>
      <protection locked="0"/>
    </xf>
    <xf numFmtId="0" fontId="33" fillId="0" borderId="0" xfId="30874" applyFont="1" applyFill="1" applyBorder="1" applyAlignment="1">
      <alignment horizontal="justify" vertical="center" wrapText="1"/>
    </xf>
    <xf numFmtId="0" fontId="33" fillId="0" borderId="23" xfId="30874" applyFont="1" applyFill="1" applyBorder="1" applyAlignment="1">
      <alignment horizontal="center" vertical="center"/>
    </xf>
    <xf numFmtId="0" fontId="33" fillId="0" borderId="6" xfId="30874" applyFont="1" applyFill="1" applyBorder="1" applyAlignment="1">
      <alignment horizontal="center" vertical="center"/>
    </xf>
    <xf numFmtId="49" fontId="7" fillId="0" borderId="0" xfId="30874" applyNumberFormat="1" applyFont="1" applyFill="1" applyAlignment="1">
      <alignment horizontal="left" vertical="center" wrapText="1"/>
    </xf>
    <xf numFmtId="0" fontId="33" fillId="0" borderId="0" xfId="30874" applyNumberFormat="1" applyFont="1" applyAlignment="1">
      <alignment horizontal="justify" wrapText="1"/>
    </xf>
    <xf numFmtId="0" fontId="33" fillId="0" borderId="11" xfId="30874" applyFont="1" applyBorder="1" applyAlignment="1">
      <alignment horizontal="center" vertical="center"/>
    </xf>
    <xf numFmtId="0" fontId="7" fillId="0" borderId="0" xfId="30874" applyFont="1" applyFill="1" applyAlignment="1">
      <alignment horizontal="justify" vertical="center" wrapText="1"/>
    </xf>
    <xf numFmtId="0" fontId="7" fillId="0" borderId="0" xfId="30874" applyFont="1" applyFill="1" applyAlignment="1">
      <alignment horizontal="left" vertical="center" wrapText="1"/>
    </xf>
    <xf numFmtId="0" fontId="10" fillId="0" borderId="23" xfId="4093" applyFont="1" applyBorder="1" applyAlignment="1">
      <alignment horizontal="center" vertical="center"/>
    </xf>
    <xf numFmtId="0" fontId="10" fillId="0" borderId="6" xfId="4093" applyFont="1" applyBorder="1" applyAlignment="1">
      <alignment horizontal="center" vertical="center"/>
    </xf>
    <xf numFmtId="0" fontId="10" fillId="0" borderId="1" xfId="4093" applyFont="1" applyBorder="1" applyAlignment="1">
      <alignment horizontal="center" vertical="center" wrapText="1"/>
    </xf>
    <xf numFmtId="0" fontId="33" fillId="0" borderId="0" xfId="4093" applyFont="1" applyFill="1" applyAlignment="1">
      <alignment horizontal="left" wrapText="1"/>
    </xf>
    <xf numFmtId="0" fontId="33" fillId="0" borderId="0" xfId="30864" applyFont="1" applyFill="1" applyBorder="1" applyAlignment="1">
      <alignment horizontal="justify" vertical="center" wrapText="1"/>
    </xf>
    <xf numFmtId="0" fontId="7" fillId="0" borderId="0" xfId="30864" applyFont="1" applyFill="1" applyBorder="1" applyAlignment="1">
      <alignment horizontal="justify" vertical="center" wrapText="1"/>
    </xf>
    <xf numFmtId="0" fontId="33" fillId="0" borderId="0" xfId="36431" applyFont="1" applyFill="1" applyBorder="1" applyAlignment="1">
      <alignment horizontal="left" vertical="center"/>
    </xf>
    <xf numFmtId="0" fontId="33" fillId="0" borderId="1" xfId="36431" applyFont="1" applyFill="1" applyBorder="1" applyAlignment="1">
      <alignment horizontal="center" vertical="center"/>
    </xf>
    <xf numFmtId="0" fontId="33" fillId="0" borderId="1" xfId="30874" applyFont="1" applyFill="1" applyBorder="1" applyAlignment="1">
      <alignment horizontal="center" vertical="center" wrapText="1"/>
    </xf>
    <xf numFmtId="0" fontId="33" fillId="0" borderId="23" xfId="30874" applyFont="1" applyFill="1" applyBorder="1" applyAlignment="1">
      <alignment horizontal="center" vertical="center" wrapText="1"/>
    </xf>
    <xf numFmtId="0" fontId="33" fillId="0" borderId="6" xfId="30874" applyFont="1" applyFill="1" applyBorder="1" applyAlignment="1">
      <alignment horizontal="center" vertical="center" wrapText="1"/>
    </xf>
    <xf numFmtId="0" fontId="33" fillId="0" borderId="1" xfId="30874" applyFont="1" applyFill="1" applyBorder="1" applyAlignment="1">
      <alignment horizontal="center"/>
    </xf>
    <xf numFmtId="0" fontId="33" fillId="0" borderId="24" xfId="36431" applyFont="1" applyFill="1" applyBorder="1" applyAlignment="1">
      <alignment horizontal="center"/>
    </xf>
    <xf numFmtId="0" fontId="33" fillId="0" borderId="25" xfId="36431" applyFont="1" applyFill="1" applyBorder="1" applyAlignment="1">
      <alignment horizontal="center"/>
    </xf>
    <xf numFmtId="0" fontId="33" fillId="0" borderId="26" xfId="36431" applyFont="1" applyFill="1" applyBorder="1" applyAlignment="1">
      <alignment horizontal="center"/>
    </xf>
    <xf numFmtId="0" fontId="33" fillId="0" borderId="0" xfId="36431" applyFont="1" applyFill="1" applyBorder="1" applyAlignment="1">
      <alignment horizontal="left" vertical="center" wrapText="1"/>
    </xf>
    <xf numFmtId="3" fontId="33" fillId="0" borderId="1" xfId="30874" applyNumberFormat="1" applyFont="1" applyFill="1" applyBorder="1" applyAlignment="1">
      <alignment horizontal="center" vertical="center"/>
    </xf>
    <xf numFmtId="0" fontId="33" fillId="0" borderId="1" xfId="36432" applyFont="1" applyFill="1" applyBorder="1" applyAlignment="1">
      <alignment horizontal="center" vertical="center"/>
    </xf>
    <xf numFmtId="3" fontId="33" fillId="0" borderId="3" xfId="30874" applyNumberFormat="1" applyFont="1" applyFill="1" applyBorder="1" applyAlignment="1" applyProtection="1">
      <alignment horizontal="center" vertical="center"/>
      <protection locked="0"/>
    </xf>
    <xf numFmtId="3" fontId="33" fillId="0" borderId="4" xfId="30874" applyNumberFormat="1" applyFont="1" applyFill="1" applyBorder="1" applyAlignment="1" applyProtection="1">
      <alignment horizontal="center" vertical="center"/>
      <protection locked="0"/>
    </xf>
    <xf numFmtId="3" fontId="33" fillId="0" borderId="5" xfId="30874" applyNumberFormat="1" applyFont="1" applyFill="1" applyBorder="1" applyAlignment="1" applyProtection="1">
      <alignment horizontal="center" vertical="center"/>
      <protection locked="0"/>
    </xf>
    <xf numFmtId="0" fontId="59" fillId="0" borderId="0" xfId="0" applyFont="1" applyBorder="1" applyAlignment="1">
      <alignment horizontal="justify" wrapText="1"/>
    </xf>
    <xf numFmtId="49" fontId="33" fillId="0" borderId="0" xfId="0" applyNumberFormat="1" applyFont="1" applyAlignment="1">
      <alignment horizontal="left" wrapText="1"/>
    </xf>
    <xf numFmtId="3" fontId="7" fillId="0" borderId="0" xfId="0" applyNumberFormat="1" applyFont="1" applyFill="1" applyBorder="1" applyAlignment="1">
      <alignment horizontal="left" vertical="center" wrapText="1"/>
    </xf>
    <xf numFmtId="0" fontId="10" fillId="0" borderId="23"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 xfId="0" applyFont="1" applyBorder="1" applyAlignment="1">
      <alignment horizontal="center"/>
    </xf>
    <xf numFmtId="0" fontId="33" fillId="0" borderId="0"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33" fillId="0" borderId="0" xfId="0" applyFont="1" applyFill="1" applyBorder="1" applyAlignment="1">
      <alignment horizontal="left" wrapText="1"/>
    </xf>
    <xf numFmtId="0" fontId="33" fillId="0" borderId="1" xfId="36433" applyFont="1" applyFill="1" applyBorder="1" applyAlignment="1">
      <alignment horizontal="center" vertical="center"/>
    </xf>
    <xf numFmtId="0" fontId="33" fillId="0" borderId="3" xfId="28002" applyFont="1" applyFill="1" applyBorder="1" applyAlignment="1">
      <alignment horizontal="center"/>
    </xf>
    <xf numFmtId="0" fontId="33" fillId="0" borderId="5" xfId="28002" applyFont="1" applyFill="1" applyBorder="1" applyAlignment="1">
      <alignment horizontal="center"/>
    </xf>
    <xf numFmtId="0" fontId="7" fillId="0" borderId="0" xfId="28002" applyFont="1" applyFill="1" applyBorder="1" applyAlignment="1">
      <alignment horizontal="left" vertical="top" wrapText="1"/>
    </xf>
    <xf numFmtId="0" fontId="33" fillId="0" borderId="0" xfId="28002" applyFont="1" applyFill="1" applyBorder="1" applyAlignment="1">
      <alignment horizontal="left" vertical="top" wrapText="1"/>
    </xf>
    <xf numFmtId="0" fontId="33" fillId="0" borderId="23" xfId="36433" applyFont="1" applyFill="1" applyBorder="1" applyAlignment="1">
      <alignment horizontal="center" vertical="center"/>
    </xf>
    <xf numFmtId="0" fontId="33" fillId="0" borderId="9" xfId="36433" applyFont="1" applyFill="1" applyBorder="1" applyAlignment="1">
      <alignment horizontal="center" vertical="center"/>
    </xf>
    <xf numFmtId="0" fontId="33" fillId="0" borderId="6" xfId="36433" applyFont="1" applyFill="1" applyBorder="1" applyAlignment="1">
      <alignment horizontal="center" vertical="center"/>
    </xf>
    <xf numFmtId="0" fontId="33" fillId="0" borderId="4" xfId="28002" applyFont="1" applyFill="1" applyBorder="1" applyAlignment="1">
      <alignment horizontal="center"/>
    </xf>
    <xf numFmtId="0" fontId="33" fillId="0" borderId="1" xfId="28002" applyFont="1" applyFill="1" applyBorder="1" applyAlignment="1">
      <alignment horizontal="center" wrapText="1"/>
    </xf>
    <xf numFmtId="0" fontId="33" fillId="0" borderId="3" xfId="28002" applyFont="1" applyFill="1" applyBorder="1" applyAlignment="1">
      <alignment horizontal="center" vertical="center" wrapText="1"/>
    </xf>
    <xf numFmtId="0" fontId="33" fillId="0" borderId="4" xfId="28002" applyFont="1" applyFill="1" applyBorder="1" applyAlignment="1">
      <alignment horizontal="center" vertical="center" wrapText="1"/>
    </xf>
    <xf numFmtId="0" fontId="33" fillId="0" borderId="5" xfId="28002" applyFont="1" applyFill="1" applyBorder="1" applyAlignment="1">
      <alignment horizontal="center" vertical="center" wrapText="1"/>
    </xf>
    <xf numFmtId="0" fontId="33" fillId="0" borderId="3" xfId="28002" applyFont="1" applyFill="1" applyBorder="1" applyAlignment="1">
      <alignment horizontal="center" vertical="top" wrapText="1"/>
    </xf>
    <xf numFmtId="0" fontId="33" fillId="0" borderId="4" xfId="28002" applyFont="1" applyFill="1" applyBorder="1" applyAlignment="1">
      <alignment horizontal="center" vertical="top" wrapText="1"/>
    </xf>
    <xf numFmtId="0" fontId="33" fillId="0" borderId="5" xfId="28002" applyFont="1" applyFill="1" applyBorder="1" applyAlignment="1">
      <alignment horizontal="center" vertical="top" wrapText="1"/>
    </xf>
    <xf numFmtId="0" fontId="33" fillId="0" borderId="0" xfId="36433" applyFont="1" applyFill="1" applyBorder="1" applyAlignment="1">
      <alignment horizontal="left" vertical="center" wrapText="1"/>
    </xf>
    <xf numFmtId="0" fontId="33" fillId="0" borderId="1" xfId="36433" applyFont="1" applyFill="1" applyBorder="1" applyAlignment="1">
      <alignment horizontal="center" vertical="center" wrapText="1"/>
    </xf>
    <xf numFmtId="0" fontId="7" fillId="0" borderId="0" xfId="36433" applyFont="1" applyFill="1" applyBorder="1" applyAlignment="1">
      <alignment horizontal="justify" vertical="center" wrapText="1"/>
    </xf>
    <xf numFmtId="3" fontId="7" fillId="0" borderId="0" xfId="36433" applyNumberFormat="1" applyFont="1" applyFill="1" applyBorder="1" applyAlignment="1" applyProtection="1">
      <alignment horizontal="left" vertical="center" wrapText="1"/>
      <protection locked="0"/>
    </xf>
    <xf numFmtId="0" fontId="33" fillId="0" borderId="0" xfId="36433" applyFont="1" applyAlignment="1">
      <alignment horizontal="left" vertical="center" wrapText="1"/>
    </xf>
    <xf numFmtId="0" fontId="33" fillId="0" borderId="0" xfId="36433" applyFont="1" applyFill="1" applyBorder="1" applyAlignment="1">
      <alignment horizontal="center" vertical="center"/>
    </xf>
    <xf numFmtId="0" fontId="33" fillId="0" borderId="8" xfId="36433" applyFont="1" applyFill="1" applyBorder="1" applyAlignment="1">
      <alignment horizontal="center" vertical="center"/>
    </xf>
    <xf numFmtId="0" fontId="33" fillId="0" borderId="3" xfId="36433" applyFont="1" applyFill="1" applyBorder="1" applyAlignment="1">
      <alignment horizontal="center" vertical="center" wrapText="1"/>
    </xf>
    <xf numFmtId="0" fontId="33" fillId="0" borderId="4" xfId="36433" applyFont="1" applyFill="1" applyBorder="1" applyAlignment="1">
      <alignment horizontal="center" vertical="center" wrapText="1"/>
    </xf>
    <xf numFmtId="0" fontId="33" fillId="0" borderId="5" xfId="36433" applyFont="1" applyFill="1" applyBorder="1" applyAlignment="1">
      <alignment horizontal="center" vertical="center" wrapText="1"/>
    </xf>
    <xf numFmtId="0" fontId="33" fillId="0" borderId="4" xfId="36433" applyFont="1" applyBorder="1" applyAlignment="1">
      <alignment horizontal="center" vertical="center"/>
    </xf>
    <xf numFmtId="0" fontId="33" fillId="0" borderId="5" xfId="36433" applyFont="1" applyBorder="1" applyAlignment="1">
      <alignment horizontal="center" vertical="center"/>
    </xf>
    <xf numFmtId="0" fontId="33" fillId="0" borderId="23" xfId="36433" applyFont="1" applyFill="1" applyBorder="1" applyAlignment="1">
      <alignment horizontal="center" vertical="center" wrapText="1"/>
    </xf>
    <xf numFmtId="0" fontId="33" fillId="0" borderId="9" xfId="36433" applyFont="1" applyFill="1" applyBorder="1" applyAlignment="1">
      <alignment horizontal="center" vertical="center" wrapText="1"/>
    </xf>
    <xf numFmtId="0" fontId="33" fillId="0" borderId="6" xfId="36433" applyFont="1" applyFill="1" applyBorder="1" applyAlignment="1">
      <alignment horizontal="center" vertical="center" wrapText="1"/>
    </xf>
    <xf numFmtId="0" fontId="33" fillId="0" borderId="7" xfId="36433" applyFont="1" applyFill="1" applyBorder="1" applyAlignment="1">
      <alignment horizontal="center" vertical="center" wrapText="1"/>
    </xf>
    <xf numFmtId="0" fontId="33" fillId="0" borderId="30" xfId="36433" applyFont="1" applyFill="1" applyBorder="1" applyAlignment="1">
      <alignment horizontal="center" vertical="center" wrapText="1"/>
    </xf>
    <xf numFmtId="0" fontId="33" fillId="0" borderId="31" xfId="36433" applyFont="1" applyFill="1" applyBorder="1" applyAlignment="1">
      <alignment horizontal="center" vertical="center"/>
    </xf>
    <xf numFmtId="0" fontId="33" fillId="0" borderId="30" xfId="36433" applyFont="1" applyFill="1" applyBorder="1" applyAlignment="1">
      <alignment horizontal="center" vertical="center"/>
    </xf>
    <xf numFmtId="0" fontId="7" fillId="0" borderId="0" xfId="36433" applyFont="1" applyFill="1" applyBorder="1" applyAlignment="1">
      <alignment horizontal="left" vertical="center" wrapText="1"/>
    </xf>
    <xf numFmtId="0" fontId="33" fillId="0" borderId="0" xfId="36433" applyNumberFormat="1" applyFont="1" applyAlignment="1">
      <alignment horizontal="justify" vertical="center" wrapText="1"/>
    </xf>
    <xf numFmtId="0" fontId="33" fillId="0" borderId="1" xfId="7185" applyFont="1" applyFill="1" applyBorder="1" applyAlignment="1">
      <alignment horizontal="center" vertical="center" wrapText="1"/>
    </xf>
    <xf numFmtId="0" fontId="7" fillId="0" borderId="0" xfId="36433" applyFont="1" applyFill="1" applyBorder="1" applyAlignment="1">
      <alignment horizontal="left" vertical="center"/>
    </xf>
    <xf numFmtId="0" fontId="33" fillId="0" borderId="3" xfId="36433" applyFont="1" applyFill="1" applyBorder="1" applyAlignment="1">
      <alignment horizontal="center" vertical="center"/>
    </xf>
    <xf numFmtId="0" fontId="33" fillId="0" borderId="4" xfId="36433" applyFont="1" applyFill="1" applyBorder="1" applyAlignment="1">
      <alignment horizontal="center" vertical="center"/>
    </xf>
    <xf numFmtId="0" fontId="33" fillId="0" borderId="5" xfId="36433" applyFont="1" applyFill="1" applyBorder="1" applyAlignment="1">
      <alignment horizontal="center" vertical="center"/>
    </xf>
    <xf numFmtId="0" fontId="7" fillId="0" borderId="0" xfId="36433" applyFont="1" applyFill="1" applyBorder="1" applyAlignment="1">
      <alignment horizontal="left"/>
    </xf>
    <xf numFmtId="0" fontId="33" fillId="0" borderId="0" xfId="18293" applyFont="1" applyFill="1" applyBorder="1" applyAlignment="1">
      <alignment horizontal="left" vertical="center"/>
    </xf>
    <xf numFmtId="0" fontId="33" fillId="0" borderId="1" xfId="18293" applyFont="1" applyFill="1" applyBorder="1" applyAlignment="1">
      <alignment horizontal="center" vertical="center" wrapText="1"/>
    </xf>
    <xf numFmtId="0" fontId="7" fillId="0" borderId="1" xfId="18293" applyFont="1" applyFill="1" applyBorder="1" applyAlignment="1">
      <alignment horizontal="center" vertical="center" wrapText="1"/>
    </xf>
    <xf numFmtId="0" fontId="33" fillId="0" borderId="0" xfId="18293" applyFont="1" applyFill="1" applyBorder="1" applyAlignment="1">
      <alignment horizontal="left" vertical="center" wrapText="1"/>
    </xf>
    <xf numFmtId="0" fontId="33" fillId="0" borderId="0" xfId="19216" applyFont="1" applyFill="1" applyBorder="1" applyAlignment="1">
      <alignment horizontal="left" vertical="center"/>
    </xf>
    <xf numFmtId="0" fontId="33" fillId="0" borderId="1" xfId="19216" applyFont="1" applyFill="1" applyBorder="1" applyAlignment="1">
      <alignment horizontal="center" vertical="center" wrapText="1"/>
    </xf>
    <xf numFmtId="0" fontId="7" fillId="0" borderId="1" xfId="19216" applyFont="1" applyFill="1" applyBorder="1" applyAlignment="1">
      <alignment horizontal="center" vertical="center" wrapText="1"/>
    </xf>
    <xf numFmtId="0" fontId="33" fillId="0" borderId="1" xfId="19216" applyFont="1" applyFill="1" applyBorder="1" applyAlignment="1">
      <alignment horizontal="justify" vertical="center" wrapText="1"/>
    </xf>
    <xf numFmtId="0" fontId="7" fillId="0" borderId="1" xfId="19216" applyFont="1" applyFill="1" applyBorder="1" applyAlignment="1">
      <alignment horizontal="justify" vertical="center" wrapText="1"/>
    </xf>
    <xf numFmtId="0" fontId="33" fillId="0" borderId="0" xfId="19216" applyFont="1" applyFill="1" applyBorder="1" applyAlignment="1">
      <alignment horizontal="left" vertical="center" wrapText="1"/>
    </xf>
    <xf numFmtId="0" fontId="33" fillId="0" borderId="3" xfId="20139" applyFont="1" applyFill="1" applyBorder="1" applyAlignment="1">
      <alignment horizontal="center" vertical="center"/>
    </xf>
    <xf numFmtId="0" fontId="33" fillId="0" borderId="4" xfId="20139" applyFont="1" applyFill="1" applyBorder="1" applyAlignment="1">
      <alignment horizontal="center" vertical="center"/>
    </xf>
    <xf numFmtId="0" fontId="33" fillId="0" borderId="5" xfId="20139" applyFont="1" applyFill="1" applyBorder="1" applyAlignment="1">
      <alignment horizontal="center" vertical="center"/>
    </xf>
    <xf numFmtId="0" fontId="33" fillId="0" borderId="1" xfId="20139" applyFont="1" applyFill="1" applyBorder="1" applyAlignment="1">
      <alignment horizontal="center" vertical="center" wrapText="1"/>
    </xf>
    <xf numFmtId="0" fontId="33" fillId="0" borderId="1" xfId="13809" applyFont="1" applyFill="1" applyBorder="1" applyAlignment="1">
      <alignment horizontal="center" vertical="center" wrapText="1"/>
    </xf>
    <xf numFmtId="0" fontId="33" fillId="0" borderId="1" xfId="13809" applyFont="1" applyFill="1" applyBorder="1" applyAlignment="1">
      <alignment horizontal="center" vertical="center"/>
    </xf>
    <xf numFmtId="0" fontId="33" fillId="0" borderId="1" xfId="21193" applyFont="1" applyFill="1" applyBorder="1" applyAlignment="1">
      <alignment horizontal="center" vertical="center" wrapText="1"/>
    </xf>
    <xf numFmtId="0" fontId="7" fillId="0" borderId="0" xfId="21193" applyFont="1" applyFill="1" applyAlignment="1">
      <alignment horizontal="left" vertical="center" wrapText="1"/>
    </xf>
    <xf numFmtId="0" fontId="7" fillId="0" borderId="0" xfId="36433" applyFont="1" applyFill="1" applyBorder="1" applyAlignment="1">
      <alignment horizontal="left" wrapText="1"/>
    </xf>
    <xf numFmtId="0" fontId="33" fillId="0" borderId="0" xfId="36433" applyFont="1" applyFill="1" applyAlignment="1">
      <alignment horizontal="left" wrapText="1"/>
    </xf>
    <xf numFmtId="0" fontId="7" fillId="0" borderId="0" xfId="36433" applyFont="1" applyFill="1" applyAlignment="1">
      <alignment horizontal="left" wrapText="1"/>
    </xf>
    <xf numFmtId="0" fontId="33" fillId="0" borderId="0" xfId="36433" applyFont="1" applyFill="1" applyAlignment="1">
      <alignment horizontal="justify" wrapText="1"/>
    </xf>
    <xf numFmtId="0" fontId="33" fillId="0" borderId="0" xfId="36433" applyFont="1" applyFill="1" applyAlignment="1">
      <alignment horizontal="justify" vertical="center" wrapText="1"/>
    </xf>
    <xf numFmtId="0" fontId="7" fillId="0" borderId="0" xfId="36433" applyFont="1" applyFill="1" applyAlignment="1">
      <alignment horizontal="left"/>
    </xf>
    <xf numFmtId="3" fontId="7" fillId="0" borderId="0" xfId="36433" quotePrefix="1" applyNumberFormat="1" applyFont="1" applyFill="1" applyAlignment="1" applyProtection="1">
      <alignment horizontal="left" vertical="center"/>
      <protection locked="0"/>
    </xf>
    <xf numFmtId="0" fontId="33" fillId="0" borderId="0" xfId="36433" applyFont="1" applyFill="1" applyAlignment="1">
      <alignment vertical="center" wrapText="1"/>
    </xf>
    <xf numFmtId="0" fontId="7" fillId="0" borderId="0" xfId="36433" applyFont="1" applyFill="1" applyBorder="1" applyAlignment="1">
      <alignment horizontal="justify" vertical="top" wrapText="1"/>
    </xf>
    <xf numFmtId="0" fontId="33" fillId="0" borderId="0" xfId="36433" applyFont="1" applyAlignment="1">
      <alignment horizontal="left"/>
    </xf>
    <xf numFmtId="0" fontId="7" fillId="0" borderId="0" xfId="36433" applyFont="1" applyFill="1" applyBorder="1" applyAlignment="1">
      <alignment horizontal="left" vertical="top" wrapText="1"/>
    </xf>
    <xf numFmtId="0" fontId="33" fillId="0" borderId="0" xfId="36433" applyFont="1" applyFill="1" applyAlignment="1">
      <alignment horizontal="left" vertical="center"/>
    </xf>
    <xf numFmtId="0" fontId="33" fillId="0" borderId="0" xfId="36433" applyFont="1" applyFill="1" applyAlignment="1">
      <alignment horizontal="left" vertical="center" wrapText="1"/>
    </xf>
    <xf numFmtId="0" fontId="33" fillId="0" borderId="0" xfId="36433" applyFont="1" applyAlignment="1">
      <alignment horizontal="left" wrapText="1"/>
    </xf>
    <xf numFmtId="0" fontId="7" fillId="0" borderId="0" xfId="36433" applyFont="1" applyFill="1" applyAlignment="1">
      <alignment horizontal="left" vertical="top" wrapText="1"/>
    </xf>
    <xf numFmtId="0" fontId="33" fillId="0" borderId="1" xfId="0" applyFont="1" applyFill="1" applyBorder="1" applyAlignment="1">
      <alignment horizontal="center" vertical="center"/>
    </xf>
    <xf numFmtId="0" fontId="7" fillId="0" borderId="0" xfId="0" applyFont="1" applyFill="1" applyBorder="1" applyAlignment="1">
      <alignment horizontal="left" wrapText="1"/>
    </xf>
    <xf numFmtId="0" fontId="33" fillId="0" borderId="0" xfId="0" applyFont="1" applyFill="1" applyAlignment="1">
      <alignment horizontal="left" vertical="center" wrapText="1"/>
    </xf>
    <xf numFmtId="0" fontId="33" fillId="0" borderId="1" xfId="4093" applyFont="1" applyFill="1" applyBorder="1" applyAlignment="1">
      <alignment horizontal="center" vertical="center" wrapText="1"/>
    </xf>
    <xf numFmtId="0" fontId="33" fillId="0" borderId="1" xfId="4093" applyFont="1" applyBorder="1" applyAlignment="1">
      <alignment horizontal="center" vertical="center" wrapText="1"/>
    </xf>
    <xf numFmtId="0" fontId="7" fillId="0" borderId="0" xfId="4093" applyFont="1" applyFill="1" applyBorder="1" applyAlignment="1">
      <alignment horizontal="left" wrapText="1"/>
    </xf>
    <xf numFmtId="0" fontId="33" fillId="0" borderId="0" xfId="30873" applyFont="1" applyFill="1" applyAlignment="1">
      <alignment horizontal="justify" vertical="top" wrapText="1"/>
    </xf>
    <xf numFmtId="0" fontId="33" fillId="0" borderId="1" xfId="30873" applyFont="1" applyFill="1" applyBorder="1" applyAlignment="1">
      <alignment horizontal="center" vertical="center"/>
    </xf>
    <xf numFmtId="0" fontId="33" fillId="0" borderId="0" xfId="30873" applyFont="1" applyFill="1" applyAlignment="1">
      <alignment horizontal="left" vertical="center" wrapText="1"/>
    </xf>
    <xf numFmtId="0" fontId="7" fillId="0" borderId="0" xfId="30873" applyFont="1" applyFill="1" applyAlignment="1">
      <alignment horizontal="left" vertical="top" wrapText="1"/>
    </xf>
    <xf numFmtId="0" fontId="10" fillId="0" borderId="23"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1" xfId="0" applyFont="1" applyFill="1" applyBorder="1" applyAlignment="1">
      <alignment horizontal="center" vertical="center"/>
    </xf>
    <xf numFmtId="2" fontId="7" fillId="0" borderId="0" xfId="0" applyNumberFormat="1" applyFont="1" applyFill="1" applyBorder="1" applyAlignment="1">
      <alignment horizontal="left" wrapText="1"/>
    </xf>
    <xf numFmtId="0" fontId="11" fillId="0" borderId="0" xfId="0" applyFont="1" applyFill="1" applyBorder="1" applyAlignment="1">
      <alignment wrapText="1"/>
    </xf>
    <xf numFmtId="0" fontId="33" fillId="0" borderId="0" xfId="0" applyFont="1" applyFill="1" applyBorder="1" applyAlignment="1">
      <alignment horizontal="justify" vertical="center" wrapText="1"/>
    </xf>
    <xf numFmtId="0" fontId="7" fillId="0" borderId="0" xfId="0" applyFont="1" applyFill="1" applyBorder="1" applyAlignment="1">
      <alignment horizontal="justify" wrapText="1"/>
    </xf>
    <xf numFmtId="0" fontId="11" fillId="0" borderId="0" xfId="0" applyFont="1" applyFill="1" applyBorder="1" applyAlignment="1"/>
    <xf numFmtId="0" fontId="7" fillId="0" borderId="0" xfId="0" applyFont="1" applyFill="1" applyBorder="1" applyAlignment="1"/>
    <xf numFmtId="0" fontId="11" fillId="0" borderId="0" xfId="0" applyFont="1" applyBorder="1" applyAlignment="1">
      <alignment wrapText="1"/>
    </xf>
    <xf numFmtId="0" fontId="11" fillId="0" borderId="0" xfId="0" applyFont="1" applyBorder="1" applyAlignment="1"/>
    <xf numFmtId="0" fontId="7" fillId="0" borderId="0" xfId="0" applyFont="1" applyFill="1" applyAlignment="1">
      <alignment horizontal="left" vertical="center" wrapText="1"/>
    </xf>
    <xf numFmtId="0" fontId="33" fillId="0" borderId="0" xfId="0" applyFont="1" applyFill="1" applyBorder="1" applyAlignment="1">
      <alignment wrapText="1"/>
    </xf>
    <xf numFmtId="0" fontId="7" fillId="0" borderId="0" xfId="0" applyFont="1" applyFill="1" applyBorder="1" applyAlignment="1">
      <alignment wrapText="1"/>
    </xf>
    <xf numFmtId="0" fontId="7" fillId="0" borderId="1" xfId="0" applyFont="1" applyFill="1" applyBorder="1" applyAlignment="1">
      <alignment horizontal="center" vertical="center"/>
    </xf>
    <xf numFmtId="0" fontId="7" fillId="0" borderId="1" xfId="0" applyFont="1" applyFill="1" applyBorder="1" applyAlignment="1">
      <alignment vertical="center"/>
    </xf>
    <xf numFmtId="49" fontId="7" fillId="0" borderId="0" xfId="0" applyNumberFormat="1" applyFont="1" applyFill="1" applyBorder="1" applyAlignment="1">
      <alignment horizontal="left" vertical="center" wrapText="1"/>
    </xf>
    <xf numFmtId="0" fontId="48" fillId="0" borderId="0" xfId="4" applyFont="1" applyFill="1" applyBorder="1" applyAlignment="1">
      <alignment horizontal="left" wrapText="1"/>
    </xf>
    <xf numFmtId="0" fontId="48" fillId="0" borderId="0" xfId="4" applyFont="1" applyFill="1" applyBorder="1" applyAlignment="1">
      <alignment horizontal="left" vertical="center" wrapText="1"/>
    </xf>
    <xf numFmtId="0" fontId="7" fillId="0" borderId="0" xfId="4" applyFont="1" applyFill="1" applyBorder="1" applyAlignment="1">
      <alignment horizontal="left" wrapText="1"/>
    </xf>
    <xf numFmtId="0" fontId="7" fillId="0" borderId="0" xfId="4" applyFont="1" applyFill="1" applyBorder="1" applyAlignment="1">
      <alignment horizontal="left" vertical="center" wrapText="1"/>
    </xf>
    <xf numFmtId="0" fontId="7" fillId="0" borderId="0" xfId="0" applyFont="1" applyFill="1" applyBorder="1" applyAlignment="1">
      <alignment horizontal="left" vertical="center" wrapText="1"/>
    </xf>
    <xf numFmtId="0" fontId="33" fillId="0" borderId="3"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3" fillId="0" borderId="3" xfId="0" applyFont="1" applyFill="1" applyBorder="1" applyAlignment="1">
      <alignment horizontal="center" vertical="center"/>
    </xf>
    <xf numFmtId="0" fontId="33" fillId="0" borderId="4" xfId="0" applyFont="1" applyFill="1" applyBorder="1" applyAlignment="1">
      <alignment horizontal="center" vertical="center"/>
    </xf>
    <xf numFmtId="0" fontId="33" fillId="0" borderId="5" xfId="0" applyFont="1" applyFill="1" applyBorder="1" applyAlignment="1">
      <alignment horizontal="center" vertical="center"/>
    </xf>
    <xf numFmtId="0" fontId="7" fillId="0" borderId="0" xfId="36435" applyFont="1" applyFill="1" applyBorder="1" applyAlignment="1">
      <alignment horizontal="left" vertical="center" wrapText="1"/>
    </xf>
    <xf numFmtId="0" fontId="33" fillId="0" borderId="0" xfId="30873" applyFont="1" applyBorder="1" applyAlignment="1">
      <alignment horizontal="left" vertical="center" wrapText="1"/>
    </xf>
    <xf numFmtId="0" fontId="7" fillId="0" borderId="0" xfId="0" applyFont="1" applyFill="1" applyBorder="1" applyAlignment="1">
      <alignment horizontal="left"/>
    </xf>
    <xf numFmtId="0" fontId="33" fillId="0" borderId="0" xfId="30873" applyFont="1" applyFill="1" applyBorder="1" applyAlignment="1">
      <alignment horizontal="justify" vertical="center" wrapText="1"/>
    </xf>
    <xf numFmtId="0" fontId="7" fillId="0" borderId="0" xfId="0" applyFont="1" applyBorder="1" applyAlignment="1">
      <alignment horizontal="justify" vertical="center" wrapText="1"/>
    </xf>
    <xf numFmtId="0" fontId="7" fillId="0" borderId="0" xfId="36435" applyFont="1" applyFill="1" applyBorder="1" applyAlignment="1">
      <alignment horizontal="justify" vertical="center" wrapText="1"/>
    </xf>
    <xf numFmtId="0" fontId="33" fillId="0" borderId="0" xfId="6" applyFont="1" applyFill="1" applyBorder="1" applyAlignment="1">
      <alignment horizontal="left" vertical="center" wrapText="1"/>
    </xf>
    <xf numFmtId="0" fontId="48" fillId="0" borderId="0" xfId="4" quotePrefix="1" applyFont="1" applyBorder="1" applyAlignment="1">
      <alignment horizontal="left"/>
    </xf>
    <xf numFmtId="0" fontId="33" fillId="0" borderId="0" xfId="6" applyFont="1" applyBorder="1" applyAlignment="1">
      <alignment horizontal="justify" vertical="center" wrapText="1"/>
    </xf>
    <xf numFmtId="0" fontId="7" fillId="0" borderId="11" xfId="4093" applyFont="1" applyFill="1" applyBorder="1" applyAlignment="1">
      <alignment horizontal="left" vertical="center" wrapText="1"/>
    </xf>
    <xf numFmtId="0" fontId="7" fillId="0" borderId="0" xfId="4093" applyFont="1" applyFill="1" applyBorder="1" applyAlignment="1">
      <alignment horizontal="left" vertical="center" wrapText="1"/>
    </xf>
    <xf numFmtId="0" fontId="7" fillId="0" borderId="0" xfId="4" quotePrefix="1" applyFont="1" applyFill="1" applyBorder="1" applyAlignment="1">
      <alignment horizontal="left"/>
    </xf>
    <xf numFmtId="0" fontId="33" fillId="0" borderId="0" xfId="4093" applyFont="1" applyFill="1" applyBorder="1" applyAlignment="1">
      <alignment horizontal="center" vertical="center"/>
    </xf>
    <xf numFmtId="0" fontId="33" fillId="0" borderId="0" xfId="4093" applyFont="1" applyFill="1" applyBorder="1" applyAlignment="1">
      <alignment horizontal="justify" vertical="center" wrapText="1"/>
    </xf>
    <xf numFmtId="0" fontId="7" fillId="0" borderId="0" xfId="4093" applyNumberFormat="1" applyFont="1" applyFill="1" applyBorder="1" applyAlignment="1">
      <alignment horizontal="justify" vertical="center" wrapText="1"/>
    </xf>
    <xf numFmtId="0" fontId="7" fillId="0" borderId="0" xfId="4093" applyFont="1" applyFill="1" applyBorder="1" applyAlignment="1">
      <alignment horizontal="justify" vertical="center" wrapText="1"/>
    </xf>
    <xf numFmtId="0" fontId="33" fillId="0" borderId="0" xfId="4093" applyFont="1" applyBorder="1" applyAlignment="1">
      <alignment horizontal="justify" vertical="center" wrapText="1"/>
    </xf>
    <xf numFmtId="0" fontId="32" fillId="0" borderId="0" xfId="4093" applyFont="1" applyFill="1" applyBorder="1" applyAlignment="1">
      <alignment horizontal="justify" vertical="center" wrapText="1"/>
    </xf>
    <xf numFmtId="0" fontId="33" fillId="0" borderId="0" xfId="4093" applyFont="1" applyFill="1" applyBorder="1" applyAlignment="1">
      <alignment horizontal="justify" wrapText="1"/>
    </xf>
    <xf numFmtId="0" fontId="33" fillId="0" borderId="0" xfId="4093" applyFont="1" applyFill="1" applyBorder="1" applyAlignment="1">
      <alignment horizontal="left"/>
    </xf>
    <xf numFmtId="0" fontId="33" fillId="0" borderId="0" xfId="4093" applyNumberFormat="1" applyFont="1" applyFill="1" applyBorder="1" applyAlignment="1">
      <alignment horizontal="justify" vertical="center" wrapText="1"/>
    </xf>
    <xf numFmtId="0" fontId="33" fillId="0" borderId="1" xfId="4093" applyFont="1" applyFill="1" applyBorder="1" applyAlignment="1">
      <alignment horizontal="center"/>
    </xf>
    <xf numFmtId="0" fontId="7" fillId="0" borderId="0" xfId="5" applyFont="1" applyFill="1"/>
    <xf numFmtId="0" fontId="33" fillId="0" borderId="0" xfId="4093" applyFont="1" applyFill="1" applyAlignment="1">
      <alignment horizontal="justify" wrapText="1"/>
    </xf>
    <xf numFmtId="0" fontId="33" fillId="0" borderId="0" xfId="4093" applyNumberFormat="1" applyFont="1" applyFill="1" applyAlignment="1">
      <alignment horizontal="justify" wrapText="1"/>
    </xf>
    <xf numFmtId="0" fontId="33" fillId="0" borderId="1" xfId="9" applyFont="1" applyFill="1" applyBorder="1" applyAlignment="1">
      <alignment horizontal="center" vertical="center" wrapText="1"/>
    </xf>
    <xf numFmtId="0" fontId="33" fillId="0" borderId="0" xfId="4093" applyFont="1" applyFill="1" applyBorder="1" applyAlignment="1">
      <alignment horizontal="left" vertical="center"/>
    </xf>
    <xf numFmtId="0" fontId="33" fillId="0" borderId="0" xfId="4093" applyFont="1" applyFill="1" applyBorder="1" applyAlignment="1">
      <alignment horizontal="left" wrapText="1"/>
    </xf>
    <xf numFmtId="0" fontId="33" fillId="0" borderId="0" xfId="12" applyFont="1" applyFill="1" applyAlignment="1">
      <alignment horizontal="justify" vertical="center" wrapText="1"/>
    </xf>
    <xf numFmtId="0" fontId="33" fillId="0" borderId="0" xfId="4093" applyFont="1" applyFill="1" applyBorder="1" applyAlignment="1">
      <alignment horizontal="left" vertical="center" wrapText="1"/>
    </xf>
    <xf numFmtId="0" fontId="32" fillId="0" borderId="0" xfId="4093" applyFont="1" applyFill="1" applyAlignment="1">
      <alignment wrapText="1"/>
    </xf>
    <xf numFmtId="0" fontId="11" fillId="0" borderId="0" xfId="0" applyFont="1" applyFill="1" applyBorder="1" applyAlignment="1">
      <alignment horizontal="justify" wrapText="1"/>
    </xf>
    <xf numFmtId="0" fontId="11" fillId="0" borderId="0" xfId="0" applyFont="1" applyFill="1" applyBorder="1" applyAlignment="1">
      <alignment horizontal="left"/>
    </xf>
    <xf numFmtId="0" fontId="11" fillId="0" borderId="0" xfId="0" applyFont="1" applyBorder="1" applyAlignment="1">
      <alignment horizontal="left"/>
    </xf>
    <xf numFmtId="49" fontId="11" fillId="0" borderId="0" xfId="0" applyNumberFormat="1" applyFont="1" applyFill="1" applyBorder="1" applyAlignment="1">
      <alignment horizontal="left"/>
    </xf>
    <xf numFmtId="0" fontId="11" fillId="0" borderId="0" xfId="0" applyFont="1" applyFill="1" applyAlignment="1">
      <alignment horizontal="justify" wrapText="1"/>
    </xf>
    <xf numFmtId="49" fontId="7" fillId="0" borderId="0" xfId="0" applyNumberFormat="1" applyFont="1" applyFill="1"/>
    <xf numFmtId="49" fontId="7" fillId="0" borderId="0" xfId="0" applyNumberFormat="1" applyFont="1" applyAlignment="1">
      <alignment horizontal="left" wrapText="1"/>
    </xf>
    <xf numFmtId="0" fontId="33" fillId="0" borderId="0" xfId="9" applyFont="1" applyFill="1" applyAlignment="1">
      <alignment horizontal="justify" wrapText="1"/>
    </xf>
    <xf numFmtId="0" fontId="33" fillId="0" borderId="2" xfId="21" applyFont="1" applyBorder="1" applyAlignment="1">
      <alignment horizontal="center" vertical="center" wrapText="1"/>
    </xf>
    <xf numFmtId="0" fontId="33" fillId="0" borderId="2" xfId="21" applyFont="1" applyFill="1" applyBorder="1" applyAlignment="1">
      <alignment horizontal="center" vertical="center"/>
    </xf>
    <xf numFmtId="0" fontId="33" fillId="0" borderId="9" xfId="21" applyFont="1" applyBorder="1" applyAlignment="1">
      <alignment horizontal="center" vertical="center" wrapText="1"/>
    </xf>
    <xf numFmtId="0" fontId="33" fillId="0" borderId="9" xfId="21" applyFont="1" applyFill="1" applyBorder="1" applyAlignment="1">
      <alignment horizontal="center" vertical="center"/>
    </xf>
    <xf numFmtId="0" fontId="33" fillId="0" borderId="6" xfId="21" applyFont="1" applyBorder="1" applyAlignment="1">
      <alignment horizontal="center" vertical="center" wrapText="1"/>
    </xf>
    <xf numFmtId="0" fontId="33" fillId="0" borderId="24" xfId="21" applyFont="1" applyBorder="1" applyAlignment="1">
      <alignment horizontal="center" vertical="center"/>
    </xf>
    <xf numFmtId="0" fontId="33" fillId="0" borderId="25" xfId="21" applyFont="1" applyBorder="1" applyAlignment="1">
      <alignment horizontal="center" vertical="center"/>
    </xf>
    <xf numFmtId="0" fontId="33" fillId="0" borderId="26" xfId="21" applyFont="1" applyBorder="1" applyAlignment="1">
      <alignment horizontal="center" vertical="center"/>
    </xf>
    <xf numFmtId="0" fontId="7" fillId="0" borderId="0" xfId="21" applyFont="1" applyFill="1" applyBorder="1" applyAlignment="1">
      <alignment horizontal="justify" wrapText="1"/>
    </xf>
    <xf numFmtId="0" fontId="7" fillId="0" borderId="0" xfId="21" applyFont="1" applyFill="1" applyAlignment="1">
      <alignment horizontal="justify" wrapText="1"/>
    </xf>
    <xf numFmtId="3" fontId="7" fillId="0" borderId="0" xfId="21" applyNumberFormat="1" applyFont="1" applyFill="1" applyAlignment="1" applyProtection="1">
      <alignment horizontal="justify" vertical="center" wrapText="1"/>
      <protection locked="0"/>
    </xf>
    <xf numFmtId="0" fontId="7" fillId="0" borderId="0" xfId="21" applyFont="1" applyFill="1" applyAlignment="1">
      <alignment horizontal="justify"/>
    </xf>
    <xf numFmtId="0" fontId="7" fillId="0" borderId="0" xfId="21" applyFont="1" applyAlignment="1">
      <alignment horizontal="justify"/>
    </xf>
    <xf numFmtId="0" fontId="7" fillId="0" borderId="0" xfId="21" applyFont="1" applyAlignment="1">
      <alignment horizontal="justify" vertical="center" wrapText="1"/>
    </xf>
    <xf numFmtId="41" fontId="33" fillId="0" borderId="0" xfId="30864" applyNumberFormat="1" applyFont="1" applyFill="1" applyBorder="1"/>
    <xf numFmtId="41" fontId="33" fillId="0" borderId="0" xfId="21" applyNumberFormat="1" applyFont="1" applyFill="1" applyBorder="1" applyAlignment="1">
      <alignment horizontal="right"/>
    </xf>
    <xf numFmtId="3" fontId="7" fillId="0" borderId="0" xfId="25655" applyNumberFormat="1" applyFont="1" applyFill="1" applyBorder="1" applyAlignment="1" applyProtection="1">
      <alignment horizontal="left" vertical="center"/>
      <protection locked="0"/>
    </xf>
    <xf numFmtId="41" fontId="7" fillId="0" borderId="0" xfId="21" applyNumberFormat="1" applyFont="1" applyFill="1" applyBorder="1" applyAlignment="1">
      <alignment horizontal="right"/>
    </xf>
    <xf numFmtId="41" fontId="33" fillId="0" borderId="0" xfId="21" applyNumberFormat="1" applyFont="1" applyFill="1" applyBorder="1"/>
    <xf numFmtId="3" fontId="7" fillId="0" borderId="0" xfId="25418" applyNumberFormat="1" applyFont="1" applyFill="1" applyBorder="1" applyAlignment="1" applyProtection="1">
      <alignment horizontal="left" vertical="center"/>
      <protection locked="0"/>
    </xf>
    <xf numFmtId="0" fontId="7" fillId="0" borderId="0" xfId="28002" applyFont="1" applyFill="1" applyBorder="1" applyAlignment="1">
      <alignment vertical="center" wrapText="1"/>
    </xf>
    <xf numFmtId="170" fontId="7" fillId="0" borderId="0" xfId="30866" applyNumberFormat="1" applyFont="1" applyFill="1" applyBorder="1" applyAlignment="1">
      <alignment horizontal="right" vertical="center"/>
    </xf>
    <xf numFmtId="170" fontId="7" fillId="0" borderId="0" xfId="30866" applyNumberFormat="1" applyFont="1" applyFill="1" applyBorder="1" applyAlignment="1">
      <alignment vertical="center"/>
    </xf>
    <xf numFmtId="170" fontId="7" fillId="0" borderId="0" xfId="21" applyNumberFormat="1" applyFont="1" applyFill="1" applyBorder="1" applyAlignment="1">
      <alignment horizontal="right" vertical="center"/>
    </xf>
    <xf numFmtId="173" fontId="7" fillId="0" borderId="0" xfId="21" applyNumberFormat="1" applyFont="1" applyFill="1" applyBorder="1"/>
    <xf numFmtId="173" fontId="7" fillId="0" borderId="0" xfId="4079" applyNumberFormat="1" applyFont="1" applyFill="1" applyBorder="1"/>
    <xf numFmtId="171" fontId="7" fillId="0" borderId="0" xfId="30866" applyNumberFormat="1" applyFont="1" applyFill="1" applyBorder="1"/>
    <xf numFmtId="173" fontId="7" fillId="0" borderId="0" xfId="21" applyNumberFormat="1" applyFont="1" applyFill="1" applyBorder="1" applyAlignment="1">
      <alignment horizontal="right"/>
    </xf>
    <xf numFmtId="165" fontId="7" fillId="0" borderId="0" xfId="4079" applyNumberFormat="1" applyFont="1" applyFill="1" applyBorder="1" applyAlignment="1" applyProtection="1">
      <alignment horizontal="right" vertical="center"/>
      <protection locked="0"/>
    </xf>
    <xf numFmtId="165" fontId="10" fillId="0" borderId="0" xfId="4079" applyNumberFormat="1" applyFont="1" applyBorder="1"/>
    <xf numFmtId="3" fontId="7" fillId="0" borderId="0" xfId="25526" applyNumberFormat="1" applyFont="1" applyFill="1" applyBorder="1" applyAlignment="1" applyProtection="1">
      <alignment horizontal="left" vertical="center"/>
      <protection locked="0"/>
    </xf>
    <xf numFmtId="3" fontId="7" fillId="0" borderId="0" xfId="25527" applyNumberFormat="1" applyFont="1" applyFill="1" applyBorder="1" applyAlignment="1" applyProtection="1">
      <alignment horizontal="left" vertical="center"/>
      <protection locked="0"/>
    </xf>
    <xf numFmtId="3" fontId="7" fillId="0" borderId="0" xfId="25528" applyNumberFormat="1" applyFont="1" applyFill="1" applyBorder="1" applyAlignment="1" applyProtection="1">
      <alignment horizontal="left" vertical="center"/>
      <protection locked="0"/>
    </xf>
    <xf numFmtId="3" fontId="7" fillId="0" borderId="0" xfId="28002" applyNumberFormat="1" applyFont="1" applyBorder="1" applyAlignment="1">
      <alignment horizontal="center"/>
    </xf>
    <xf numFmtId="0" fontId="33" fillId="0" borderId="0" xfId="28002" applyFont="1" applyFill="1" applyBorder="1" applyAlignment="1">
      <alignment horizontal="center" vertical="center"/>
    </xf>
    <xf numFmtId="0" fontId="7" fillId="0" borderId="0" xfId="30865" applyFont="1" applyFill="1" applyBorder="1" applyAlignment="1">
      <alignment horizontal="center" vertical="center"/>
    </xf>
    <xf numFmtId="0" fontId="11" fillId="0" borderId="0" xfId="6" applyFont="1" applyFill="1" applyBorder="1" applyAlignment="1">
      <alignment horizontal="center" vertical="center"/>
    </xf>
    <xf numFmtId="0" fontId="11" fillId="0" borderId="0" xfId="25418" applyFont="1" applyBorder="1" applyAlignment="1">
      <alignment horizontal="center"/>
    </xf>
    <xf numFmtId="0" fontId="7" fillId="0" borderId="0" xfId="25418" applyFont="1" applyBorder="1" applyAlignment="1">
      <alignment horizontal="center"/>
    </xf>
    <xf numFmtId="3" fontId="7" fillId="0" borderId="0" xfId="25529" applyNumberFormat="1" applyFont="1" applyFill="1" applyBorder="1" applyAlignment="1" applyProtection="1">
      <alignment horizontal="left" vertical="center"/>
      <protection locked="0"/>
    </xf>
    <xf numFmtId="3" fontId="7" fillId="0" borderId="0" xfId="25530" applyNumberFormat="1" applyFont="1" applyFill="1" applyBorder="1" applyAlignment="1" applyProtection="1">
      <alignment horizontal="left" vertical="center"/>
      <protection locked="0"/>
    </xf>
    <xf numFmtId="3" fontId="7" fillId="0" borderId="0" xfId="25531" applyNumberFormat="1" applyFont="1" applyFill="1" applyBorder="1" applyAlignment="1" applyProtection="1">
      <alignment horizontal="left" vertical="center"/>
      <protection locked="0"/>
    </xf>
    <xf numFmtId="173" fontId="33" fillId="0" borderId="0" xfId="28002" applyNumberFormat="1" applyFont="1" applyFill="1" applyBorder="1" applyAlignment="1">
      <alignment horizontal="right" vertical="center"/>
    </xf>
    <xf numFmtId="173" fontId="7" fillId="0" borderId="0" xfId="28002" applyNumberFormat="1" applyFont="1" applyFill="1" applyBorder="1" applyAlignment="1">
      <alignment horizontal="right" vertical="center"/>
    </xf>
    <xf numFmtId="173" fontId="11" fillId="0" borderId="0" xfId="4079" applyNumberFormat="1" applyFont="1" applyFill="1" applyBorder="1" applyAlignment="1">
      <alignment horizontal="right" vertical="center"/>
    </xf>
    <xf numFmtId="173" fontId="11" fillId="0" borderId="0" xfId="25418" applyNumberFormat="1" applyFont="1" applyFill="1" applyBorder="1" applyAlignment="1">
      <alignment horizontal="right" vertical="center"/>
    </xf>
    <xf numFmtId="173" fontId="7" fillId="0" borderId="0" xfId="25418" applyNumberFormat="1" applyFont="1" applyFill="1" applyBorder="1" applyAlignment="1">
      <alignment horizontal="right" vertical="center"/>
    </xf>
    <xf numFmtId="170" fontId="33" fillId="0" borderId="0" xfId="30866" applyNumberFormat="1" applyFont="1" applyFill="1" applyBorder="1" applyAlignment="1">
      <alignment vertical="center"/>
    </xf>
    <xf numFmtId="170" fontId="11" fillId="0" borderId="0" xfId="30866" applyNumberFormat="1" applyFont="1" applyFill="1" applyBorder="1" applyAlignment="1">
      <alignment horizontal="right" vertical="center"/>
    </xf>
    <xf numFmtId="0" fontId="10" fillId="0" borderId="0" xfId="4093" applyFont="1" applyFill="1" applyBorder="1" applyAlignment="1">
      <alignment horizontal="left" vertical="center"/>
    </xf>
    <xf numFmtId="41" fontId="10" fillId="0" borderId="0" xfId="4093" applyNumberFormat="1" applyFont="1" applyFill="1" applyBorder="1" applyAlignment="1">
      <alignment horizontal="right" vertical="center"/>
    </xf>
    <xf numFmtId="41" fontId="10" fillId="0" borderId="0" xfId="4093" applyNumberFormat="1" applyFont="1" applyFill="1" applyBorder="1" applyAlignment="1">
      <alignment horizontal="right" vertical="center" wrapText="1"/>
    </xf>
    <xf numFmtId="3" fontId="7" fillId="0" borderId="0" xfId="4093" applyNumberFormat="1" applyFont="1" applyFill="1" applyBorder="1" applyAlignment="1" applyProtection="1">
      <alignment horizontal="left" vertical="center"/>
      <protection locked="0"/>
    </xf>
    <xf numFmtId="41" fontId="10" fillId="0" borderId="0" xfId="4093" applyNumberFormat="1" applyFont="1" applyFill="1" applyBorder="1" applyAlignment="1">
      <alignment horizontal="right"/>
    </xf>
    <xf numFmtId="41" fontId="7" fillId="0" borderId="0" xfId="4093" applyNumberFormat="1" applyFont="1" applyFill="1" applyBorder="1" applyAlignment="1">
      <alignment horizontal="right" vertical="center" wrapText="1"/>
    </xf>
    <xf numFmtId="0" fontId="10" fillId="0" borderId="0" xfId="4093" applyFont="1" applyBorder="1" applyAlignment="1">
      <alignment horizontal="left" vertical="center"/>
    </xf>
    <xf numFmtId="165" fontId="10" fillId="0" borderId="0" xfId="4093" applyNumberFormat="1" applyFont="1" applyBorder="1" applyAlignment="1">
      <alignment horizontal="right" vertical="center"/>
    </xf>
    <xf numFmtId="165" fontId="10" fillId="0" borderId="0" xfId="4093" applyNumberFormat="1" applyFont="1" applyBorder="1" applyAlignment="1">
      <alignment horizontal="right" vertical="center" wrapText="1"/>
    </xf>
    <xf numFmtId="165" fontId="10" fillId="0" borderId="0" xfId="4093" applyNumberFormat="1" applyFont="1" applyBorder="1" applyAlignment="1">
      <alignment horizontal="right"/>
    </xf>
    <xf numFmtId="165" fontId="7" fillId="0" borderId="0" xfId="4093" applyNumberFormat="1" applyFont="1" applyBorder="1" applyAlignment="1">
      <alignment horizontal="right" vertical="center" wrapText="1"/>
    </xf>
    <xf numFmtId="165" fontId="33" fillId="0" borderId="0" xfId="4093" applyNumberFormat="1" applyFont="1" applyFill="1" applyBorder="1"/>
    <xf numFmtId="3" fontId="7" fillId="0" borderId="0" xfId="4093" applyNumberFormat="1" applyFont="1" applyBorder="1"/>
    <xf numFmtId="165" fontId="7" fillId="0" borderId="0" xfId="4093" applyNumberFormat="1" applyFont="1" applyBorder="1"/>
    <xf numFmtId="0" fontId="33" fillId="0" borderId="0" xfId="30873" applyFont="1" applyFill="1" applyBorder="1"/>
    <xf numFmtId="41" fontId="33" fillId="0" borderId="0" xfId="30873" applyNumberFormat="1" applyFont="1" applyFill="1" applyBorder="1"/>
    <xf numFmtId="41" fontId="7" fillId="0" borderId="0" xfId="30873" applyNumberFormat="1" applyFont="1" applyFill="1" applyBorder="1"/>
    <xf numFmtId="0" fontId="11" fillId="0" borderId="0" xfId="0" applyFont="1" applyAlignment="1">
      <alignment horizontal="left" wrapText="1"/>
    </xf>
    <xf numFmtId="3" fontId="33" fillId="0" borderId="22" xfId="30873" applyNumberFormat="1" applyFont="1" applyFill="1" applyBorder="1" applyAlignment="1">
      <alignment horizontal="center" vertical="center" wrapText="1"/>
    </xf>
    <xf numFmtId="3" fontId="33" fillId="0" borderId="22" xfId="30873" applyNumberFormat="1" applyFont="1" applyFill="1" applyBorder="1" applyAlignment="1">
      <alignment horizontal="center" vertical="center"/>
    </xf>
    <xf numFmtId="3" fontId="33" fillId="0" borderId="22" xfId="30873" applyNumberFormat="1" applyFont="1" applyFill="1" applyBorder="1" applyAlignment="1">
      <alignment horizontal="center" vertical="center" wrapText="1"/>
    </xf>
    <xf numFmtId="3" fontId="33" fillId="0" borderId="0" xfId="30873" applyNumberFormat="1" applyFont="1" applyBorder="1" applyAlignment="1">
      <alignment vertical="center"/>
    </xf>
    <xf numFmtId="3" fontId="7" fillId="0" borderId="0" xfId="30873" applyNumberFormat="1" applyFont="1" applyBorder="1" applyAlignment="1">
      <alignment horizontal="right" vertical="center"/>
    </xf>
    <xf numFmtId="3" fontId="7" fillId="0" borderId="0" xfId="30873" applyNumberFormat="1" applyFont="1" applyBorder="1" applyAlignment="1">
      <alignment vertical="center"/>
    </xf>
    <xf numFmtId="3" fontId="7" fillId="0" borderId="0" xfId="30873" applyNumberFormat="1" applyFont="1" applyFill="1" applyBorder="1" applyAlignment="1">
      <alignment vertical="center"/>
    </xf>
    <xf numFmtId="0" fontId="33" fillId="0" borderId="0" xfId="28002" applyNumberFormat="1" applyFont="1" applyBorder="1" applyAlignment="1">
      <alignment horizontal="justify" wrapText="1"/>
    </xf>
    <xf numFmtId="0" fontId="33" fillId="0" borderId="0" xfId="5" applyFont="1" applyAlignment="1">
      <alignment horizontal="left" vertical="justify" wrapText="1"/>
    </xf>
    <xf numFmtId="0" fontId="10" fillId="0" borderId="22" xfId="12" applyFont="1" applyFill="1" applyBorder="1" applyAlignment="1">
      <alignment horizontal="center" vertical="center" wrapText="1"/>
    </xf>
    <xf numFmtId="0" fontId="7" fillId="0" borderId="0" xfId="12" applyFont="1" applyFill="1" applyBorder="1" applyAlignment="1">
      <alignment horizontal="left" vertical="center" wrapText="1"/>
    </xf>
    <xf numFmtId="3" fontId="7" fillId="0" borderId="0" xfId="12" applyNumberFormat="1" applyFont="1" applyFill="1" applyBorder="1" applyAlignment="1">
      <alignment vertical="center"/>
    </xf>
    <xf numFmtId="166" fontId="33" fillId="0" borderId="0" xfId="30873" applyNumberFormat="1" applyFont="1" applyFill="1" applyBorder="1"/>
    <xf numFmtId="166" fontId="7" fillId="0" borderId="0" xfId="36416" applyNumberFormat="1" applyFont="1" applyFill="1" applyBorder="1" applyAlignment="1">
      <alignment vertical="center"/>
    </xf>
    <xf numFmtId="166" fontId="7" fillId="0" borderId="0" xfId="36416" applyNumberFormat="1" applyFont="1" applyFill="1" applyBorder="1" applyAlignment="1"/>
    <xf numFmtId="166" fontId="7" fillId="0" borderId="0" xfId="36416" applyNumberFormat="1" applyFont="1" applyFill="1" applyBorder="1"/>
    <xf numFmtId="0" fontId="7" fillId="0" borderId="0" xfId="30873" applyFont="1" applyFill="1" applyBorder="1" applyAlignment="1">
      <alignment vertical="top" wrapText="1"/>
    </xf>
    <xf numFmtId="0" fontId="33" fillId="0" borderId="22" xfId="36416" applyNumberFormat="1" applyFont="1" applyFill="1" applyBorder="1" applyAlignment="1">
      <alignment horizontal="center" vertical="center" wrapText="1"/>
    </xf>
    <xf numFmtId="0" fontId="33" fillId="0" borderId="22" xfId="36416" applyFont="1" applyFill="1" applyBorder="1" applyAlignment="1">
      <alignment horizontal="center" vertical="center" wrapText="1"/>
    </xf>
    <xf numFmtId="0" fontId="33" fillId="0" borderId="0" xfId="30874" applyFont="1" applyAlignment="1">
      <alignment horizontal="justify" vertical="center" wrapText="1"/>
    </xf>
    <xf numFmtId="49" fontId="7" fillId="0" borderId="0" xfId="30874" applyNumberFormat="1" applyFont="1" applyFill="1" applyAlignment="1">
      <alignment horizontal="left" wrapText="1"/>
    </xf>
    <xf numFmtId="0" fontId="10" fillId="0" borderId="0" xfId="0" applyFont="1" applyFill="1" applyBorder="1" applyAlignment="1">
      <alignment horizontal="justify" wrapText="1"/>
    </xf>
    <xf numFmtId="0" fontId="33" fillId="0" borderId="0" xfId="0" applyFont="1" applyFill="1" applyBorder="1" applyAlignment="1">
      <alignment horizontal="justify" wrapText="1"/>
    </xf>
    <xf numFmtId="0" fontId="33" fillId="0" borderId="0" xfId="28002" applyFont="1" applyFill="1" applyBorder="1" applyAlignment="1">
      <alignment horizontal="justify" vertical="top" wrapText="1"/>
    </xf>
    <xf numFmtId="0" fontId="33" fillId="0" borderId="0" xfId="36433" applyFont="1" applyFill="1" applyBorder="1" applyAlignment="1">
      <alignment horizontal="justify" vertical="center" wrapText="1"/>
    </xf>
    <xf numFmtId="0" fontId="33" fillId="0" borderId="0" xfId="36433" applyFont="1" applyBorder="1" applyAlignment="1">
      <alignment horizontal="left"/>
    </xf>
    <xf numFmtId="41" fontId="33" fillId="0" borderId="0" xfId="36433" applyNumberFormat="1" applyFont="1" applyBorder="1" applyAlignment="1">
      <alignment horizontal="right"/>
    </xf>
    <xf numFmtId="3" fontId="7" fillId="0" borderId="0" xfId="25597" applyNumberFormat="1" applyFont="1" applyFill="1" applyBorder="1" applyAlignment="1" applyProtection="1">
      <alignment horizontal="left" vertical="center"/>
      <protection locked="0"/>
    </xf>
    <xf numFmtId="41" fontId="7" fillId="0" borderId="0" xfId="36433" applyNumberFormat="1" applyFont="1" applyBorder="1" applyAlignment="1">
      <alignment horizontal="right"/>
    </xf>
    <xf numFmtId="0" fontId="33" fillId="0" borderId="22" xfId="36433" applyFont="1" applyBorder="1" applyAlignment="1">
      <alignment horizontal="center" vertical="center"/>
    </xf>
    <xf numFmtId="0" fontId="33" fillId="0" borderId="22" xfId="36433" applyFont="1" applyBorder="1" applyAlignment="1">
      <alignment horizontal="center" vertical="center" wrapText="1"/>
    </xf>
    <xf numFmtId="0" fontId="33" fillId="0" borderId="0" xfId="36433" applyFont="1" applyFill="1" applyBorder="1" applyAlignment="1">
      <alignment wrapText="1"/>
    </xf>
    <xf numFmtId="0" fontId="33" fillId="0" borderId="22" xfId="36433" applyFont="1" applyFill="1" applyBorder="1" applyAlignment="1">
      <alignment horizontal="center" vertical="center"/>
    </xf>
    <xf numFmtId="0" fontId="33" fillId="0" borderId="22" xfId="36433" applyFont="1" applyFill="1" applyBorder="1" applyAlignment="1">
      <alignment horizontal="center"/>
    </xf>
    <xf numFmtId="0" fontId="33" fillId="0" borderId="22" xfId="36433" applyFont="1" applyFill="1" applyBorder="1" applyAlignment="1">
      <alignment horizontal="center" vertical="center"/>
    </xf>
    <xf numFmtId="41" fontId="33" fillId="0" borderId="0" xfId="36433" applyNumberFormat="1" applyFont="1" applyFill="1" applyBorder="1"/>
    <xf numFmtId="41" fontId="7" fillId="0" borderId="0" xfId="36433" applyNumberFormat="1" applyFont="1" applyFill="1" applyBorder="1" applyAlignment="1">
      <alignment horizontal="right"/>
    </xf>
    <xf numFmtId="0" fontId="7" fillId="0" borderId="0" xfId="36433" applyFont="1" applyFill="1" applyAlignment="1">
      <alignment horizontal="justify" wrapText="1"/>
    </xf>
    <xf numFmtId="0" fontId="33" fillId="0" borderId="22" xfId="36433" applyFont="1" applyFill="1" applyBorder="1" applyAlignment="1">
      <alignment horizontal="center" vertical="center" wrapText="1"/>
    </xf>
    <xf numFmtId="3" fontId="33" fillId="0" borderId="0" xfId="6" applyNumberFormat="1" applyFont="1" applyBorder="1" applyAlignment="1"/>
    <xf numFmtId="3" fontId="7" fillId="0" borderId="0" xfId="25596" applyNumberFormat="1" applyFont="1" applyFill="1" applyBorder="1" applyAlignment="1" applyProtection="1">
      <alignment horizontal="left" vertical="center"/>
      <protection locked="0"/>
    </xf>
    <xf numFmtId="3" fontId="7" fillId="0" borderId="0" xfId="36433" applyNumberFormat="1" applyFont="1" applyFill="1" applyBorder="1"/>
    <xf numFmtId="0" fontId="7" fillId="0" borderId="0" xfId="36433" applyNumberFormat="1" applyFont="1" applyBorder="1" applyAlignment="1">
      <alignment horizontal="right"/>
    </xf>
    <xf numFmtId="0" fontId="33" fillId="0" borderId="22" xfId="36433" applyFont="1" applyFill="1" applyBorder="1" applyAlignment="1">
      <alignment horizontal="center" vertical="center" wrapText="1"/>
    </xf>
    <xf numFmtId="0" fontId="33" fillId="0" borderId="0" xfId="36433" applyFont="1" applyFill="1" applyBorder="1"/>
    <xf numFmtId="3" fontId="33" fillId="0" borderId="0" xfId="4079" applyNumberFormat="1" applyFont="1" applyFill="1" applyBorder="1" applyAlignment="1">
      <alignment vertical="center" wrapText="1"/>
    </xf>
    <xf numFmtId="3" fontId="7" fillId="0" borderId="0" xfId="4079" applyNumberFormat="1" applyFont="1" applyFill="1" applyBorder="1" applyAlignment="1">
      <alignment horizontal="right" vertical="center"/>
    </xf>
    <xf numFmtId="3" fontId="7" fillId="0" borderId="0" xfId="36433" applyNumberFormat="1" applyFont="1" applyFill="1" applyBorder="1" applyAlignment="1"/>
    <xf numFmtId="165" fontId="33" fillId="0" borderId="22" xfId="4079" applyNumberFormat="1" applyFont="1" applyFill="1" applyBorder="1" applyAlignment="1">
      <alignment horizontal="center" vertical="center"/>
    </xf>
    <xf numFmtId="0" fontId="33" fillId="0" borderId="22" xfId="6" applyFont="1" applyFill="1" applyBorder="1" applyAlignment="1">
      <alignment horizontal="center" vertical="center"/>
    </xf>
    <xf numFmtId="165" fontId="7" fillId="0" borderId="0" xfId="36433" applyNumberFormat="1" applyFont="1" applyFill="1" applyBorder="1"/>
    <xf numFmtId="165" fontId="7" fillId="0" borderId="0" xfId="36433" applyNumberFormat="1" applyFont="1" applyFill="1" applyBorder="1" applyAlignment="1">
      <alignment horizontal="right"/>
    </xf>
    <xf numFmtId="0" fontId="33" fillId="0" borderId="0" xfId="6" applyFont="1" applyFill="1" applyBorder="1" applyAlignment="1">
      <alignment horizontal="left"/>
    </xf>
    <xf numFmtId="41" fontId="7" fillId="0" borderId="0" xfId="6" applyNumberFormat="1" applyFont="1" applyFill="1" applyBorder="1"/>
    <xf numFmtId="41" fontId="33" fillId="0" borderId="0" xfId="6" applyNumberFormat="1" applyFont="1" applyFill="1" applyBorder="1" applyAlignment="1">
      <alignment vertical="center"/>
    </xf>
    <xf numFmtId="0" fontId="33" fillId="0" borderId="0" xfId="6" applyFont="1" applyFill="1" applyBorder="1" applyAlignment="1">
      <alignment vertical="top"/>
    </xf>
    <xf numFmtId="0" fontId="33" fillId="0" borderId="0" xfId="6" applyFont="1" applyFill="1" applyBorder="1" applyAlignment="1">
      <alignment vertical="top" wrapText="1"/>
    </xf>
    <xf numFmtId="0" fontId="7" fillId="0" borderId="0" xfId="6" applyFont="1" applyFill="1" applyBorder="1" applyAlignment="1">
      <alignment vertical="top"/>
    </xf>
    <xf numFmtId="0" fontId="32" fillId="0" borderId="0" xfId="36433" applyFont="1" applyBorder="1"/>
    <xf numFmtId="3" fontId="7" fillId="0" borderId="0" xfId="36433" applyNumberFormat="1" applyFont="1" applyBorder="1"/>
    <xf numFmtId="0" fontId="10" fillId="0" borderId="0" xfId="36433" applyFont="1" applyBorder="1" applyAlignment="1">
      <alignment horizontal="left" vertical="center" wrapText="1"/>
    </xf>
    <xf numFmtId="41" fontId="10" fillId="0" borderId="0" xfId="36433" applyNumberFormat="1" applyFont="1" applyBorder="1" applyAlignment="1">
      <alignment horizontal="right" vertical="center" wrapText="1"/>
    </xf>
    <xf numFmtId="41" fontId="10" fillId="0" borderId="0" xfId="36433" applyNumberFormat="1" applyFont="1" applyBorder="1" applyAlignment="1">
      <alignment horizontal="right" wrapText="1"/>
    </xf>
    <xf numFmtId="0" fontId="7" fillId="0" borderId="0" xfId="36433" applyFont="1" applyBorder="1" applyAlignment="1">
      <alignment horizontal="left"/>
    </xf>
    <xf numFmtId="41" fontId="10" fillId="0" borderId="0" xfId="36433" applyNumberFormat="1" applyFont="1" applyBorder="1" applyAlignment="1">
      <alignment horizontal="right"/>
    </xf>
    <xf numFmtId="41" fontId="7" fillId="0" borderId="0" xfId="36433" applyNumberFormat="1" applyFont="1" applyBorder="1" applyAlignment="1">
      <alignment horizontal="right" vertical="center" wrapText="1"/>
    </xf>
    <xf numFmtId="0" fontId="10" fillId="0" borderId="22" xfId="36433" applyFont="1" applyBorder="1" applyAlignment="1">
      <alignment horizontal="center" vertical="center" wrapText="1"/>
    </xf>
    <xf numFmtId="0" fontId="10" fillId="0" borderId="22" xfId="36433" applyFont="1" applyBorder="1" applyAlignment="1">
      <alignment horizontal="center"/>
    </xf>
    <xf numFmtId="0" fontId="10" fillId="0" borderId="22" xfId="36433" applyFont="1" applyBorder="1" applyAlignment="1">
      <alignment horizontal="center" wrapText="1"/>
    </xf>
    <xf numFmtId="0" fontId="10" fillId="0" borderId="22" xfId="36433" applyFont="1" applyBorder="1" applyAlignment="1">
      <alignment horizontal="center" vertical="center" wrapText="1"/>
    </xf>
    <xf numFmtId="3" fontId="7" fillId="0" borderId="0" xfId="36433" applyNumberFormat="1" applyFont="1" applyBorder="1" applyAlignment="1">
      <alignment horizontal="left"/>
    </xf>
    <xf numFmtId="0" fontId="10" fillId="0" borderId="22" xfId="36433" applyFont="1" applyBorder="1" applyAlignment="1">
      <alignment horizontal="center" vertical="center"/>
    </xf>
    <xf numFmtId="0" fontId="33" fillId="0" borderId="22" xfId="36433" applyFont="1" applyBorder="1" applyAlignment="1">
      <alignment horizontal="center"/>
    </xf>
    <xf numFmtId="165" fontId="8" fillId="0" borderId="0" xfId="1" applyNumberFormat="1" applyFont="1" applyFill="1" applyBorder="1"/>
    <xf numFmtId="0" fontId="33" fillId="0" borderId="0" xfId="36433" applyFont="1" applyFill="1" applyBorder="1" applyAlignment="1">
      <alignment horizontal="left" vertical="top" wrapText="1"/>
    </xf>
    <xf numFmtId="3" fontId="33" fillId="0" borderId="0" xfId="36433" applyNumberFormat="1" applyFont="1" applyFill="1" applyBorder="1" applyAlignment="1"/>
    <xf numFmtId="3" fontId="7" fillId="0" borderId="0" xfId="36433" applyNumberFormat="1" applyFont="1" applyBorder="1" applyAlignment="1"/>
    <xf numFmtId="0" fontId="33" fillId="0" borderId="0" xfId="0" applyFont="1" applyFill="1" applyAlignment="1">
      <alignment horizontal="justify" vertical="center" wrapText="1"/>
    </xf>
    <xf numFmtId="0" fontId="33" fillId="0" borderId="22" xfId="30873" applyFont="1" applyBorder="1" applyAlignment="1">
      <alignment horizontal="center" vertical="center" wrapText="1"/>
    </xf>
    <xf numFmtId="0" fontId="33" fillId="0" borderId="22" xfId="30873" applyFont="1" applyBorder="1" applyAlignment="1">
      <alignment horizontal="center" vertical="center"/>
    </xf>
    <xf numFmtId="0" fontId="33" fillId="0" borderId="22" xfId="30873" applyFont="1" applyBorder="1" applyAlignment="1">
      <alignment horizontal="center" vertical="center" wrapText="1"/>
    </xf>
    <xf numFmtId="0" fontId="33" fillId="0" borderId="22" xfId="30873" applyFont="1" applyBorder="1" applyAlignment="1">
      <alignment horizontal="center" vertical="center"/>
    </xf>
    <xf numFmtId="0" fontId="33" fillId="0" borderId="0" xfId="30873" applyFont="1" applyBorder="1" applyAlignment="1">
      <alignment vertical="center" wrapText="1"/>
    </xf>
    <xf numFmtId="165" fontId="7" fillId="0" borderId="0" xfId="30873" applyNumberFormat="1" applyFont="1"/>
    <xf numFmtId="0" fontId="7" fillId="0" borderId="0" xfId="30873" applyFont="1" applyBorder="1" applyAlignment="1">
      <alignment vertical="top" wrapText="1"/>
    </xf>
    <xf numFmtId="165" fontId="11" fillId="0" borderId="0" xfId="8" applyNumberFormat="1" applyFont="1" applyBorder="1" applyAlignment="1">
      <alignment horizontal="right" vertical="center"/>
    </xf>
    <xf numFmtId="165" fontId="11" fillId="0" borderId="0" xfId="0" applyNumberFormat="1" applyFont="1" applyBorder="1" applyAlignment="1">
      <alignment horizontal="right" vertical="center"/>
    </xf>
    <xf numFmtId="165" fontId="11" fillId="0" borderId="0" xfId="1" applyNumberFormat="1" applyFont="1" applyBorder="1" applyAlignment="1">
      <alignment horizontal="right" vertical="center"/>
    </xf>
    <xf numFmtId="0" fontId="7" fillId="0" borderId="0" xfId="30873" applyFont="1" applyBorder="1" applyAlignment="1">
      <alignment vertical="center"/>
    </xf>
    <xf numFmtId="165" fontId="7" fillId="0" borderId="0" xfId="1" applyNumberFormat="1" applyFont="1" applyBorder="1" applyAlignment="1">
      <alignment vertical="center"/>
    </xf>
    <xf numFmtId="165" fontId="11" fillId="0" borderId="0" xfId="8" applyNumberFormat="1" applyFont="1" applyAlignment="1">
      <alignment horizontal="right" vertical="center"/>
    </xf>
    <xf numFmtId="165" fontId="11" fillId="0" borderId="0" xfId="0" applyNumberFormat="1" applyFont="1" applyAlignment="1">
      <alignment horizontal="right" vertical="center"/>
    </xf>
    <xf numFmtId="0" fontId="33" fillId="0" borderId="24" xfId="30873" applyFont="1" applyBorder="1" applyAlignment="1">
      <alignment vertical="center"/>
    </xf>
    <xf numFmtId="0" fontId="33" fillId="0" borderId="26" xfId="30873" applyFont="1" applyBorder="1" applyAlignment="1">
      <alignment vertical="center"/>
    </xf>
    <xf numFmtId="0" fontId="33" fillId="0" borderId="0" xfId="30873" applyFont="1" applyBorder="1" applyAlignment="1">
      <alignment vertical="top" wrapText="1"/>
    </xf>
    <xf numFmtId="3" fontId="33" fillId="0" borderId="0" xfId="30873" applyNumberFormat="1" applyFont="1" applyFill="1" applyBorder="1" applyAlignment="1">
      <alignment horizontal="right" vertical="center" wrapText="1"/>
    </xf>
    <xf numFmtId="3" fontId="33" fillId="0" borderId="0" xfId="30873" applyNumberFormat="1" applyFont="1" applyBorder="1" applyAlignment="1">
      <alignment horizontal="right" vertical="center" wrapText="1"/>
    </xf>
    <xf numFmtId="3" fontId="7" fillId="0" borderId="0" xfId="0" applyNumberFormat="1" applyFont="1" applyBorder="1" applyAlignment="1" applyProtection="1">
      <alignment horizontal="left" vertical="center" wrapText="1"/>
      <protection locked="0"/>
    </xf>
    <xf numFmtId="3" fontId="7" fillId="0" borderId="0" xfId="30873" applyNumberFormat="1" applyFont="1" applyBorder="1" applyAlignment="1">
      <alignment horizontal="right" vertical="center" wrapText="1"/>
    </xf>
    <xf numFmtId="3" fontId="7" fillId="0" borderId="0" xfId="0" applyNumberFormat="1" applyFont="1" applyBorder="1" applyAlignment="1" applyProtection="1">
      <alignment horizontal="left" vertical="center"/>
      <protection locked="0"/>
    </xf>
    <xf numFmtId="3" fontId="7" fillId="0" borderId="0" xfId="30873" applyNumberFormat="1" applyFont="1" applyBorder="1" applyAlignment="1">
      <alignment horizontal="right" vertical="top"/>
    </xf>
    <xf numFmtId="3" fontId="7" fillId="0" borderId="0" xfId="30873" applyNumberFormat="1" applyFont="1" applyBorder="1" applyAlignment="1">
      <alignment horizontal="right"/>
    </xf>
    <xf numFmtId="0" fontId="33" fillId="0" borderId="0" xfId="30873" applyFont="1" applyBorder="1"/>
    <xf numFmtId="41" fontId="33" fillId="0" borderId="0" xfId="30873" applyNumberFormat="1" applyFont="1" applyBorder="1"/>
    <xf numFmtId="41" fontId="7" fillId="0" borderId="0" xfId="30873" applyNumberFormat="1" applyFont="1" applyBorder="1"/>
    <xf numFmtId="0" fontId="7" fillId="0" borderId="0" xfId="30873" applyFont="1" applyBorder="1"/>
    <xf numFmtId="0" fontId="10" fillId="0" borderId="22" xfId="30873" applyFont="1" applyFill="1" applyBorder="1" applyAlignment="1">
      <alignment horizontal="center" vertical="center" wrapText="1"/>
    </xf>
    <xf numFmtId="2" fontId="11" fillId="0" borderId="0" xfId="0" applyNumberFormat="1" applyFont="1" applyFill="1" applyBorder="1" applyAlignment="1">
      <alignment horizontal="justify" wrapText="1"/>
    </xf>
    <xf numFmtId="2" fontId="55" fillId="0" borderId="0" xfId="0" applyNumberFormat="1" applyFont="1" applyFill="1" applyBorder="1" applyAlignment="1">
      <alignment horizontal="justify" vertical="center" wrapText="1"/>
    </xf>
    <xf numFmtId="2" fontId="55" fillId="0" borderId="0" xfId="0" applyNumberFormat="1" applyFont="1" applyFill="1" applyBorder="1" applyAlignment="1">
      <alignment horizontal="justify" vertical="center"/>
    </xf>
    <xf numFmtId="0" fontId="7" fillId="0" borderId="0" xfId="0" applyFont="1" applyFill="1" applyAlignment="1">
      <alignment horizontal="justify" vertical="center" wrapText="1"/>
    </xf>
    <xf numFmtId="0" fontId="11" fillId="0" borderId="0" xfId="0" applyFont="1" applyFill="1" applyAlignment="1">
      <alignment horizontal="justify"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horizontal="right" vertical="center"/>
    </xf>
    <xf numFmtId="0" fontId="33" fillId="0" borderId="0" xfId="0" applyFont="1" applyFill="1" applyAlignment="1">
      <alignment horizontal="left" vertical="center"/>
    </xf>
    <xf numFmtId="0" fontId="48" fillId="0" borderId="0" xfId="4" applyFont="1" applyFill="1" applyBorder="1" applyAlignment="1">
      <alignment horizontal="justify" wrapText="1"/>
    </xf>
    <xf numFmtId="0" fontId="33" fillId="0" borderId="1" xfId="0" applyFont="1" applyFill="1" applyBorder="1" applyAlignment="1">
      <alignment horizontal="center" wrapText="1"/>
    </xf>
    <xf numFmtId="0" fontId="33" fillId="0" borderId="22" xfId="36435" applyFont="1" applyFill="1" applyBorder="1" applyAlignment="1">
      <alignment horizontal="center" vertical="center"/>
    </xf>
    <xf numFmtId="0" fontId="33" fillId="0" borderId="22" xfId="36435" applyFont="1" applyFill="1" applyBorder="1" applyAlignment="1">
      <alignment horizontal="right" vertical="center"/>
    </xf>
    <xf numFmtId="0" fontId="33" fillId="0" borderId="22" xfId="36435" applyFont="1" applyFill="1" applyBorder="1" applyAlignment="1">
      <alignment horizontal="justify" vertical="center" wrapText="1"/>
    </xf>
    <xf numFmtId="3" fontId="33" fillId="0" borderId="22" xfId="36435" applyNumberFormat="1" applyFont="1" applyFill="1" applyBorder="1" applyAlignment="1">
      <alignment horizontal="right" vertical="center" wrapText="1"/>
    </xf>
    <xf numFmtId="0" fontId="33" fillId="0" borderId="22" xfId="36435" applyFont="1" applyFill="1" applyBorder="1" applyAlignment="1">
      <alignment horizontal="left" vertical="center" wrapText="1"/>
    </xf>
    <xf numFmtId="3" fontId="33" fillId="0" borderId="22" xfId="36435" applyNumberFormat="1" applyFont="1" applyFill="1" applyBorder="1" applyAlignment="1">
      <alignment horizontal="right" vertical="center"/>
    </xf>
    <xf numFmtId="0" fontId="51" fillId="0" borderId="22" xfId="0" applyFont="1" applyFill="1" applyBorder="1" applyAlignment="1">
      <alignment horizontal="justify" vertical="center" wrapText="1"/>
    </xf>
    <xf numFmtId="10" fontId="33" fillId="0" borderId="22" xfId="0" applyNumberFormat="1" applyFont="1" applyFill="1" applyBorder="1" applyAlignment="1">
      <alignment horizontal="right"/>
    </xf>
    <xf numFmtId="0" fontId="33" fillId="0" borderId="24" xfId="30873" applyFont="1" applyFill="1" applyBorder="1" applyAlignment="1">
      <alignment horizontal="left" vertical="center" wrapText="1"/>
    </xf>
    <xf numFmtId="0" fontId="8" fillId="0" borderId="25" xfId="0" applyFont="1" applyBorder="1"/>
    <xf numFmtId="165" fontId="33" fillId="0" borderId="26" xfId="30873" applyNumberFormat="1" applyFont="1" applyFill="1" applyBorder="1" applyAlignment="1">
      <alignment horizontal="left" vertical="center" wrapText="1"/>
    </xf>
    <xf numFmtId="0" fontId="7" fillId="0" borderId="23" xfId="36435" applyFont="1" applyFill="1" applyBorder="1" applyAlignment="1">
      <alignment horizontal="center" vertical="center" wrapText="1"/>
    </xf>
    <xf numFmtId="0" fontId="33" fillId="0" borderId="23" xfId="36435" applyFont="1" applyFill="1" applyBorder="1" applyAlignment="1">
      <alignment horizontal="left" vertical="center" wrapText="1"/>
    </xf>
    <xf numFmtId="165" fontId="33" fillId="0" borderId="23" xfId="8" applyNumberFormat="1" applyFont="1" applyFill="1" applyBorder="1" applyAlignment="1">
      <alignment horizontal="right"/>
    </xf>
    <xf numFmtId="0" fontId="7" fillId="0" borderId="6" xfId="0" applyFont="1" applyFill="1" applyBorder="1" applyAlignment="1">
      <alignment horizontal="center" vertical="center" wrapText="1"/>
    </xf>
    <xf numFmtId="165" fontId="7" fillId="0" borderId="6" xfId="8" applyNumberFormat="1" applyFont="1" applyFill="1" applyBorder="1" applyAlignment="1">
      <alignment horizontal="right"/>
    </xf>
    <xf numFmtId="0" fontId="7" fillId="0" borderId="9" xfId="36435" applyFont="1" applyFill="1" applyBorder="1" applyAlignment="1">
      <alignment horizontal="center" vertical="center" wrapText="1"/>
    </xf>
    <xf numFmtId="165" fontId="7" fillId="0" borderId="9" xfId="8" applyNumberFormat="1" applyFont="1" applyFill="1" applyBorder="1" applyAlignment="1">
      <alignment horizontal="right"/>
    </xf>
    <xf numFmtId="0" fontId="7" fillId="0" borderId="9" xfId="0" applyFont="1" applyFill="1" applyBorder="1" applyAlignment="1">
      <alignment horizontal="center" vertical="center" wrapText="1"/>
    </xf>
    <xf numFmtId="0" fontId="7" fillId="0" borderId="29" xfId="36435" applyFont="1" applyBorder="1" applyAlignment="1">
      <alignment horizontal="center" vertical="center"/>
    </xf>
    <xf numFmtId="0" fontId="7" fillId="0" borderId="28" xfId="36435" applyFont="1" applyBorder="1" applyAlignment="1">
      <alignment horizontal="left" vertical="center" wrapText="1"/>
    </xf>
    <xf numFmtId="0" fontId="33" fillId="0" borderId="24" xfId="36435" applyFont="1" applyBorder="1" applyAlignment="1">
      <alignment horizontal="justify" vertical="center" wrapText="1"/>
    </xf>
    <xf numFmtId="0" fontId="33" fillId="0" borderId="25" xfId="36435" applyFont="1" applyBorder="1" applyAlignment="1">
      <alignment horizontal="justify" vertical="center" wrapText="1"/>
    </xf>
    <xf numFmtId="0" fontId="33" fillId="26" borderId="24" xfId="36435" applyFont="1" applyFill="1" applyBorder="1" applyAlignment="1">
      <alignment horizontal="justify" vertical="center" wrapText="1"/>
    </xf>
    <xf numFmtId="0" fontId="33" fillId="26" borderId="25" xfId="36435" applyFont="1" applyFill="1" applyBorder="1" applyAlignment="1">
      <alignment horizontal="justify" vertical="center" wrapText="1"/>
    </xf>
    <xf numFmtId="0" fontId="7" fillId="0" borderId="25" xfId="0" applyFont="1" applyBorder="1" applyAlignment="1">
      <alignment horizontal="justify" vertical="center" wrapText="1"/>
    </xf>
    <xf numFmtId="0" fontId="33" fillId="0" borderId="22" xfId="36435" applyFont="1" applyFill="1" applyBorder="1" applyAlignment="1">
      <alignment horizontal="right" vertical="center" wrapText="1"/>
    </xf>
    <xf numFmtId="3" fontId="33" fillId="0" borderId="23" xfId="36435" applyNumberFormat="1" applyFont="1" applyFill="1" applyBorder="1" applyAlignment="1">
      <alignment horizontal="right" vertical="center" wrapText="1"/>
    </xf>
    <xf numFmtId="172" fontId="33" fillId="0" borderId="22" xfId="2" applyNumberFormat="1" applyFont="1" applyFill="1" applyBorder="1" applyAlignment="1">
      <alignment horizontal="right"/>
    </xf>
    <xf numFmtId="0" fontId="33" fillId="0" borderId="24" xfId="36435" applyFont="1" applyFill="1" applyBorder="1" applyAlignment="1">
      <alignment horizontal="center" vertical="center" wrapText="1"/>
    </xf>
    <xf numFmtId="0" fontId="33" fillId="0" borderId="22" xfId="36435" applyFont="1" applyFill="1" applyBorder="1" applyAlignment="1">
      <alignment horizontal="center" vertical="center" wrapText="1"/>
    </xf>
    <xf numFmtId="0" fontId="7" fillId="26" borderId="11" xfId="36435" applyFont="1" applyFill="1" applyBorder="1" applyAlignment="1">
      <alignment horizontal="center" vertical="center" wrapText="1"/>
    </xf>
    <xf numFmtId="3" fontId="7" fillId="0" borderId="10" xfId="0" applyNumberFormat="1" applyFont="1" applyFill="1" applyBorder="1" applyAlignment="1">
      <alignment horizontal="right"/>
    </xf>
    <xf numFmtId="165" fontId="7" fillId="0" borderId="10" xfId="1" applyNumberFormat="1" applyFont="1" applyFill="1" applyBorder="1" applyAlignment="1">
      <alignment horizontal="right"/>
    </xf>
    <xf numFmtId="165" fontId="7" fillId="0" borderId="10" xfId="1" applyNumberFormat="1" applyFont="1" applyFill="1" applyBorder="1" applyAlignment="1">
      <alignment horizontal="right" vertical="center"/>
    </xf>
    <xf numFmtId="165" fontId="33" fillId="27" borderId="10" xfId="1" applyNumberFormat="1" applyFont="1" applyFill="1" applyBorder="1" applyAlignment="1">
      <alignment horizontal="right"/>
    </xf>
    <xf numFmtId="0" fontId="7" fillId="26" borderId="7" xfId="36435" applyFont="1" applyFill="1" applyBorder="1" applyAlignment="1">
      <alignment horizontal="center" vertical="center" wrapText="1"/>
    </xf>
    <xf numFmtId="165" fontId="7" fillId="0" borderId="30" xfId="1" applyNumberFormat="1" applyFont="1" applyFill="1" applyBorder="1" applyAlignment="1">
      <alignment horizontal="right"/>
    </xf>
    <xf numFmtId="0" fontId="7" fillId="26" borderId="24" xfId="36435" applyFont="1" applyFill="1" applyBorder="1" applyAlignment="1">
      <alignment horizontal="center" vertical="center" wrapText="1"/>
    </xf>
    <xf numFmtId="0" fontId="33" fillId="27" borderId="8" xfId="36435" applyFont="1" applyFill="1" applyBorder="1" applyAlignment="1">
      <alignment horizontal="left" vertical="center" wrapText="1"/>
    </xf>
    <xf numFmtId="165" fontId="33" fillId="27" borderId="30" xfId="1" applyNumberFormat="1" applyFont="1" applyFill="1" applyBorder="1" applyAlignment="1">
      <alignment horizontal="right"/>
    </xf>
    <xf numFmtId="165" fontId="33" fillId="0" borderId="7" xfId="0" applyNumberFormat="1" applyFont="1" applyFill="1" applyBorder="1" applyAlignment="1">
      <alignment horizontal="left"/>
    </xf>
    <xf numFmtId="165" fontId="33" fillId="0" borderId="8" xfId="0" applyNumberFormat="1" applyFont="1" applyFill="1" applyBorder="1" applyAlignment="1">
      <alignment horizontal="left"/>
    </xf>
    <xf numFmtId="165" fontId="33" fillId="0" borderId="22" xfId="0" applyNumberFormat="1" applyFont="1" applyFill="1" applyBorder="1" applyAlignment="1">
      <alignment horizontal="right"/>
    </xf>
    <xf numFmtId="0" fontId="48" fillId="0" borderId="22" xfId="0" applyFont="1" applyFill="1" applyBorder="1" applyAlignment="1">
      <alignment horizontal="justify" vertical="center" wrapText="1"/>
    </xf>
    <xf numFmtId="0" fontId="33" fillId="0" borderId="24" xfId="0" applyFont="1" applyFill="1" applyBorder="1" applyAlignment="1">
      <alignment horizontal="left" vertical="center" wrapText="1"/>
    </xf>
    <xf numFmtId="0" fontId="33" fillId="0" borderId="26" xfId="0" applyFont="1" applyFill="1" applyBorder="1" applyAlignment="1">
      <alignment horizontal="left" vertical="center" wrapText="1"/>
    </xf>
    <xf numFmtId="165" fontId="33" fillId="0" borderId="22" xfId="0" applyNumberFormat="1" applyFont="1" applyFill="1" applyBorder="1" applyAlignment="1">
      <alignment horizontal="left" vertical="center" wrapText="1"/>
    </xf>
    <xf numFmtId="0" fontId="7" fillId="25" borderId="29" xfId="36435" applyFont="1" applyFill="1" applyBorder="1" applyAlignment="1">
      <alignment horizontal="center" vertical="center" wrapText="1"/>
    </xf>
    <xf numFmtId="165" fontId="33" fillId="25" borderId="31" xfId="8" applyNumberFormat="1" applyFont="1" applyFill="1" applyBorder="1" applyAlignment="1">
      <alignment horizontal="right" vertical="center"/>
    </xf>
    <xf numFmtId="0" fontId="7" fillId="25" borderId="11" xfId="36435" applyFont="1" applyFill="1" applyBorder="1" applyAlignment="1">
      <alignment horizontal="center" vertical="center" wrapText="1"/>
    </xf>
    <xf numFmtId="165" fontId="7" fillId="25" borderId="10" xfId="8" applyNumberFormat="1" applyFont="1" applyFill="1" applyBorder="1" applyAlignment="1">
      <alignment horizontal="right" vertical="center"/>
    </xf>
    <xf numFmtId="0" fontId="7" fillId="25" borderId="7" xfId="36435" applyFont="1" applyFill="1" applyBorder="1" applyAlignment="1">
      <alignment horizontal="center" vertical="center" wrapText="1"/>
    </xf>
    <xf numFmtId="165" fontId="7" fillId="25" borderId="30" xfId="8" applyNumberFormat="1" applyFont="1" applyFill="1" applyBorder="1" applyAlignment="1">
      <alignment horizontal="right" vertical="center"/>
    </xf>
    <xf numFmtId="165" fontId="33" fillId="0" borderId="31" xfId="8" applyNumberFormat="1" applyFont="1" applyFill="1" applyBorder="1" applyAlignment="1">
      <alignment horizontal="right" vertical="center"/>
    </xf>
    <xf numFmtId="0" fontId="7" fillId="25" borderId="7" xfId="0" applyFont="1" applyFill="1" applyBorder="1" applyAlignment="1">
      <alignment horizontal="center" vertical="center" wrapText="1"/>
    </xf>
    <xf numFmtId="165" fontId="7" fillId="0" borderId="10" xfId="8" applyNumberFormat="1" applyFont="1" applyFill="1" applyBorder="1" applyAlignment="1">
      <alignment horizontal="right" vertical="center"/>
    </xf>
    <xf numFmtId="0" fontId="7" fillId="25" borderId="11" xfId="0" applyFont="1" applyFill="1" applyBorder="1" applyAlignment="1">
      <alignment horizontal="center" vertical="center" wrapText="1"/>
    </xf>
    <xf numFmtId="165" fontId="7" fillId="0" borderId="30" xfId="8" applyNumberFormat="1" applyFont="1" applyFill="1" applyBorder="1" applyAlignment="1">
      <alignment horizontal="right" vertical="center"/>
    </xf>
    <xf numFmtId="165" fontId="33" fillId="0" borderId="10" xfId="8" applyNumberFormat="1" applyFont="1" applyFill="1" applyBorder="1" applyAlignment="1">
      <alignment horizontal="right" vertical="center"/>
    </xf>
    <xf numFmtId="165" fontId="11" fillId="25" borderId="10" xfId="1" applyNumberFormat="1" applyFont="1" applyFill="1" applyBorder="1"/>
    <xf numFmtId="165" fontId="11" fillId="0" borderId="10" xfId="1" applyNumberFormat="1" applyFont="1" applyFill="1" applyBorder="1"/>
    <xf numFmtId="165" fontId="11" fillId="25" borderId="30" xfId="1" applyNumberFormat="1" applyFont="1" applyFill="1" applyBorder="1"/>
    <xf numFmtId="0" fontId="33" fillId="0" borderId="24" xfId="36435" applyFont="1" applyFill="1" applyBorder="1" applyAlignment="1">
      <alignment horizontal="center" vertical="center"/>
    </xf>
    <xf numFmtId="0" fontId="33" fillId="0" borderId="26" xfId="36435" applyFont="1" applyFill="1" applyBorder="1" applyAlignment="1">
      <alignment horizontal="center" vertical="center"/>
    </xf>
    <xf numFmtId="0" fontId="7" fillId="0" borderId="22" xfId="0" applyFont="1" applyFill="1" applyBorder="1" applyAlignment="1">
      <alignment horizontal="center" vertical="center" wrapText="1"/>
    </xf>
    <xf numFmtId="0" fontId="33" fillId="0" borderId="22" xfId="36435" applyFont="1" applyFill="1" applyBorder="1" applyAlignment="1">
      <alignment horizontal="left" vertical="center" wrapText="1"/>
    </xf>
    <xf numFmtId="0" fontId="7" fillId="0" borderId="22" xfId="36435" applyFont="1" applyFill="1" applyBorder="1" applyAlignment="1">
      <alignment horizontal="justify" vertical="center" wrapText="1"/>
    </xf>
    <xf numFmtId="165" fontId="7" fillId="0" borderId="22" xfId="8" applyNumberFormat="1" applyFont="1" applyFill="1" applyBorder="1"/>
    <xf numFmtId="0" fontId="7" fillId="0" borderId="22" xfId="36435" applyFont="1" applyFill="1" applyBorder="1" applyAlignment="1">
      <alignment horizontal="center" vertical="center" wrapText="1"/>
    </xf>
    <xf numFmtId="0" fontId="7" fillId="0" borderId="23" xfId="0" applyFont="1" applyFill="1" applyBorder="1" applyAlignment="1">
      <alignment horizontal="center" vertical="center" wrapText="1"/>
    </xf>
    <xf numFmtId="0" fontId="7" fillId="0" borderId="22" xfId="36435" applyFont="1" applyFill="1" applyBorder="1" applyAlignment="1">
      <alignment horizontal="left" vertical="center" wrapText="1"/>
    </xf>
    <xf numFmtId="165" fontId="7" fillId="0" borderId="22" xfId="0" applyNumberFormat="1" applyFont="1" applyFill="1" applyBorder="1" applyAlignment="1">
      <alignment vertical="center"/>
    </xf>
    <xf numFmtId="165" fontId="7" fillId="0" borderId="22" xfId="8" applyNumberFormat="1" applyFont="1" applyFill="1" applyBorder="1" applyAlignment="1">
      <alignment horizontal="right"/>
    </xf>
    <xf numFmtId="0" fontId="33" fillId="0" borderId="22" xfId="36435" applyFont="1" applyFill="1" applyBorder="1" applyAlignment="1">
      <alignment horizontal="justify" vertical="center" wrapText="1"/>
    </xf>
    <xf numFmtId="165" fontId="33" fillId="0" borderId="22" xfId="8" applyNumberFormat="1" applyFont="1" applyFill="1" applyBorder="1"/>
    <xf numFmtId="0" fontId="7" fillId="0" borderId="6" xfId="36435" applyFont="1" applyFill="1" applyBorder="1" applyAlignment="1">
      <alignment horizontal="center" vertical="center" wrapText="1"/>
    </xf>
    <xf numFmtId="0" fontId="7" fillId="0" borderId="11" xfId="0" applyFont="1" applyFill="1" applyBorder="1" applyAlignment="1">
      <alignment horizontal="center" vertical="center" wrapText="1"/>
    </xf>
    <xf numFmtId="165" fontId="7" fillId="0" borderId="10" xfId="8" applyNumberFormat="1" applyFont="1" applyFill="1" applyBorder="1" applyAlignment="1">
      <alignment horizontal="right"/>
    </xf>
    <xf numFmtId="0" fontId="33" fillId="0" borderId="0" xfId="10142" applyFont="1" applyFill="1" applyBorder="1" applyAlignment="1" applyProtection="1">
      <alignment vertical="center"/>
    </xf>
    <xf numFmtId="3" fontId="7" fillId="0" borderId="0" xfId="25665" applyNumberFormat="1" applyFont="1" applyFill="1" applyBorder="1" applyAlignment="1" applyProtection="1">
      <alignment horizontal="left" vertical="center"/>
      <protection locked="0"/>
    </xf>
    <xf numFmtId="0" fontId="33" fillId="0" borderId="22" xfId="10" applyFont="1" applyFill="1" applyBorder="1" applyAlignment="1" applyProtection="1">
      <alignment horizontal="left" vertical="center" wrapText="1"/>
    </xf>
    <xf numFmtId="0" fontId="33" fillId="0" borderId="22" xfId="10" applyFont="1" applyFill="1" applyBorder="1" applyAlignment="1" applyProtection="1">
      <alignment horizontal="center" vertical="center"/>
    </xf>
    <xf numFmtId="0" fontId="33" fillId="0" borderId="22" xfId="10" applyFont="1" applyFill="1" applyBorder="1" applyAlignment="1" applyProtection="1">
      <alignment horizontal="center" vertical="center" wrapText="1"/>
    </xf>
    <xf numFmtId="0" fontId="33" fillId="0" borderId="22" xfId="10" applyFont="1" applyFill="1" applyBorder="1" applyAlignment="1" applyProtection="1">
      <alignment vertical="center" wrapText="1"/>
    </xf>
    <xf numFmtId="0" fontId="33" fillId="0" borderId="22" xfId="10" applyFont="1" applyFill="1" applyBorder="1" applyAlignment="1" applyProtection="1">
      <alignment horizontal="center" vertical="center" wrapText="1"/>
    </xf>
    <xf numFmtId="0" fontId="33" fillId="0" borderId="0" xfId="6" applyFont="1" applyFill="1" applyBorder="1" applyAlignment="1">
      <alignment horizontal="justify" vertical="center" wrapText="1"/>
    </xf>
    <xf numFmtId="41" fontId="33" fillId="0" borderId="0" xfId="10142" applyNumberFormat="1" applyFont="1" applyFill="1" applyBorder="1" applyAlignment="1" applyProtection="1">
      <alignment horizontal="right" vertical="center" indent="1"/>
    </xf>
    <xf numFmtId="3" fontId="7" fillId="0" borderId="0" xfId="10" applyNumberFormat="1" applyFont="1" applyFill="1" applyBorder="1" applyAlignment="1" applyProtection="1">
      <alignment horizontal="right" vertical="center" indent="1"/>
    </xf>
    <xf numFmtId="41" fontId="7" fillId="0" borderId="0" xfId="10142" applyNumberFormat="1" applyFont="1" applyFill="1" applyBorder="1" applyAlignment="1" applyProtection="1">
      <alignment horizontal="right" vertical="center" indent="1"/>
    </xf>
    <xf numFmtId="0" fontId="33" fillId="0" borderId="22" xfId="10142" applyFont="1" applyFill="1" applyBorder="1" applyAlignment="1" applyProtection="1">
      <alignment horizontal="center" vertical="center" wrapText="1"/>
    </xf>
    <xf numFmtId="190" fontId="33" fillId="0" borderId="22" xfId="10142" applyNumberFormat="1" applyFont="1" applyFill="1" applyBorder="1" applyAlignment="1" applyProtection="1">
      <alignment horizontal="center" vertical="center"/>
    </xf>
    <xf numFmtId="0" fontId="33" fillId="0" borderId="22" xfId="10142" applyFont="1" applyFill="1" applyBorder="1" applyAlignment="1" applyProtection="1">
      <alignment horizontal="center" vertical="center"/>
    </xf>
    <xf numFmtId="0" fontId="33" fillId="0" borderId="22" xfId="10142" applyFont="1" applyFill="1" applyBorder="1" applyAlignment="1" applyProtection="1">
      <alignment horizontal="center" vertical="center" wrapText="1"/>
    </xf>
    <xf numFmtId="41" fontId="33" fillId="0" borderId="0" xfId="6" applyNumberFormat="1" applyFont="1" applyBorder="1" applyAlignment="1"/>
    <xf numFmtId="41" fontId="33" fillId="0" borderId="0" xfId="6" applyNumberFormat="1" applyFont="1" applyBorder="1"/>
    <xf numFmtId="41" fontId="32" fillId="0" borderId="0" xfId="6" applyNumberFormat="1" applyFont="1" applyBorder="1"/>
    <xf numFmtId="41" fontId="38" fillId="0" borderId="0" xfId="6" applyNumberFormat="1" applyFont="1" applyBorder="1"/>
    <xf numFmtId="0" fontId="33" fillId="0" borderId="22" xfId="6" applyFont="1" applyFill="1" applyBorder="1" applyAlignment="1">
      <alignment horizontal="center" vertical="center" wrapText="1"/>
    </xf>
    <xf numFmtId="0" fontId="33" fillId="0" borderId="22" xfId="6" applyFont="1" applyFill="1" applyBorder="1" applyAlignment="1">
      <alignment horizontal="center" vertical="center"/>
    </xf>
    <xf numFmtId="0" fontId="33" fillId="0" borderId="22" xfId="6" applyFont="1" applyFill="1" applyBorder="1" applyAlignment="1">
      <alignment horizontal="center" vertical="center" wrapText="1"/>
    </xf>
    <xf numFmtId="41" fontId="33" fillId="0" borderId="0" xfId="0" applyNumberFormat="1" applyFont="1" applyFill="1" applyBorder="1" applyAlignment="1">
      <alignment vertical="center"/>
    </xf>
    <xf numFmtId="41" fontId="33" fillId="0" borderId="0" xfId="0" applyNumberFormat="1" applyFont="1" applyFill="1" applyBorder="1" applyAlignment="1">
      <alignment horizontal="center" vertical="center"/>
    </xf>
    <xf numFmtId="3" fontId="7" fillId="0" borderId="0" xfId="3" applyNumberFormat="1" applyFont="1" applyFill="1" applyBorder="1" applyAlignment="1" applyProtection="1">
      <alignment horizontal="left" vertical="center"/>
      <protection locked="0"/>
    </xf>
    <xf numFmtId="0" fontId="33" fillId="0" borderId="22" xfId="36438" applyFont="1" applyFill="1" applyBorder="1" applyAlignment="1">
      <alignment horizontal="center" vertical="center" wrapText="1"/>
    </xf>
    <xf numFmtId="0" fontId="33" fillId="0" borderId="22" xfId="36438" applyFont="1" applyFill="1" applyBorder="1" applyAlignment="1">
      <alignment horizontal="center" vertical="center"/>
    </xf>
    <xf numFmtId="0" fontId="33" fillId="0" borderId="22" xfId="36438" applyFont="1" applyFill="1" applyBorder="1" applyAlignment="1">
      <alignment horizontal="center" vertical="center" wrapText="1"/>
    </xf>
    <xf numFmtId="0" fontId="33" fillId="0" borderId="0" xfId="4093" applyFont="1" applyFill="1" applyBorder="1" applyAlignment="1">
      <alignment vertical="center"/>
    </xf>
    <xf numFmtId="3" fontId="33" fillId="0" borderId="0" xfId="6" applyNumberFormat="1" applyFont="1" applyFill="1" applyBorder="1" applyAlignment="1" applyProtection="1">
      <alignment horizontal="left" vertical="center"/>
      <protection locked="0"/>
    </xf>
    <xf numFmtId="0" fontId="33" fillId="0" borderId="0" xfId="36438" applyFont="1" applyFill="1" applyBorder="1" applyAlignment="1">
      <alignment horizontal="left" vertical="center"/>
    </xf>
    <xf numFmtId="41" fontId="33" fillId="0" borderId="0" xfId="36438" applyNumberFormat="1" applyFont="1" applyFill="1" applyBorder="1" applyAlignment="1">
      <alignment vertical="center"/>
    </xf>
    <xf numFmtId="41" fontId="33" fillId="0" borderId="0" xfId="4093" applyNumberFormat="1" applyFont="1" applyFill="1" applyBorder="1" applyAlignment="1">
      <alignment vertical="center"/>
    </xf>
    <xf numFmtId="41" fontId="33" fillId="0" borderId="0" xfId="36438" applyNumberFormat="1" applyFont="1" applyFill="1" applyBorder="1" applyAlignment="1">
      <alignment horizontal="right"/>
    </xf>
    <xf numFmtId="41" fontId="33" fillId="0" borderId="0" xfId="36438" applyNumberFormat="1" applyFont="1" applyFill="1" applyBorder="1" applyAlignment="1">
      <alignment horizontal="right" vertical="center"/>
    </xf>
    <xf numFmtId="3" fontId="7" fillId="0" borderId="0" xfId="7" applyNumberFormat="1" applyFont="1" applyFill="1" applyBorder="1" applyAlignment="1" applyProtection="1">
      <alignment horizontal="left" vertical="center"/>
      <protection locked="0"/>
    </xf>
    <xf numFmtId="41" fontId="7" fillId="0" borderId="0" xfId="8" applyNumberFormat="1" applyFont="1" applyFill="1" applyBorder="1"/>
    <xf numFmtId="0" fontId="33" fillId="25" borderId="22" xfId="36438" applyFont="1" applyFill="1" applyBorder="1" applyAlignment="1">
      <alignment horizontal="center" vertical="center" wrapText="1"/>
    </xf>
    <xf numFmtId="41" fontId="33" fillId="0" borderId="0" xfId="4093" applyNumberFormat="1" applyFont="1" applyFill="1" applyBorder="1" applyAlignment="1">
      <alignment horizontal="right"/>
    </xf>
    <xf numFmtId="3" fontId="33" fillId="0" borderId="0" xfId="4093" applyNumberFormat="1" applyFont="1" applyFill="1" applyBorder="1" applyAlignment="1" applyProtection="1">
      <alignment horizontal="left" vertical="center" wrapText="1"/>
      <protection locked="0"/>
    </xf>
    <xf numFmtId="0" fontId="7" fillId="0" borderId="0" xfId="36438" applyFont="1" applyFill="1" applyBorder="1" applyAlignment="1">
      <alignment horizontal="left" indent="3"/>
    </xf>
    <xf numFmtId="41" fontId="7" fillId="0" borderId="0" xfId="4093" applyNumberFormat="1" applyFont="1" applyFill="1" applyBorder="1" applyAlignment="1">
      <alignment horizontal="right"/>
    </xf>
    <xf numFmtId="3" fontId="33" fillId="0" borderId="0" xfId="4093" applyNumberFormat="1" applyFont="1" applyFill="1" applyBorder="1" applyAlignment="1" applyProtection="1">
      <alignment horizontal="left" vertical="center"/>
      <protection locked="0"/>
    </xf>
    <xf numFmtId="41" fontId="33" fillId="0" borderId="0" xfId="36439" applyNumberFormat="1" applyFont="1" applyFill="1" applyBorder="1" applyAlignment="1">
      <alignment horizontal="right" vertical="center"/>
    </xf>
    <xf numFmtId="41" fontId="33" fillId="0" borderId="0" xfId="36439" applyNumberFormat="1" applyFont="1" applyFill="1" applyBorder="1" applyAlignment="1">
      <alignment horizontal="right"/>
    </xf>
    <xf numFmtId="0" fontId="7" fillId="0" borderId="0" xfId="36439" applyFont="1" applyFill="1" applyBorder="1" applyAlignment="1">
      <alignment horizontal="left" indent="3"/>
    </xf>
    <xf numFmtId="3" fontId="33" fillId="0" borderId="0" xfId="4093" applyNumberFormat="1" applyFont="1" applyFill="1" applyBorder="1" applyAlignment="1" applyProtection="1">
      <alignment vertical="center"/>
      <protection locked="0"/>
    </xf>
    <xf numFmtId="0" fontId="33" fillId="0" borderId="22" xfId="36439" applyFont="1" applyFill="1" applyBorder="1" applyAlignment="1">
      <alignment horizontal="center" vertical="center"/>
    </xf>
    <xf numFmtId="0" fontId="33" fillId="0" borderId="22" xfId="36439" applyFont="1" applyFill="1" applyBorder="1" applyAlignment="1">
      <alignment horizontal="center" vertical="center" wrapText="1"/>
    </xf>
    <xf numFmtId="0" fontId="33" fillId="25" borderId="22" xfId="36439" applyFont="1" applyFill="1" applyBorder="1" applyAlignment="1">
      <alignment horizontal="center" vertical="center" wrapText="1"/>
    </xf>
    <xf numFmtId="0" fontId="33" fillId="0" borderId="0" xfId="36438" applyFont="1" applyFill="1" applyBorder="1" applyAlignment="1">
      <alignment horizontal="left"/>
    </xf>
    <xf numFmtId="41" fontId="7" fillId="0" borderId="0" xfId="36438" applyNumberFormat="1" applyFont="1" applyFill="1" applyBorder="1" applyAlignment="1">
      <alignment vertical="center"/>
    </xf>
    <xf numFmtId="41" fontId="33" fillId="0" borderId="0" xfId="8" applyNumberFormat="1" applyFont="1" applyFill="1" applyBorder="1"/>
    <xf numFmtId="41" fontId="33" fillId="0" borderId="0" xfId="4093" applyNumberFormat="1" applyFont="1" applyFill="1" applyBorder="1" applyAlignment="1">
      <alignment horizontal="right" vertical="center" wrapText="1"/>
    </xf>
    <xf numFmtId="41" fontId="7" fillId="0" borderId="0" xfId="8" applyNumberFormat="1" applyFont="1" applyFill="1" applyBorder="1" applyAlignment="1">
      <alignment horizontal="right" vertical="center" wrapText="1"/>
    </xf>
    <xf numFmtId="44" fontId="33" fillId="0" borderId="22" xfId="30866" applyFont="1" applyFill="1" applyBorder="1" applyAlignment="1">
      <alignment horizontal="center"/>
    </xf>
    <xf numFmtId="3" fontId="7" fillId="0" borderId="0" xfId="25665" applyNumberFormat="1" applyFont="1" applyFill="1" applyBorder="1" applyAlignment="1" applyProtection="1">
      <alignment horizontal="left" vertical="center" wrapText="1"/>
      <protection locked="0"/>
    </xf>
    <xf numFmtId="0" fontId="10" fillId="0" borderId="22" xfId="4093" applyFont="1" applyFill="1" applyBorder="1" applyAlignment="1">
      <alignment horizontal="center" vertical="center" wrapText="1"/>
    </xf>
    <xf numFmtId="3" fontId="33" fillId="0" borderId="0" xfId="25665" applyNumberFormat="1" applyFont="1" applyFill="1" applyBorder="1" applyAlignment="1" applyProtection="1">
      <alignment horizontal="left" vertical="center" wrapText="1"/>
      <protection locked="0"/>
    </xf>
    <xf numFmtId="3" fontId="33" fillId="0" borderId="0" xfId="25665" applyNumberFormat="1" applyFont="1" applyFill="1" applyBorder="1" applyAlignment="1" applyProtection="1">
      <alignment horizontal="left" vertical="center"/>
      <protection locked="0"/>
    </xf>
    <xf numFmtId="0" fontId="33" fillId="0" borderId="23" xfId="9" applyFont="1" applyFill="1" applyBorder="1" applyAlignment="1">
      <alignment horizontal="center" vertical="center" wrapText="1"/>
    </xf>
    <xf numFmtId="0" fontId="33" fillId="0" borderId="0" xfId="9" applyFont="1" applyFill="1" applyBorder="1"/>
    <xf numFmtId="3" fontId="33" fillId="0" borderId="0" xfId="4093" applyNumberFormat="1" applyFont="1" applyFill="1" applyBorder="1" applyAlignment="1">
      <alignment horizontal="right" vertical="center" wrapText="1"/>
    </xf>
    <xf numFmtId="0" fontId="7" fillId="0" borderId="0" xfId="9" applyFont="1" applyFill="1" applyBorder="1"/>
    <xf numFmtId="3" fontId="33" fillId="0" borderId="0" xfId="4093" applyNumberFormat="1" applyFont="1" applyFill="1" applyBorder="1" applyAlignment="1">
      <alignment horizontal="right"/>
    </xf>
    <xf numFmtId="0" fontId="7" fillId="0" borderId="0" xfId="4093" applyNumberFormat="1" applyFont="1" applyFill="1" applyBorder="1"/>
    <xf numFmtId="0" fontId="33" fillId="0" borderId="22" xfId="9" applyFont="1" applyFill="1" applyBorder="1" applyAlignment="1">
      <alignment horizontal="center" vertical="center" wrapText="1"/>
    </xf>
    <xf numFmtId="41" fontId="33" fillId="0" borderId="0" xfId="5" applyNumberFormat="1" applyFont="1" applyFill="1" applyBorder="1" applyAlignment="1">
      <alignment wrapText="1"/>
    </xf>
    <xf numFmtId="41" fontId="7" fillId="0" borderId="0" xfId="10" applyNumberFormat="1" applyFont="1" applyFill="1" applyBorder="1" applyAlignment="1">
      <alignment wrapText="1"/>
    </xf>
    <xf numFmtId="3" fontId="7" fillId="0" borderId="0" xfId="4093" applyNumberFormat="1" applyFont="1" applyFill="1" applyBorder="1" applyAlignment="1">
      <alignment horizontal="center"/>
    </xf>
    <xf numFmtId="0" fontId="33" fillId="0" borderId="0" xfId="36441" applyFont="1" applyFill="1" applyBorder="1"/>
    <xf numFmtId="0" fontId="33" fillId="0" borderId="0" xfId="4093" applyFont="1" applyFill="1" applyAlignment="1">
      <alignment horizontal="justify" vertical="center" wrapText="1"/>
    </xf>
  </cellXfs>
  <cellStyles count="36442">
    <cellStyle name="20% - Énfasis1 2" xfId="22"/>
    <cellStyle name="20% - Énfasis1 2 2" xfId="23"/>
    <cellStyle name="20% - Énfasis1 3" xfId="24"/>
    <cellStyle name="20% - Énfasis2 2" xfId="25"/>
    <cellStyle name="20% - Énfasis2 2 2" xfId="26"/>
    <cellStyle name="20% - Énfasis2 3" xfId="27"/>
    <cellStyle name="20% - Énfasis3 2" xfId="28"/>
    <cellStyle name="20% - Énfasis3 2 2" xfId="29"/>
    <cellStyle name="20% - Énfasis3 3" xfId="30"/>
    <cellStyle name="20% - Énfasis4 2" xfId="31"/>
    <cellStyle name="20% - Énfasis4 2 2" xfId="32"/>
    <cellStyle name="20% - Énfasis4 3" xfId="33"/>
    <cellStyle name="20% - Énfasis5 2" xfId="34"/>
    <cellStyle name="20% - Énfasis5 2 2" xfId="35"/>
    <cellStyle name="20% - Énfasis5 3" xfId="36"/>
    <cellStyle name="20% - Énfasis6 2" xfId="37"/>
    <cellStyle name="20% - Énfasis6 2 2" xfId="38"/>
    <cellStyle name="20% - Énfasis6 3" xfId="39"/>
    <cellStyle name="40% - Énfasis1 2" xfId="40"/>
    <cellStyle name="40% - Énfasis1 2 2" xfId="41"/>
    <cellStyle name="40% - Énfasis1 3" xfId="42"/>
    <cellStyle name="40% - Énfasis2 2" xfId="43"/>
    <cellStyle name="40% - Énfasis2 2 2" xfId="44"/>
    <cellStyle name="40% - Énfasis2 3" xfId="45"/>
    <cellStyle name="40% - Énfasis3 2" xfId="46"/>
    <cellStyle name="40% - Énfasis3 2 2" xfId="47"/>
    <cellStyle name="40% - Énfasis3 3" xfId="48"/>
    <cellStyle name="40% - Énfasis4 2" xfId="49"/>
    <cellStyle name="40% - Énfasis4 2 2" xfId="50"/>
    <cellStyle name="40% - Énfasis4 3" xfId="51"/>
    <cellStyle name="40% - Énfasis5 2" xfId="52"/>
    <cellStyle name="40% - Énfasis5 2 2" xfId="53"/>
    <cellStyle name="40% - Énfasis5 3" xfId="54"/>
    <cellStyle name="40% - Énfasis6 2" xfId="55"/>
    <cellStyle name="40% - Énfasis6 2 2" xfId="56"/>
    <cellStyle name="40% - Énfasis6 3" xfId="57"/>
    <cellStyle name="60% - Énfasis1 2" xfId="58"/>
    <cellStyle name="60% - Énfasis1 2 2" xfId="59"/>
    <cellStyle name="60% - Énfasis1 3" xfId="60"/>
    <cellStyle name="60% - Énfasis2 2" xfId="61"/>
    <cellStyle name="60% - Énfasis2 2 2" xfId="62"/>
    <cellStyle name="60% - Énfasis2 3" xfId="63"/>
    <cellStyle name="60% - Énfasis3 2" xfId="64"/>
    <cellStyle name="60% - Énfasis3 2 2" xfId="65"/>
    <cellStyle name="60% - Énfasis3 3" xfId="66"/>
    <cellStyle name="60% - Énfasis4 2" xfId="67"/>
    <cellStyle name="60% - Énfasis4 2 2" xfId="68"/>
    <cellStyle name="60% - Énfasis4 3" xfId="69"/>
    <cellStyle name="60% - Énfasis5 2" xfId="70"/>
    <cellStyle name="60% - Énfasis5 2 2" xfId="71"/>
    <cellStyle name="60% - Énfasis5 3" xfId="72"/>
    <cellStyle name="60% - Énfasis6 2" xfId="73"/>
    <cellStyle name="60% - Énfasis6 2 2" xfId="74"/>
    <cellStyle name="60% - Énfasis6 3" xfId="75"/>
    <cellStyle name="Buena 2" xfId="76"/>
    <cellStyle name="Buena 2 2" xfId="77"/>
    <cellStyle name="Buena 3" xfId="78"/>
    <cellStyle name="Cálculo 2" xfId="79"/>
    <cellStyle name="Cálculo 2 10" xfId="80"/>
    <cellStyle name="Cálculo 2 10 10" xfId="81"/>
    <cellStyle name="Cálculo 2 10 10 2" xfId="30877"/>
    <cellStyle name="Cálculo 2 10 11" xfId="82"/>
    <cellStyle name="Cálculo 2 10 11 2" xfId="30878"/>
    <cellStyle name="Cálculo 2 10 12" xfId="83"/>
    <cellStyle name="Cálculo 2 10 12 2" xfId="30879"/>
    <cellStyle name="Cálculo 2 10 13" xfId="84"/>
    <cellStyle name="Cálculo 2 10 13 2" xfId="30880"/>
    <cellStyle name="Cálculo 2 10 14" xfId="30881"/>
    <cellStyle name="Cálculo 2 10 2" xfId="85"/>
    <cellStyle name="Cálculo 2 10 2 2" xfId="30882"/>
    <cellStyle name="Cálculo 2 10 3" xfId="86"/>
    <cellStyle name="Cálculo 2 10 3 2" xfId="30883"/>
    <cellStyle name="Cálculo 2 10 4" xfId="87"/>
    <cellStyle name="Cálculo 2 10 4 2" xfId="30884"/>
    <cellStyle name="Cálculo 2 10 5" xfId="88"/>
    <cellStyle name="Cálculo 2 10 5 2" xfId="30885"/>
    <cellStyle name="Cálculo 2 10 6" xfId="89"/>
    <cellStyle name="Cálculo 2 10 6 2" xfId="30886"/>
    <cellStyle name="Cálculo 2 10 7" xfId="90"/>
    <cellStyle name="Cálculo 2 10 7 2" xfId="30887"/>
    <cellStyle name="Cálculo 2 10 8" xfId="91"/>
    <cellStyle name="Cálculo 2 10 8 2" xfId="30888"/>
    <cellStyle name="Cálculo 2 10 9" xfId="92"/>
    <cellStyle name="Cálculo 2 10 9 2" xfId="30889"/>
    <cellStyle name="Cálculo 2 11" xfId="93"/>
    <cellStyle name="Cálculo 2 11 10" xfId="94"/>
    <cellStyle name="Cálculo 2 11 10 2" xfId="30890"/>
    <cellStyle name="Cálculo 2 11 11" xfId="95"/>
    <cellStyle name="Cálculo 2 11 11 2" xfId="30891"/>
    <cellStyle name="Cálculo 2 11 12" xfId="96"/>
    <cellStyle name="Cálculo 2 11 12 2" xfId="30892"/>
    <cellStyle name="Cálculo 2 11 13" xfId="97"/>
    <cellStyle name="Cálculo 2 11 13 2" xfId="30893"/>
    <cellStyle name="Cálculo 2 11 14" xfId="30894"/>
    <cellStyle name="Cálculo 2 11 2" xfId="98"/>
    <cellStyle name="Cálculo 2 11 2 2" xfId="30895"/>
    <cellStyle name="Cálculo 2 11 3" xfId="99"/>
    <cellStyle name="Cálculo 2 11 3 2" xfId="30896"/>
    <cellStyle name="Cálculo 2 11 4" xfId="100"/>
    <cellStyle name="Cálculo 2 11 4 2" xfId="30897"/>
    <cellStyle name="Cálculo 2 11 5" xfId="101"/>
    <cellStyle name="Cálculo 2 11 5 2" xfId="30898"/>
    <cellStyle name="Cálculo 2 11 6" xfId="102"/>
    <cellStyle name="Cálculo 2 11 6 2" xfId="30899"/>
    <cellStyle name="Cálculo 2 11 7" xfId="103"/>
    <cellStyle name="Cálculo 2 11 7 2" xfId="30900"/>
    <cellStyle name="Cálculo 2 11 8" xfId="104"/>
    <cellStyle name="Cálculo 2 11 8 2" xfId="30901"/>
    <cellStyle name="Cálculo 2 11 9" xfId="105"/>
    <cellStyle name="Cálculo 2 11 9 2" xfId="30902"/>
    <cellStyle name="Cálculo 2 12" xfId="106"/>
    <cellStyle name="Cálculo 2 12 10" xfId="107"/>
    <cellStyle name="Cálculo 2 12 10 2" xfId="30903"/>
    <cellStyle name="Cálculo 2 12 11" xfId="108"/>
    <cellStyle name="Cálculo 2 12 11 2" xfId="30904"/>
    <cellStyle name="Cálculo 2 12 12" xfId="109"/>
    <cellStyle name="Cálculo 2 12 12 2" xfId="30905"/>
    <cellStyle name="Cálculo 2 12 13" xfId="110"/>
    <cellStyle name="Cálculo 2 12 13 2" xfId="30906"/>
    <cellStyle name="Cálculo 2 12 14" xfId="30907"/>
    <cellStyle name="Cálculo 2 12 2" xfId="111"/>
    <cellStyle name="Cálculo 2 12 2 2" xfId="30908"/>
    <cellStyle name="Cálculo 2 12 3" xfId="112"/>
    <cellStyle name="Cálculo 2 12 3 2" xfId="30909"/>
    <cellStyle name="Cálculo 2 12 4" xfId="113"/>
    <cellStyle name="Cálculo 2 12 4 2" xfId="30910"/>
    <cellStyle name="Cálculo 2 12 5" xfId="114"/>
    <cellStyle name="Cálculo 2 12 5 2" xfId="30911"/>
    <cellStyle name="Cálculo 2 12 6" xfId="115"/>
    <cellStyle name="Cálculo 2 12 6 2" xfId="30912"/>
    <cellStyle name="Cálculo 2 12 7" xfId="116"/>
    <cellStyle name="Cálculo 2 12 7 2" xfId="30913"/>
    <cellStyle name="Cálculo 2 12 8" xfId="117"/>
    <cellStyle name="Cálculo 2 12 8 2" xfId="30914"/>
    <cellStyle name="Cálculo 2 12 9" xfId="118"/>
    <cellStyle name="Cálculo 2 12 9 2" xfId="30915"/>
    <cellStyle name="Cálculo 2 13" xfId="119"/>
    <cellStyle name="Cálculo 2 13 10" xfId="120"/>
    <cellStyle name="Cálculo 2 13 10 2" xfId="30916"/>
    <cellStyle name="Cálculo 2 13 11" xfId="121"/>
    <cellStyle name="Cálculo 2 13 11 2" xfId="30917"/>
    <cellStyle name="Cálculo 2 13 12" xfId="122"/>
    <cellStyle name="Cálculo 2 13 12 2" xfId="30918"/>
    <cellStyle name="Cálculo 2 13 13" xfId="123"/>
    <cellStyle name="Cálculo 2 13 13 2" xfId="30919"/>
    <cellStyle name="Cálculo 2 13 14" xfId="30920"/>
    <cellStyle name="Cálculo 2 13 2" xfId="124"/>
    <cellStyle name="Cálculo 2 13 2 2" xfId="30921"/>
    <cellStyle name="Cálculo 2 13 3" xfId="125"/>
    <cellStyle name="Cálculo 2 13 3 2" xfId="30922"/>
    <cellStyle name="Cálculo 2 13 4" xfId="126"/>
    <cellStyle name="Cálculo 2 13 4 2" xfId="30923"/>
    <cellStyle name="Cálculo 2 13 5" xfId="127"/>
    <cellStyle name="Cálculo 2 13 5 2" xfId="30924"/>
    <cellStyle name="Cálculo 2 13 6" xfId="128"/>
    <cellStyle name="Cálculo 2 13 6 2" xfId="30925"/>
    <cellStyle name="Cálculo 2 13 7" xfId="129"/>
    <cellStyle name="Cálculo 2 13 7 2" xfId="30926"/>
    <cellStyle name="Cálculo 2 13 8" xfId="130"/>
    <cellStyle name="Cálculo 2 13 8 2" xfId="30927"/>
    <cellStyle name="Cálculo 2 13 9" xfId="131"/>
    <cellStyle name="Cálculo 2 13 9 2" xfId="30928"/>
    <cellStyle name="Cálculo 2 14" xfId="132"/>
    <cellStyle name="Cálculo 2 14 10" xfId="133"/>
    <cellStyle name="Cálculo 2 14 10 2" xfId="30929"/>
    <cellStyle name="Cálculo 2 14 11" xfId="134"/>
    <cellStyle name="Cálculo 2 14 11 2" xfId="30930"/>
    <cellStyle name="Cálculo 2 14 12" xfId="135"/>
    <cellStyle name="Cálculo 2 14 12 2" xfId="30931"/>
    <cellStyle name="Cálculo 2 14 13" xfId="136"/>
    <cellStyle name="Cálculo 2 14 13 2" xfId="30932"/>
    <cellStyle name="Cálculo 2 14 14" xfId="30933"/>
    <cellStyle name="Cálculo 2 14 2" xfId="137"/>
    <cellStyle name="Cálculo 2 14 2 2" xfId="30934"/>
    <cellStyle name="Cálculo 2 14 3" xfId="138"/>
    <cellStyle name="Cálculo 2 14 3 2" xfId="30935"/>
    <cellStyle name="Cálculo 2 14 4" xfId="139"/>
    <cellStyle name="Cálculo 2 14 4 2" xfId="30936"/>
    <cellStyle name="Cálculo 2 14 5" xfId="140"/>
    <cellStyle name="Cálculo 2 14 5 2" xfId="30937"/>
    <cellStyle name="Cálculo 2 14 6" xfId="141"/>
    <cellStyle name="Cálculo 2 14 6 2" xfId="30938"/>
    <cellStyle name="Cálculo 2 14 7" xfId="142"/>
    <cellStyle name="Cálculo 2 14 7 2" xfId="30939"/>
    <cellStyle name="Cálculo 2 14 8" xfId="143"/>
    <cellStyle name="Cálculo 2 14 8 2" xfId="30940"/>
    <cellStyle name="Cálculo 2 14 9" xfId="144"/>
    <cellStyle name="Cálculo 2 14 9 2" xfId="30941"/>
    <cellStyle name="Cálculo 2 15" xfId="145"/>
    <cellStyle name="Cálculo 2 15 10" xfId="146"/>
    <cellStyle name="Cálculo 2 15 10 2" xfId="30942"/>
    <cellStyle name="Cálculo 2 15 11" xfId="147"/>
    <cellStyle name="Cálculo 2 15 11 2" xfId="30943"/>
    <cellStyle name="Cálculo 2 15 12" xfId="148"/>
    <cellStyle name="Cálculo 2 15 12 2" xfId="30944"/>
    <cellStyle name="Cálculo 2 15 13" xfId="149"/>
    <cellStyle name="Cálculo 2 15 13 2" xfId="30945"/>
    <cellStyle name="Cálculo 2 15 14" xfId="30946"/>
    <cellStyle name="Cálculo 2 15 2" xfId="150"/>
    <cellStyle name="Cálculo 2 15 2 2" xfId="30947"/>
    <cellStyle name="Cálculo 2 15 3" xfId="151"/>
    <cellStyle name="Cálculo 2 15 3 2" xfId="30948"/>
    <cellStyle name="Cálculo 2 15 4" xfId="152"/>
    <cellStyle name="Cálculo 2 15 4 2" xfId="30949"/>
    <cellStyle name="Cálculo 2 15 5" xfId="153"/>
    <cellStyle name="Cálculo 2 15 5 2" xfId="30950"/>
    <cellStyle name="Cálculo 2 15 6" xfId="154"/>
    <cellStyle name="Cálculo 2 15 6 2" xfId="30951"/>
    <cellStyle name="Cálculo 2 15 7" xfId="155"/>
    <cellStyle name="Cálculo 2 15 7 2" xfId="30952"/>
    <cellStyle name="Cálculo 2 15 8" xfId="156"/>
    <cellStyle name="Cálculo 2 15 8 2" xfId="30953"/>
    <cellStyle name="Cálculo 2 15 9" xfId="157"/>
    <cellStyle name="Cálculo 2 15 9 2" xfId="30954"/>
    <cellStyle name="Cálculo 2 16" xfId="158"/>
    <cellStyle name="Cálculo 2 16 10" xfId="159"/>
    <cellStyle name="Cálculo 2 16 10 2" xfId="30955"/>
    <cellStyle name="Cálculo 2 16 11" xfId="160"/>
    <cellStyle name="Cálculo 2 16 11 2" xfId="30956"/>
    <cellStyle name="Cálculo 2 16 12" xfId="161"/>
    <cellStyle name="Cálculo 2 16 12 2" xfId="30957"/>
    <cellStyle name="Cálculo 2 16 13" xfId="162"/>
    <cellStyle name="Cálculo 2 16 13 2" xfId="30958"/>
    <cellStyle name="Cálculo 2 16 14" xfId="30959"/>
    <cellStyle name="Cálculo 2 16 2" xfId="163"/>
    <cellStyle name="Cálculo 2 16 2 2" xfId="30960"/>
    <cellStyle name="Cálculo 2 16 3" xfId="164"/>
    <cellStyle name="Cálculo 2 16 3 2" xfId="30961"/>
    <cellStyle name="Cálculo 2 16 4" xfId="165"/>
    <cellStyle name="Cálculo 2 16 4 2" xfId="30962"/>
    <cellStyle name="Cálculo 2 16 5" xfId="166"/>
    <cellStyle name="Cálculo 2 16 5 2" xfId="30963"/>
    <cellStyle name="Cálculo 2 16 6" xfId="167"/>
    <cellStyle name="Cálculo 2 16 6 2" xfId="30964"/>
    <cellStyle name="Cálculo 2 16 7" xfId="168"/>
    <cellStyle name="Cálculo 2 16 7 2" xfId="30965"/>
    <cellStyle name="Cálculo 2 16 8" xfId="169"/>
    <cellStyle name="Cálculo 2 16 8 2" xfId="30966"/>
    <cellStyle name="Cálculo 2 16 9" xfId="170"/>
    <cellStyle name="Cálculo 2 16 9 2" xfId="30967"/>
    <cellStyle name="Cálculo 2 17" xfId="171"/>
    <cellStyle name="Cálculo 2 17 10" xfId="172"/>
    <cellStyle name="Cálculo 2 17 10 2" xfId="30968"/>
    <cellStyle name="Cálculo 2 17 11" xfId="173"/>
    <cellStyle name="Cálculo 2 17 11 2" xfId="30969"/>
    <cellStyle name="Cálculo 2 17 12" xfId="174"/>
    <cellStyle name="Cálculo 2 17 12 2" xfId="30970"/>
    <cellStyle name="Cálculo 2 17 13" xfId="175"/>
    <cellStyle name="Cálculo 2 17 13 2" xfId="30971"/>
    <cellStyle name="Cálculo 2 17 14" xfId="30972"/>
    <cellStyle name="Cálculo 2 17 2" xfId="176"/>
    <cellStyle name="Cálculo 2 17 2 2" xfId="30973"/>
    <cellStyle name="Cálculo 2 17 3" xfId="177"/>
    <cellStyle name="Cálculo 2 17 3 2" xfId="30974"/>
    <cellStyle name="Cálculo 2 17 4" xfId="178"/>
    <cellStyle name="Cálculo 2 17 4 2" xfId="30975"/>
    <cellStyle name="Cálculo 2 17 5" xfId="179"/>
    <cellStyle name="Cálculo 2 17 5 2" xfId="30976"/>
    <cellStyle name="Cálculo 2 17 6" xfId="180"/>
    <cellStyle name="Cálculo 2 17 6 2" xfId="30977"/>
    <cellStyle name="Cálculo 2 17 7" xfId="181"/>
    <cellStyle name="Cálculo 2 17 7 2" xfId="30978"/>
    <cellStyle name="Cálculo 2 17 8" xfId="182"/>
    <cellStyle name="Cálculo 2 17 8 2" xfId="30979"/>
    <cellStyle name="Cálculo 2 17 9" xfId="183"/>
    <cellStyle name="Cálculo 2 17 9 2" xfId="30980"/>
    <cellStyle name="Cálculo 2 18" xfId="184"/>
    <cellStyle name="Cálculo 2 18 10" xfId="185"/>
    <cellStyle name="Cálculo 2 18 10 2" xfId="30981"/>
    <cellStyle name="Cálculo 2 18 11" xfId="186"/>
    <cellStyle name="Cálculo 2 18 11 2" xfId="30982"/>
    <cellStyle name="Cálculo 2 18 12" xfId="187"/>
    <cellStyle name="Cálculo 2 18 12 2" xfId="30983"/>
    <cellStyle name="Cálculo 2 18 13" xfId="188"/>
    <cellStyle name="Cálculo 2 18 13 2" xfId="30984"/>
    <cellStyle name="Cálculo 2 18 14" xfId="30985"/>
    <cellStyle name="Cálculo 2 18 2" xfId="189"/>
    <cellStyle name="Cálculo 2 18 2 2" xfId="30986"/>
    <cellStyle name="Cálculo 2 18 3" xfId="190"/>
    <cellStyle name="Cálculo 2 18 3 2" xfId="30987"/>
    <cellStyle name="Cálculo 2 18 4" xfId="191"/>
    <cellStyle name="Cálculo 2 18 4 2" xfId="30988"/>
    <cellStyle name="Cálculo 2 18 5" xfId="192"/>
    <cellStyle name="Cálculo 2 18 5 2" xfId="30989"/>
    <cellStyle name="Cálculo 2 18 6" xfId="193"/>
    <cellStyle name="Cálculo 2 18 6 2" xfId="30990"/>
    <cellStyle name="Cálculo 2 18 7" xfId="194"/>
    <cellStyle name="Cálculo 2 18 7 2" xfId="30991"/>
    <cellStyle name="Cálculo 2 18 8" xfId="195"/>
    <cellStyle name="Cálculo 2 18 8 2" xfId="30992"/>
    <cellStyle name="Cálculo 2 18 9" xfId="196"/>
    <cellStyle name="Cálculo 2 18 9 2" xfId="30993"/>
    <cellStyle name="Cálculo 2 19" xfId="197"/>
    <cellStyle name="Cálculo 2 19 10" xfId="198"/>
    <cellStyle name="Cálculo 2 19 10 2" xfId="30994"/>
    <cellStyle name="Cálculo 2 19 11" xfId="199"/>
    <cellStyle name="Cálculo 2 19 11 2" xfId="30995"/>
    <cellStyle name="Cálculo 2 19 12" xfId="200"/>
    <cellStyle name="Cálculo 2 19 12 2" xfId="30996"/>
    <cellStyle name="Cálculo 2 19 13" xfId="201"/>
    <cellStyle name="Cálculo 2 19 13 2" xfId="30997"/>
    <cellStyle name="Cálculo 2 19 14" xfId="30998"/>
    <cellStyle name="Cálculo 2 19 2" xfId="202"/>
    <cellStyle name="Cálculo 2 19 2 2" xfId="30999"/>
    <cellStyle name="Cálculo 2 19 3" xfId="203"/>
    <cellStyle name="Cálculo 2 19 3 2" xfId="31000"/>
    <cellStyle name="Cálculo 2 19 4" xfId="204"/>
    <cellStyle name="Cálculo 2 19 4 2" xfId="31001"/>
    <cellStyle name="Cálculo 2 19 5" xfId="205"/>
    <cellStyle name="Cálculo 2 19 5 2" xfId="31002"/>
    <cellStyle name="Cálculo 2 19 6" xfId="206"/>
    <cellStyle name="Cálculo 2 19 6 2" xfId="31003"/>
    <cellStyle name="Cálculo 2 19 7" xfId="207"/>
    <cellStyle name="Cálculo 2 19 7 2" xfId="31004"/>
    <cellStyle name="Cálculo 2 19 8" xfId="208"/>
    <cellStyle name="Cálculo 2 19 8 2" xfId="31005"/>
    <cellStyle name="Cálculo 2 19 9" xfId="209"/>
    <cellStyle name="Cálculo 2 19 9 2" xfId="31006"/>
    <cellStyle name="Cálculo 2 2" xfId="210"/>
    <cellStyle name="Cálculo 2 2 10" xfId="211"/>
    <cellStyle name="Cálculo 2 2 10 2" xfId="31007"/>
    <cellStyle name="Cálculo 2 2 11" xfId="212"/>
    <cellStyle name="Cálculo 2 2 11 2" xfId="31008"/>
    <cellStyle name="Cálculo 2 2 12" xfId="213"/>
    <cellStyle name="Cálculo 2 2 12 2" xfId="31009"/>
    <cellStyle name="Cálculo 2 2 13" xfId="214"/>
    <cellStyle name="Cálculo 2 2 13 2" xfId="31010"/>
    <cellStyle name="Cálculo 2 2 14" xfId="31011"/>
    <cellStyle name="Cálculo 2 2 2" xfId="215"/>
    <cellStyle name="Cálculo 2 2 2 2" xfId="31012"/>
    <cellStyle name="Cálculo 2 2 3" xfId="216"/>
    <cellStyle name="Cálculo 2 2 3 2" xfId="31013"/>
    <cellStyle name="Cálculo 2 2 4" xfId="217"/>
    <cellStyle name="Cálculo 2 2 4 2" xfId="31014"/>
    <cellStyle name="Cálculo 2 2 5" xfId="218"/>
    <cellStyle name="Cálculo 2 2 5 2" xfId="31015"/>
    <cellStyle name="Cálculo 2 2 6" xfId="219"/>
    <cellStyle name="Cálculo 2 2 6 2" xfId="31016"/>
    <cellStyle name="Cálculo 2 2 7" xfId="220"/>
    <cellStyle name="Cálculo 2 2 7 2" xfId="31017"/>
    <cellStyle name="Cálculo 2 2 8" xfId="221"/>
    <cellStyle name="Cálculo 2 2 8 2" xfId="31018"/>
    <cellStyle name="Cálculo 2 2 9" xfId="222"/>
    <cellStyle name="Cálculo 2 2 9 2" xfId="31019"/>
    <cellStyle name="Cálculo 2 20" xfId="223"/>
    <cellStyle name="Cálculo 2 20 10" xfId="224"/>
    <cellStyle name="Cálculo 2 20 10 2" xfId="31020"/>
    <cellStyle name="Cálculo 2 20 11" xfId="225"/>
    <cellStyle name="Cálculo 2 20 11 2" xfId="31021"/>
    <cellStyle name="Cálculo 2 20 12" xfId="226"/>
    <cellStyle name="Cálculo 2 20 12 2" xfId="31022"/>
    <cellStyle name="Cálculo 2 20 13" xfId="227"/>
    <cellStyle name="Cálculo 2 20 13 2" xfId="31023"/>
    <cellStyle name="Cálculo 2 20 14" xfId="31024"/>
    <cellStyle name="Cálculo 2 20 2" xfId="228"/>
    <cellStyle name="Cálculo 2 20 2 2" xfId="31025"/>
    <cellStyle name="Cálculo 2 20 3" xfId="229"/>
    <cellStyle name="Cálculo 2 20 3 2" xfId="31026"/>
    <cellStyle name="Cálculo 2 20 4" xfId="230"/>
    <cellStyle name="Cálculo 2 20 4 2" xfId="31027"/>
    <cellStyle name="Cálculo 2 20 5" xfId="231"/>
    <cellStyle name="Cálculo 2 20 5 2" xfId="31028"/>
    <cellStyle name="Cálculo 2 20 6" xfId="232"/>
    <cellStyle name="Cálculo 2 20 6 2" xfId="31029"/>
    <cellStyle name="Cálculo 2 20 7" xfId="233"/>
    <cellStyle name="Cálculo 2 20 7 2" xfId="31030"/>
    <cellStyle name="Cálculo 2 20 8" xfId="234"/>
    <cellStyle name="Cálculo 2 20 8 2" xfId="31031"/>
    <cellStyle name="Cálculo 2 20 9" xfId="235"/>
    <cellStyle name="Cálculo 2 20 9 2" xfId="31032"/>
    <cellStyle name="Cálculo 2 21" xfId="236"/>
    <cellStyle name="Cálculo 2 21 10" xfId="237"/>
    <cellStyle name="Cálculo 2 21 10 2" xfId="31033"/>
    <cellStyle name="Cálculo 2 21 11" xfId="238"/>
    <cellStyle name="Cálculo 2 21 11 2" xfId="31034"/>
    <cellStyle name="Cálculo 2 21 12" xfId="239"/>
    <cellStyle name="Cálculo 2 21 12 2" xfId="31035"/>
    <cellStyle name="Cálculo 2 21 13" xfId="240"/>
    <cellStyle name="Cálculo 2 21 13 2" xfId="31036"/>
    <cellStyle name="Cálculo 2 21 14" xfId="31037"/>
    <cellStyle name="Cálculo 2 21 2" xfId="241"/>
    <cellStyle name="Cálculo 2 21 2 2" xfId="31038"/>
    <cellStyle name="Cálculo 2 21 3" xfId="242"/>
    <cellStyle name="Cálculo 2 21 3 2" xfId="31039"/>
    <cellStyle name="Cálculo 2 21 4" xfId="243"/>
    <cellStyle name="Cálculo 2 21 4 2" xfId="31040"/>
    <cellStyle name="Cálculo 2 21 5" xfId="244"/>
    <cellStyle name="Cálculo 2 21 5 2" xfId="31041"/>
    <cellStyle name="Cálculo 2 21 6" xfId="245"/>
    <cellStyle name="Cálculo 2 21 6 2" xfId="31042"/>
    <cellStyle name="Cálculo 2 21 7" xfId="246"/>
    <cellStyle name="Cálculo 2 21 7 2" xfId="31043"/>
    <cellStyle name="Cálculo 2 21 8" xfId="247"/>
    <cellStyle name="Cálculo 2 21 8 2" xfId="31044"/>
    <cellStyle name="Cálculo 2 21 9" xfId="248"/>
    <cellStyle name="Cálculo 2 21 9 2" xfId="31045"/>
    <cellStyle name="Cálculo 2 22" xfId="249"/>
    <cellStyle name="Cálculo 2 22 10" xfId="250"/>
    <cellStyle name="Cálculo 2 22 10 2" xfId="31046"/>
    <cellStyle name="Cálculo 2 22 11" xfId="251"/>
    <cellStyle name="Cálculo 2 22 11 2" xfId="31047"/>
    <cellStyle name="Cálculo 2 22 12" xfId="252"/>
    <cellStyle name="Cálculo 2 22 12 2" xfId="31048"/>
    <cellStyle name="Cálculo 2 22 13" xfId="253"/>
    <cellStyle name="Cálculo 2 22 13 2" xfId="31049"/>
    <cellStyle name="Cálculo 2 22 14" xfId="31050"/>
    <cellStyle name="Cálculo 2 22 2" xfId="254"/>
    <cellStyle name="Cálculo 2 22 2 2" xfId="31051"/>
    <cellStyle name="Cálculo 2 22 3" xfId="255"/>
    <cellStyle name="Cálculo 2 22 3 2" xfId="31052"/>
    <cellStyle name="Cálculo 2 22 4" xfId="256"/>
    <cellStyle name="Cálculo 2 22 4 2" xfId="31053"/>
    <cellStyle name="Cálculo 2 22 5" xfId="257"/>
    <cellStyle name="Cálculo 2 22 5 2" xfId="31054"/>
    <cellStyle name="Cálculo 2 22 6" xfId="258"/>
    <cellStyle name="Cálculo 2 22 6 2" xfId="31055"/>
    <cellStyle name="Cálculo 2 22 7" xfId="259"/>
    <cellStyle name="Cálculo 2 22 7 2" xfId="31056"/>
    <cellStyle name="Cálculo 2 22 8" xfId="260"/>
    <cellStyle name="Cálculo 2 22 8 2" xfId="31057"/>
    <cellStyle name="Cálculo 2 22 9" xfId="261"/>
    <cellStyle name="Cálculo 2 22 9 2" xfId="31058"/>
    <cellStyle name="Cálculo 2 23" xfId="262"/>
    <cellStyle name="Cálculo 2 23 10" xfId="263"/>
    <cellStyle name="Cálculo 2 23 10 2" xfId="31059"/>
    <cellStyle name="Cálculo 2 23 11" xfId="264"/>
    <cellStyle name="Cálculo 2 23 11 2" xfId="31060"/>
    <cellStyle name="Cálculo 2 23 12" xfId="265"/>
    <cellStyle name="Cálculo 2 23 12 2" xfId="31061"/>
    <cellStyle name="Cálculo 2 23 13" xfId="266"/>
    <cellStyle name="Cálculo 2 23 13 2" xfId="31062"/>
    <cellStyle name="Cálculo 2 23 14" xfId="31063"/>
    <cellStyle name="Cálculo 2 23 2" xfId="267"/>
    <cellStyle name="Cálculo 2 23 2 2" xfId="31064"/>
    <cellStyle name="Cálculo 2 23 3" xfId="268"/>
    <cellStyle name="Cálculo 2 23 3 2" xfId="31065"/>
    <cellStyle name="Cálculo 2 23 4" xfId="269"/>
    <cellStyle name="Cálculo 2 23 4 2" xfId="31066"/>
    <cellStyle name="Cálculo 2 23 5" xfId="270"/>
    <cellStyle name="Cálculo 2 23 5 2" xfId="31067"/>
    <cellStyle name="Cálculo 2 23 6" xfId="271"/>
    <cellStyle name="Cálculo 2 23 6 2" xfId="31068"/>
    <cellStyle name="Cálculo 2 23 7" xfId="272"/>
    <cellStyle name="Cálculo 2 23 7 2" xfId="31069"/>
    <cellStyle name="Cálculo 2 23 8" xfId="273"/>
    <cellStyle name="Cálculo 2 23 8 2" xfId="31070"/>
    <cellStyle name="Cálculo 2 23 9" xfId="274"/>
    <cellStyle name="Cálculo 2 23 9 2" xfId="31071"/>
    <cellStyle name="Cálculo 2 24" xfId="275"/>
    <cellStyle name="Cálculo 2 24 10" xfId="276"/>
    <cellStyle name="Cálculo 2 24 10 2" xfId="31072"/>
    <cellStyle name="Cálculo 2 24 11" xfId="277"/>
    <cellStyle name="Cálculo 2 24 11 2" xfId="31073"/>
    <cellStyle name="Cálculo 2 24 12" xfId="278"/>
    <cellStyle name="Cálculo 2 24 12 2" xfId="31074"/>
    <cellStyle name="Cálculo 2 24 13" xfId="279"/>
    <cellStyle name="Cálculo 2 24 13 2" xfId="31075"/>
    <cellStyle name="Cálculo 2 24 14" xfId="31076"/>
    <cellStyle name="Cálculo 2 24 2" xfId="280"/>
    <cellStyle name="Cálculo 2 24 2 2" xfId="31077"/>
    <cellStyle name="Cálculo 2 24 3" xfId="281"/>
    <cellStyle name="Cálculo 2 24 3 2" xfId="31078"/>
    <cellStyle name="Cálculo 2 24 4" xfId="282"/>
    <cellStyle name="Cálculo 2 24 4 2" xfId="31079"/>
    <cellStyle name="Cálculo 2 24 5" xfId="283"/>
    <cellStyle name="Cálculo 2 24 5 2" xfId="31080"/>
    <cellStyle name="Cálculo 2 24 6" xfId="284"/>
    <cellStyle name="Cálculo 2 24 6 2" xfId="31081"/>
    <cellStyle name="Cálculo 2 24 7" xfId="285"/>
    <cellStyle name="Cálculo 2 24 7 2" xfId="31082"/>
    <cellStyle name="Cálculo 2 24 8" xfId="286"/>
    <cellStyle name="Cálculo 2 24 8 2" xfId="31083"/>
    <cellStyle name="Cálculo 2 24 9" xfId="287"/>
    <cellStyle name="Cálculo 2 24 9 2" xfId="31084"/>
    <cellStyle name="Cálculo 2 25" xfId="288"/>
    <cellStyle name="Cálculo 2 25 10" xfId="289"/>
    <cellStyle name="Cálculo 2 25 10 2" xfId="31085"/>
    <cellStyle name="Cálculo 2 25 11" xfId="290"/>
    <cellStyle name="Cálculo 2 25 11 2" xfId="31086"/>
    <cellStyle name="Cálculo 2 25 12" xfId="291"/>
    <cellStyle name="Cálculo 2 25 12 2" xfId="31087"/>
    <cellStyle name="Cálculo 2 25 13" xfId="292"/>
    <cellStyle name="Cálculo 2 25 13 2" xfId="31088"/>
    <cellStyle name="Cálculo 2 25 14" xfId="31089"/>
    <cellStyle name="Cálculo 2 25 2" xfId="293"/>
    <cellStyle name="Cálculo 2 25 2 2" xfId="31090"/>
    <cellStyle name="Cálculo 2 25 3" xfId="294"/>
    <cellStyle name="Cálculo 2 25 3 2" xfId="31091"/>
    <cellStyle name="Cálculo 2 25 4" xfId="295"/>
    <cellStyle name="Cálculo 2 25 4 2" xfId="31092"/>
    <cellStyle name="Cálculo 2 25 5" xfId="296"/>
    <cellStyle name="Cálculo 2 25 5 2" xfId="31093"/>
    <cellStyle name="Cálculo 2 25 6" xfId="297"/>
    <cellStyle name="Cálculo 2 25 6 2" xfId="31094"/>
    <cellStyle name="Cálculo 2 25 7" xfId="298"/>
    <cellStyle name="Cálculo 2 25 7 2" xfId="31095"/>
    <cellStyle name="Cálculo 2 25 8" xfId="299"/>
    <cellStyle name="Cálculo 2 25 8 2" xfId="31096"/>
    <cellStyle name="Cálculo 2 25 9" xfId="300"/>
    <cellStyle name="Cálculo 2 25 9 2" xfId="31097"/>
    <cellStyle name="Cálculo 2 26" xfId="301"/>
    <cellStyle name="Cálculo 2 26 10" xfId="302"/>
    <cellStyle name="Cálculo 2 26 10 2" xfId="31098"/>
    <cellStyle name="Cálculo 2 26 11" xfId="303"/>
    <cellStyle name="Cálculo 2 26 11 2" xfId="31099"/>
    <cellStyle name="Cálculo 2 26 12" xfId="304"/>
    <cellStyle name="Cálculo 2 26 12 2" xfId="31100"/>
    <cellStyle name="Cálculo 2 26 13" xfId="305"/>
    <cellStyle name="Cálculo 2 26 13 2" xfId="31101"/>
    <cellStyle name="Cálculo 2 26 14" xfId="31102"/>
    <cellStyle name="Cálculo 2 26 2" xfId="306"/>
    <cellStyle name="Cálculo 2 26 2 2" xfId="31103"/>
    <cellStyle name="Cálculo 2 26 3" xfId="307"/>
    <cellStyle name="Cálculo 2 26 3 2" xfId="31104"/>
    <cellStyle name="Cálculo 2 26 4" xfId="308"/>
    <cellStyle name="Cálculo 2 26 4 2" xfId="31105"/>
    <cellStyle name="Cálculo 2 26 5" xfId="309"/>
    <cellStyle name="Cálculo 2 26 5 2" xfId="31106"/>
    <cellStyle name="Cálculo 2 26 6" xfId="310"/>
    <cellStyle name="Cálculo 2 26 6 2" xfId="31107"/>
    <cellStyle name="Cálculo 2 26 7" xfId="311"/>
    <cellStyle name="Cálculo 2 26 7 2" xfId="31108"/>
    <cellStyle name="Cálculo 2 26 8" xfId="312"/>
    <cellStyle name="Cálculo 2 26 8 2" xfId="31109"/>
    <cellStyle name="Cálculo 2 26 9" xfId="313"/>
    <cellStyle name="Cálculo 2 26 9 2" xfId="31110"/>
    <cellStyle name="Cálculo 2 27" xfId="314"/>
    <cellStyle name="Cálculo 2 27 10" xfId="315"/>
    <cellStyle name="Cálculo 2 27 10 2" xfId="31111"/>
    <cellStyle name="Cálculo 2 27 11" xfId="316"/>
    <cellStyle name="Cálculo 2 27 11 2" xfId="31112"/>
    <cellStyle name="Cálculo 2 27 12" xfId="317"/>
    <cellStyle name="Cálculo 2 27 12 2" xfId="31113"/>
    <cellStyle name="Cálculo 2 27 13" xfId="318"/>
    <cellStyle name="Cálculo 2 27 13 2" xfId="31114"/>
    <cellStyle name="Cálculo 2 27 14" xfId="31115"/>
    <cellStyle name="Cálculo 2 27 2" xfId="319"/>
    <cellStyle name="Cálculo 2 27 2 2" xfId="31116"/>
    <cellStyle name="Cálculo 2 27 3" xfId="320"/>
    <cellStyle name="Cálculo 2 27 3 2" xfId="31117"/>
    <cellStyle name="Cálculo 2 27 4" xfId="321"/>
    <cellStyle name="Cálculo 2 27 4 2" xfId="31118"/>
    <cellStyle name="Cálculo 2 27 5" xfId="322"/>
    <cellStyle name="Cálculo 2 27 5 2" xfId="31119"/>
    <cellStyle name="Cálculo 2 27 6" xfId="323"/>
    <cellStyle name="Cálculo 2 27 6 2" xfId="31120"/>
    <cellStyle name="Cálculo 2 27 7" xfId="324"/>
    <cellStyle name="Cálculo 2 27 7 2" xfId="31121"/>
    <cellStyle name="Cálculo 2 27 8" xfId="325"/>
    <cellStyle name="Cálculo 2 27 8 2" xfId="31122"/>
    <cellStyle name="Cálculo 2 27 9" xfId="326"/>
    <cellStyle name="Cálculo 2 27 9 2" xfId="31123"/>
    <cellStyle name="Cálculo 2 28" xfId="327"/>
    <cellStyle name="Cálculo 2 28 10" xfId="328"/>
    <cellStyle name="Cálculo 2 28 10 2" xfId="31124"/>
    <cellStyle name="Cálculo 2 28 11" xfId="329"/>
    <cellStyle name="Cálculo 2 28 11 2" xfId="31125"/>
    <cellStyle name="Cálculo 2 28 12" xfId="330"/>
    <cellStyle name="Cálculo 2 28 12 2" xfId="31126"/>
    <cellStyle name="Cálculo 2 28 13" xfId="331"/>
    <cellStyle name="Cálculo 2 28 13 2" xfId="31127"/>
    <cellStyle name="Cálculo 2 28 14" xfId="31128"/>
    <cellStyle name="Cálculo 2 28 2" xfId="332"/>
    <cellStyle name="Cálculo 2 28 2 2" xfId="31129"/>
    <cellStyle name="Cálculo 2 28 3" xfId="333"/>
    <cellStyle name="Cálculo 2 28 3 2" xfId="31130"/>
    <cellStyle name="Cálculo 2 28 4" xfId="334"/>
    <cellStyle name="Cálculo 2 28 4 2" xfId="31131"/>
    <cellStyle name="Cálculo 2 28 5" xfId="335"/>
    <cellStyle name="Cálculo 2 28 5 2" xfId="31132"/>
    <cellStyle name="Cálculo 2 28 6" xfId="336"/>
    <cellStyle name="Cálculo 2 28 6 2" xfId="31133"/>
    <cellStyle name="Cálculo 2 28 7" xfId="337"/>
    <cellStyle name="Cálculo 2 28 7 2" xfId="31134"/>
    <cellStyle name="Cálculo 2 28 8" xfId="338"/>
    <cellStyle name="Cálculo 2 28 8 2" xfId="31135"/>
    <cellStyle name="Cálculo 2 28 9" xfId="339"/>
    <cellStyle name="Cálculo 2 28 9 2" xfId="31136"/>
    <cellStyle name="Cálculo 2 29" xfId="340"/>
    <cellStyle name="Cálculo 2 29 10" xfId="341"/>
    <cellStyle name="Cálculo 2 29 10 2" xfId="31137"/>
    <cellStyle name="Cálculo 2 29 11" xfId="342"/>
    <cellStyle name="Cálculo 2 29 11 2" xfId="31138"/>
    <cellStyle name="Cálculo 2 29 12" xfId="343"/>
    <cellStyle name="Cálculo 2 29 12 2" xfId="31139"/>
    <cellStyle name="Cálculo 2 29 13" xfId="344"/>
    <cellStyle name="Cálculo 2 29 13 2" xfId="31140"/>
    <cellStyle name="Cálculo 2 29 14" xfId="31141"/>
    <cellStyle name="Cálculo 2 29 2" xfId="345"/>
    <cellStyle name="Cálculo 2 29 2 2" xfId="31142"/>
    <cellStyle name="Cálculo 2 29 3" xfId="346"/>
    <cellStyle name="Cálculo 2 29 3 2" xfId="31143"/>
    <cellStyle name="Cálculo 2 29 4" xfId="347"/>
    <cellStyle name="Cálculo 2 29 4 2" xfId="31144"/>
    <cellStyle name="Cálculo 2 29 5" xfId="348"/>
    <cellStyle name="Cálculo 2 29 5 2" xfId="31145"/>
    <cellStyle name="Cálculo 2 29 6" xfId="349"/>
    <cellStyle name="Cálculo 2 29 6 2" xfId="31146"/>
    <cellStyle name="Cálculo 2 29 7" xfId="350"/>
    <cellStyle name="Cálculo 2 29 7 2" xfId="31147"/>
    <cellStyle name="Cálculo 2 29 8" xfId="351"/>
    <cellStyle name="Cálculo 2 29 8 2" xfId="31148"/>
    <cellStyle name="Cálculo 2 29 9" xfId="352"/>
    <cellStyle name="Cálculo 2 29 9 2" xfId="31149"/>
    <cellStyle name="Cálculo 2 3" xfId="353"/>
    <cellStyle name="Cálculo 2 3 10" xfId="354"/>
    <cellStyle name="Cálculo 2 3 10 2" xfId="31150"/>
    <cellStyle name="Cálculo 2 3 11" xfId="355"/>
    <cellStyle name="Cálculo 2 3 11 2" xfId="31151"/>
    <cellStyle name="Cálculo 2 3 12" xfId="356"/>
    <cellStyle name="Cálculo 2 3 12 2" xfId="31152"/>
    <cellStyle name="Cálculo 2 3 13" xfId="357"/>
    <cellStyle name="Cálculo 2 3 13 2" xfId="31153"/>
    <cellStyle name="Cálculo 2 3 14" xfId="31154"/>
    <cellStyle name="Cálculo 2 3 2" xfId="358"/>
    <cellStyle name="Cálculo 2 3 2 2" xfId="31155"/>
    <cellStyle name="Cálculo 2 3 3" xfId="359"/>
    <cellStyle name="Cálculo 2 3 3 2" xfId="31156"/>
    <cellStyle name="Cálculo 2 3 4" xfId="360"/>
    <cellStyle name="Cálculo 2 3 4 2" xfId="31157"/>
    <cellStyle name="Cálculo 2 3 5" xfId="361"/>
    <cellStyle name="Cálculo 2 3 5 2" xfId="31158"/>
    <cellStyle name="Cálculo 2 3 6" xfId="362"/>
    <cellStyle name="Cálculo 2 3 6 2" xfId="31159"/>
    <cellStyle name="Cálculo 2 3 7" xfId="363"/>
    <cellStyle name="Cálculo 2 3 7 2" xfId="31160"/>
    <cellStyle name="Cálculo 2 3 8" xfId="364"/>
    <cellStyle name="Cálculo 2 3 8 2" xfId="31161"/>
    <cellStyle name="Cálculo 2 3 9" xfId="365"/>
    <cellStyle name="Cálculo 2 3 9 2" xfId="31162"/>
    <cellStyle name="Cálculo 2 30" xfId="366"/>
    <cellStyle name="Cálculo 2 30 10" xfId="367"/>
    <cellStyle name="Cálculo 2 30 10 2" xfId="31163"/>
    <cellStyle name="Cálculo 2 30 11" xfId="368"/>
    <cellStyle name="Cálculo 2 30 11 2" xfId="31164"/>
    <cellStyle name="Cálculo 2 30 12" xfId="369"/>
    <cellStyle name="Cálculo 2 30 12 2" xfId="31165"/>
    <cellStyle name="Cálculo 2 30 13" xfId="370"/>
    <cellStyle name="Cálculo 2 30 13 2" xfId="31166"/>
    <cellStyle name="Cálculo 2 30 14" xfId="31167"/>
    <cellStyle name="Cálculo 2 30 2" xfId="371"/>
    <cellStyle name="Cálculo 2 30 2 2" xfId="31168"/>
    <cellStyle name="Cálculo 2 30 3" xfId="372"/>
    <cellStyle name="Cálculo 2 30 3 2" xfId="31169"/>
    <cellStyle name="Cálculo 2 30 4" xfId="373"/>
    <cellStyle name="Cálculo 2 30 4 2" xfId="31170"/>
    <cellStyle name="Cálculo 2 30 5" xfId="374"/>
    <cellStyle name="Cálculo 2 30 5 2" xfId="31171"/>
    <cellStyle name="Cálculo 2 30 6" xfId="375"/>
    <cellStyle name="Cálculo 2 30 6 2" xfId="31172"/>
    <cellStyle name="Cálculo 2 30 7" xfId="376"/>
    <cellStyle name="Cálculo 2 30 7 2" xfId="31173"/>
    <cellStyle name="Cálculo 2 30 8" xfId="377"/>
    <cellStyle name="Cálculo 2 30 8 2" xfId="31174"/>
    <cellStyle name="Cálculo 2 30 9" xfId="378"/>
    <cellStyle name="Cálculo 2 30 9 2" xfId="31175"/>
    <cellStyle name="Cálculo 2 31" xfId="379"/>
    <cellStyle name="Cálculo 2 31 10" xfId="380"/>
    <cellStyle name="Cálculo 2 31 10 2" xfId="31176"/>
    <cellStyle name="Cálculo 2 31 11" xfId="381"/>
    <cellStyle name="Cálculo 2 31 11 2" xfId="31177"/>
    <cellStyle name="Cálculo 2 31 12" xfId="382"/>
    <cellStyle name="Cálculo 2 31 12 2" xfId="31178"/>
    <cellStyle name="Cálculo 2 31 13" xfId="383"/>
    <cellStyle name="Cálculo 2 31 13 2" xfId="31179"/>
    <cellStyle name="Cálculo 2 31 14" xfId="31180"/>
    <cellStyle name="Cálculo 2 31 2" xfId="384"/>
    <cellStyle name="Cálculo 2 31 2 2" xfId="31181"/>
    <cellStyle name="Cálculo 2 31 3" xfId="385"/>
    <cellStyle name="Cálculo 2 31 3 2" xfId="31182"/>
    <cellStyle name="Cálculo 2 31 4" xfId="386"/>
    <cellStyle name="Cálculo 2 31 4 2" xfId="31183"/>
    <cellStyle name="Cálculo 2 31 5" xfId="387"/>
    <cellStyle name="Cálculo 2 31 5 2" xfId="31184"/>
    <cellStyle name="Cálculo 2 31 6" xfId="388"/>
    <cellStyle name="Cálculo 2 31 6 2" xfId="31185"/>
    <cellStyle name="Cálculo 2 31 7" xfId="389"/>
    <cellStyle name="Cálculo 2 31 7 2" xfId="31186"/>
    <cellStyle name="Cálculo 2 31 8" xfId="390"/>
    <cellStyle name="Cálculo 2 31 8 2" xfId="31187"/>
    <cellStyle name="Cálculo 2 31 9" xfId="391"/>
    <cellStyle name="Cálculo 2 31 9 2" xfId="31188"/>
    <cellStyle name="Cálculo 2 32" xfId="392"/>
    <cellStyle name="Cálculo 2 32 10" xfId="393"/>
    <cellStyle name="Cálculo 2 32 10 2" xfId="31189"/>
    <cellStyle name="Cálculo 2 32 11" xfId="394"/>
    <cellStyle name="Cálculo 2 32 11 2" xfId="31190"/>
    <cellStyle name="Cálculo 2 32 12" xfId="395"/>
    <cellStyle name="Cálculo 2 32 12 2" xfId="31191"/>
    <cellStyle name="Cálculo 2 32 13" xfId="396"/>
    <cellStyle name="Cálculo 2 32 13 2" xfId="31192"/>
    <cellStyle name="Cálculo 2 32 14" xfId="31193"/>
    <cellStyle name="Cálculo 2 32 2" xfId="397"/>
    <cellStyle name="Cálculo 2 32 2 2" xfId="31194"/>
    <cellStyle name="Cálculo 2 32 3" xfId="398"/>
    <cellStyle name="Cálculo 2 32 3 2" xfId="31195"/>
    <cellStyle name="Cálculo 2 32 4" xfId="399"/>
    <cellStyle name="Cálculo 2 32 4 2" xfId="31196"/>
    <cellStyle name="Cálculo 2 32 5" xfId="400"/>
    <cellStyle name="Cálculo 2 32 5 2" xfId="31197"/>
    <cellStyle name="Cálculo 2 32 6" xfId="401"/>
    <cellStyle name="Cálculo 2 32 6 2" xfId="31198"/>
    <cellStyle name="Cálculo 2 32 7" xfId="402"/>
    <cellStyle name="Cálculo 2 32 7 2" xfId="31199"/>
    <cellStyle name="Cálculo 2 32 8" xfId="403"/>
    <cellStyle name="Cálculo 2 32 8 2" xfId="31200"/>
    <cellStyle name="Cálculo 2 32 9" xfId="404"/>
    <cellStyle name="Cálculo 2 32 9 2" xfId="31201"/>
    <cellStyle name="Cálculo 2 33" xfId="405"/>
    <cellStyle name="Cálculo 2 33 10" xfId="406"/>
    <cellStyle name="Cálculo 2 33 10 2" xfId="31202"/>
    <cellStyle name="Cálculo 2 33 11" xfId="407"/>
    <cellStyle name="Cálculo 2 33 11 2" xfId="31203"/>
    <cellStyle name="Cálculo 2 33 12" xfId="408"/>
    <cellStyle name="Cálculo 2 33 12 2" xfId="31204"/>
    <cellStyle name="Cálculo 2 33 13" xfId="409"/>
    <cellStyle name="Cálculo 2 33 13 2" xfId="31205"/>
    <cellStyle name="Cálculo 2 33 14" xfId="31206"/>
    <cellStyle name="Cálculo 2 33 2" xfId="410"/>
    <cellStyle name="Cálculo 2 33 2 2" xfId="31207"/>
    <cellStyle name="Cálculo 2 33 3" xfId="411"/>
    <cellStyle name="Cálculo 2 33 3 2" xfId="31208"/>
    <cellStyle name="Cálculo 2 33 4" xfId="412"/>
    <cellStyle name="Cálculo 2 33 4 2" xfId="31209"/>
    <cellStyle name="Cálculo 2 33 5" xfId="413"/>
    <cellStyle name="Cálculo 2 33 5 2" xfId="31210"/>
    <cellStyle name="Cálculo 2 33 6" xfId="414"/>
    <cellStyle name="Cálculo 2 33 6 2" xfId="31211"/>
    <cellStyle name="Cálculo 2 33 7" xfId="415"/>
    <cellStyle name="Cálculo 2 33 7 2" xfId="31212"/>
    <cellStyle name="Cálculo 2 33 8" xfId="416"/>
    <cellStyle name="Cálculo 2 33 8 2" xfId="31213"/>
    <cellStyle name="Cálculo 2 33 9" xfId="417"/>
    <cellStyle name="Cálculo 2 33 9 2" xfId="31214"/>
    <cellStyle name="Cálculo 2 34" xfId="418"/>
    <cellStyle name="Cálculo 2 34 10" xfId="419"/>
    <cellStyle name="Cálculo 2 34 10 2" xfId="31215"/>
    <cellStyle name="Cálculo 2 34 11" xfId="420"/>
    <cellStyle name="Cálculo 2 34 11 2" xfId="31216"/>
    <cellStyle name="Cálculo 2 34 12" xfId="421"/>
    <cellStyle name="Cálculo 2 34 12 2" xfId="31217"/>
    <cellStyle name="Cálculo 2 34 13" xfId="422"/>
    <cellStyle name="Cálculo 2 34 13 2" xfId="31218"/>
    <cellStyle name="Cálculo 2 34 14" xfId="31219"/>
    <cellStyle name="Cálculo 2 34 2" xfId="423"/>
    <cellStyle name="Cálculo 2 34 2 2" xfId="31220"/>
    <cellStyle name="Cálculo 2 34 3" xfId="424"/>
    <cellStyle name="Cálculo 2 34 3 2" xfId="31221"/>
    <cellStyle name="Cálculo 2 34 4" xfId="425"/>
    <cellStyle name="Cálculo 2 34 4 2" xfId="31222"/>
    <cellStyle name="Cálculo 2 34 5" xfId="426"/>
    <cellStyle name="Cálculo 2 34 5 2" xfId="31223"/>
    <cellStyle name="Cálculo 2 34 6" xfId="427"/>
    <cellStyle name="Cálculo 2 34 6 2" xfId="31224"/>
    <cellStyle name="Cálculo 2 34 7" xfId="428"/>
    <cellStyle name="Cálculo 2 34 7 2" xfId="31225"/>
    <cellStyle name="Cálculo 2 34 8" xfId="429"/>
    <cellStyle name="Cálculo 2 34 8 2" xfId="31226"/>
    <cellStyle name="Cálculo 2 34 9" xfId="430"/>
    <cellStyle name="Cálculo 2 34 9 2" xfId="31227"/>
    <cellStyle name="Cálculo 2 35" xfId="431"/>
    <cellStyle name="Cálculo 2 35 10" xfId="432"/>
    <cellStyle name="Cálculo 2 35 10 2" xfId="31228"/>
    <cellStyle name="Cálculo 2 35 11" xfId="433"/>
    <cellStyle name="Cálculo 2 35 11 2" xfId="31229"/>
    <cellStyle name="Cálculo 2 35 12" xfId="434"/>
    <cellStyle name="Cálculo 2 35 12 2" xfId="31230"/>
    <cellStyle name="Cálculo 2 35 13" xfId="435"/>
    <cellStyle name="Cálculo 2 35 13 2" xfId="31231"/>
    <cellStyle name="Cálculo 2 35 14" xfId="31232"/>
    <cellStyle name="Cálculo 2 35 2" xfId="436"/>
    <cellStyle name="Cálculo 2 35 2 2" xfId="31233"/>
    <cellStyle name="Cálculo 2 35 3" xfId="437"/>
    <cellStyle name="Cálculo 2 35 3 2" xfId="31234"/>
    <cellStyle name="Cálculo 2 35 4" xfId="438"/>
    <cellStyle name="Cálculo 2 35 4 2" xfId="31235"/>
    <cellStyle name="Cálculo 2 35 5" xfId="439"/>
    <cellStyle name="Cálculo 2 35 5 2" xfId="31236"/>
    <cellStyle name="Cálculo 2 35 6" xfId="440"/>
    <cellStyle name="Cálculo 2 35 6 2" xfId="31237"/>
    <cellStyle name="Cálculo 2 35 7" xfId="441"/>
    <cellStyle name="Cálculo 2 35 7 2" xfId="31238"/>
    <cellStyle name="Cálculo 2 35 8" xfId="442"/>
    <cellStyle name="Cálculo 2 35 8 2" xfId="31239"/>
    <cellStyle name="Cálculo 2 35 9" xfId="443"/>
    <cellStyle name="Cálculo 2 35 9 2" xfId="31240"/>
    <cellStyle name="Cálculo 2 36" xfId="444"/>
    <cellStyle name="Cálculo 2 36 10" xfId="445"/>
    <cellStyle name="Cálculo 2 36 10 2" xfId="31241"/>
    <cellStyle name="Cálculo 2 36 11" xfId="446"/>
    <cellStyle name="Cálculo 2 36 11 2" xfId="31242"/>
    <cellStyle name="Cálculo 2 36 12" xfId="447"/>
    <cellStyle name="Cálculo 2 36 12 2" xfId="31243"/>
    <cellStyle name="Cálculo 2 36 13" xfId="448"/>
    <cellStyle name="Cálculo 2 36 13 2" xfId="31244"/>
    <cellStyle name="Cálculo 2 36 14" xfId="31245"/>
    <cellStyle name="Cálculo 2 36 2" xfId="449"/>
    <cellStyle name="Cálculo 2 36 2 2" xfId="31246"/>
    <cellStyle name="Cálculo 2 36 3" xfId="450"/>
    <cellStyle name="Cálculo 2 36 3 2" xfId="31247"/>
    <cellStyle name="Cálculo 2 36 4" xfId="451"/>
    <cellStyle name="Cálculo 2 36 4 2" xfId="31248"/>
    <cellStyle name="Cálculo 2 36 5" xfId="452"/>
    <cellStyle name="Cálculo 2 36 5 2" xfId="31249"/>
    <cellStyle name="Cálculo 2 36 6" xfId="453"/>
    <cellStyle name="Cálculo 2 36 6 2" xfId="31250"/>
    <cellStyle name="Cálculo 2 36 7" xfId="454"/>
    <cellStyle name="Cálculo 2 36 7 2" xfId="31251"/>
    <cellStyle name="Cálculo 2 36 8" xfId="455"/>
    <cellStyle name="Cálculo 2 36 8 2" xfId="31252"/>
    <cellStyle name="Cálculo 2 36 9" xfId="456"/>
    <cellStyle name="Cálculo 2 36 9 2" xfId="31253"/>
    <cellStyle name="Cálculo 2 37" xfId="457"/>
    <cellStyle name="Cálculo 2 37 10" xfId="458"/>
    <cellStyle name="Cálculo 2 37 10 2" xfId="31254"/>
    <cellStyle name="Cálculo 2 37 11" xfId="459"/>
    <cellStyle name="Cálculo 2 37 11 2" xfId="31255"/>
    <cellStyle name="Cálculo 2 37 12" xfId="460"/>
    <cellStyle name="Cálculo 2 37 12 2" xfId="31256"/>
    <cellStyle name="Cálculo 2 37 13" xfId="461"/>
    <cellStyle name="Cálculo 2 37 13 2" xfId="31257"/>
    <cellStyle name="Cálculo 2 37 14" xfId="31258"/>
    <cellStyle name="Cálculo 2 37 2" xfId="462"/>
    <cellStyle name="Cálculo 2 37 2 2" xfId="31259"/>
    <cellStyle name="Cálculo 2 37 3" xfId="463"/>
    <cellStyle name="Cálculo 2 37 3 2" xfId="31260"/>
    <cellStyle name="Cálculo 2 37 4" xfId="464"/>
    <cellStyle name="Cálculo 2 37 4 2" xfId="31261"/>
    <cellStyle name="Cálculo 2 37 5" xfId="465"/>
    <cellStyle name="Cálculo 2 37 5 2" xfId="31262"/>
    <cellStyle name="Cálculo 2 37 6" xfId="466"/>
    <cellStyle name="Cálculo 2 37 6 2" xfId="31263"/>
    <cellStyle name="Cálculo 2 37 7" xfId="467"/>
    <cellStyle name="Cálculo 2 37 7 2" xfId="31264"/>
    <cellStyle name="Cálculo 2 37 8" xfId="468"/>
    <cellStyle name="Cálculo 2 37 8 2" xfId="31265"/>
    <cellStyle name="Cálculo 2 37 9" xfId="469"/>
    <cellStyle name="Cálculo 2 37 9 2" xfId="31266"/>
    <cellStyle name="Cálculo 2 38" xfId="470"/>
    <cellStyle name="Cálculo 2 38 10" xfId="471"/>
    <cellStyle name="Cálculo 2 38 10 2" xfId="31267"/>
    <cellStyle name="Cálculo 2 38 11" xfId="472"/>
    <cellStyle name="Cálculo 2 38 11 2" xfId="31268"/>
    <cellStyle name="Cálculo 2 38 12" xfId="473"/>
    <cellStyle name="Cálculo 2 38 12 2" xfId="31269"/>
    <cellStyle name="Cálculo 2 38 13" xfId="474"/>
    <cellStyle name="Cálculo 2 38 13 2" xfId="31270"/>
    <cellStyle name="Cálculo 2 38 14" xfId="31271"/>
    <cellStyle name="Cálculo 2 38 2" xfId="475"/>
    <cellStyle name="Cálculo 2 38 2 2" xfId="31272"/>
    <cellStyle name="Cálculo 2 38 3" xfId="476"/>
    <cellStyle name="Cálculo 2 38 3 2" xfId="31273"/>
    <cellStyle name="Cálculo 2 38 4" xfId="477"/>
    <cellStyle name="Cálculo 2 38 4 2" xfId="31274"/>
    <cellStyle name="Cálculo 2 38 5" xfId="478"/>
    <cellStyle name="Cálculo 2 38 5 2" xfId="31275"/>
    <cellStyle name="Cálculo 2 38 6" xfId="479"/>
    <cellStyle name="Cálculo 2 38 6 2" xfId="31276"/>
    <cellStyle name="Cálculo 2 38 7" xfId="480"/>
    <cellStyle name="Cálculo 2 38 7 2" xfId="31277"/>
    <cellStyle name="Cálculo 2 38 8" xfId="481"/>
    <cellStyle name="Cálculo 2 38 8 2" xfId="31278"/>
    <cellStyle name="Cálculo 2 38 9" xfId="482"/>
    <cellStyle name="Cálculo 2 38 9 2" xfId="31279"/>
    <cellStyle name="Cálculo 2 39" xfId="483"/>
    <cellStyle name="Cálculo 2 39 10" xfId="484"/>
    <cellStyle name="Cálculo 2 39 10 2" xfId="31280"/>
    <cellStyle name="Cálculo 2 39 11" xfId="485"/>
    <cellStyle name="Cálculo 2 39 11 2" xfId="31281"/>
    <cellStyle name="Cálculo 2 39 12" xfId="486"/>
    <cellStyle name="Cálculo 2 39 12 2" xfId="31282"/>
    <cellStyle name="Cálculo 2 39 13" xfId="487"/>
    <cellStyle name="Cálculo 2 39 13 2" xfId="31283"/>
    <cellStyle name="Cálculo 2 39 14" xfId="31284"/>
    <cellStyle name="Cálculo 2 39 2" xfId="488"/>
    <cellStyle name="Cálculo 2 39 2 2" xfId="31285"/>
    <cellStyle name="Cálculo 2 39 3" xfId="489"/>
    <cellStyle name="Cálculo 2 39 3 2" xfId="31286"/>
    <cellStyle name="Cálculo 2 39 4" xfId="490"/>
    <cellStyle name="Cálculo 2 39 4 2" xfId="31287"/>
    <cellStyle name="Cálculo 2 39 5" xfId="491"/>
    <cellStyle name="Cálculo 2 39 5 2" xfId="31288"/>
    <cellStyle name="Cálculo 2 39 6" xfId="492"/>
    <cellStyle name="Cálculo 2 39 6 2" xfId="31289"/>
    <cellStyle name="Cálculo 2 39 7" xfId="493"/>
    <cellStyle name="Cálculo 2 39 7 2" xfId="31290"/>
    <cellStyle name="Cálculo 2 39 8" xfId="494"/>
    <cellStyle name="Cálculo 2 39 8 2" xfId="31291"/>
    <cellStyle name="Cálculo 2 39 9" xfId="495"/>
    <cellStyle name="Cálculo 2 39 9 2" xfId="31292"/>
    <cellStyle name="Cálculo 2 4" xfId="496"/>
    <cellStyle name="Cálculo 2 4 10" xfId="497"/>
    <cellStyle name="Cálculo 2 4 10 2" xfId="31293"/>
    <cellStyle name="Cálculo 2 4 11" xfId="498"/>
    <cellStyle name="Cálculo 2 4 11 2" xfId="31294"/>
    <cellStyle name="Cálculo 2 4 12" xfId="499"/>
    <cellStyle name="Cálculo 2 4 12 2" xfId="31295"/>
    <cellStyle name="Cálculo 2 4 13" xfId="500"/>
    <cellStyle name="Cálculo 2 4 13 2" xfId="31296"/>
    <cellStyle name="Cálculo 2 4 14" xfId="31297"/>
    <cellStyle name="Cálculo 2 4 2" xfId="501"/>
    <cellStyle name="Cálculo 2 4 2 2" xfId="31298"/>
    <cellStyle name="Cálculo 2 4 3" xfId="502"/>
    <cellStyle name="Cálculo 2 4 3 2" xfId="31299"/>
    <cellStyle name="Cálculo 2 4 4" xfId="503"/>
    <cellStyle name="Cálculo 2 4 4 2" xfId="31300"/>
    <cellStyle name="Cálculo 2 4 5" xfId="504"/>
    <cellStyle name="Cálculo 2 4 5 2" xfId="31301"/>
    <cellStyle name="Cálculo 2 4 6" xfId="505"/>
    <cellStyle name="Cálculo 2 4 6 2" xfId="31302"/>
    <cellStyle name="Cálculo 2 4 7" xfId="506"/>
    <cellStyle name="Cálculo 2 4 7 2" xfId="31303"/>
    <cellStyle name="Cálculo 2 4 8" xfId="507"/>
    <cellStyle name="Cálculo 2 4 8 2" xfId="31304"/>
    <cellStyle name="Cálculo 2 4 9" xfId="508"/>
    <cellStyle name="Cálculo 2 4 9 2" xfId="31305"/>
    <cellStyle name="Cálculo 2 40" xfId="509"/>
    <cellStyle name="Cálculo 2 40 10" xfId="510"/>
    <cellStyle name="Cálculo 2 40 10 2" xfId="31306"/>
    <cellStyle name="Cálculo 2 40 11" xfId="511"/>
    <cellStyle name="Cálculo 2 40 11 2" xfId="31307"/>
    <cellStyle name="Cálculo 2 40 12" xfId="512"/>
    <cellStyle name="Cálculo 2 40 12 2" xfId="31308"/>
    <cellStyle name="Cálculo 2 40 13" xfId="513"/>
    <cellStyle name="Cálculo 2 40 13 2" xfId="31309"/>
    <cellStyle name="Cálculo 2 40 14" xfId="31310"/>
    <cellStyle name="Cálculo 2 40 2" xfId="514"/>
    <cellStyle name="Cálculo 2 40 2 2" xfId="31311"/>
    <cellStyle name="Cálculo 2 40 3" xfId="515"/>
    <cellStyle name="Cálculo 2 40 3 2" xfId="31312"/>
    <cellStyle name="Cálculo 2 40 4" xfId="516"/>
    <cellStyle name="Cálculo 2 40 4 2" xfId="31313"/>
    <cellStyle name="Cálculo 2 40 5" xfId="517"/>
    <cellStyle name="Cálculo 2 40 5 2" xfId="31314"/>
    <cellStyle name="Cálculo 2 40 6" xfId="518"/>
    <cellStyle name="Cálculo 2 40 6 2" xfId="31315"/>
    <cellStyle name="Cálculo 2 40 7" xfId="519"/>
    <cellStyle name="Cálculo 2 40 7 2" xfId="31316"/>
    <cellStyle name="Cálculo 2 40 8" xfId="520"/>
    <cellStyle name="Cálculo 2 40 8 2" xfId="31317"/>
    <cellStyle name="Cálculo 2 40 9" xfId="521"/>
    <cellStyle name="Cálculo 2 40 9 2" xfId="31318"/>
    <cellStyle name="Cálculo 2 41" xfId="522"/>
    <cellStyle name="Cálculo 2 41 10" xfId="523"/>
    <cellStyle name="Cálculo 2 41 10 2" xfId="31319"/>
    <cellStyle name="Cálculo 2 41 11" xfId="524"/>
    <cellStyle name="Cálculo 2 41 11 2" xfId="31320"/>
    <cellStyle name="Cálculo 2 41 12" xfId="525"/>
    <cellStyle name="Cálculo 2 41 12 2" xfId="31321"/>
    <cellStyle name="Cálculo 2 41 13" xfId="526"/>
    <cellStyle name="Cálculo 2 41 13 2" xfId="31322"/>
    <cellStyle name="Cálculo 2 41 14" xfId="31323"/>
    <cellStyle name="Cálculo 2 41 2" xfId="527"/>
    <cellStyle name="Cálculo 2 41 2 2" xfId="31324"/>
    <cellStyle name="Cálculo 2 41 3" xfId="528"/>
    <cellStyle name="Cálculo 2 41 3 2" xfId="31325"/>
    <cellStyle name="Cálculo 2 41 4" xfId="529"/>
    <cellStyle name="Cálculo 2 41 4 2" xfId="31326"/>
    <cellStyle name="Cálculo 2 41 5" xfId="530"/>
    <cellStyle name="Cálculo 2 41 5 2" xfId="31327"/>
    <cellStyle name="Cálculo 2 41 6" xfId="531"/>
    <cellStyle name="Cálculo 2 41 6 2" xfId="31328"/>
    <cellStyle name="Cálculo 2 41 7" xfId="532"/>
    <cellStyle name="Cálculo 2 41 7 2" xfId="31329"/>
    <cellStyle name="Cálculo 2 41 8" xfId="533"/>
    <cellStyle name="Cálculo 2 41 8 2" xfId="31330"/>
    <cellStyle name="Cálculo 2 41 9" xfId="534"/>
    <cellStyle name="Cálculo 2 41 9 2" xfId="31331"/>
    <cellStyle name="Cálculo 2 42" xfId="535"/>
    <cellStyle name="Cálculo 2 42 10" xfId="536"/>
    <cellStyle name="Cálculo 2 42 10 2" xfId="31332"/>
    <cellStyle name="Cálculo 2 42 11" xfId="537"/>
    <cellStyle name="Cálculo 2 42 11 2" xfId="31333"/>
    <cellStyle name="Cálculo 2 42 12" xfId="538"/>
    <cellStyle name="Cálculo 2 42 12 2" xfId="31334"/>
    <cellStyle name="Cálculo 2 42 13" xfId="539"/>
    <cellStyle name="Cálculo 2 42 13 2" xfId="31335"/>
    <cellStyle name="Cálculo 2 42 14" xfId="31336"/>
    <cellStyle name="Cálculo 2 42 2" xfId="540"/>
    <cellStyle name="Cálculo 2 42 2 2" xfId="31337"/>
    <cellStyle name="Cálculo 2 42 3" xfId="541"/>
    <cellStyle name="Cálculo 2 42 3 2" xfId="31338"/>
    <cellStyle name="Cálculo 2 42 4" xfId="542"/>
    <cellStyle name="Cálculo 2 42 4 2" xfId="31339"/>
    <cellStyle name="Cálculo 2 42 5" xfId="543"/>
    <cellStyle name="Cálculo 2 42 5 2" xfId="31340"/>
    <cellStyle name="Cálculo 2 42 6" xfId="544"/>
    <cellStyle name="Cálculo 2 42 6 2" xfId="31341"/>
    <cellStyle name="Cálculo 2 42 7" xfId="545"/>
    <cellStyle name="Cálculo 2 42 7 2" xfId="31342"/>
    <cellStyle name="Cálculo 2 42 8" xfId="546"/>
    <cellStyle name="Cálculo 2 42 8 2" xfId="31343"/>
    <cellStyle name="Cálculo 2 42 9" xfId="547"/>
    <cellStyle name="Cálculo 2 42 9 2" xfId="31344"/>
    <cellStyle name="Cálculo 2 43" xfId="548"/>
    <cellStyle name="Cálculo 2 43 10" xfId="549"/>
    <cellStyle name="Cálculo 2 43 10 2" xfId="31345"/>
    <cellStyle name="Cálculo 2 43 11" xfId="550"/>
    <cellStyle name="Cálculo 2 43 11 2" xfId="31346"/>
    <cellStyle name="Cálculo 2 43 12" xfId="551"/>
    <cellStyle name="Cálculo 2 43 12 2" xfId="31347"/>
    <cellStyle name="Cálculo 2 43 13" xfId="552"/>
    <cellStyle name="Cálculo 2 43 13 2" xfId="31348"/>
    <cellStyle name="Cálculo 2 43 14" xfId="31349"/>
    <cellStyle name="Cálculo 2 43 2" xfId="553"/>
    <cellStyle name="Cálculo 2 43 2 2" xfId="31350"/>
    <cellStyle name="Cálculo 2 43 3" xfId="554"/>
    <cellStyle name="Cálculo 2 43 3 2" xfId="31351"/>
    <cellStyle name="Cálculo 2 43 4" xfId="555"/>
    <cellStyle name="Cálculo 2 43 4 2" xfId="31352"/>
    <cellStyle name="Cálculo 2 43 5" xfId="556"/>
    <cellStyle name="Cálculo 2 43 5 2" xfId="31353"/>
    <cellStyle name="Cálculo 2 43 6" xfId="557"/>
    <cellStyle name="Cálculo 2 43 6 2" xfId="31354"/>
    <cellStyle name="Cálculo 2 43 7" xfId="558"/>
    <cellStyle name="Cálculo 2 43 7 2" xfId="31355"/>
    <cellStyle name="Cálculo 2 43 8" xfId="559"/>
    <cellStyle name="Cálculo 2 43 8 2" xfId="31356"/>
    <cellStyle name="Cálculo 2 43 9" xfId="560"/>
    <cellStyle name="Cálculo 2 43 9 2" xfId="31357"/>
    <cellStyle name="Cálculo 2 44" xfId="561"/>
    <cellStyle name="Cálculo 2 44 10" xfId="562"/>
    <cellStyle name="Cálculo 2 44 10 2" xfId="31358"/>
    <cellStyle name="Cálculo 2 44 11" xfId="563"/>
    <cellStyle name="Cálculo 2 44 11 2" xfId="31359"/>
    <cellStyle name="Cálculo 2 44 12" xfId="564"/>
    <cellStyle name="Cálculo 2 44 12 2" xfId="31360"/>
    <cellStyle name="Cálculo 2 44 13" xfId="565"/>
    <cellStyle name="Cálculo 2 44 13 2" xfId="31361"/>
    <cellStyle name="Cálculo 2 44 14" xfId="31362"/>
    <cellStyle name="Cálculo 2 44 2" xfId="566"/>
    <cellStyle name="Cálculo 2 44 2 2" xfId="31363"/>
    <cellStyle name="Cálculo 2 44 3" xfId="567"/>
    <cellStyle name="Cálculo 2 44 3 2" xfId="31364"/>
    <cellStyle name="Cálculo 2 44 4" xfId="568"/>
    <cellStyle name="Cálculo 2 44 4 2" xfId="31365"/>
    <cellStyle name="Cálculo 2 44 5" xfId="569"/>
    <cellStyle name="Cálculo 2 44 5 2" xfId="31366"/>
    <cellStyle name="Cálculo 2 44 6" xfId="570"/>
    <cellStyle name="Cálculo 2 44 6 2" xfId="31367"/>
    <cellStyle name="Cálculo 2 44 7" xfId="571"/>
    <cellStyle name="Cálculo 2 44 7 2" xfId="31368"/>
    <cellStyle name="Cálculo 2 44 8" xfId="572"/>
    <cellStyle name="Cálculo 2 44 8 2" xfId="31369"/>
    <cellStyle name="Cálculo 2 44 9" xfId="573"/>
    <cellStyle name="Cálculo 2 44 9 2" xfId="31370"/>
    <cellStyle name="Cálculo 2 45" xfId="574"/>
    <cellStyle name="Cálculo 2 45 10" xfId="575"/>
    <cellStyle name="Cálculo 2 45 10 2" xfId="31371"/>
    <cellStyle name="Cálculo 2 45 11" xfId="576"/>
    <cellStyle name="Cálculo 2 45 11 2" xfId="31372"/>
    <cellStyle name="Cálculo 2 45 12" xfId="577"/>
    <cellStyle name="Cálculo 2 45 12 2" xfId="31373"/>
    <cellStyle name="Cálculo 2 45 13" xfId="578"/>
    <cellStyle name="Cálculo 2 45 13 2" xfId="31374"/>
    <cellStyle name="Cálculo 2 45 14" xfId="31375"/>
    <cellStyle name="Cálculo 2 45 2" xfId="579"/>
    <cellStyle name="Cálculo 2 45 2 2" xfId="31376"/>
    <cellStyle name="Cálculo 2 45 3" xfId="580"/>
    <cellStyle name="Cálculo 2 45 3 2" xfId="31377"/>
    <cellStyle name="Cálculo 2 45 4" xfId="581"/>
    <cellStyle name="Cálculo 2 45 4 2" xfId="31378"/>
    <cellStyle name="Cálculo 2 45 5" xfId="582"/>
    <cellStyle name="Cálculo 2 45 5 2" xfId="31379"/>
    <cellStyle name="Cálculo 2 45 6" xfId="583"/>
    <cellStyle name="Cálculo 2 45 6 2" xfId="31380"/>
    <cellStyle name="Cálculo 2 45 7" xfId="584"/>
    <cellStyle name="Cálculo 2 45 7 2" xfId="31381"/>
    <cellStyle name="Cálculo 2 45 8" xfId="585"/>
    <cellStyle name="Cálculo 2 45 8 2" xfId="31382"/>
    <cellStyle name="Cálculo 2 45 9" xfId="586"/>
    <cellStyle name="Cálculo 2 45 9 2" xfId="31383"/>
    <cellStyle name="Cálculo 2 46" xfId="587"/>
    <cellStyle name="Cálculo 2 46 10" xfId="588"/>
    <cellStyle name="Cálculo 2 46 10 2" xfId="31384"/>
    <cellStyle name="Cálculo 2 46 11" xfId="589"/>
    <cellStyle name="Cálculo 2 46 11 2" xfId="31385"/>
    <cellStyle name="Cálculo 2 46 12" xfId="590"/>
    <cellStyle name="Cálculo 2 46 12 2" xfId="31386"/>
    <cellStyle name="Cálculo 2 46 13" xfId="591"/>
    <cellStyle name="Cálculo 2 46 13 2" xfId="31387"/>
    <cellStyle name="Cálculo 2 46 14" xfId="31388"/>
    <cellStyle name="Cálculo 2 46 2" xfId="592"/>
    <cellStyle name="Cálculo 2 46 2 2" xfId="31389"/>
    <cellStyle name="Cálculo 2 46 3" xfId="593"/>
    <cellStyle name="Cálculo 2 46 3 2" xfId="31390"/>
    <cellStyle name="Cálculo 2 46 4" xfId="594"/>
    <cellStyle name="Cálculo 2 46 4 2" xfId="31391"/>
    <cellStyle name="Cálculo 2 46 5" xfId="595"/>
    <cellStyle name="Cálculo 2 46 5 2" xfId="31392"/>
    <cellStyle name="Cálculo 2 46 6" xfId="596"/>
    <cellStyle name="Cálculo 2 46 6 2" xfId="31393"/>
    <cellStyle name="Cálculo 2 46 7" xfId="597"/>
    <cellStyle name="Cálculo 2 46 7 2" xfId="31394"/>
    <cellStyle name="Cálculo 2 46 8" xfId="598"/>
    <cellStyle name="Cálculo 2 46 8 2" xfId="31395"/>
    <cellStyle name="Cálculo 2 46 9" xfId="599"/>
    <cellStyle name="Cálculo 2 46 9 2" xfId="31396"/>
    <cellStyle name="Cálculo 2 47" xfId="600"/>
    <cellStyle name="Cálculo 2 47 10" xfId="601"/>
    <cellStyle name="Cálculo 2 47 10 2" xfId="31397"/>
    <cellStyle name="Cálculo 2 47 11" xfId="602"/>
    <cellStyle name="Cálculo 2 47 11 2" xfId="31398"/>
    <cellStyle name="Cálculo 2 47 12" xfId="603"/>
    <cellStyle name="Cálculo 2 47 12 2" xfId="31399"/>
    <cellStyle name="Cálculo 2 47 13" xfId="604"/>
    <cellStyle name="Cálculo 2 47 13 2" xfId="31400"/>
    <cellStyle name="Cálculo 2 47 14" xfId="31401"/>
    <cellStyle name="Cálculo 2 47 2" xfId="605"/>
    <cellStyle name="Cálculo 2 47 2 2" xfId="31402"/>
    <cellStyle name="Cálculo 2 47 3" xfId="606"/>
    <cellStyle name="Cálculo 2 47 3 2" xfId="31403"/>
    <cellStyle name="Cálculo 2 47 4" xfId="607"/>
    <cellStyle name="Cálculo 2 47 4 2" xfId="31404"/>
    <cellStyle name="Cálculo 2 47 5" xfId="608"/>
    <cellStyle name="Cálculo 2 47 5 2" xfId="31405"/>
    <cellStyle name="Cálculo 2 47 6" xfId="609"/>
    <cellStyle name="Cálculo 2 47 6 2" xfId="31406"/>
    <cellStyle name="Cálculo 2 47 7" xfId="610"/>
    <cellStyle name="Cálculo 2 47 7 2" xfId="31407"/>
    <cellStyle name="Cálculo 2 47 8" xfId="611"/>
    <cellStyle name="Cálculo 2 47 8 2" xfId="31408"/>
    <cellStyle name="Cálculo 2 47 9" xfId="612"/>
    <cellStyle name="Cálculo 2 47 9 2" xfId="31409"/>
    <cellStyle name="Cálculo 2 48" xfId="613"/>
    <cellStyle name="Cálculo 2 48 10" xfId="614"/>
    <cellStyle name="Cálculo 2 48 10 2" xfId="31410"/>
    <cellStyle name="Cálculo 2 48 11" xfId="615"/>
    <cellStyle name="Cálculo 2 48 11 2" xfId="31411"/>
    <cellStyle name="Cálculo 2 48 12" xfId="616"/>
    <cellStyle name="Cálculo 2 48 12 2" xfId="31412"/>
    <cellStyle name="Cálculo 2 48 13" xfId="617"/>
    <cellStyle name="Cálculo 2 48 13 2" xfId="31413"/>
    <cellStyle name="Cálculo 2 48 14" xfId="31414"/>
    <cellStyle name="Cálculo 2 48 2" xfId="618"/>
    <cellStyle name="Cálculo 2 48 2 2" xfId="31415"/>
    <cellStyle name="Cálculo 2 48 3" xfId="619"/>
    <cellStyle name="Cálculo 2 48 3 2" xfId="31416"/>
    <cellStyle name="Cálculo 2 48 4" xfId="620"/>
    <cellStyle name="Cálculo 2 48 4 2" xfId="31417"/>
    <cellStyle name="Cálculo 2 48 5" xfId="621"/>
    <cellStyle name="Cálculo 2 48 5 2" xfId="31418"/>
    <cellStyle name="Cálculo 2 48 6" xfId="622"/>
    <cellStyle name="Cálculo 2 48 6 2" xfId="31419"/>
    <cellStyle name="Cálculo 2 48 7" xfId="623"/>
    <cellStyle name="Cálculo 2 48 7 2" xfId="31420"/>
    <cellStyle name="Cálculo 2 48 8" xfId="624"/>
    <cellStyle name="Cálculo 2 48 8 2" xfId="31421"/>
    <cellStyle name="Cálculo 2 48 9" xfId="625"/>
    <cellStyle name="Cálculo 2 48 9 2" xfId="31422"/>
    <cellStyle name="Cálculo 2 49" xfId="626"/>
    <cellStyle name="Cálculo 2 49 10" xfId="627"/>
    <cellStyle name="Cálculo 2 49 10 2" xfId="31423"/>
    <cellStyle name="Cálculo 2 49 11" xfId="628"/>
    <cellStyle name="Cálculo 2 49 11 2" xfId="31424"/>
    <cellStyle name="Cálculo 2 49 12" xfId="629"/>
    <cellStyle name="Cálculo 2 49 12 2" xfId="31425"/>
    <cellStyle name="Cálculo 2 49 13" xfId="630"/>
    <cellStyle name="Cálculo 2 49 13 2" xfId="31426"/>
    <cellStyle name="Cálculo 2 49 14" xfId="31427"/>
    <cellStyle name="Cálculo 2 49 2" xfId="631"/>
    <cellStyle name="Cálculo 2 49 2 2" xfId="31428"/>
    <cellStyle name="Cálculo 2 49 3" xfId="632"/>
    <cellStyle name="Cálculo 2 49 3 2" xfId="31429"/>
    <cellStyle name="Cálculo 2 49 4" xfId="633"/>
    <cellStyle name="Cálculo 2 49 4 2" xfId="31430"/>
    <cellStyle name="Cálculo 2 49 5" xfId="634"/>
    <cellStyle name="Cálculo 2 49 5 2" xfId="31431"/>
    <cellStyle name="Cálculo 2 49 6" xfId="635"/>
    <cellStyle name="Cálculo 2 49 6 2" xfId="31432"/>
    <cellStyle name="Cálculo 2 49 7" xfId="636"/>
    <cellStyle name="Cálculo 2 49 7 2" xfId="31433"/>
    <cellStyle name="Cálculo 2 49 8" xfId="637"/>
    <cellStyle name="Cálculo 2 49 8 2" xfId="31434"/>
    <cellStyle name="Cálculo 2 49 9" xfId="638"/>
    <cellStyle name="Cálculo 2 49 9 2" xfId="31435"/>
    <cellStyle name="Cálculo 2 5" xfId="639"/>
    <cellStyle name="Cálculo 2 5 10" xfId="640"/>
    <cellStyle name="Cálculo 2 5 10 2" xfId="31436"/>
    <cellStyle name="Cálculo 2 5 11" xfId="641"/>
    <cellStyle name="Cálculo 2 5 11 2" xfId="31437"/>
    <cellStyle name="Cálculo 2 5 12" xfId="642"/>
    <cellStyle name="Cálculo 2 5 12 2" xfId="31438"/>
    <cellStyle name="Cálculo 2 5 13" xfId="643"/>
    <cellStyle name="Cálculo 2 5 13 2" xfId="31439"/>
    <cellStyle name="Cálculo 2 5 14" xfId="31440"/>
    <cellStyle name="Cálculo 2 5 2" xfId="644"/>
    <cellStyle name="Cálculo 2 5 2 2" xfId="31441"/>
    <cellStyle name="Cálculo 2 5 3" xfId="645"/>
    <cellStyle name="Cálculo 2 5 3 2" xfId="31442"/>
    <cellStyle name="Cálculo 2 5 4" xfId="646"/>
    <cellStyle name="Cálculo 2 5 4 2" xfId="31443"/>
    <cellStyle name="Cálculo 2 5 5" xfId="647"/>
    <cellStyle name="Cálculo 2 5 5 2" xfId="31444"/>
    <cellStyle name="Cálculo 2 5 6" xfId="648"/>
    <cellStyle name="Cálculo 2 5 6 2" xfId="31445"/>
    <cellStyle name="Cálculo 2 5 7" xfId="649"/>
    <cellStyle name="Cálculo 2 5 7 2" xfId="31446"/>
    <cellStyle name="Cálculo 2 5 8" xfId="650"/>
    <cellStyle name="Cálculo 2 5 8 2" xfId="31447"/>
    <cellStyle name="Cálculo 2 5 9" xfId="651"/>
    <cellStyle name="Cálculo 2 5 9 2" xfId="31448"/>
    <cellStyle name="Cálculo 2 50" xfId="652"/>
    <cellStyle name="Cálculo 2 50 10" xfId="653"/>
    <cellStyle name="Cálculo 2 50 10 2" xfId="31449"/>
    <cellStyle name="Cálculo 2 50 11" xfId="654"/>
    <cellStyle name="Cálculo 2 50 11 2" xfId="31450"/>
    <cellStyle name="Cálculo 2 50 12" xfId="655"/>
    <cellStyle name="Cálculo 2 50 12 2" xfId="31451"/>
    <cellStyle name="Cálculo 2 50 13" xfId="656"/>
    <cellStyle name="Cálculo 2 50 13 2" xfId="31452"/>
    <cellStyle name="Cálculo 2 50 14" xfId="31453"/>
    <cellStyle name="Cálculo 2 50 2" xfId="657"/>
    <cellStyle name="Cálculo 2 50 2 2" xfId="31454"/>
    <cellStyle name="Cálculo 2 50 3" xfId="658"/>
    <cellStyle name="Cálculo 2 50 3 2" xfId="31455"/>
    <cellStyle name="Cálculo 2 50 4" xfId="659"/>
    <cellStyle name="Cálculo 2 50 4 2" xfId="31456"/>
    <cellStyle name="Cálculo 2 50 5" xfId="660"/>
    <cellStyle name="Cálculo 2 50 5 2" xfId="31457"/>
    <cellStyle name="Cálculo 2 50 6" xfId="661"/>
    <cellStyle name="Cálculo 2 50 6 2" xfId="31458"/>
    <cellStyle name="Cálculo 2 50 7" xfId="662"/>
    <cellStyle name="Cálculo 2 50 7 2" xfId="31459"/>
    <cellStyle name="Cálculo 2 50 8" xfId="663"/>
    <cellStyle name="Cálculo 2 50 8 2" xfId="31460"/>
    <cellStyle name="Cálculo 2 50 9" xfId="664"/>
    <cellStyle name="Cálculo 2 50 9 2" xfId="31461"/>
    <cellStyle name="Cálculo 2 51" xfId="665"/>
    <cellStyle name="Cálculo 2 51 10" xfId="666"/>
    <cellStyle name="Cálculo 2 51 10 2" xfId="31462"/>
    <cellStyle name="Cálculo 2 51 11" xfId="667"/>
    <cellStyle name="Cálculo 2 51 11 2" xfId="31463"/>
    <cellStyle name="Cálculo 2 51 12" xfId="668"/>
    <cellStyle name="Cálculo 2 51 12 2" xfId="31464"/>
    <cellStyle name="Cálculo 2 51 13" xfId="669"/>
    <cellStyle name="Cálculo 2 51 13 2" xfId="31465"/>
    <cellStyle name="Cálculo 2 51 14" xfId="31466"/>
    <cellStyle name="Cálculo 2 51 2" xfId="670"/>
    <cellStyle name="Cálculo 2 51 2 2" xfId="31467"/>
    <cellStyle name="Cálculo 2 51 3" xfId="671"/>
    <cellStyle name="Cálculo 2 51 3 2" xfId="31468"/>
    <cellStyle name="Cálculo 2 51 4" xfId="672"/>
    <cellStyle name="Cálculo 2 51 4 2" xfId="31469"/>
    <cellStyle name="Cálculo 2 51 5" xfId="673"/>
    <cellStyle name="Cálculo 2 51 5 2" xfId="31470"/>
    <cellStyle name="Cálculo 2 51 6" xfId="674"/>
    <cellStyle name="Cálculo 2 51 6 2" xfId="31471"/>
    <cellStyle name="Cálculo 2 51 7" xfId="675"/>
    <cellStyle name="Cálculo 2 51 7 2" xfId="31472"/>
    <cellStyle name="Cálculo 2 51 8" xfId="676"/>
    <cellStyle name="Cálculo 2 51 8 2" xfId="31473"/>
    <cellStyle name="Cálculo 2 51 9" xfId="677"/>
    <cellStyle name="Cálculo 2 51 9 2" xfId="31474"/>
    <cellStyle name="Cálculo 2 52" xfId="678"/>
    <cellStyle name="Cálculo 2 52 10" xfId="679"/>
    <cellStyle name="Cálculo 2 52 10 2" xfId="31475"/>
    <cellStyle name="Cálculo 2 52 11" xfId="680"/>
    <cellStyle name="Cálculo 2 52 11 2" xfId="31476"/>
    <cellStyle name="Cálculo 2 52 12" xfId="681"/>
    <cellStyle name="Cálculo 2 52 12 2" xfId="31477"/>
    <cellStyle name="Cálculo 2 52 13" xfId="682"/>
    <cellStyle name="Cálculo 2 52 13 2" xfId="31478"/>
    <cellStyle name="Cálculo 2 52 14" xfId="31479"/>
    <cellStyle name="Cálculo 2 52 2" xfId="683"/>
    <cellStyle name="Cálculo 2 52 2 2" xfId="31480"/>
    <cellStyle name="Cálculo 2 52 3" xfId="684"/>
    <cellStyle name="Cálculo 2 52 3 2" xfId="31481"/>
    <cellStyle name="Cálculo 2 52 4" xfId="685"/>
    <cellStyle name="Cálculo 2 52 4 2" xfId="31482"/>
    <cellStyle name="Cálculo 2 52 5" xfId="686"/>
    <cellStyle name="Cálculo 2 52 5 2" xfId="31483"/>
    <cellStyle name="Cálculo 2 52 6" xfId="687"/>
    <cellStyle name="Cálculo 2 52 6 2" xfId="31484"/>
    <cellStyle name="Cálculo 2 52 7" xfId="688"/>
    <cellStyle name="Cálculo 2 52 7 2" xfId="31485"/>
    <cellStyle name="Cálculo 2 52 8" xfId="689"/>
    <cellStyle name="Cálculo 2 52 8 2" xfId="31486"/>
    <cellStyle name="Cálculo 2 52 9" xfId="690"/>
    <cellStyle name="Cálculo 2 52 9 2" xfId="31487"/>
    <cellStyle name="Cálculo 2 53" xfId="691"/>
    <cellStyle name="Cálculo 2 53 10" xfId="692"/>
    <cellStyle name="Cálculo 2 53 10 2" xfId="31488"/>
    <cellStyle name="Cálculo 2 53 11" xfId="693"/>
    <cellStyle name="Cálculo 2 53 11 2" xfId="31489"/>
    <cellStyle name="Cálculo 2 53 12" xfId="694"/>
    <cellStyle name="Cálculo 2 53 12 2" xfId="31490"/>
    <cellStyle name="Cálculo 2 53 13" xfId="695"/>
    <cellStyle name="Cálculo 2 53 13 2" xfId="31491"/>
    <cellStyle name="Cálculo 2 53 14" xfId="31492"/>
    <cellStyle name="Cálculo 2 53 2" xfId="696"/>
    <cellStyle name="Cálculo 2 53 2 2" xfId="31493"/>
    <cellStyle name="Cálculo 2 53 3" xfId="697"/>
    <cellStyle name="Cálculo 2 53 3 2" xfId="31494"/>
    <cellStyle name="Cálculo 2 53 4" xfId="698"/>
    <cellStyle name="Cálculo 2 53 4 2" xfId="31495"/>
    <cellStyle name="Cálculo 2 53 5" xfId="699"/>
    <cellStyle name="Cálculo 2 53 5 2" xfId="31496"/>
    <cellStyle name="Cálculo 2 53 6" xfId="700"/>
    <cellStyle name="Cálculo 2 53 6 2" xfId="31497"/>
    <cellStyle name="Cálculo 2 53 7" xfId="701"/>
    <cellStyle name="Cálculo 2 53 7 2" xfId="31498"/>
    <cellStyle name="Cálculo 2 53 8" xfId="702"/>
    <cellStyle name="Cálculo 2 53 8 2" xfId="31499"/>
    <cellStyle name="Cálculo 2 53 9" xfId="703"/>
    <cellStyle name="Cálculo 2 53 9 2" xfId="31500"/>
    <cellStyle name="Cálculo 2 54" xfId="704"/>
    <cellStyle name="Cálculo 2 54 10" xfId="705"/>
    <cellStyle name="Cálculo 2 54 10 2" xfId="31501"/>
    <cellStyle name="Cálculo 2 54 11" xfId="706"/>
    <cellStyle name="Cálculo 2 54 11 2" xfId="31502"/>
    <cellStyle name="Cálculo 2 54 12" xfId="707"/>
    <cellStyle name="Cálculo 2 54 12 2" xfId="31503"/>
    <cellStyle name="Cálculo 2 54 13" xfId="708"/>
    <cellStyle name="Cálculo 2 54 13 2" xfId="31504"/>
    <cellStyle name="Cálculo 2 54 14" xfId="31505"/>
    <cellStyle name="Cálculo 2 54 2" xfId="709"/>
    <cellStyle name="Cálculo 2 54 2 2" xfId="31506"/>
    <cellStyle name="Cálculo 2 54 3" xfId="710"/>
    <cellStyle name="Cálculo 2 54 3 2" xfId="31507"/>
    <cellStyle name="Cálculo 2 54 4" xfId="711"/>
    <cellStyle name="Cálculo 2 54 4 2" xfId="31508"/>
    <cellStyle name="Cálculo 2 54 5" xfId="712"/>
    <cellStyle name="Cálculo 2 54 5 2" xfId="31509"/>
    <cellStyle name="Cálculo 2 54 6" xfId="713"/>
    <cellStyle name="Cálculo 2 54 6 2" xfId="31510"/>
    <cellStyle name="Cálculo 2 54 7" xfId="714"/>
    <cellStyle name="Cálculo 2 54 7 2" xfId="31511"/>
    <cellStyle name="Cálculo 2 54 8" xfId="715"/>
    <cellStyle name="Cálculo 2 54 8 2" xfId="31512"/>
    <cellStyle name="Cálculo 2 54 9" xfId="716"/>
    <cellStyle name="Cálculo 2 54 9 2" xfId="31513"/>
    <cellStyle name="Cálculo 2 55" xfId="717"/>
    <cellStyle name="Cálculo 2 55 10" xfId="718"/>
    <cellStyle name="Cálculo 2 55 10 2" xfId="31514"/>
    <cellStyle name="Cálculo 2 55 11" xfId="719"/>
    <cellStyle name="Cálculo 2 55 11 2" xfId="31515"/>
    <cellStyle name="Cálculo 2 55 12" xfId="720"/>
    <cellStyle name="Cálculo 2 55 12 2" xfId="31516"/>
    <cellStyle name="Cálculo 2 55 13" xfId="721"/>
    <cellStyle name="Cálculo 2 55 13 2" xfId="31517"/>
    <cellStyle name="Cálculo 2 55 14" xfId="31518"/>
    <cellStyle name="Cálculo 2 55 2" xfId="722"/>
    <cellStyle name="Cálculo 2 55 2 2" xfId="31519"/>
    <cellStyle name="Cálculo 2 55 3" xfId="723"/>
    <cellStyle name="Cálculo 2 55 3 2" xfId="31520"/>
    <cellStyle name="Cálculo 2 55 4" xfId="724"/>
    <cellStyle name="Cálculo 2 55 4 2" xfId="31521"/>
    <cellStyle name="Cálculo 2 55 5" xfId="725"/>
    <cellStyle name="Cálculo 2 55 5 2" xfId="31522"/>
    <cellStyle name="Cálculo 2 55 6" xfId="726"/>
    <cellStyle name="Cálculo 2 55 6 2" xfId="31523"/>
    <cellStyle name="Cálculo 2 55 7" xfId="727"/>
    <cellStyle name="Cálculo 2 55 7 2" xfId="31524"/>
    <cellStyle name="Cálculo 2 55 8" xfId="728"/>
    <cellStyle name="Cálculo 2 55 8 2" xfId="31525"/>
    <cellStyle name="Cálculo 2 55 9" xfId="729"/>
    <cellStyle name="Cálculo 2 55 9 2" xfId="31526"/>
    <cellStyle name="Cálculo 2 56" xfId="730"/>
    <cellStyle name="Cálculo 2 56 10" xfId="731"/>
    <cellStyle name="Cálculo 2 56 10 2" xfId="31527"/>
    <cellStyle name="Cálculo 2 56 11" xfId="732"/>
    <cellStyle name="Cálculo 2 56 11 2" xfId="31528"/>
    <cellStyle name="Cálculo 2 56 12" xfId="733"/>
    <cellStyle name="Cálculo 2 56 12 2" xfId="31529"/>
    <cellStyle name="Cálculo 2 56 13" xfId="734"/>
    <cellStyle name="Cálculo 2 56 13 2" xfId="31530"/>
    <cellStyle name="Cálculo 2 56 14" xfId="31531"/>
    <cellStyle name="Cálculo 2 56 2" xfId="735"/>
    <cellStyle name="Cálculo 2 56 2 2" xfId="31532"/>
    <cellStyle name="Cálculo 2 56 3" xfId="736"/>
    <cellStyle name="Cálculo 2 56 3 2" xfId="31533"/>
    <cellStyle name="Cálculo 2 56 4" xfId="737"/>
    <cellStyle name="Cálculo 2 56 4 2" xfId="31534"/>
    <cellStyle name="Cálculo 2 56 5" xfId="738"/>
    <cellStyle name="Cálculo 2 56 5 2" xfId="31535"/>
    <cellStyle name="Cálculo 2 56 6" xfId="739"/>
    <cellStyle name="Cálculo 2 56 6 2" xfId="31536"/>
    <cellStyle name="Cálculo 2 56 7" xfId="740"/>
    <cellStyle name="Cálculo 2 56 7 2" xfId="31537"/>
    <cellStyle name="Cálculo 2 56 8" xfId="741"/>
    <cellStyle name="Cálculo 2 56 8 2" xfId="31538"/>
    <cellStyle name="Cálculo 2 56 9" xfId="742"/>
    <cellStyle name="Cálculo 2 56 9 2" xfId="31539"/>
    <cellStyle name="Cálculo 2 57" xfId="743"/>
    <cellStyle name="Cálculo 2 57 10" xfId="744"/>
    <cellStyle name="Cálculo 2 57 10 2" xfId="31540"/>
    <cellStyle name="Cálculo 2 57 11" xfId="745"/>
    <cellStyle name="Cálculo 2 57 11 2" xfId="31541"/>
    <cellStyle name="Cálculo 2 57 12" xfId="746"/>
    <cellStyle name="Cálculo 2 57 12 2" xfId="31542"/>
    <cellStyle name="Cálculo 2 57 13" xfId="747"/>
    <cellStyle name="Cálculo 2 57 13 2" xfId="31543"/>
    <cellStyle name="Cálculo 2 57 14" xfId="31544"/>
    <cellStyle name="Cálculo 2 57 2" xfId="748"/>
    <cellStyle name="Cálculo 2 57 2 2" xfId="31545"/>
    <cellStyle name="Cálculo 2 57 3" xfId="749"/>
    <cellStyle name="Cálculo 2 57 3 2" xfId="31546"/>
    <cellStyle name="Cálculo 2 57 4" xfId="750"/>
    <cellStyle name="Cálculo 2 57 4 2" xfId="31547"/>
    <cellStyle name="Cálculo 2 57 5" xfId="751"/>
    <cellStyle name="Cálculo 2 57 5 2" xfId="31548"/>
    <cellStyle name="Cálculo 2 57 6" xfId="752"/>
    <cellStyle name="Cálculo 2 57 6 2" xfId="31549"/>
    <cellStyle name="Cálculo 2 57 7" xfId="753"/>
    <cellStyle name="Cálculo 2 57 7 2" xfId="31550"/>
    <cellStyle name="Cálculo 2 57 8" xfId="754"/>
    <cellStyle name="Cálculo 2 57 8 2" xfId="31551"/>
    <cellStyle name="Cálculo 2 57 9" xfId="755"/>
    <cellStyle name="Cálculo 2 57 9 2" xfId="31552"/>
    <cellStyle name="Cálculo 2 58" xfId="756"/>
    <cellStyle name="Cálculo 2 58 10" xfId="757"/>
    <cellStyle name="Cálculo 2 58 10 2" xfId="31553"/>
    <cellStyle name="Cálculo 2 58 11" xfId="758"/>
    <cellStyle name="Cálculo 2 58 11 2" xfId="31554"/>
    <cellStyle name="Cálculo 2 58 12" xfId="759"/>
    <cellStyle name="Cálculo 2 58 12 2" xfId="31555"/>
    <cellStyle name="Cálculo 2 58 13" xfId="760"/>
    <cellStyle name="Cálculo 2 58 13 2" xfId="31556"/>
    <cellStyle name="Cálculo 2 58 14" xfId="31557"/>
    <cellStyle name="Cálculo 2 58 2" xfId="761"/>
    <cellStyle name="Cálculo 2 58 2 2" xfId="31558"/>
    <cellStyle name="Cálculo 2 58 3" xfId="762"/>
    <cellStyle name="Cálculo 2 58 3 2" xfId="31559"/>
    <cellStyle name="Cálculo 2 58 4" xfId="763"/>
    <cellStyle name="Cálculo 2 58 4 2" xfId="31560"/>
    <cellStyle name="Cálculo 2 58 5" xfId="764"/>
    <cellStyle name="Cálculo 2 58 5 2" xfId="31561"/>
    <cellStyle name="Cálculo 2 58 6" xfId="765"/>
    <cellStyle name="Cálculo 2 58 6 2" xfId="31562"/>
    <cellStyle name="Cálculo 2 58 7" xfId="766"/>
    <cellStyle name="Cálculo 2 58 7 2" xfId="31563"/>
    <cellStyle name="Cálculo 2 58 8" xfId="767"/>
    <cellStyle name="Cálculo 2 58 8 2" xfId="31564"/>
    <cellStyle name="Cálculo 2 58 9" xfId="768"/>
    <cellStyle name="Cálculo 2 58 9 2" xfId="31565"/>
    <cellStyle name="Cálculo 2 59" xfId="769"/>
    <cellStyle name="Cálculo 2 59 10" xfId="770"/>
    <cellStyle name="Cálculo 2 59 10 2" xfId="31566"/>
    <cellStyle name="Cálculo 2 59 11" xfId="771"/>
    <cellStyle name="Cálculo 2 59 11 2" xfId="31567"/>
    <cellStyle name="Cálculo 2 59 12" xfId="772"/>
    <cellStyle name="Cálculo 2 59 12 2" xfId="31568"/>
    <cellStyle name="Cálculo 2 59 13" xfId="773"/>
    <cellStyle name="Cálculo 2 59 13 2" xfId="31569"/>
    <cellStyle name="Cálculo 2 59 14" xfId="31570"/>
    <cellStyle name="Cálculo 2 59 2" xfId="774"/>
    <cellStyle name="Cálculo 2 59 2 2" xfId="31571"/>
    <cellStyle name="Cálculo 2 59 3" xfId="775"/>
    <cellStyle name="Cálculo 2 59 3 2" xfId="31572"/>
    <cellStyle name="Cálculo 2 59 4" xfId="776"/>
    <cellStyle name="Cálculo 2 59 4 2" xfId="31573"/>
    <cellStyle name="Cálculo 2 59 5" xfId="777"/>
    <cellStyle name="Cálculo 2 59 5 2" xfId="31574"/>
    <cellStyle name="Cálculo 2 59 6" xfId="778"/>
    <cellStyle name="Cálculo 2 59 6 2" xfId="31575"/>
    <cellStyle name="Cálculo 2 59 7" xfId="779"/>
    <cellStyle name="Cálculo 2 59 7 2" xfId="31576"/>
    <cellStyle name="Cálculo 2 59 8" xfId="780"/>
    <cellStyle name="Cálculo 2 59 8 2" xfId="31577"/>
    <cellStyle name="Cálculo 2 59 9" xfId="781"/>
    <cellStyle name="Cálculo 2 59 9 2" xfId="31578"/>
    <cellStyle name="Cálculo 2 6" xfId="782"/>
    <cellStyle name="Cálculo 2 6 10" xfId="783"/>
    <cellStyle name="Cálculo 2 6 10 2" xfId="31579"/>
    <cellStyle name="Cálculo 2 6 11" xfId="784"/>
    <cellStyle name="Cálculo 2 6 11 2" xfId="31580"/>
    <cellStyle name="Cálculo 2 6 12" xfId="785"/>
    <cellStyle name="Cálculo 2 6 12 2" xfId="31581"/>
    <cellStyle name="Cálculo 2 6 13" xfId="786"/>
    <cellStyle name="Cálculo 2 6 13 2" xfId="31582"/>
    <cellStyle name="Cálculo 2 6 14" xfId="31583"/>
    <cellStyle name="Cálculo 2 6 2" xfId="787"/>
    <cellStyle name="Cálculo 2 6 2 2" xfId="31584"/>
    <cellStyle name="Cálculo 2 6 3" xfId="788"/>
    <cellStyle name="Cálculo 2 6 3 2" xfId="31585"/>
    <cellStyle name="Cálculo 2 6 4" xfId="789"/>
    <cellStyle name="Cálculo 2 6 4 2" xfId="31586"/>
    <cellStyle name="Cálculo 2 6 5" xfId="790"/>
    <cellStyle name="Cálculo 2 6 5 2" xfId="31587"/>
    <cellStyle name="Cálculo 2 6 6" xfId="791"/>
    <cellStyle name="Cálculo 2 6 6 2" xfId="31588"/>
    <cellStyle name="Cálculo 2 6 7" xfId="792"/>
    <cellStyle name="Cálculo 2 6 7 2" xfId="31589"/>
    <cellStyle name="Cálculo 2 6 8" xfId="793"/>
    <cellStyle name="Cálculo 2 6 8 2" xfId="31590"/>
    <cellStyle name="Cálculo 2 6 9" xfId="794"/>
    <cellStyle name="Cálculo 2 6 9 2" xfId="31591"/>
    <cellStyle name="Cálculo 2 60" xfId="795"/>
    <cellStyle name="Cálculo 2 60 10" xfId="796"/>
    <cellStyle name="Cálculo 2 60 10 2" xfId="31592"/>
    <cellStyle name="Cálculo 2 60 11" xfId="797"/>
    <cellStyle name="Cálculo 2 60 11 2" xfId="31593"/>
    <cellStyle name="Cálculo 2 60 12" xfId="798"/>
    <cellStyle name="Cálculo 2 60 12 2" xfId="31594"/>
    <cellStyle name="Cálculo 2 60 13" xfId="799"/>
    <cellStyle name="Cálculo 2 60 13 2" xfId="31595"/>
    <cellStyle name="Cálculo 2 60 14" xfId="31596"/>
    <cellStyle name="Cálculo 2 60 2" xfId="800"/>
    <cellStyle name="Cálculo 2 60 2 2" xfId="31597"/>
    <cellStyle name="Cálculo 2 60 3" xfId="801"/>
    <cellStyle name="Cálculo 2 60 3 2" xfId="31598"/>
    <cellStyle name="Cálculo 2 60 4" xfId="802"/>
    <cellStyle name="Cálculo 2 60 4 2" xfId="31599"/>
    <cellStyle name="Cálculo 2 60 5" xfId="803"/>
    <cellStyle name="Cálculo 2 60 5 2" xfId="31600"/>
    <cellStyle name="Cálculo 2 60 6" xfId="804"/>
    <cellStyle name="Cálculo 2 60 6 2" xfId="31601"/>
    <cellStyle name="Cálculo 2 60 7" xfId="805"/>
    <cellStyle name="Cálculo 2 60 7 2" xfId="31602"/>
    <cellStyle name="Cálculo 2 60 8" xfId="806"/>
    <cellStyle name="Cálculo 2 60 8 2" xfId="31603"/>
    <cellStyle name="Cálculo 2 60 9" xfId="807"/>
    <cellStyle name="Cálculo 2 60 9 2" xfId="31604"/>
    <cellStyle name="Cálculo 2 61" xfId="808"/>
    <cellStyle name="Cálculo 2 61 10" xfId="809"/>
    <cellStyle name="Cálculo 2 61 10 2" xfId="31605"/>
    <cellStyle name="Cálculo 2 61 11" xfId="810"/>
    <cellStyle name="Cálculo 2 61 11 2" xfId="31606"/>
    <cellStyle name="Cálculo 2 61 12" xfId="811"/>
    <cellStyle name="Cálculo 2 61 12 2" xfId="31607"/>
    <cellStyle name="Cálculo 2 61 13" xfId="812"/>
    <cellStyle name="Cálculo 2 61 13 2" xfId="31608"/>
    <cellStyle name="Cálculo 2 61 14" xfId="31609"/>
    <cellStyle name="Cálculo 2 61 2" xfId="813"/>
    <cellStyle name="Cálculo 2 61 2 2" xfId="31610"/>
    <cellStyle name="Cálculo 2 61 3" xfId="814"/>
    <cellStyle name="Cálculo 2 61 3 2" xfId="31611"/>
    <cellStyle name="Cálculo 2 61 4" xfId="815"/>
    <cellStyle name="Cálculo 2 61 4 2" xfId="31612"/>
    <cellStyle name="Cálculo 2 61 5" xfId="816"/>
    <cellStyle name="Cálculo 2 61 5 2" xfId="31613"/>
    <cellStyle name="Cálculo 2 61 6" xfId="817"/>
    <cellStyle name="Cálculo 2 61 6 2" xfId="31614"/>
    <cellStyle name="Cálculo 2 61 7" xfId="818"/>
    <cellStyle name="Cálculo 2 61 7 2" xfId="31615"/>
    <cellStyle name="Cálculo 2 61 8" xfId="819"/>
    <cellStyle name="Cálculo 2 61 8 2" xfId="31616"/>
    <cellStyle name="Cálculo 2 61 9" xfId="820"/>
    <cellStyle name="Cálculo 2 61 9 2" xfId="31617"/>
    <cellStyle name="Cálculo 2 62" xfId="821"/>
    <cellStyle name="Cálculo 2 62 10" xfId="822"/>
    <cellStyle name="Cálculo 2 62 10 2" xfId="31618"/>
    <cellStyle name="Cálculo 2 62 11" xfId="823"/>
    <cellStyle name="Cálculo 2 62 11 2" xfId="31619"/>
    <cellStyle name="Cálculo 2 62 12" xfId="824"/>
    <cellStyle name="Cálculo 2 62 12 2" xfId="31620"/>
    <cellStyle name="Cálculo 2 62 13" xfId="825"/>
    <cellStyle name="Cálculo 2 62 13 2" xfId="31621"/>
    <cellStyle name="Cálculo 2 62 14" xfId="31622"/>
    <cellStyle name="Cálculo 2 62 2" xfId="826"/>
    <cellStyle name="Cálculo 2 62 2 2" xfId="31623"/>
    <cellStyle name="Cálculo 2 62 3" xfId="827"/>
    <cellStyle name="Cálculo 2 62 3 2" xfId="31624"/>
    <cellStyle name="Cálculo 2 62 4" xfId="828"/>
    <cellStyle name="Cálculo 2 62 4 2" xfId="31625"/>
    <cellStyle name="Cálculo 2 62 5" xfId="829"/>
    <cellStyle name="Cálculo 2 62 5 2" xfId="31626"/>
    <cellStyle name="Cálculo 2 62 6" xfId="830"/>
    <cellStyle name="Cálculo 2 62 6 2" xfId="31627"/>
    <cellStyle name="Cálculo 2 62 7" xfId="831"/>
    <cellStyle name="Cálculo 2 62 7 2" xfId="31628"/>
    <cellStyle name="Cálculo 2 62 8" xfId="832"/>
    <cellStyle name="Cálculo 2 62 8 2" xfId="31629"/>
    <cellStyle name="Cálculo 2 62 9" xfId="833"/>
    <cellStyle name="Cálculo 2 62 9 2" xfId="31630"/>
    <cellStyle name="Cálculo 2 63" xfId="834"/>
    <cellStyle name="Cálculo 2 63 10" xfId="835"/>
    <cellStyle name="Cálculo 2 63 10 2" xfId="31631"/>
    <cellStyle name="Cálculo 2 63 11" xfId="836"/>
    <cellStyle name="Cálculo 2 63 11 2" xfId="31632"/>
    <cellStyle name="Cálculo 2 63 12" xfId="837"/>
    <cellStyle name="Cálculo 2 63 12 2" xfId="31633"/>
    <cellStyle name="Cálculo 2 63 13" xfId="838"/>
    <cellStyle name="Cálculo 2 63 13 2" xfId="31634"/>
    <cellStyle name="Cálculo 2 63 14" xfId="31635"/>
    <cellStyle name="Cálculo 2 63 2" xfId="839"/>
    <cellStyle name="Cálculo 2 63 2 2" xfId="31636"/>
    <cellStyle name="Cálculo 2 63 3" xfId="840"/>
    <cellStyle name="Cálculo 2 63 3 2" xfId="31637"/>
    <cellStyle name="Cálculo 2 63 4" xfId="841"/>
    <cellStyle name="Cálculo 2 63 4 2" xfId="31638"/>
    <cellStyle name="Cálculo 2 63 5" xfId="842"/>
    <cellStyle name="Cálculo 2 63 5 2" xfId="31639"/>
    <cellStyle name="Cálculo 2 63 6" xfId="843"/>
    <cellStyle name="Cálculo 2 63 6 2" xfId="31640"/>
    <cellStyle name="Cálculo 2 63 7" xfId="844"/>
    <cellStyle name="Cálculo 2 63 7 2" xfId="31641"/>
    <cellStyle name="Cálculo 2 63 8" xfId="845"/>
    <cellStyle name="Cálculo 2 63 8 2" xfId="31642"/>
    <cellStyle name="Cálculo 2 63 9" xfId="846"/>
    <cellStyle name="Cálculo 2 63 9 2" xfId="31643"/>
    <cellStyle name="Cálculo 2 64" xfId="847"/>
    <cellStyle name="Cálculo 2 64 10" xfId="848"/>
    <cellStyle name="Cálculo 2 64 10 2" xfId="31644"/>
    <cellStyle name="Cálculo 2 64 11" xfId="849"/>
    <cellStyle name="Cálculo 2 64 11 2" xfId="31645"/>
    <cellStyle name="Cálculo 2 64 12" xfId="850"/>
    <cellStyle name="Cálculo 2 64 12 2" xfId="31646"/>
    <cellStyle name="Cálculo 2 64 13" xfId="851"/>
    <cellStyle name="Cálculo 2 64 13 2" xfId="31647"/>
    <cellStyle name="Cálculo 2 64 14" xfId="31648"/>
    <cellStyle name="Cálculo 2 64 2" xfId="852"/>
    <cellStyle name="Cálculo 2 64 2 2" xfId="31649"/>
    <cellStyle name="Cálculo 2 64 3" xfId="853"/>
    <cellStyle name="Cálculo 2 64 3 2" xfId="31650"/>
    <cellStyle name="Cálculo 2 64 4" xfId="854"/>
    <cellStyle name="Cálculo 2 64 4 2" xfId="31651"/>
    <cellStyle name="Cálculo 2 64 5" xfId="855"/>
    <cellStyle name="Cálculo 2 64 5 2" xfId="31652"/>
    <cellStyle name="Cálculo 2 64 6" xfId="856"/>
    <cellStyle name="Cálculo 2 64 6 2" xfId="31653"/>
    <cellStyle name="Cálculo 2 64 7" xfId="857"/>
    <cellStyle name="Cálculo 2 64 7 2" xfId="31654"/>
    <cellStyle name="Cálculo 2 64 8" xfId="858"/>
    <cellStyle name="Cálculo 2 64 8 2" xfId="31655"/>
    <cellStyle name="Cálculo 2 64 9" xfId="859"/>
    <cellStyle name="Cálculo 2 64 9 2" xfId="31656"/>
    <cellStyle name="Cálculo 2 65" xfId="860"/>
    <cellStyle name="Cálculo 2 65 10" xfId="861"/>
    <cellStyle name="Cálculo 2 65 10 2" xfId="31657"/>
    <cellStyle name="Cálculo 2 65 11" xfId="862"/>
    <cellStyle name="Cálculo 2 65 11 2" xfId="31658"/>
    <cellStyle name="Cálculo 2 65 12" xfId="863"/>
    <cellStyle name="Cálculo 2 65 12 2" xfId="31659"/>
    <cellStyle name="Cálculo 2 65 13" xfId="864"/>
    <cellStyle name="Cálculo 2 65 13 2" xfId="31660"/>
    <cellStyle name="Cálculo 2 65 14" xfId="31661"/>
    <cellStyle name="Cálculo 2 65 2" xfId="865"/>
    <cellStyle name="Cálculo 2 65 2 2" xfId="31662"/>
    <cellStyle name="Cálculo 2 65 3" xfId="866"/>
    <cellStyle name="Cálculo 2 65 3 2" xfId="31663"/>
    <cellStyle name="Cálculo 2 65 4" xfId="867"/>
    <cellStyle name="Cálculo 2 65 4 2" xfId="31664"/>
    <cellStyle name="Cálculo 2 65 5" xfId="868"/>
    <cellStyle name="Cálculo 2 65 5 2" xfId="31665"/>
    <cellStyle name="Cálculo 2 65 6" xfId="869"/>
    <cellStyle name="Cálculo 2 65 6 2" xfId="31666"/>
    <cellStyle name="Cálculo 2 65 7" xfId="870"/>
    <cellStyle name="Cálculo 2 65 7 2" xfId="31667"/>
    <cellStyle name="Cálculo 2 65 8" xfId="871"/>
    <cellStyle name="Cálculo 2 65 8 2" xfId="31668"/>
    <cellStyle name="Cálculo 2 65 9" xfId="872"/>
    <cellStyle name="Cálculo 2 65 9 2" xfId="31669"/>
    <cellStyle name="Cálculo 2 66" xfId="873"/>
    <cellStyle name="Cálculo 2 66 10" xfId="874"/>
    <cellStyle name="Cálculo 2 66 10 2" xfId="31670"/>
    <cellStyle name="Cálculo 2 66 11" xfId="875"/>
    <cellStyle name="Cálculo 2 66 11 2" xfId="31671"/>
    <cellStyle name="Cálculo 2 66 12" xfId="876"/>
    <cellStyle name="Cálculo 2 66 12 2" xfId="31672"/>
    <cellStyle name="Cálculo 2 66 13" xfId="877"/>
    <cellStyle name="Cálculo 2 66 13 2" xfId="31673"/>
    <cellStyle name="Cálculo 2 66 14" xfId="31674"/>
    <cellStyle name="Cálculo 2 66 2" xfId="878"/>
    <cellStyle name="Cálculo 2 66 2 2" xfId="31675"/>
    <cellStyle name="Cálculo 2 66 3" xfId="879"/>
    <cellStyle name="Cálculo 2 66 3 2" xfId="31676"/>
    <cellStyle name="Cálculo 2 66 4" xfId="880"/>
    <cellStyle name="Cálculo 2 66 4 2" xfId="31677"/>
    <cellStyle name="Cálculo 2 66 5" xfId="881"/>
    <cellStyle name="Cálculo 2 66 5 2" xfId="31678"/>
    <cellStyle name="Cálculo 2 66 6" xfId="882"/>
    <cellStyle name="Cálculo 2 66 6 2" xfId="31679"/>
    <cellStyle name="Cálculo 2 66 7" xfId="883"/>
    <cellStyle name="Cálculo 2 66 7 2" xfId="31680"/>
    <cellStyle name="Cálculo 2 66 8" xfId="884"/>
    <cellStyle name="Cálculo 2 66 8 2" xfId="31681"/>
    <cellStyle name="Cálculo 2 66 9" xfId="885"/>
    <cellStyle name="Cálculo 2 66 9 2" xfId="31682"/>
    <cellStyle name="Cálculo 2 67" xfId="886"/>
    <cellStyle name="Cálculo 2 67 10" xfId="887"/>
    <cellStyle name="Cálculo 2 67 10 2" xfId="31683"/>
    <cellStyle name="Cálculo 2 67 11" xfId="888"/>
    <cellStyle name="Cálculo 2 67 11 2" xfId="31684"/>
    <cellStyle name="Cálculo 2 67 12" xfId="889"/>
    <cellStyle name="Cálculo 2 67 12 2" xfId="31685"/>
    <cellStyle name="Cálculo 2 67 13" xfId="890"/>
    <cellStyle name="Cálculo 2 67 13 2" xfId="31686"/>
    <cellStyle name="Cálculo 2 67 14" xfId="31687"/>
    <cellStyle name="Cálculo 2 67 2" xfId="891"/>
    <cellStyle name="Cálculo 2 67 2 2" xfId="31688"/>
    <cellStyle name="Cálculo 2 67 3" xfId="892"/>
    <cellStyle name="Cálculo 2 67 3 2" xfId="31689"/>
    <cellStyle name="Cálculo 2 67 4" xfId="893"/>
    <cellStyle name="Cálculo 2 67 4 2" xfId="31690"/>
    <cellStyle name="Cálculo 2 67 5" xfId="894"/>
    <cellStyle name="Cálculo 2 67 5 2" xfId="31691"/>
    <cellStyle name="Cálculo 2 67 6" xfId="895"/>
    <cellStyle name="Cálculo 2 67 6 2" xfId="31692"/>
    <cellStyle name="Cálculo 2 67 7" xfId="896"/>
    <cellStyle name="Cálculo 2 67 7 2" xfId="31693"/>
    <cellStyle name="Cálculo 2 67 8" xfId="897"/>
    <cellStyle name="Cálculo 2 67 8 2" xfId="31694"/>
    <cellStyle name="Cálculo 2 67 9" xfId="898"/>
    <cellStyle name="Cálculo 2 67 9 2" xfId="31695"/>
    <cellStyle name="Cálculo 2 68" xfId="899"/>
    <cellStyle name="Cálculo 2 68 10" xfId="900"/>
    <cellStyle name="Cálculo 2 68 10 2" xfId="31696"/>
    <cellStyle name="Cálculo 2 68 11" xfId="901"/>
    <cellStyle name="Cálculo 2 68 11 2" xfId="31697"/>
    <cellStyle name="Cálculo 2 68 12" xfId="902"/>
    <cellStyle name="Cálculo 2 68 12 2" xfId="31698"/>
    <cellStyle name="Cálculo 2 68 13" xfId="903"/>
    <cellStyle name="Cálculo 2 68 13 2" xfId="31699"/>
    <cellStyle name="Cálculo 2 68 14" xfId="31700"/>
    <cellStyle name="Cálculo 2 68 2" xfId="904"/>
    <cellStyle name="Cálculo 2 68 2 2" xfId="31701"/>
    <cellStyle name="Cálculo 2 68 3" xfId="905"/>
    <cellStyle name="Cálculo 2 68 3 2" xfId="31702"/>
    <cellStyle name="Cálculo 2 68 4" xfId="906"/>
    <cellStyle name="Cálculo 2 68 4 2" xfId="31703"/>
    <cellStyle name="Cálculo 2 68 5" xfId="907"/>
    <cellStyle name="Cálculo 2 68 5 2" xfId="31704"/>
    <cellStyle name="Cálculo 2 68 6" xfId="908"/>
    <cellStyle name="Cálculo 2 68 6 2" xfId="31705"/>
    <cellStyle name="Cálculo 2 68 7" xfId="909"/>
    <cellStyle name="Cálculo 2 68 7 2" xfId="31706"/>
    <cellStyle name="Cálculo 2 68 8" xfId="910"/>
    <cellStyle name="Cálculo 2 68 8 2" xfId="31707"/>
    <cellStyle name="Cálculo 2 68 9" xfId="911"/>
    <cellStyle name="Cálculo 2 68 9 2" xfId="31708"/>
    <cellStyle name="Cálculo 2 69" xfId="912"/>
    <cellStyle name="Cálculo 2 69 10" xfId="913"/>
    <cellStyle name="Cálculo 2 69 10 2" xfId="31709"/>
    <cellStyle name="Cálculo 2 69 11" xfId="914"/>
    <cellStyle name="Cálculo 2 69 11 2" xfId="31710"/>
    <cellStyle name="Cálculo 2 69 12" xfId="915"/>
    <cellStyle name="Cálculo 2 69 12 2" xfId="31711"/>
    <cellStyle name="Cálculo 2 69 13" xfId="916"/>
    <cellStyle name="Cálculo 2 69 13 2" xfId="31712"/>
    <cellStyle name="Cálculo 2 69 14" xfId="31713"/>
    <cellStyle name="Cálculo 2 69 2" xfId="917"/>
    <cellStyle name="Cálculo 2 69 2 2" xfId="31714"/>
    <cellStyle name="Cálculo 2 69 3" xfId="918"/>
    <cellStyle name="Cálculo 2 69 3 2" xfId="31715"/>
    <cellStyle name="Cálculo 2 69 4" xfId="919"/>
    <cellStyle name="Cálculo 2 69 4 2" xfId="31716"/>
    <cellStyle name="Cálculo 2 69 5" xfId="920"/>
    <cellStyle name="Cálculo 2 69 5 2" xfId="31717"/>
    <cellStyle name="Cálculo 2 69 6" xfId="921"/>
    <cellStyle name="Cálculo 2 69 6 2" xfId="31718"/>
    <cellStyle name="Cálculo 2 69 7" xfId="922"/>
    <cellStyle name="Cálculo 2 69 7 2" xfId="31719"/>
    <cellStyle name="Cálculo 2 69 8" xfId="923"/>
    <cellStyle name="Cálculo 2 69 8 2" xfId="31720"/>
    <cellStyle name="Cálculo 2 69 9" xfId="924"/>
    <cellStyle name="Cálculo 2 69 9 2" xfId="31721"/>
    <cellStyle name="Cálculo 2 7" xfId="925"/>
    <cellStyle name="Cálculo 2 7 10" xfId="926"/>
    <cellStyle name="Cálculo 2 7 10 2" xfId="31722"/>
    <cellStyle name="Cálculo 2 7 11" xfId="927"/>
    <cellStyle name="Cálculo 2 7 11 2" xfId="31723"/>
    <cellStyle name="Cálculo 2 7 12" xfId="928"/>
    <cellStyle name="Cálculo 2 7 12 2" xfId="31724"/>
    <cellStyle name="Cálculo 2 7 13" xfId="929"/>
    <cellStyle name="Cálculo 2 7 13 2" xfId="31725"/>
    <cellStyle name="Cálculo 2 7 14" xfId="31726"/>
    <cellStyle name="Cálculo 2 7 2" xfId="930"/>
    <cellStyle name="Cálculo 2 7 2 2" xfId="31727"/>
    <cellStyle name="Cálculo 2 7 3" xfId="931"/>
    <cellStyle name="Cálculo 2 7 3 2" xfId="31728"/>
    <cellStyle name="Cálculo 2 7 4" xfId="932"/>
    <cellStyle name="Cálculo 2 7 4 2" xfId="31729"/>
    <cellStyle name="Cálculo 2 7 5" xfId="933"/>
    <cellStyle name="Cálculo 2 7 5 2" xfId="31730"/>
    <cellStyle name="Cálculo 2 7 6" xfId="934"/>
    <cellStyle name="Cálculo 2 7 6 2" xfId="31731"/>
    <cellStyle name="Cálculo 2 7 7" xfId="935"/>
    <cellStyle name="Cálculo 2 7 7 2" xfId="31732"/>
    <cellStyle name="Cálculo 2 7 8" xfId="936"/>
    <cellStyle name="Cálculo 2 7 8 2" xfId="31733"/>
    <cellStyle name="Cálculo 2 7 9" xfId="937"/>
    <cellStyle name="Cálculo 2 7 9 2" xfId="31734"/>
    <cellStyle name="Cálculo 2 70" xfId="938"/>
    <cellStyle name="Cálculo 2 70 10" xfId="939"/>
    <cellStyle name="Cálculo 2 70 10 2" xfId="31735"/>
    <cellStyle name="Cálculo 2 70 11" xfId="940"/>
    <cellStyle name="Cálculo 2 70 11 2" xfId="31736"/>
    <cellStyle name="Cálculo 2 70 12" xfId="941"/>
    <cellStyle name="Cálculo 2 70 12 2" xfId="31737"/>
    <cellStyle name="Cálculo 2 70 13" xfId="942"/>
    <cellStyle name="Cálculo 2 70 13 2" xfId="31738"/>
    <cellStyle name="Cálculo 2 70 14" xfId="31739"/>
    <cellStyle name="Cálculo 2 70 2" xfId="943"/>
    <cellStyle name="Cálculo 2 70 2 2" xfId="31740"/>
    <cellStyle name="Cálculo 2 70 3" xfId="944"/>
    <cellStyle name="Cálculo 2 70 3 2" xfId="31741"/>
    <cellStyle name="Cálculo 2 70 4" xfId="945"/>
    <cellStyle name="Cálculo 2 70 4 2" xfId="31742"/>
    <cellStyle name="Cálculo 2 70 5" xfId="946"/>
    <cellStyle name="Cálculo 2 70 5 2" xfId="31743"/>
    <cellStyle name="Cálculo 2 70 6" xfId="947"/>
    <cellStyle name="Cálculo 2 70 6 2" xfId="31744"/>
    <cellStyle name="Cálculo 2 70 7" xfId="948"/>
    <cellStyle name="Cálculo 2 70 7 2" xfId="31745"/>
    <cellStyle name="Cálculo 2 70 8" xfId="949"/>
    <cellStyle name="Cálculo 2 70 8 2" xfId="31746"/>
    <cellStyle name="Cálculo 2 70 9" xfId="950"/>
    <cellStyle name="Cálculo 2 70 9 2" xfId="31747"/>
    <cellStyle name="Cálculo 2 71" xfId="951"/>
    <cellStyle name="Cálculo 2 71 2" xfId="31748"/>
    <cellStyle name="Cálculo 2 72" xfId="952"/>
    <cellStyle name="Cálculo 2 72 2" xfId="31749"/>
    <cellStyle name="Cálculo 2 73" xfId="953"/>
    <cellStyle name="Cálculo 2 73 2" xfId="31750"/>
    <cellStyle name="Cálculo 2 74" xfId="954"/>
    <cellStyle name="Cálculo 2 74 2" xfId="31751"/>
    <cellStyle name="Cálculo 2 75" xfId="955"/>
    <cellStyle name="Cálculo 2 75 2" xfId="31752"/>
    <cellStyle name="Cálculo 2 76" xfId="956"/>
    <cellStyle name="Cálculo 2 76 2" xfId="31753"/>
    <cellStyle name="Cálculo 2 77" xfId="957"/>
    <cellStyle name="Cálculo 2 77 2" xfId="31754"/>
    <cellStyle name="Cálculo 2 78" xfId="958"/>
    <cellStyle name="Cálculo 2 78 2" xfId="31755"/>
    <cellStyle name="Cálculo 2 79" xfId="959"/>
    <cellStyle name="Cálculo 2 79 2" xfId="31756"/>
    <cellStyle name="Cálculo 2 8" xfId="960"/>
    <cellStyle name="Cálculo 2 8 10" xfId="961"/>
    <cellStyle name="Cálculo 2 8 10 2" xfId="31757"/>
    <cellStyle name="Cálculo 2 8 11" xfId="962"/>
    <cellStyle name="Cálculo 2 8 11 2" xfId="31758"/>
    <cellStyle name="Cálculo 2 8 12" xfId="963"/>
    <cellStyle name="Cálculo 2 8 12 2" xfId="31759"/>
    <cellStyle name="Cálculo 2 8 13" xfId="964"/>
    <cellStyle name="Cálculo 2 8 13 2" xfId="31760"/>
    <cellStyle name="Cálculo 2 8 14" xfId="31761"/>
    <cellStyle name="Cálculo 2 8 2" xfId="965"/>
    <cellStyle name="Cálculo 2 8 2 2" xfId="31762"/>
    <cellStyle name="Cálculo 2 8 3" xfId="966"/>
    <cellStyle name="Cálculo 2 8 3 2" xfId="31763"/>
    <cellStyle name="Cálculo 2 8 4" xfId="967"/>
    <cellStyle name="Cálculo 2 8 4 2" xfId="31764"/>
    <cellStyle name="Cálculo 2 8 5" xfId="968"/>
    <cellStyle name="Cálculo 2 8 5 2" xfId="31765"/>
    <cellStyle name="Cálculo 2 8 6" xfId="969"/>
    <cellStyle name="Cálculo 2 8 6 2" xfId="31766"/>
    <cellStyle name="Cálculo 2 8 7" xfId="970"/>
    <cellStyle name="Cálculo 2 8 7 2" xfId="31767"/>
    <cellStyle name="Cálculo 2 8 8" xfId="971"/>
    <cellStyle name="Cálculo 2 8 8 2" xfId="31768"/>
    <cellStyle name="Cálculo 2 8 9" xfId="972"/>
    <cellStyle name="Cálculo 2 8 9 2" xfId="31769"/>
    <cellStyle name="Cálculo 2 80" xfId="973"/>
    <cellStyle name="Cálculo 2 80 2" xfId="31770"/>
    <cellStyle name="Cálculo 2 81" xfId="974"/>
    <cellStyle name="Cálculo 2 81 2" xfId="31771"/>
    <cellStyle name="Cálculo 2 82" xfId="31772"/>
    <cellStyle name="Cálculo 2 9" xfId="975"/>
    <cellStyle name="Cálculo 2 9 10" xfId="976"/>
    <cellStyle name="Cálculo 2 9 10 2" xfId="31773"/>
    <cellStyle name="Cálculo 2 9 11" xfId="977"/>
    <cellStyle name="Cálculo 2 9 11 2" xfId="31774"/>
    <cellStyle name="Cálculo 2 9 12" xfId="978"/>
    <cellStyle name="Cálculo 2 9 12 2" xfId="31775"/>
    <cellStyle name="Cálculo 2 9 13" xfId="979"/>
    <cellStyle name="Cálculo 2 9 13 2" xfId="31776"/>
    <cellStyle name="Cálculo 2 9 14" xfId="31777"/>
    <cellStyle name="Cálculo 2 9 2" xfId="980"/>
    <cellStyle name="Cálculo 2 9 2 2" xfId="31778"/>
    <cellStyle name="Cálculo 2 9 3" xfId="981"/>
    <cellStyle name="Cálculo 2 9 3 2" xfId="31779"/>
    <cellStyle name="Cálculo 2 9 4" xfId="982"/>
    <cellStyle name="Cálculo 2 9 4 2" xfId="31780"/>
    <cellStyle name="Cálculo 2 9 5" xfId="983"/>
    <cellStyle name="Cálculo 2 9 5 2" xfId="31781"/>
    <cellStyle name="Cálculo 2 9 6" xfId="984"/>
    <cellStyle name="Cálculo 2 9 6 2" xfId="31782"/>
    <cellStyle name="Cálculo 2 9 7" xfId="985"/>
    <cellStyle name="Cálculo 2 9 7 2" xfId="31783"/>
    <cellStyle name="Cálculo 2 9 8" xfId="986"/>
    <cellStyle name="Cálculo 2 9 8 2" xfId="31784"/>
    <cellStyle name="Cálculo 2 9 9" xfId="987"/>
    <cellStyle name="Cálculo 2 9 9 2" xfId="31785"/>
    <cellStyle name="Cálculo 3" xfId="988"/>
    <cellStyle name="Cálculo 3 10" xfId="989"/>
    <cellStyle name="Cálculo 3 10 10" xfId="990"/>
    <cellStyle name="Cálculo 3 10 10 2" xfId="31786"/>
    <cellStyle name="Cálculo 3 10 11" xfId="991"/>
    <cellStyle name="Cálculo 3 10 11 2" xfId="31787"/>
    <cellStyle name="Cálculo 3 10 12" xfId="992"/>
    <cellStyle name="Cálculo 3 10 12 2" xfId="31788"/>
    <cellStyle name="Cálculo 3 10 13" xfId="993"/>
    <cellStyle name="Cálculo 3 10 13 2" xfId="31789"/>
    <cellStyle name="Cálculo 3 10 14" xfId="31790"/>
    <cellStyle name="Cálculo 3 10 2" xfId="994"/>
    <cellStyle name="Cálculo 3 10 2 2" xfId="31791"/>
    <cellStyle name="Cálculo 3 10 3" xfId="995"/>
    <cellStyle name="Cálculo 3 10 3 2" xfId="31792"/>
    <cellStyle name="Cálculo 3 10 4" xfId="996"/>
    <cellStyle name="Cálculo 3 10 4 2" xfId="31793"/>
    <cellStyle name="Cálculo 3 10 5" xfId="997"/>
    <cellStyle name="Cálculo 3 10 5 2" xfId="31794"/>
    <cellStyle name="Cálculo 3 10 6" xfId="998"/>
    <cellStyle name="Cálculo 3 10 6 2" xfId="31795"/>
    <cellStyle name="Cálculo 3 10 7" xfId="999"/>
    <cellStyle name="Cálculo 3 10 7 2" xfId="31796"/>
    <cellStyle name="Cálculo 3 10 8" xfId="1000"/>
    <cellStyle name="Cálculo 3 10 8 2" xfId="31797"/>
    <cellStyle name="Cálculo 3 10 9" xfId="1001"/>
    <cellStyle name="Cálculo 3 10 9 2" xfId="31798"/>
    <cellStyle name="Cálculo 3 11" xfId="1002"/>
    <cellStyle name="Cálculo 3 11 10" xfId="1003"/>
    <cellStyle name="Cálculo 3 11 10 2" xfId="31799"/>
    <cellStyle name="Cálculo 3 11 11" xfId="1004"/>
    <cellStyle name="Cálculo 3 11 11 2" xfId="31800"/>
    <cellStyle name="Cálculo 3 11 12" xfId="1005"/>
    <cellStyle name="Cálculo 3 11 12 2" xfId="31801"/>
    <cellStyle name="Cálculo 3 11 13" xfId="1006"/>
    <cellStyle name="Cálculo 3 11 13 2" xfId="31802"/>
    <cellStyle name="Cálculo 3 11 14" xfId="31803"/>
    <cellStyle name="Cálculo 3 11 2" xfId="1007"/>
    <cellStyle name="Cálculo 3 11 2 2" xfId="31804"/>
    <cellStyle name="Cálculo 3 11 3" xfId="1008"/>
    <cellStyle name="Cálculo 3 11 3 2" xfId="31805"/>
    <cellStyle name="Cálculo 3 11 4" xfId="1009"/>
    <cellStyle name="Cálculo 3 11 4 2" xfId="31806"/>
    <cellStyle name="Cálculo 3 11 5" xfId="1010"/>
    <cellStyle name="Cálculo 3 11 5 2" xfId="31807"/>
    <cellStyle name="Cálculo 3 11 6" xfId="1011"/>
    <cellStyle name="Cálculo 3 11 6 2" xfId="31808"/>
    <cellStyle name="Cálculo 3 11 7" xfId="1012"/>
    <cellStyle name="Cálculo 3 11 7 2" xfId="31809"/>
    <cellStyle name="Cálculo 3 11 8" xfId="1013"/>
    <cellStyle name="Cálculo 3 11 8 2" xfId="31810"/>
    <cellStyle name="Cálculo 3 11 9" xfId="1014"/>
    <cellStyle name="Cálculo 3 11 9 2" xfId="31811"/>
    <cellStyle name="Cálculo 3 12" xfId="1015"/>
    <cellStyle name="Cálculo 3 12 10" xfId="1016"/>
    <cellStyle name="Cálculo 3 12 10 2" xfId="31812"/>
    <cellStyle name="Cálculo 3 12 11" xfId="1017"/>
    <cellStyle name="Cálculo 3 12 11 2" xfId="31813"/>
    <cellStyle name="Cálculo 3 12 12" xfId="1018"/>
    <cellStyle name="Cálculo 3 12 12 2" xfId="31814"/>
    <cellStyle name="Cálculo 3 12 13" xfId="1019"/>
    <cellStyle name="Cálculo 3 12 13 2" xfId="31815"/>
    <cellStyle name="Cálculo 3 12 14" xfId="31816"/>
    <cellStyle name="Cálculo 3 12 2" xfId="1020"/>
    <cellStyle name="Cálculo 3 12 2 2" xfId="31817"/>
    <cellStyle name="Cálculo 3 12 3" xfId="1021"/>
    <cellStyle name="Cálculo 3 12 3 2" xfId="31818"/>
    <cellStyle name="Cálculo 3 12 4" xfId="1022"/>
    <cellStyle name="Cálculo 3 12 4 2" xfId="31819"/>
    <cellStyle name="Cálculo 3 12 5" xfId="1023"/>
    <cellStyle name="Cálculo 3 12 5 2" xfId="31820"/>
    <cellStyle name="Cálculo 3 12 6" xfId="1024"/>
    <cellStyle name="Cálculo 3 12 6 2" xfId="31821"/>
    <cellStyle name="Cálculo 3 12 7" xfId="1025"/>
    <cellStyle name="Cálculo 3 12 7 2" xfId="31822"/>
    <cellStyle name="Cálculo 3 12 8" xfId="1026"/>
    <cellStyle name="Cálculo 3 12 8 2" xfId="31823"/>
    <cellStyle name="Cálculo 3 12 9" xfId="1027"/>
    <cellStyle name="Cálculo 3 12 9 2" xfId="31824"/>
    <cellStyle name="Cálculo 3 13" xfId="1028"/>
    <cellStyle name="Cálculo 3 13 10" xfId="1029"/>
    <cellStyle name="Cálculo 3 13 10 2" xfId="31825"/>
    <cellStyle name="Cálculo 3 13 11" xfId="1030"/>
    <cellStyle name="Cálculo 3 13 11 2" xfId="31826"/>
    <cellStyle name="Cálculo 3 13 12" xfId="1031"/>
    <cellStyle name="Cálculo 3 13 12 2" xfId="31827"/>
    <cellStyle name="Cálculo 3 13 13" xfId="1032"/>
    <cellStyle name="Cálculo 3 13 13 2" xfId="31828"/>
    <cellStyle name="Cálculo 3 13 14" xfId="31829"/>
    <cellStyle name="Cálculo 3 13 2" xfId="1033"/>
    <cellStyle name="Cálculo 3 13 2 2" xfId="31830"/>
    <cellStyle name="Cálculo 3 13 3" xfId="1034"/>
    <cellStyle name="Cálculo 3 13 3 2" xfId="31831"/>
    <cellStyle name="Cálculo 3 13 4" xfId="1035"/>
    <cellStyle name="Cálculo 3 13 4 2" xfId="31832"/>
    <cellStyle name="Cálculo 3 13 5" xfId="1036"/>
    <cellStyle name="Cálculo 3 13 5 2" xfId="31833"/>
    <cellStyle name="Cálculo 3 13 6" xfId="1037"/>
    <cellStyle name="Cálculo 3 13 6 2" xfId="31834"/>
    <cellStyle name="Cálculo 3 13 7" xfId="1038"/>
    <cellStyle name="Cálculo 3 13 7 2" xfId="31835"/>
    <cellStyle name="Cálculo 3 13 8" xfId="1039"/>
    <cellStyle name="Cálculo 3 13 8 2" xfId="31836"/>
    <cellStyle name="Cálculo 3 13 9" xfId="1040"/>
    <cellStyle name="Cálculo 3 13 9 2" xfId="31837"/>
    <cellStyle name="Cálculo 3 14" xfId="1041"/>
    <cellStyle name="Cálculo 3 14 10" xfId="1042"/>
    <cellStyle name="Cálculo 3 14 10 2" xfId="31838"/>
    <cellStyle name="Cálculo 3 14 11" xfId="1043"/>
    <cellStyle name="Cálculo 3 14 11 2" xfId="31839"/>
    <cellStyle name="Cálculo 3 14 12" xfId="1044"/>
    <cellStyle name="Cálculo 3 14 12 2" xfId="31840"/>
    <cellStyle name="Cálculo 3 14 13" xfId="1045"/>
    <cellStyle name="Cálculo 3 14 13 2" xfId="31841"/>
    <cellStyle name="Cálculo 3 14 14" xfId="31842"/>
    <cellStyle name="Cálculo 3 14 2" xfId="1046"/>
    <cellStyle name="Cálculo 3 14 2 2" xfId="31843"/>
    <cellStyle name="Cálculo 3 14 3" xfId="1047"/>
    <cellStyle name="Cálculo 3 14 3 2" xfId="31844"/>
    <cellStyle name="Cálculo 3 14 4" xfId="1048"/>
    <cellStyle name="Cálculo 3 14 4 2" xfId="31845"/>
    <cellStyle name="Cálculo 3 14 5" xfId="1049"/>
    <cellStyle name="Cálculo 3 14 5 2" xfId="31846"/>
    <cellStyle name="Cálculo 3 14 6" xfId="1050"/>
    <cellStyle name="Cálculo 3 14 6 2" xfId="31847"/>
    <cellStyle name="Cálculo 3 14 7" xfId="1051"/>
    <cellStyle name="Cálculo 3 14 7 2" xfId="31848"/>
    <cellStyle name="Cálculo 3 14 8" xfId="1052"/>
    <cellStyle name="Cálculo 3 14 8 2" xfId="31849"/>
    <cellStyle name="Cálculo 3 14 9" xfId="1053"/>
    <cellStyle name="Cálculo 3 14 9 2" xfId="31850"/>
    <cellStyle name="Cálculo 3 15" xfId="1054"/>
    <cellStyle name="Cálculo 3 15 10" xfId="1055"/>
    <cellStyle name="Cálculo 3 15 10 2" xfId="31851"/>
    <cellStyle name="Cálculo 3 15 11" xfId="1056"/>
    <cellStyle name="Cálculo 3 15 11 2" xfId="31852"/>
    <cellStyle name="Cálculo 3 15 12" xfId="1057"/>
    <cellStyle name="Cálculo 3 15 12 2" xfId="31853"/>
    <cellStyle name="Cálculo 3 15 13" xfId="1058"/>
    <cellStyle name="Cálculo 3 15 13 2" xfId="31854"/>
    <cellStyle name="Cálculo 3 15 14" xfId="31855"/>
    <cellStyle name="Cálculo 3 15 2" xfId="1059"/>
    <cellStyle name="Cálculo 3 15 2 2" xfId="31856"/>
    <cellStyle name="Cálculo 3 15 3" xfId="1060"/>
    <cellStyle name="Cálculo 3 15 3 2" xfId="31857"/>
    <cellStyle name="Cálculo 3 15 4" xfId="1061"/>
    <cellStyle name="Cálculo 3 15 4 2" xfId="31858"/>
    <cellStyle name="Cálculo 3 15 5" xfId="1062"/>
    <cellStyle name="Cálculo 3 15 5 2" xfId="31859"/>
    <cellStyle name="Cálculo 3 15 6" xfId="1063"/>
    <cellStyle name="Cálculo 3 15 6 2" xfId="31860"/>
    <cellStyle name="Cálculo 3 15 7" xfId="1064"/>
    <cellStyle name="Cálculo 3 15 7 2" xfId="31861"/>
    <cellStyle name="Cálculo 3 15 8" xfId="1065"/>
    <cellStyle name="Cálculo 3 15 8 2" xfId="31862"/>
    <cellStyle name="Cálculo 3 15 9" xfId="1066"/>
    <cellStyle name="Cálculo 3 15 9 2" xfId="31863"/>
    <cellStyle name="Cálculo 3 16" xfId="1067"/>
    <cellStyle name="Cálculo 3 16 10" xfId="1068"/>
    <cellStyle name="Cálculo 3 16 10 2" xfId="31864"/>
    <cellStyle name="Cálculo 3 16 11" xfId="1069"/>
    <cellStyle name="Cálculo 3 16 11 2" xfId="31865"/>
    <cellStyle name="Cálculo 3 16 12" xfId="1070"/>
    <cellStyle name="Cálculo 3 16 12 2" xfId="31866"/>
    <cellStyle name="Cálculo 3 16 13" xfId="1071"/>
    <cellStyle name="Cálculo 3 16 13 2" xfId="31867"/>
    <cellStyle name="Cálculo 3 16 14" xfId="31868"/>
    <cellStyle name="Cálculo 3 16 2" xfId="1072"/>
    <cellStyle name="Cálculo 3 16 2 2" xfId="31869"/>
    <cellStyle name="Cálculo 3 16 3" xfId="1073"/>
    <cellStyle name="Cálculo 3 16 3 2" xfId="31870"/>
    <cellStyle name="Cálculo 3 16 4" xfId="1074"/>
    <cellStyle name="Cálculo 3 16 4 2" xfId="31871"/>
    <cellStyle name="Cálculo 3 16 5" xfId="1075"/>
    <cellStyle name="Cálculo 3 16 5 2" xfId="31872"/>
    <cellStyle name="Cálculo 3 16 6" xfId="1076"/>
    <cellStyle name="Cálculo 3 16 6 2" xfId="31873"/>
    <cellStyle name="Cálculo 3 16 7" xfId="1077"/>
    <cellStyle name="Cálculo 3 16 7 2" xfId="31874"/>
    <cellStyle name="Cálculo 3 16 8" xfId="1078"/>
    <cellStyle name="Cálculo 3 16 8 2" xfId="31875"/>
    <cellStyle name="Cálculo 3 16 9" xfId="1079"/>
    <cellStyle name="Cálculo 3 16 9 2" xfId="31876"/>
    <cellStyle name="Cálculo 3 17" xfId="1080"/>
    <cellStyle name="Cálculo 3 17 10" xfId="1081"/>
    <cellStyle name="Cálculo 3 17 10 2" xfId="31877"/>
    <cellStyle name="Cálculo 3 17 11" xfId="1082"/>
    <cellStyle name="Cálculo 3 17 11 2" xfId="31878"/>
    <cellStyle name="Cálculo 3 17 12" xfId="1083"/>
    <cellStyle name="Cálculo 3 17 12 2" xfId="31879"/>
    <cellStyle name="Cálculo 3 17 13" xfId="1084"/>
    <cellStyle name="Cálculo 3 17 13 2" xfId="31880"/>
    <cellStyle name="Cálculo 3 17 14" xfId="31881"/>
    <cellStyle name="Cálculo 3 17 2" xfId="1085"/>
    <cellStyle name="Cálculo 3 17 2 2" xfId="31882"/>
    <cellStyle name="Cálculo 3 17 3" xfId="1086"/>
    <cellStyle name="Cálculo 3 17 3 2" xfId="31883"/>
    <cellStyle name="Cálculo 3 17 4" xfId="1087"/>
    <cellStyle name="Cálculo 3 17 4 2" xfId="31884"/>
    <cellStyle name="Cálculo 3 17 5" xfId="1088"/>
    <cellStyle name="Cálculo 3 17 5 2" xfId="31885"/>
    <cellStyle name="Cálculo 3 17 6" xfId="1089"/>
    <cellStyle name="Cálculo 3 17 6 2" xfId="31886"/>
    <cellStyle name="Cálculo 3 17 7" xfId="1090"/>
    <cellStyle name="Cálculo 3 17 7 2" xfId="31887"/>
    <cellStyle name="Cálculo 3 17 8" xfId="1091"/>
    <cellStyle name="Cálculo 3 17 8 2" xfId="31888"/>
    <cellStyle name="Cálculo 3 17 9" xfId="1092"/>
    <cellStyle name="Cálculo 3 17 9 2" xfId="31889"/>
    <cellStyle name="Cálculo 3 18" xfId="1093"/>
    <cellStyle name="Cálculo 3 18 10" xfId="1094"/>
    <cellStyle name="Cálculo 3 18 10 2" xfId="31890"/>
    <cellStyle name="Cálculo 3 18 11" xfId="1095"/>
    <cellStyle name="Cálculo 3 18 11 2" xfId="31891"/>
    <cellStyle name="Cálculo 3 18 12" xfId="1096"/>
    <cellStyle name="Cálculo 3 18 12 2" xfId="31892"/>
    <cellStyle name="Cálculo 3 18 13" xfId="1097"/>
    <cellStyle name="Cálculo 3 18 13 2" xfId="31893"/>
    <cellStyle name="Cálculo 3 18 14" xfId="31894"/>
    <cellStyle name="Cálculo 3 18 2" xfId="1098"/>
    <cellStyle name="Cálculo 3 18 2 2" xfId="31895"/>
    <cellStyle name="Cálculo 3 18 3" xfId="1099"/>
    <cellStyle name="Cálculo 3 18 3 2" xfId="31896"/>
    <cellStyle name="Cálculo 3 18 4" xfId="1100"/>
    <cellStyle name="Cálculo 3 18 4 2" xfId="31897"/>
    <cellStyle name="Cálculo 3 18 5" xfId="1101"/>
    <cellStyle name="Cálculo 3 18 5 2" xfId="31898"/>
    <cellStyle name="Cálculo 3 18 6" xfId="1102"/>
    <cellStyle name="Cálculo 3 18 6 2" xfId="31899"/>
    <cellStyle name="Cálculo 3 18 7" xfId="1103"/>
    <cellStyle name="Cálculo 3 18 7 2" xfId="31900"/>
    <cellStyle name="Cálculo 3 18 8" xfId="1104"/>
    <cellStyle name="Cálculo 3 18 8 2" xfId="31901"/>
    <cellStyle name="Cálculo 3 18 9" xfId="1105"/>
    <cellStyle name="Cálculo 3 18 9 2" xfId="31902"/>
    <cellStyle name="Cálculo 3 19" xfId="1106"/>
    <cellStyle name="Cálculo 3 19 10" xfId="1107"/>
    <cellStyle name="Cálculo 3 19 10 2" xfId="31903"/>
    <cellStyle name="Cálculo 3 19 11" xfId="1108"/>
    <cellStyle name="Cálculo 3 19 11 2" xfId="31904"/>
    <cellStyle name="Cálculo 3 19 12" xfId="1109"/>
    <cellStyle name="Cálculo 3 19 12 2" xfId="31905"/>
    <cellStyle name="Cálculo 3 19 13" xfId="1110"/>
    <cellStyle name="Cálculo 3 19 13 2" xfId="31906"/>
    <cellStyle name="Cálculo 3 19 14" xfId="31907"/>
    <cellStyle name="Cálculo 3 19 2" xfId="1111"/>
    <cellStyle name="Cálculo 3 19 2 2" xfId="31908"/>
    <cellStyle name="Cálculo 3 19 3" xfId="1112"/>
    <cellStyle name="Cálculo 3 19 3 2" xfId="31909"/>
    <cellStyle name="Cálculo 3 19 4" xfId="1113"/>
    <cellStyle name="Cálculo 3 19 4 2" xfId="31910"/>
    <cellStyle name="Cálculo 3 19 5" xfId="1114"/>
    <cellStyle name="Cálculo 3 19 5 2" xfId="31911"/>
    <cellStyle name="Cálculo 3 19 6" xfId="1115"/>
    <cellStyle name="Cálculo 3 19 6 2" xfId="31912"/>
    <cellStyle name="Cálculo 3 19 7" xfId="1116"/>
    <cellStyle name="Cálculo 3 19 7 2" xfId="31913"/>
    <cellStyle name="Cálculo 3 19 8" xfId="1117"/>
    <cellStyle name="Cálculo 3 19 8 2" xfId="31914"/>
    <cellStyle name="Cálculo 3 19 9" xfId="1118"/>
    <cellStyle name="Cálculo 3 19 9 2" xfId="31915"/>
    <cellStyle name="Cálculo 3 2" xfId="1119"/>
    <cellStyle name="Cálculo 3 2 10" xfId="1120"/>
    <cellStyle name="Cálculo 3 2 10 2" xfId="31916"/>
    <cellStyle name="Cálculo 3 2 11" xfId="1121"/>
    <cellStyle name="Cálculo 3 2 11 2" xfId="31917"/>
    <cellStyle name="Cálculo 3 2 12" xfId="1122"/>
    <cellStyle name="Cálculo 3 2 12 2" xfId="31918"/>
    <cellStyle name="Cálculo 3 2 13" xfId="1123"/>
    <cellStyle name="Cálculo 3 2 13 2" xfId="31919"/>
    <cellStyle name="Cálculo 3 2 14" xfId="31920"/>
    <cellStyle name="Cálculo 3 2 2" xfId="1124"/>
    <cellStyle name="Cálculo 3 2 2 2" xfId="31921"/>
    <cellStyle name="Cálculo 3 2 3" xfId="1125"/>
    <cellStyle name="Cálculo 3 2 3 2" xfId="31922"/>
    <cellStyle name="Cálculo 3 2 4" xfId="1126"/>
    <cellStyle name="Cálculo 3 2 4 2" xfId="31923"/>
    <cellStyle name="Cálculo 3 2 5" xfId="1127"/>
    <cellStyle name="Cálculo 3 2 5 2" xfId="31924"/>
    <cellStyle name="Cálculo 3 2 6" xfId="1128"/>
    <cellStyle name="Cálculo 3 2 6 2" xfId="31925"/>
    <cellStyle name="Cálculo 3 2 7" xfId="1129"/>
    <cellStyle name="Cálculo 3 2 7 2" xfId="31926"/>
    <cellStyle name="Cálculo 3 2 8" xfId="1130"/>
    <cellStyle name="Cálculo 3 2 8 2" xfId="31927"/>
    <cellStyle name="Cálculo 3 2 9" xfId="1131"/>
    <cellStyle name="Cálculo 3 2 9 2" xfId="31928"/>
    <cellStyle name="Cálculo 3 20" xfId="1132"/>
    <cellStyle name="Cálculo 3 20 10" xfId="1133"/>
    <cellStyle name="Cálculo 3 20 10 2" xfId="31929"/>
    <cellStyle name="Cálculo 3 20 11" xfId="1134"/>
    <cellStyle name="Cálculo 3 20 11 2" xfId="31930"/>
    <cellStyle name="Cálculo 3 20 12" xfId="1135"/>
    <cellStyle name="Cálculo 3 20 12 2" xfId="31931"/>
    <cellStyle name="Cálculo 3 20 13" xfId="1136"/>
    <cellStyle name="Cálculo 3 20 13 2" xfId="31932"/>
    <cellStyle name="Cálculo 3 20 14" xfId="31933"/>
    <cellStyle name="Cálculo 3 20 2" xfId="1137"/>
    <cellStyle name="Cálculo 3 20 2 2" xfId="31934"/>
    <cellStyle name="Cálculo 3 20 3" xfId="1138"/>
    <cellStyle name="Cálculo 3 20 3 2" xfId="31935"/>
    <cellStyle name="Cálculo 3 20 4" xfId="1139"/>
    <cellStyle name="Cálculo 3 20 4 2" xfId="31936"/>
    <cellStyle name="Cálculo 3 20 5" xfId="1140"/>
    <cellStyle name="Cálculo 3 20 5 2" xfId="31937"/>
    <cellStyle name="Cálculo 3 20 6" xfId="1141"/>
    <cellStyle name="Cálculo 3 20 6 2" xfId="31938"/>
    <cellStyle name="Cálculo 3 20 7" xfId="1142"/>
    <cellStyle name="Cálculo 3 20 7 2" xfId="31939"/>
    <cellStyle name="Cálculo 3 20 8" xfId="1143"/>
    <cellStyle name="Cálculo 3 20 8 2" xfId="31940"/>
    <cellStyle name="Cálculo 3 20 9" xfId="1144"/>
    <cellStyle name="Cálculo 3 20 9 2" xfId="31941"/>
    <cellStyle name="Cálculo 3 21" xfId="1145"/>
    <cellStyle name="Cálculo 3 21 10" xfId="1146"/>
    <cellStyle name="Cálculo 3 21 10 2" xfId="31942"/>
    <cellStyle name="Cálculo 3 21 11" xfId="1147"/>
    <cellStyle name="Cálculo 3 21 11 2" xfId="31943"/>
    <cellStyle name="Cálculo 3 21 12" xfId="1148"/>
    <cellStyle name="Cálculo 3 21 12 2" xfId="31944"/>
    <cellStyle name="Cálculo 3 21 13" xfId="1149"/>
    <cellStyle name="Cálculo 3 21 13 2" xfId="31945"/>
    <cellStyle name="Cálculo 3 21 14" xfId="31946"/>
    <cellStyle name="Cálculo 3 21 2" xfId="1150"/>
    <cellStyle name="Cálculo 3 21 2 2" xfId="31947"/>
    <cellStyle name="Cálculo 3 21 3" xfId="1151"/>
    <cellStyle name="Cálculo 3 21 3 2" xfId="31948"/>
    <cellStyle name="Cálculo 3 21 4" xfId="1152"/>
    <cellStyle name="Cálculo 3 21 4 2" xfId="31949"/>
    <cellStyle name="Cálculo 3 21 5" xfId="1153"/>
    <cellStyle name="Cálculo 3 21 5 2" xfId="31950"/>
    <cellStyle name="Cálculo 3 21 6" xfId="1154"/>
    <cellStyle name="Cálculo 3 21 6 2" xfId="31951"/>
    <cellStyle name="Cálculo 3 21 7" xfId="1155"/>
    <cellStyle name="Cálculo 3 21 7 2" xfId="31952"/>
    <cellStyle name="Cálculo 3 21 8" xfId="1156"/>
    <cellStyle name="Cálculo 3 21 8 2" xfId="31953"/>
    <cellStyle name="Cálculo 3 21 9" xfId="1157"/>
    <cellStyle name="Cálculo 3 21 9 2" xfId="31954"/>
    <cellStyle name="Cálculo 3 22" xfId="1158"/>
    <cellStyle name="Cálculo 3 22 10" xfId="1159"/>
    <cellStyle name="Cálculo 3 22 10 2" xfId="31955"/>
    <cellStyle name="Cálculo 3 22 11" xfId="1160"/>
    <cellStyle name="Cálculo 3 22 11 2" xfId="31956"/>
    <cellStyle name="Cálculo 3 22 12" xfId="1161"/>
    <cellStyle name="Cálculo 3 22 12 2" xfId="31957"/>
    <cellStyle name="Cálculo 3 22 13" xfId="1162"/>
    <cellStyle name="Cálculo 3 22 13 2" xfId="31958"/>
    <cellStyle name="Cálculo 3 22 14" xfId="31959"/>
    <cellStyle name="Cálculo 3 22 2" xfId="1163"/>
    <cellStyle name="Cálculo 3 22 2 2" xfId="31960"/>
    <cellStyle name="Cálculo 3 22 3" xfId="1164"/>
    <cellStyle name="Cálculo 3 22 3 2" xfId="31961"/>
    <cellStyle name="Cálculo 3 22 4" xfId="1165"/>
    <cellStyle name="Cálculo 3 22 4 2" xfId="31962"/>
    <cellStyle name="Cálculo 3 22 5" xfId="1166"/>
    <cellStyle name="Cálculo 3 22 5 2" xfId="31963"/>
    <cellStyle name="Cálculo 3 22 6" xfId="1167"/>
    <cellStyle name="Cálculo 3 22 6 2" xfId="31964"/>
    <cellStyle name="Cálculo 3 22 7" xfId="1168"/>
    <cellStyle name="Cálculo 3 22 7 2" xfId="31965"/>
    <cellStyle name="Cálculo 3 22 8" xfId="1169"/>
    <cellStyle name="Cálculo 3 22 8 2" xfId="31966"/>
    <cellStyle name="Cálculo 3 22 9" xfId="1170"/>
    <cellStyle name="Cálculo 3 22 9 2" xfId="31967"/>
    <cellStyle name="Cálculo 3 23" xfId="1171"/>
    <cellStyle name="Cálculo 3 23 10" xfId="1172"/>
    <cellStyle name="Cálculo 3 23 10 2" xfId="31968"/>
    <cellStyle name="Cálculo 3 23 11" xfId="1173"/>
    <cellStyle name="Cálculo 3 23 11 2" xfId="31969"/>
    <cellStyle name="Cálculo 3 23 12" xfId="1174"/>
    <cellStyle name="Cálculo 3 23 12 2" xfId="31970"/>
    <cellStyle name="Cálculo 3 23 13" xfId="1175"/>
    <cellStyle name="Cálculo 3 23 13 2" xfId="31971"/>
    <cellStyle name="Cálculo 3 23 14" xfId="31972"/>
    <cellStyle name="Cálculo 3 23 2" xfId="1176"/>
    <cellStyle name="Cálculo 3 23 2 2" xfId="31973"/>
    <cellStyle name="Cálculo 3 23 3" xfId="1177"/>
    <cellStyle name="Cálculo 3 23 3 2" xfId="31974"/>
    <cellStyle name="Cálculo 3 23 4" xfId="1178"/>
    <cellStyle name="Cálculo 3 23 4 2" xfId="31975"/>
    <cellStyle name="Cálculo 3 23 5" xfId="1179"/>
    <cellStyle name="Cálculo 3 23 5 2" xfId="31976"/>
    <cellStyle name="Cálculo 3 23 6" xfId="1180"/>
    <cellStyle name="Cálculo 3 23 6 2" xfId="31977"/>
    <cellStyle name="Cálculo 3 23 7" xfId="1181"/>
    <cellStyle name="Cálculo 3 23 7 2" xfId="31978"/>
    <cellStyle name="Cálculo 3 23 8" xfId="1182"/>
    <cellStyle name="Cálculo 3 23 8 2" xfId="31979"/>
    <cellStyle name="Cálculo 3 23 9" xfId="1183"/>
    <cellStyle name="Cálculo 3 23 9 2" xfId="31980"/>
    <cellStyle name="Cálculo 3 24" xfId="1184"/>
    <cellStyle name="Cálculo 3 24 10" xfId="1185"/>
    <cellStyle name="Cálculo 3 24 10 2" xfId="31981"/>
    <cellStyle name="Cálculo 3 24 11" xfId="1186"/>
    <cellStyle name="Cálculo 3 24 11 2" xfId="31982"/>
    <cellStyle name="Cálculo 3 24 12" xfId="1187"/>
    <cellStyle name="Cálculo 3 24 12 2" xfId="31983"/>
    <cellStyle name="Cálculo 3 24 13" xfId="1188"/>
    <cellStyle name="Cálculo 3 24 13 2" xfId="31984"/>
    <cellStyle name="Cálculo 3 24 14" xfId="31985"/>
    <cellStyle name="Cálculo 3 24 2" xfId="1189"/>
    <cellStyle name="Cálculo 3 24 2 2" xfId="31986"/>
    <cellStyle name="Cálculo 3 24 3" xfId="1190"/>
    <cellStyle name="Cálculo 3 24 3 2" xfId="31987"/>
    <cellStyle name="Cálculo 3 24 4" xfId="1191"/>
    <cellStyle name="Cálculo 3 24 4 2" xfId="31988"/>
    <cellStyle name="Cálculo 3 24 5" xfId="1192"/>
    <cellStyle name="Cálculo 3 24 5 2" xfId="31989"/>
    <cellStyle name="Cálculo 3 24 6" xfId="1193"/>
    <cellStyle name="Cálculo 3 24 6 2" xfId="31990"/>
    <cellStyle name="Cálculo 3 24 7" xfId="1194"/>
    <cellStyle name="Cálculo 3 24 7 2" xfId="31991"/>
    <cellStyle name="Cálculo 3 24 8" xfId="1195"/>
    <cellStyle name="Cálculo 3 24 8 2" xfId="31992"/>
    <cellStyle name="Cálculo 3 24 9" xfId="1196"/>
    <cellStyle name="Cálculo 3 24 9 2" xfId="31993"/>
    <cellStyle name="Cálculo 3 25" xfId="1197"/>
    <cellStyle name="Cálculo 3 25 10" xfId="1198"/>
    <cellStyle name="Cálculo 3 25 10 2" xfId="31994"/>
    <cellStyle name="Cálculo 3 25 11" xfId="1199"/>
    <cellStyle name="Cálculo 3 25 11 2" xfId="31995"/>
    <cellStyle name="Cálculo 3 25 12" xfId="1200"/>
    <cellStyle name="Cálculo 3 25 12 2" xfId="31996"/>
    <cellStyle name="Cálculo 3 25 13" xfId="1201"/>
    <cellStyle name="Cálculo 3 25 13 2" xfId="31997"/>
    <cellStyle name="Cálculo 3 25 14" xfId="31998"/>
    <cellStyle name="Cálculo 3 25 2" xfId="1202"/>
    <cellStyle name="Cálculo 3 25 2 2" xfId="31999"/>
    <cellStyle name="Cálculo 3 25 3" xfId="1203"/>
    <cellStyle name="Cálculo 3 25 3 2" xfId="32000"/>
    <cellStyle name="Cálculo 3 25 4" xfId="1204"/>
    <cellStyle name="Cálculo 3 25 4 2" xfId="32001"/>
    <cellStyle name="Cálculo 3 25 5" xfId="1205"/>
    <cellStyle name="Cálculo 3 25 5 2" xfId="32002"/>
    <cellStyle name="Cálculo 3 25 6" xfId="1206"/>
    <cellStyle name="Cálculo 3 25 6 2" xfId="32003"/>
    <cellStyle name="Cálculo 3 25 7" xfId="1207"/>
    <cellStyle name="Cálculo 3 25 7 2" xfId="32004"/>
    <cellStyle name="Cálculo 3 25 8" xfId="1208"/>
    <cellStyle name="Cálculo 3 25 8 2" xfId="32005"/>
    <cellStyle name="Cálculo 3 25 9" xfId="1209"/>
    <cellStyle name="Cálculo 3 25 9 2" xfId="32006"/>
    <cellStyle name="Cálculo 3 26" xfId="1210"/>
    <cellStyle name="Cálculo 3 26 10" xfId="1211"/>
    <cellStyle name="Cálculo 3 26 10 2" xfId="32007"/>
    <cellStyle name="Cálculo 3 26 11" xfId="1212"/>
    <cellStyle name="Cálculo 3 26 11 2" xfId="32008"/>
    <cellStyle name="Cálculo 3 26 12" xfId="1213"/>
    <cellStyle name="Cálculo 3 26 12 2" xfId="32009"/>
    <cellStyle name="Cálculo 3 26 13" xfId="1214"/>
    <cellStyle name="Cálculo 3 26 13 2" xfId="32010"/>
    <cellStyle name="Cálculo 3 26 14" xfId="32011"/>
    <cellStyle name="Cálculo 3 26 2" xfId="1215"/>
    <cellStyle name="Cálculo 3 26 2 2" xfId="32012"/>
    <cellStyle name="Cálculo 3 26 3" xfId="1216"/>
    <cellStyle name="Cálculo 3 26 3 2" xfId="32013"/>
    <cellStyle name="Cálculo 3 26 4" xfId="1217"/>
    <cellStyle name="Cálculo 3 26 4 2" xfId="32014"/>
    <cellStyle name="Cálculo 3 26 5" xfId="1218"/>
    <cellStyle name="Cálculo 3 26 5 2" xfId="32015"/>
    <cellStyle name="Cálculo 3 26 6" xfId="1219"/>
    <cellStyle name="Cálculo 3 26 6 2" xfId="32016"/>
    <cellStyle name="Cálculo 3 26 7" xfId="1220"/>
    <cellStyle name="Cálculo 3 26 7 2" xfId="32017"/>
    <cellStyle name="Cálculo 3 26 8" xfId="1221"/>
    <cellStyle name="Cálculo 3 26 8 2" xfId="32018"/>
    <cellStyle name="Cálculo 3 26 9" xfId="1222"/>
    <cellStyle name="Cálculo 3 26 9 2" xfId="32019"/>
    <cellStyle name="Cálculo 3 27" xfId="1223"/>
    <cellStyle name="Cálculo 3 27 10" xfId="1224"/>
    <cellStyle name="Cálculo 3 27 10 2" xfId="32020"/>
    <cellStyle name="Cálculo 3 27 11" xfId="1225"/>
    <cellStyle name="Cálculo 3 27 11 2" xfId="32021"/>
    <cellStyle name="Cálculo 3 27 12" xfId="1226"/>
    <cellStyle name="Cálculo 3 27 12 2" xfId="32022"/>
    <cellStyle name="Cálculo 3 27 13" xfId="1227"/>
    <cellStyle name="Cálculo 3 27 13 2" xfId="32023"/>
    <cellStyle name="Cálculo 3 27 14" xfId="32024"/>
    <cellStyle name="Cálculo 3 27 2" xfId="1228"/>
    <cellStyle name="Cálculo 3 27 2 2" xfId="32025"/>
    <cellStyle name="Cálculo 3 27 3" xfId="1229"/>
    <cellStyle name="Cálculo 3 27 3 2" xfId="32026"/>
    <cellStyle name="Cálculo 3 27 4" xfId="1230"/>
    <cellStyle name="Cálculo 3 27 4 2" xfId="32027"/>
    <cellStyle name="Cálculo 3 27 5" xfId="1231"/>
    <cellStyle name="Cálculo 3 27 5 2" xfId="32028"/>
    <cellStyle name="Cálculo 3 27 6" xfId="1232"/>
    <cellStyle name="Cálculo 3 27 6 2" xfId="32029"/>
    <cellStyle name="Cálculo 3 27 7" xfId="1233"/>
    <cellStyle name="Cálculo 3 27 7 2" xfId="32030"/>
    <cellStyle name="Cálculo 3 27 8" xfId="1234"/>
    <cellStyle name="Cálculo 3 27 8 2" xfId="32031"/>
    <cellStyle name="Cálculo 3 27 9" xfId="1235"/>
    <cellStyle name="Cálculo 3 27 9 2" xfId="32032"/>
    <cellStyle name="Cálculo 3 28" xfId="1236"/>
    <cellStyle name="Cálculo 3 28 10" xfId="1237"/>
    <cellStyle name="Cálculo 3 28 10 2" xfId="32033"/>
    <cellStyle name="Cálculo 3 28 11" xfId="1238"/>
    <cellStyle name="Cálculo 3 28 11 2" xfId="32034"/>
    <cellStyle name="Cálculo 3 28 12" xfId="1239"/>
    <cellStyle name="Cálculo 3 28 12 2" xfId="32035"/>
    <cellStyle name="Cálculo 3 28 13" xfId="1240"/>
    <cellStyle name="Cálculo 3 28 13 2" xfId="32036"/>
    <cellStyle name="Cálculo 3 28 14" xfId="32037"/>
    <cellStyle name="Cálculo 3 28 2" xfId="1241"/>
    <cellStyle name="Cálculo 3 28 2 2" xfId="32038"/>
    <cellStyle name="Cálculo 3 28 3" xfId="1242"/>
    <cellStyle name="Cálculo 3 28 3 2" xfId="32039"/>
    <cellStyle name="Cálculo 3 28 4" xfId="1243"/>
    <cellStyle name="Cálculo 3 28 4 2" xfId="32040"/>
    <cellStyle name="Cálculo 3 28 5" xfId="1244"/>
    <cellStyle name="Cálculo 3 28 5 2" xfId="32041"/>
    <cellStyle name="Cálculo 3 28 6" xfId="1245"/>
    <cellStyle name="Cálculo 3 28 6 2" xfId="32042"/>
    <cellStyle name="Cálculo 3 28 7" xfId="1246"/>
    <cellStyle name="Cálculo 3 28 7 2" xfId="32043"/>
    <cellStyle name="Cálculo 3 28 8" xfId="1247"/>
    <cellStyle name="Cálculo 3 28 8 2" xfId="32044"/>
    <cellStyle name="Cálculo 3 28 9" xfId="1248"/>
    <cellStyle name="Cálculo 3 28 9 2" xfId="32045"/>
    <cellStyle name="Cálculo 3 29" xfId="1249"/>
    <cellStyle name="Cálculo 3 29 10" xfId="1250"/>
    <cellStyle name="Cálculo 3 29 10 2" xfId="32046"/>
    <cellStyle name="Cálculo 3 29 11" xfId="1251"/>
    <cellStyle name="Cálculo 3 29 11 2" xfId="32047"/>
    <cellStyle name="Cálculo 3 29 12" xfId="1252"/>
    <cellStyle name="Cálculo 3 29 12 2" xfId="32048"/>
    <cellStyle name="Cálculo 3 29 13" xfId="1253"/>
    <cellStyle name="Cálculo 3 29 13 2" xfId="32049"/>
    <cellStyle name="Cálculo 3 29 14" xfId="32050"/>
    <cellStyle name="Cálculo 3 29 2" xfId="1254"/>
    <cellStyle name="Cálculo 3 29 2 2" xfId="32051"/>
    <cellStyle name="Cálculo 3 29 3" xfId="1255"/>
    <cellStyle name="Cálculo 3 29 3 2" xfId="32052"/>
    <cellStyle name="Cálculo 3 29 4" xfId="1256"/>
    <cellStyle name="Cálculo 3 29 4 2" xfId="32053"/>
    <cellStyle name="Cálculo 3 29 5" xfId="1257"/>
    <cellStyle name="Cálculo 3 29 5 2" xfId="32054"/>
    <cellStyle name="Cálculo 3 29 6" xfId="1258"/>
    <cellStyle name="Cálculo 3 29 6 2" xfId="32055"/>
    <cellStyle name="Cálculo 3 29 7" xfId="1259"/>
    <cellStyle name="Cálculo 3 29 7 2" xfId="32056"/>
    <cellStyle name="Cálculo 3 29 8" xfId="1260"/>
    <cellStyle name="Cálculo 3 29 8 2" xfId="32057"/>
    <cellStyle name="Cálculo 3 29 9" xfId="1261"/>
    <cellStyle name="Cálculo 3 29 9 2" xfId="32058"/>
    <cellStyle name="Cálculo 3 3" xfId="1262"/>
    <cellStyle name="Cálculo 3 3 10" xfId="1263"/>
    <cellStyle name="Cálculo 3 3 10 2" xfId="32059"/>
    <cellStyle name="Cálculo 3 3 11" xfId="1264"/>
    <cellStyle name="Cálculo 3 3 11 2" xfId="32060"/>
    <cellStyle name="Cálculo 3 3 12" xfId="1265"/>
    <cellStyle name="Cálculo 3 3 12 2" xfId="32061"/>
    <cellStyle name="Cálculo 3 3 13" xfId="1266"/>
    <cellStyle name="Cálculo 3 3 13 2" xfId="32062"/>
    <cellStyle name="Cálculo 3 3 14" xfId="32063"/>
    <cellStyle name="Cálculo 3 3 2" xfId="1267"/>
    <cellStyle name="Cálculo 3 3 2 2" xfId="32064"/>
    <cellStyle name="Cálculo 3 3 3" xfId="1268"/>
    <cellStyle name="Cálculo 3 3 3 2" xfId="32065"/>
    <cellStyle name="Cálculo 3 3 4" xfId="1269"/>
    <cellStyle name="Cálculo 3 3 4 2" xfId="32066"/>
    <cellStyle name="Cálculo 3 3 5" xfId="1270"/>
    <cellStyle name="Cálculo 3 3 5 2" xfId="32067"/>
    <cellStyle name="Cálculo 3 3 6" xfId="1271"/>
    <cellStyle name="Cálculo 3 3 6 2" xfId="32068"/>
    <cellStyle name="Cálculo 3 3 7" xfId="1272"/>
    <cellStyle name="Cálculo 3 3 7 2" xfId="32069"/>
    <cellStyle name="Cálculo 3 3 8" xfId="1273"/>
    <cellStyle name="Cálculo 3 3 8 2" xfId="32070"/>
    <cellStyle name="Cálculo 3 3 9" xfId="1274"/>
    <cellStyle name="Cálculo 3 3 9 2" xfId="32071"/>
    <cellStyle name="Cálculo 3 30" xfId="1275"/>
    <cellStyle name="Cálculo 3 30 10" xfId="1276"/>
    <cellStyle name="Cálculo 3 30 10 2" xfId="32072"/>
    <cellStyle name="Cálculo 3 30 11" xfId="1277"/>
    <cellStyle name="Cálculo 3 30 11 2" xfId="32073"/>
    <cellStyle name="Cálculo 3 30 12" xfId="1278"/>
    <cellStyle name="Cálculo 3 30 12 2" xfId="32074"/>
    <cellStyle name="Cálculo 3 30 13" xfId="1279"/>
    <cellStyle name="Cálculo 3 30 13 2" xfId="32075"/>
    <cellStyle name="Cálculo 3 30 14" xfId="32076"/>
    <cellStyle name="Cálculo 3 30 2" xfId="1280"/>
    <cellStyle name="Cálculo 3 30 2 2" xfId="32077"/>
    <cellStyle name="Cálculo 3 30 3" xfId="1281"/>
    <cellStyle name="Cálculo 3 30 3 2" xfId="32078"/>
    <cellStyle name="Cálculo 3 30 4" xfId="1282"/>
    <cellStyle name="Cálculo 3 30 4 2" xfId="32079"/>
    <cellStyle name="Cálculo 3 30 5" xfId="1283"/>
    <cellStyle name="Cálculo 3 30 5 2" xfId="32080"/>
    <cellStyle name="Cálculo 3 30 6" xfId="1284"/>
    <cellStyle name="Cálculo 3 30 6 2" xfId="32081"/>
    <cellStyle name="Cálculo 3 30 7" xfId="1285"/>
    <cellStyle name="Cálculo 3 30 7 2" xfId="32082"/>
    <cellStyle name="Cálculo 3 30 8" xfId="1286"/>
    <cellStyle name="Cálculo 3 30 8 2" xfId="32083"/>
    <cellStyle name="Cálculo 3 30 9" xfId="1287"/>
    <cellStyle name="Cálculo 3 30 9 2" xfId="32084"/>
    <cellStyle name="Cálculo 3 31" xfId="1288"/>
    <cellStyle name="Cálculo 3 31 10" xfId="1289"/>
    <cellStyle name="Cálculo 3 31 10 2" xfId="32085"/>
    <cellStyle name="Cálculo 3 31 11" xfId="1290"/>
    <cellStyle name="Cálculo 3 31 11 2" xfId="32086"/>
    <cellStyle name="Cálculo 3 31 12" xfId="1291"/>
    <cellStyle name="Cálculo 3 31 12 2" xfId="32087"/>
    <cellStyle name="Cálculo 3 31 13" xfId="1292"/>
    <cellStyle name="Cálculo 3 31 13 2" xfId="32088"/>
    <cellStyle name="Cálculo 3 31 14" xfId="32089"/>
    <cellStyle name="Cálculo 3 31 2" xfId="1293"/>
    <cellStyle name="Cálculo 3 31 2 2" xfId="32090"/>
    <cellStyle name="Cálculo 3 31 3" xfId="1294"/>
    <cellStyle name="Cálculo 3 31 3 2" xfId="32091"/>
    <cellStyle name="Cálculo 3 31 4" xfId="1295"/>
    <cellStyle name="Cálculo 3 31 4 2" xfId="32092"/>
    <cellStyle name="Cálculo 3 31 5" xfId="1296"/>
    <cellStyle name="Cálculo 3 31 5 2" xfId="32093"/>
    <cellStyle name="Cálculo 3 31 6" xfId="1297"/>
    <cellStyle name="Cálculo 3 31 6 2" xfId="32094"/>
    <cellStyle name="Cálculo 3 31 7" xfId="1298"/>
    <cellStyle name="Cálculo 3 31 7 2" xfId="32095"/>
    <cellStyle name="Cálculo 3 31 8" xfId="1299"/>
    <cellStyle name="Cálculo 3 31 8 2" xfId="32096"/>
    <cellStyle name="Cálculo 3 31 9" xfId="1300"/>
    <cellStyle name="Cálculo 3 31 9 2" xfId="32097"/>
    <cellStyle name="Cálculo 3 32" xfId="1301"/>
    <cellStyle name="Cálculo 3 32 10" xfId="1302"/>
    <cellStyle name="Cálculo 3 32 10 2" xfId="32098"/>
    <cellStyle name="Cálculo 3 32 11" xfId="1303"/>
    <cellStyle name="Cálculo 3 32 11 2" xfId="32099"/>
    <cellStyle name="Cálculo 3 32 12" xfId="1304"/>
    <cellStyle name="Cálculo 3 32 12 2" xfId="32100"/>
    <cellStyle name="Cálculo 3 32 13" xfId="1305"/>
    <cellStyle name="Cálculo 3 32 13 2" xfId="32101"/>
    <cellStyle name="Cálculo 3 32 14" xfId="32102"/>
    <cellStyle name="Cálculo 3 32 2" xfId="1306"/>
    <cellStyle name="Cálculo 3 32 2 2" xfId="32103"/>
    <cellStyle name="Cálculo 3 32 3" xfId="1307"/>
    <cellStyle name="Cálculo 3 32 3 2" xfId="32104"/>
    <cellStyle name="Cálculo 3 32 4" xfId="1308"/>
    <cellStyle name="Cálculo 3 32 4 2" xfId="32105"/>
    <cellStyle name="Cálculo 3 32 5" xfId="1309"/>
    <cellStyle name="Cálculo 3 32 5 2" xfId="32106"/>
    <cellStyle name="Cálculo 3 32 6" xfId="1310"/>
    <cellStyle name="Cálculo 3 32 6 2" xfId="32107"/>
    <cellStyle name="Cálculo 3 32 7" xfId="1311"/>
    <cellStyle name="Cálculo 3 32 7 2" xfId="32108"/>
    <cellStyle name="Cálculo 3 32 8" xfId="1312"/>
    <cellStyle name="Cálculo 3 32 8 2" xfId="32109"/>
    <cellStyle name="Cálculo 3 32 9" xfId="1313"/>
    <cellStyle name="Cálculo 3 32 9 2" xfId="32110"/>
    <cellStyle name="Cálculo 3 33" xfId="1314"/>
    <cellStyle name="Cálculo 3 33 10" xfId="1315"/>
    <cellStyle name="Cálculo 3 33 10 2" xfId="32111"/>
    <cellStyle name="Cálculo 3 33 11" xfId="1316"/>
    <cellStyle name="Cálculo 3 33 11 2" xfId="32112"/>
    <cellStyle name="Cálculo 3 33 12" xfId="1317"/>
    <cellStyle name="Cálculo 3 33 12 2" xfId="32113"/>
    <cellStyle name="Cálculo 3 33 13" xfId="1318"/>
    <cellStyle name="Cálculo 3 33 13 2" xfId="32114"/>
    <cellStyle name="Cálculo 3 33 14" xfId="32115"/>
    <cellStyle name="Cálculo 3 33 2" xfId="1319"/>
    <cellStyle name="Cálculo 3 33 2 2" xfId="32116"/>
    <cellStyle name="Cálculo 3 33 3" xfId="1320"/>
    <cellStyle name="Cálculo 3 33 3 2" xfId="32117"/>
    <cellStyle name="Cálculo 3 33 4" xfId="1321"/>
    <cellStyle name="Cálculo 3 33 4 2" xfId="32118"/>
    <cellStyle name="Cálculo 3 33 5" xfId="1322"/>
    <cellStyle name="Cálculo 3 33 5 2" xfId="32119"/>
    <cellStyle name="Cálculo 3 33 6" xfId="1323"/>
    <cellStyle name="Cálculo 3 33 6 2" xfId="32120"/>
    <cellStyle name="Cálculo 3 33 7" xfId="1324"/>
    <cellStyle name="Cálculo 3 33 7 2" xfId="32121"/>
    <cellStyle name="Cálculo 3 33 8" xfId="1325"/>
    <cellStyle name="Cálculo 3 33 8 2" xfId="32122"/>
    <cellStyle name="Cálculo 3 33 9" xfId="1326"/>
    <cellStyle name="Cálculo 3 33 9 2" xfId="32123"/>
    <cellStyle name="Cálculo 3 34" xfId="1327"/>
    <cellStyle name="Cálculo 3 34 10" xfId="1328"/>
    <cellStyle name="Cálculo 3 34 10 2" xfId="32124"/>
    <cellStyle name="Cálculo 3 34 11" xfId="1329"/>
    <cellStyle name="Cálculo 3 34 11 2" xfId="32125"/>
    <cellStyle name="Cálculo 3 34 12" xfId="1330"/>
    <cellStyle name="Cálculo 3 34 12 2" xfId="32126"/>
    <cellStyle name="Cálculo 3 34 13" xfId="1331"/>
    <cellStyle name="Cálculo 3 34 13 2" xfId="32127"/>
    <cellStyle name="Cálculo 3 34 14" xfId="32128"/>
    <cellStyle name="Cálculo 3 34 2" xfId="1332"/>
    <cellStyle name="Cálculo 3 34 2 2" xfId="32129"/>
    <cellStyle name="Cálculo 3 34 3" xfId="1333"/>
    <cellStyle name="Cálculo 3 34 3 2" xfId="32130"/>
    <cellStyle name="Cálculo 3 34 4" xfId="1334"/>
    <cellStyle name="Cálculo 3 34 4 2" xfId="32131"/>
    <cellStyle name="Cálculo 3 34 5" xfId="1335"/>
    <cellStyle name="Cálculo 3 34 5 2" xfId="32132"/>
    <cellStyle name="Cálculo 3 34 6" xfId="1336"/>
    <cellStyle name="Cálculo 3 34 6 2" xfId="32133"/>
    <cellStyle name="Cálculo 3 34 7" xfId="1337"/>
    <cellStyle name="Cálculo 3 34 7 2" xfId="32134"/>
    <cellStyle name="Cálculo 3 34 8" xfId="1338"/>
    <cellStyle name="Cálculo 3 34 8 2" xfId="32135"/>
    <cellStyle name="Cálculo 3 34 9" xfId="1339"/>
    <cellStyle name="Cálculo 3 34 9 2" xfId="32136"/>
    <cellStyle name="Cálculo 3 35" xfId="1340"/>
    <cellStyle name="Cálculo 3 35 10" xfId="1341"/>
    <cellStyle name="Cálculo 3 35 10 2" xfId="32137"/>
    <cellStyle name="Cálculo 3 35 11" xfId="1342"/>
    <cellStyle name="Cálculo 3 35 11 2" xfId="32138"/>
    <cellStyle name="Cálculo 3 35 12" xfId="1343"/>
    <cellStyle name="Cálculo 3 35 12 2" xfId="32139"/>
    <cellStyle name="Cálculo 3 35 13" xfId="1344"/>
    <cellStyle name="Cálculo 3 35 13 2" xfId="32140"/>
    <cellStyle name="Cálculo 3 35 14" xfId="32141"/>
    <cellStyle name="Cálculo 3 35 2" xfId="1345"/>
    <cellStyle name="Cálculo 3 35 2 2" xfId="32142"/>
    <cellStyle name="Cálculo 3 35 3" xfId="1346"/>
    <cellStyle name="Cálculo 3 35 3 2" xfId="32143"/>
    <cellStyle name="Cálculo 3 35 4" xfId="1347"/>
    <cellStyle name="Cálculo 3 35 4 2" xfId="32144"/>
    <cellStyle name="Cálculo 3 35 5" xfId="1348"/>
    <cellStyle name="Cálculo 3 35 5 2" xfId="32145"/>
    <cellStyle name="Cálculo 3 35 6" xfId="1349"/>
    <cellStyle name="Cálculo 3 35 6 2" xfId="32146"/>
    <cellStyle name="Cálculo 3 35 7" xfId="1350"/>
    <cellStyle name="Cálculo 3 35 7 2" xfId="32147"/>
    <cellStyle name="Cálculo 3 35 8" xfId="1351"/>
    <cellStyle name="Cálculo 3 35 8 2" xfId="32148"/>
    <cellStyle name="Cálculo 3 35 9" xfId="1352"/>
    <cellStyle name="Cálculo 3 35 9 2" xfId="32149"/>
    <cellStyle name="Cálculo 3 36" xfId="1353"/>
    <cellStyle name="Cálculo 3 36 10" xfId="1354"/>
    <cellStyle name="Cálculo 3 36 10 2" xfId="32150"/>
    <cellStyle name="Cálculo 3 36 11" xfId="1355"/>
    <cellStyle name="Cálculo 3 36 11 2" xfId="32151"/>
    <cellStyle name="Cálculo 3 36 12" xfId="1356"/>
    <cellStyle name="Cálculo 3 36 12 2" xfId="32152"/>
    <cellStyle name="Cálculo 3 36 13" xfId="1357"/>
    <cellStyle name="Cálculo 3 36 13 2" xfId="32153"/>
    <cellStyle name="Cálculo 3 36 14" xfId="32154"/>
    <cellStyle name="Cálculo 3 36 2" xfId="1358"/>
    <cellStyle name="Cálculo 3 36 2 2" xfId="32155"/>
    <cellStyle name="Cálculo 3 36 3" xfId="1359"/>
    <cellStyle name="Cálculo 3 36 3 2" xfId="32156"/>
    <cellStyle name="Cálculo 3 36 4" xfId="1360"/>
    <cellStyle name="Cálculo 3 36 4 2" xfId="32157"/>
    <cellStyle name="Cálculo 3 36 5" xfId="1361"/>
    <cellStyle name="Cálculo 3 36 5 2" xfId="32158"/>
    <cellStyle name="Cálculo 3 36 6" xfId="1362"/>
    <cellStyle name="Cálculo 3 36 6 2" xfId="32159"/>
    <cellStyle name="Cálculo 3 36 7" xfId="1363"/>
    <cellStyle name="Cálculo 3 36 7 2" xfId="32160"/>
    <cellStyle name="Cálculo 3 36 8" xfId="1364"/>
    <cellStyle name="Cálculo 3 36 8 2" xfId="32161"/>
    <cellStyle name="Cálculo 3 36 9" xfId="1365"/>
    <cellStyle name="Cálculo 3 36 9 2" xfId="32162"/>
    <cellStyle name="Cálculo 3 37" xfId="1366"/>
    <cellStyle name="Cálculo 3 37 10" xfId="1367"/>
    <cellStyle name="Cálculo 3 37 10 2" xfId="32163"/>
    <cellStyle name="Cálculo 3 37 11" xfId="1368"/>
    <cellStyle name="Cálculo 3 37 11 2" xfId="32164"/>
    <cellStyle name="Cálculo 3 37 12" xfId="1369"/>
    <cellStyle name="Cálculo 3 37 12 2" xfId="32165"/>
    <cellStyle name="Cálculo 3 37 13" xfId="1370"/>
    <cellStyle name="Cálculo 3 37 13 2" xfId="32166"/>
    <cellStyle name="Cálculo 3 37 14" xfId="32167"/>
    <cellStyle name="Cálculo 3 37 2" xfId="1371"/>
    <cellStyle name="Cálculo 3 37 2 2" xfId="32168"/>
    <cellStyle name="Cálculo 3 37 3" xfId="1372"/>
    <cellStyle name="Cálculo 3 37 3 2" xfId="32169"/>
    <cellStyle name="Cálculo 3 37 4" xfId="1373"/>
    <cellStyle name="Cálculo 3 37 4 2" xfId="32170"/>
    <cellStyle name="Cálculo 3 37 5" xfId="1374"/>
    <cellStyle name="Cálculo 3 37 5 2" xfId="32171"/>
    <cellStyle name="Cálculo 3 37 6" xfId="1375"/>
    <cellStyle name="Cálculo 3 37 6 2" xfId="32172"/>
    <cellStyle name="Cálculo 3 37 7" xfId="1376"/>
    <cellStyle name="Cálculo 3 37 7 2" xfId="32173"/>
    <cellStyle name="Cálculo 3 37 8" xfId="1377"/>
    <cellStyle name="Cálculo 3 37 8 2" xfId="32174"/>
    <cellStyle name="Cálculo 3 37 9" xfId="1378"/>
    <cellStyle name="Cálculo 3 37 9 2" xfId="32175"/>
    <cellStyle name="Cálculo 3 38" xfId="1379"/>
    <cellStyle name="Cálculo 3 38 10" xfId="1380"/>
    <cellStyle name="Cálculo 3 38 10 2" xfId="32176"/>
    <cellStyle name="Cálculo 3 38 11" xfId="1381"/>
    <cellStyle name="Cálculo 3 38 11 2" xfId="32177"/>
    <cellStyle name="Cálculo 3 38 12" xfId="1382"/>
    <cellStyle name="Cálculo 3 38 12 2" xfId="32178"/>
    <cellStyle name="Cálculo 3 38 13" xfId="1383"/>
    <cellStyle name="Cálculo 3 38 13 2" xfId="32179"/>
    <cellStyle name="Cálculo 3 38 14" xfId="32180"/>
    <cellStyle name="Cálculo 3 38 2" xfId="1384"/>
    <cellStyle name="Cálculo 3 38 2 2" xfId="32181"/>
    <cellStyle name="Cálculo 3 38 3" xfId="1385"/>
    <cellStyle name="Cálculo 3 38 3 2" xfId="32182"/>
    <cellStyle name="Cálculo 3 38 4" xfId="1386"/>
    <cellStyle name="Cálculo 3 38 4 2" xfId="32183"/>
    <cellStyle name="Cálculo 3 38 5" xfId="1387"/>
    <cellStyle name="Cálculo 3 38 5 2" xfId="32184"/>
    <cellStyle name="Cálculo 3 38 6" xfId="1388"/>
    <cellStyle name="Cálculo 3 38 6 2" xfId="32185"/>
    <cellStyle name="Cálculo 3 38 7" xfId="1389"/>
    <cellStyle name="Cálculo 3 38 7 2" xfId="32186"/>
    <cellStyle name="Cálculo 3 38 8" xfId="1390"/>
    <cellStyle name="Cálculo 3 38 8 2" xfId="32187"/>
    <cellStyle name="Cálculo 3 38 9" xfId="1391"/>
    <cellStyle name="Cálculo 3 38 9 2" xfId="32188"/>
    <cellStyle name="Cálculo 3 39" xfId="1392"/>
    <cellStyle name="Cálculo 3 39 10" xfId="1393"/>
    <cellStyle name="Cálculo 3 39 10 2" xfId="32189"/>
    <cellStyle name="Cálculo 3 39 11" xfId="1394"/>
    <cellStyle name="Cálculo 3 39 11 2" xfId="32190"/>
    <cellStyle name="Cálculo 3 39 12" xfId="1395"/>
    <cellStyle name="Cálculo 3 39 12 2" xfId="32191"/>
    <cellStyle name="Cálculo 3 39 13" xfId="1396"/>
    <cellStyle name="Cálculo 3 39 13 2" xfId="32192"/>
    <cellStyle name="Cálculo 3 39 14" xfId="32193"/>
    <cellStyle name="Cálculo 3 39 2" xfId="1397"/>
    <cellStyle name="Cálculo 3 39 2 2" xfId="32194"/>
    <cellStyle name="Cálculo 3 39 3" xfId="1398"/>
    <cellStyle name="Cálculo 3 39 3 2" xfId="32195"/>
    <cellStyle name="Cálculo 3 39 4" xfId="1399"/>
    <cellStyle name="Cálculo 3 39 4 2" xfId="32196"/>
    <cellStyle name="Cálculo 3 39 5" xfId="1400"/>
    <cellStyle name="Cálculo 3 39 5 2" xfId="32197"/>
    <cellStyle name="Cálculo 3 39 6" xfId="1401"/>
    <cellStyle name="Cálculo 3 39 6 2" xfId="32198"/>
    <cellStyle name="Cálculo 3 39 7" xfId="1402"/>
    <cellStyle name="Cálculo 3 39 7 2" xfId="32199"/>
    <cellStyle name="Cálculo 3 39 8" xfId="1403"/>
    <cellStyle name="Cálculo 3 39 8 2" xfId="32200"/>
    <cellStyle name="Cálculo 3 39 9" xfId="1404"/>
    <cellStyle name="Cálculo 3 39 9 2" xfId="32201"/>
    <cellStyle name="Cálculo 3 4" xfId="1405"/>
    <cellStyle name="Cálculo 3 4 10" xfId="1406"/>
    <cellStyle name="Cálculo 3 4 10 2" xfId="32202"/>
    <cellStyle name="Cálculo 3 4 11" xfId="1407"/>
    <cellStyle name="Cálculo 3 4 11 2" xfId="32203"/>
    <cellStyle name="Cálculo 3 4 12" xfId="1408"/>
    <cellStyle name="Cálculo 3 4 12 2" xfId="32204"/>
    <cellStyle name="Cálculo 3 4 13" xfId="1409"/>
    <cellStyle name="Cálculo 3 4 13 2" xfId="32205"/>
    <cellStyle name="Cálculo 3 4 14" xfId="32206"/>
    <cellStyle name="Cálculo 3 4 2" xfId="1410"/>
    <cellStyle name="Cálculo 3 4 2 2" xfId="32207"/>
    <cellStyle name="Cálculo 3 4 3" xfId="1411"/>
    <cellStyle name="Cálculo 3 4 3 2" xfId="32208"/>
    <cellStyle name="Cálculo 3 4 4" xfId="1412"/>
    <cellStyle name="Cálculo 3 4 4 2" xfId="32209"/>
    <cellStyle name="Cálculo 3 4 5" xfId="1413"/>
    <cellStyle name="Cálculo 3 4 5 2" xfId="32210"/>
    <cellStyle name="Cálculo 3 4 6" xfId="1414"/>
    <cellStyle name="Cálculo 3 4 6 2" xfId="32211"/>
    <cellStyle name="Cálculo 3 4 7" xfId="1415"/>
    <cellStyle name="Cálculo 3 4 7 2" xfId="32212"/>
    <cellStyle name="Cálculo 3 4 8" xfId="1416"/>
    <cellStyle name="Cálculo 3 4 8 2" xfId="32213"/>
    <cellStyle name="Cálculo 3 4 9" xfId="1417"/>
    <cellStyle name="Cálculo 3 4 9 2" xfId="32214"/>
    <cellStyle name="Cálculo 3 40" xfId="1418"/>
    <cellStyle name="Cálculo 3 40 10" xfId="1419"/>
    <cellStyle name="Cálculo 3 40 10 2" xfId="32215"/>
    <cellStyle name="Cálculo 3 40 11" xfId="1420"/>
    <cellStyle name="Cálculo 3 40 11 2" xfId="32216"/>
    <cellStyle name="Cálculo 3 40 12" xfId="1421"/>
    <cellStyle name="Cálculo 3 40 12 2" xfId="32217"/>
    <cellStyle name="Cálculo 3 40 13" xfId="1422"/>
    <cellStyle name="Cálculo 3 40 13 2" xfId="32218"/>
    <cellStyle name="Cálculo 3 40 14" xfId="32219"/>
    <cellStyle name="Cálculo 3 40 2" xfId="1423"/>
    <cellStyle name="Cálculo 3 40 2 2" xfId="32220"/>
    <cellStyle name="Cálculo 3 40 3" xfId="1424"/>
    <cellStyle name="Cálculo 3 40 3 2" xfId="32221"/>
    <cellStyle name="Cálculo 3 40 4" xfId="1425"/>
    <cellStyle name="Cálculo 3 40 4 2" xfId="32222"/>
    <cellStyle name="Cálculo 3 40 5" xfId="1426"/>
    <cellStyle name="Cálculo 3 40 5 2" xfId="32223"/>
    <cellStyle name="Cálculo 3 40 6" xfId="1427"/>
    <cellStyle name="Cálculo 3 40 6 2" xfId="32224"/>
    <cellStyle name="Cálculo 3 40 7" xfId="1428"/>
    <cellStyle name="Cálculo 3 40 7 2" xfId="32225"/>
    <cellStyle name="Cálculo 3 40 8" xfId="1429"/>
    <cellStyle name="Cálculo 3 40 8 2" xfId="32226"/>
    <cellStyle name="Cálculo 3 40 9" xfId="1430"/>
    <cellStyle name="Cálculo 3 40 9 2" xfId="32227"/>
    <cellStyle name="Cálculo 3 41" xfId="1431"/>
    <cellStyle name="Cálculo 3 41 10" xfId="1432"/>
    <cellStyle name="Cálculo 3 41 10 2" xfId="32228"/>
    <cellStyle name="Cálculo 3 41 11" xfId="1433"/>
    <cellStyle name="Cálculo 3 41 11 2" xfId="32229"/>
    <cellStyle name="Cálculo 3 41 12" xfId="1434"/>
    <cellStyle name="Cálculo 3 41 12 2" xfId="32230"/>
    <cellStyle name="Cálculo 3 41 13" xfId="1435"/>
    <cellStyle name="Cálculo 3 41 13 2" xfId="32231"/>
    <cellStyle name="Cálculo 3 41 14" xfId="32232"/>
    <cellStyle name="Cálculo 3 41 2" xfId="1436"/>
    <cellStyle name="Cálculo 3 41 2 2" xfId="32233"/>
    <cellStyle name="Cálculo 3 41 3" xfId="1437"/>
    <cellStyle name="Cálculo 3 41 3 2" xfId="32234"/>
    <cellStyle name="Cálculo 3 41 4" xfId="1438"/>
    <cellStyle name="Cálculo 3 41 4 2" xfId="32235"/>
    <cellStyle name="Cálculo 3 41 5" xfId="1439"/>
    <cellStyle name="Cálculo 3 41 5 2" xfId="32236"/>
    <cellStyle name="Cálculo 3 41 6" xfId="1440"/>
    <cellStyle name="Cálculo 3 41 6 2" xfId="32237"/>
    <cellStyle name="Cálculo 3 41 7" xfId="1441"/>
    <cellStyle name="Cálculo 3 41 7 2" xfId="32238"/>
    <cellStyle name="Cálculo 3 41 8" xfId="1442"/>
    <cellStyle name="Cálculo 3 41 8 2" xfId="32239"/>
    <cellStyle name="Cálculo 3 41 9" xfId="1443"/>
    <cellStyle name="Cálculo 3 41 9 2" xfId="32240"/>
    <cellStyle name="Cálculo 3 42" xfId="1444"/>
    <cellStyle name="Cálculo 3 42 10" xfId="1445"/>
    <cellStyle name="Cálculo 3 42 10 2" xfId="32241"/>
    <cellStyle name="Cálculo 3 42 11" xfId="1446"/>
    <cellStyle name="Cálculo 3 42 11 2" xfId="32242"/>
    <cellStyle name="Cálculo 3 42 12" xfId="1447"/>
    <cellStyle name="Cálculo 3 42 12 2" xfId="32243"/>
    <cellStyle name="Cálculo 3 42 13" xfId="1448"/>
    <cellStyle name="Cálculo 3 42 13 2" xfId="32244"/>
    <cellStyle name="Cálculo 3 42 14" xfId="32245"/>
    <cellStyle name="Cálculo 3 42 2" xfId="1449"/>
    <cellStyle name="Cálculo 3 42 2 2" xfId="32246"/>
    <cellStyle name="Cálculo 3 42 3" xfId="1450"/>
    <cellStyle name="Cálculo 3 42 3 2" xfId="32247"/>
    <cellStyle name="Cálculo 3 42 4" xfId="1451"/>
    <cellStyle name="Cálculo 3 42 4 2" xfId="32248"/>
    <cellStyle name="Cálculo 3 42 5" xfId="1452"/>
    <cellStyle name="Cálculo 3 42 5 2" xfId="32249"/>
    <cellStyle name="Cálculo 3 42 6" xfId="1453"/>
    <cellStyle name="Cálculo 3 42 6 2" xfId="32250"/>
    <cellStyle name="Cálculo 3 42 7" xfId="1454"/>
    <cellStyle name="Cálculo 3 42 7 2" xfId="32251"/>
    <cellStyle name="Cálculo 3 42 8" xfId="1455"/>
    <cellStyle name="Cálculo 3 42 8 2" xfId="32252"/>
    <cellStyle name="Cálculo 3 42 9" xfId="1456"/>
    <cellStyle name="Cálculo 3 42 9 2" xfId="32253"/>
    <cellStyle name="Cálculo 3 43" xfId="1457"/>
    <cellStyle name="Cálculo 3 43 10" xfId="1458"/>
    <cellStyle name="Cálculo 3 43 10 2" xfId="32254"/>
    <cellStyle name="Cálculo 3 43 11" xfId="1459"/>
    <cellStyle name="Cálculo 3 43 11 2" xfId="32255"/>
    <cellStyle name="Cálculo 3 43 12" xfId="1460"/>
    <cellStyle name="Cálculo 3 43 12 2" xfId="32256"/>
    <cellStyle name="Cálculo 3 43 13" xfId="1461"/>
    <cellStyle name="Cálculo 3 43 13 2" xfId="32257"/>
    <cellStyle name="Cálculo 3 43 14" xfId="32258"/>
    <cellStyle name="Cálculo 3 43 2" xfId="1462"/>
    <cellStyle name="Cálculo 3 43 2 2" xfId="32259"/>
    <cellStyle name="Cálculo 3 43 3" xfId="1463"/>
    <cellStyle name="Cálculo 3 43 3 2" xfId="32260"/>
    <cellStyle name="Cálculo 3 43 4" xfId="1464"/>
    <cellStyle name="Cálculo 3 43 4 2" xfId="32261"/>
    <cellStyle name="Cálculo 3 43 5" xfId="1465"/>
    <cellStyle name="Cálculo 3 43 5 2" xfId="32262"/>
    <cellStyle name="Cálculo 3 43 6" xfId="1466"/>
    <cellStyle name="Cálculo 3 43 6 2" xfId="32263"/>
    <cellStyle name="Cálculo 3 43 7" xfId="1467"/>
    <cellStyle name="Cálculo 3 43 7 2" xfId="32264"/>
    <cellStyle name="Cálculo 3 43 8" xfId="1468"/>
    <cellStyle name="Cálculo 3 43 8 2" xfId="32265"/>
    <cellStyle name="Cálculo 3 43 9" xfId="1469"/>
    <cellStyle name="Cálculo 3 43 9 2" xfId="32266"/>
    <cellStyle name="Cálculo 3 44" xfId="1470"/>
    <cellStyle name="Cálculo 3 44 10" xfId="1471"/>
    <cellStyle name="Cálculo 3 44 10 2" xfId="32267"/>
    <cellStyle name="Cálculo 3 44 11" xfId="1472"/>
    <cellStyle name="Cálculo 3 44 11 2" xfId="32268"/>
    <cellStyle name="Cálculo 3 44 12" xfId="1473"/>
    <cellStyle name="Cálculo 3 44 12 2" xfId="32269"/>
    <cellStyle name="Cálculo 3 44 13" xfId="1474"/>
    <cellStyle name="Cálculo 3 44 13 2" xfId="32270"/>
    <cellStyle name="Cálculo 3 44 14" xfId="32271"/>
    <cellStyle name="Cálculo 3 44 2" xfId="1475"/>
    <cellStyle name="Cálculo 3 44 2 2" xfId="32272"/>
    <cellStyle name="Cálculo 3 44 3" xfId="1476"/>
    <cellStyle name="Cálculo 3 44 3 2" xfId="32273"/>
    <cellStyle name="Cálculo 3 44 4" xfId="1477"/>
    <cellStyle name="Cálculo 3 44 4 2" xfId="32274"/>
    <cellStyle name="Cálculo 3 44 5" xfId="1478"/>
    <cellStyle name="Cálculo 3 44 5 2" xfId="32275"/>
    <cellStyle name="Cálculo 3 44 6" xfId="1479"/>
    <cellStyle name="Cálculo 3 44 6 2" xfId="32276"/>
    <cellStyle name="Cálculo 3 44 7" xfId="1480"/>
    <cellStyle name="Cálculo 3 44 7 2" xfId="32277"/>
    <cellStyle name="Cálculo 3 44 8" xfId="1481"/>
    <cellStyle name="Cálculo 3 44 8 2" xfId="32278"/>
    <cellStyle name="Cálculo 3 44 9" xfId="1482"/>
    <cellStyle name="Cálculo 3 44 9 2" xfId="32279"/>
    <cellStyle name="Cálculo 3 45" xfId="1483"/>
    <cellStyle name="Cálculo 3 45 10" xfId="1484"/>
    <cellStyle name="Cálculo 3 45 10 2" xfId="32280"/>
    <cellStyle name="Cálculo 3 45 11" xfId="1485"/>
    <cellStyle name="Cálculo 3 45 11 2" xfId="32281"/>
    <cellStyle name="Cálculo 3 45 12" xfId="1486"/>
    <cellStyle name="Cálculo 3 45 12 2" xfId="32282"/>
    <cellStyle name="Cálculo 3 45 13" xfId="1487"/>
    <cellStyle name="Cálculo 3 45 13 2" xfId="32283"/>
    <cellStyle name="Cálculo 3 45 14" xfId="32284"/>
    <cellStyle name="Cálculo 3 45 2" xfId="1488"/>
    <cellStyle name="Cálculo 3 45 2 2" xfId="32285"/>
    <cellStyle name="Cálculo 3 45 3" xfId="1489"/>
    <cellStyle name="Cálculo 3 45 3 2" xfId="32286"/>
    <cellStyle name="Cálculo 3 45 4" xfId="1490"/>
    <cellStyle name="Cálculo 3 45 4 2" xfId="32287"/>
    <cellStyle name="Cálculo 3 45 5" xfId="1491"/>
    <cellStyle name="Cálculo 3 45 5 2" xfId="32288"/>
    <cellStyle name="Cálculo 3 45 6" xfId="1492"/>
    <cellStyle name="Cálculo 3 45 6 2" xfId="32289"/>
    <cellStyle name="Cálculo 3 45 7" xfId="1493"/>
    <cellStyle name="Cálculo 3 45 7 2" xfId="32290"/>
    <cellStyle name="Cálculo 3 45 8" xfId="1494"/>
    <cellStyle name="Cálculo 3 45 8 2" xfId="32291"/>
    <cellStyle name="Cálculo 3 45 9" xfId="1495"/>
    <cellStyle name="Cálculo 3 45 9 2" xfId="32292"/>
    <cellStyle name="Cálculo 3 46" xfId="1496"/>
    <cellStyle name="Cálculo 3 46 10" xfId="1497"/>
    <cellStyle name="Cálculo 3 46 10 2" xfId="32293"/>
    <cellStyle name="Cálculo 3 46 11" xfId="1498"/>
    <cellStyle name="Cálculo 3 46 11 2" xfId="32294"/>
    <cellStyle name="Cálculo 3 46 12" xfId="1499"/>
    <cellStyle name="Cálculo 3 46 12 2" xfId="32295"/>
    <cellStyle name="Cálculo 3 46 13" xfId="1500"/>
    <cellStyle name="Cálculo 3 46 13 2" xfId="32296"/>
    <cellStyle name="Cálculo 3 46 14" xfId="32297"/>
    <cellStyle name="Cálculo 3 46 2" xfId="1501"/>
    <cellStyle name="Cálculo 3 46 2 2" xfId="32298"/>
    <cellStyle name="Cálculo 3 46 3" xfId="1502"/>
    <cellStyle name="Cálculo 3 46 3 2" xfId="32299"/>
    <cellStyle name="Cálculo 3 46 4" xfId="1503"/>
    <cellStyle name="Cálculo 3 46 4 2" xfId="32300"/>
    <cellStyle name="Cálculo 3 46 5" xfId="1504"/>
    <cellStyle name="Cálculo 3 46 5 2" xfId="32301"/>
    <cellStyle name="Cálculo 3 46 6" xfId="1505"/>
    <cellStyle name="Cálculo 3 46 6 2" xfId="32302"/>
    <cellStyle name="Cálculo 3 46 7" xfId="1506"/>
    <cellStyle name="Cálculo 3 46 7 2" xfId="32303"/>
    <cellStyle name="Cálculo 3 46 8" xfId="1507"/>
    <cellStyle name="Cálculo 3 46 8 2" xfId="32304"/>
    <cellStyle name="Cálculo 3 46 9" xfId="1508"/>
    <cellStyle name="Cálculo 3 46 9 2" xfId="32305"/>
    <cellStyle name="Cálculo 3 47" xfId="1509"/>
    <cellStyle name="Cálculo 3 47 10" xfId="1510"/>
    <cellStyle name="Cálculo 3 47 10 2" xfId="32306"/>
    <cellStyle name="Cálculo 3 47 11" xfId="1511"/>
    <cellStyle name="Cálculo 3 47 11 2" xfId="32307"/>
    <cellStyle name="Cálculo 3 47 12" xfId="1512"/>
    <cellStyle name="Cálculo 3 47 12 2" xfId="32308"/>
    <cellStyle name="Cálculo 3 47 13" xfId="1513"/>
    <cellStyle name="Cálculo 3 47 13 2" xfId="32309"/>
    <cellStyle name="Cálculo 3 47 14" xfId="32310"/>
    <cellStyle name="Cálculo 3 47 2" xfId="1514"/>
    <cellStyle name="Cálculo 3 47 2 2" xfId="32311"/>
    <cellStyle name="Cálculo 3 47 3" xfId="1515"/>
    <cellStyle name="Cálculo 3 47 3 2" xfId="32312"/>
    <cellStyle name="Cálculo 3 47 4" xfId="1516"/>
    <cellStyle name="Cálculo 3 47 4 2" xfId="32313"/>
    <cellStyle name="Cálculo 3 47 5" xfId="1517"/>
    <cellStyle name="Cálculo 3 47 5 2" xfId="32314"/>
    <cellStyle name="Cálculo 3 47 6" xfId="1518"/>
    <cellStyle name="Cálculo 3 47 6 2" xfId="32315"/>
    <cellStyle name="Cálculo 3 47 7" xfId="1519"/>
    <cellStyle name="Cálculo 3 47 7 2" xfId="32316"/>
    <cellStyle name="Cálculo 3 47 8" xfId="1520"/>
    <cellStyle name="Cálculo 3 47 8 2" xfId="32317"/>
    <cellStyle name="Cálculo 3 47 9" xfId="1521"/>
    <cellStyle name="Cálculo 3 47 9 2" xfId="32318"/>
    <cellStyle name="Cálculo 3 48" xfId="1522"/>
    <cellStyle name="Cálculo 3 48 10" xfId="1523"/>
    <cellStyle name="Cálculo 3 48 10 2" xfId="32319"/>
    <cellStyle name="Cálculo 3 48 11" xfId="1524"/>
    <cellStyle name="Cálculo 3 48 11 2" xfId="32320"/>
    <cellStyle name="Cálculo 3 48 12" xfId="1525"/>
    <cellStyle name="Cálculo 3 48 12 2" xfId="32321"/>
    <cellStyle name="Cálculo 3 48 13" xfId="1526"/>
    <cellStyle name="Cálculo 3 48 13 2" xfId="32322"/>
    <cellStyle name="Cálculo 3 48 14" xfId="32323"/>
    <cellStyle name="Cálculo 3 48 2" xfId="1527"/>
    <cellStyle name="Cálculo 3 48 2 2" xfId="32324"/>
    <cellStyle name="Cálculo 3 48 3" xfId="1528"/>
    <cellStyle name="Cálculo 3 48 3 2" xfId="32325"/>
    <cellStyle name="Cálculo 3 48 4" xfId="1529"/>
    <cellStyle name="Cálculo 3 48 4 2" xfId="32326"/>
    <cellStyle name="Cálculo 3 48 5" xfId="1530"/>
    <cellStyle name="Cálculo 3 48 5 2" xfId="32327"/>
    <cellStyle name="Cálculo 3 48 6" xfId="1531"/>
    <cellStyle name="Cálculo 3 48 6 2" xfId="32328"/>
    <cellStyle name="Cálculo 3 48 7" xfId="1532"/>
    <cellStyle name="Cálculo 3 48 7 2" xfId="32329"/>
    <cellStyle name="Cálculo 3 48 8" xfId="1533"/>
    <cellStyle name="Cálculo 3 48 8 2" xfId="32330"/>
    <cellStyle name="Cálculo 3 48 9" xfId="1534"/>
    <cellStyle name="Cálculo 3 48 9 2" xfId="32331"/>
    <cellStyle name="Cálculo 3 49" xfId="1535"/>
    <cellStyle name="Cálculo 3 49 10" xfId="1536"/>
    <cellStyle name="Cálculo 3 49 10 2" xfId="32332"/>
    <cellStyle name="Cálculo 3 49 11" xfId="1537"/>
    <cellStyle name="Cálculo 3 49 11 2" xfId="32333"/>
    <cellStyle name="Cálculo 3 49 12" xfId="1538"/>
    <cellStyle name="Cálculo 3 49 12 2" xfId="32334"/>
    <cellStyle name="Cálculo 3 49 13" xfId="1539"/>
    <cellStyle name="Cálculo 3 49 13 2" xfId="32335"/>
    <cellStyle name="Cálculo 3 49 14" xfId="32336"/>
    <cellStyle name="Cálculo 3 49 2" xfId="1540"/>
    <cellStyle name="Cálculo 3 49 2 2" xfId="32337"/>
    <cellStyle name="Cálculo 3 49 3" xfId="1541"/>
    <cellStyle name="Cálculo 3 49 3 2" xfId="32338"/>
    <cellStyle name="Cálculo 3 49 4" xfId="1542"/>
    <cellStyle name="Cálculo 3 49 4 2" xfId="32339"/>
    <cellStyle name="Cálculo 3 49 5" xfId="1543"/>
    <cellStyle name="Cálculo 3 49 5 2" xfId="32340"/>
    <cellStyle name="Cálculo 3 49 6" xfId="1544"/>
    <cellStyle name="Cálculo 3 49 6 2" xfId="32341"/>
    <cellStyle name="Cálculo 3 49 7" xfId="1545"/>
    <cellStyle name="Cálculo 3 49 7 2" xfId="32342"/>
    <cellStyle name="Cálculo 3 49 8" xfId="1546"/>
    <cellStyle name="Cálculo 3 49 8 2" xfId="32343"/>
    <cellStyle name="Cálculo 3 49 9" xfId="1547"/>
    <cellStyle name="Cálculo 3 49 9 2" xfId="32344"/>
    <cellStyle name="Cálculo 3 5" xfId="1548"/>
    <cellStyle name="Cálculo 3 5 10" xfId="1549"/>
    <cellStyle name="Cálculo 3 5 10 2" xfId="32345"/>
    <cellStyle name="Cálculo 3 5 11" xfId="1550"/>
    <cellStyle name="Cálculo 3 5 11 2" xfId="32346"/>
    <cellStyle name="Cálculo 3 5 12" xfId="1551"/>
    <cellStyle name="Cálculo 3 5 12 2" xfId="32347"/>
    <cellStyle name="Cálculo 3 5 13" xfId="1552"/>
    <cellStyle name="Cálculo 3 5 13 2" xfId="32348"/>
    <cellStyle name="Cálculo 3 5 14" xfId="32349"/>
    <cellStyle name="Cálculo 3 5 2" xfId="1553"/>
    <cellStyle name="Cálculo 3 5 2 2" xfId="32350"/>
    <cellStyle name="Cálculo 3 5 3" xfId="1554"/>
    <cellStyle name="Cálculo 3 5 3 2" xfId="32351"/>
    <cellStyle name="Cálculo 3 5 4" xfId="1555"/>
    <cellStyle name="Cálculo 3 5 4 2" xfId="32352"/>
    <cellStyle name="Cálculo 3 5 5" xfId="1556"/>
    <cellStyle name="Cálculo 3 5 5 2" xfId="32353"/>
    <cellStyle name="Cálculo 3 5 6" xfId="1557"/>
    <cellStyle name="Cálculo 3 5 6 2" xfId="32354"/>
    <cellStyle name="Cálculo 3 5 7" xfId="1558"/>
    <cellStyle name="Cálculo 3 5 7 2" xfId="32355"/>
    <cellStyle name="Cálculo 3 5 8" xfId="1559"/>
    <cellStyle name="Cálculo 3 5 8 2" xfId="32356"/>
    <cellStyle name="Cálculo 3 5 9" xfId="1560"/>
    <cellStyle name="Cálculo 3 5 9 2" xfId="32357"/>
    <cellStyle name="Cálculo 3 50" xfId="1561"/>
    <cellStyle name="Cálculo 3 50 10" xfId="1562"/>
    <cellStyle name="Cálculo 3 50 10 2" xfId="32358"/>
    <cellStyle name="Cálculo 3 50 11" xfId="1563"/>
    <cellStyle name="Cálculo 3 50 11 2" xfId="32359"/>
    <cellStyle name="Cálculo 3 50 12" xfId="1564"/>
    <cellStyle name="Cálculo 3 50 12 2" xfId="32360"/>
    <cellStyle name="Cálculo 3 50 13" xfId="1565"/>
    <cellStyle name="Cálculo 3 50 13 2" xfId="32361"/>
    <cellStyle name="Cálculo 3 50 14" xfId="32362"/>
    <cellStyle name="Cálculo 3 50 2" xfId="1566"/>
    <cellStyle name="Cálculo 3 50 2 2" xfId="32363"/>
    <cellStyle name="Cálculo 3 50 3" xfId="1567"/>
    <cellStyle name="Cálculo 3 50 3 2" xfId="32364"/>
    <cellStyle name="Cálculo 3 50 4" xfId="1568"/>
    <cellStyle name="Cálculo 3 50 4 2" xfId="32365"/>
    <cellStyle name="Cálculo 3 50 5" xfId="1569"/>
    <cellStyle name="Cálculo 3 50 5 2" xfId="32366"/>
    <cellStyle name="Cálculo 3 50 6" xfId="1570"/>
    <cellStyle name="Cálculo 3 50 6 2" xfId="32367"/>
    <cellStyle name="Cálculo 3 50 7" xfId="1571"/>
    <cellStyle name="Cálculo 3 50 7 2" xfId="32368"/>
    <cellStyle name="Cálculo 3 50 8" xfId="1572"/>
    <cellStyle name="Cálculo 3 50 8 2" xfId="32369"/>
    <cellStyle name="Cálculo 3 50 9" xfId="1573"/>
    <cellStyle name="Cálculo 3 50 9 2" xfId="32370"/>
    <cellStyle name="Cálculo 3 51" xfId="1574"/>
    <cellStyle name="Cálculo 3 51 10" xfId="1575"/>
    <cellStyle name="Cálculo 3 51 10 2" xfId="32371"/>
    <cellStyle name="Cálculo 3 51 11" xfId="1576"/>
    <cellStyle name="Cálculo 3 51 11 2" xfId="32372"/>
    <cellStyle name="Cálculo 3 51 12" xfId="1577"/>
    <cellStyle name="Cálculo 3 51 12 2" xfId="32373"/>
    <cellStyle name="Cálculo 3 51 13" xfId="1578"/>
    <cellStyle name="Cálculo 3 51 13 2" xfId="32374"/>
    <cellStyle name="Cálculo 3 51 14" xfId="32375"/>
    <cellStyle name="Cálculo 3 51 2" xfId="1579"/>
    <cellStyle name="Cálculo 3 51 2 2" xfId="32376"/>
    <cellStyle name="Cálculo 3 51 3" xfId="1580"/>
    <cellStyle name="Cálculo 3 51 3 2" xfId="32377"/>
    <cellStyle name="Cálculo 3 51 4" xfId="1581"/>
    <cellStyle name="Cálculo 3 51 4 2" xfId="32378"/>
    <cellStyle name="Cálculo 3 51 5" xfId="1582"/>
    <cellStyle name="Cálculo 3 51 5 2" xfId="32379"/>
    <cellStyle name="Cálculo 3 51 6" xfId="1583"/>
    <cellStyle name="Cálculo 3 51 6 2" xfId="32380"/>
    <cellStyle name="Cálculo 3 51 7" xfId="1584"/>
    <cellStyle name="Cálculo 3 51 7 2" xfId="32381"/>
    <cellStyle name="Cálculo 3 51 8" xfId="1585"/>
    <cellStyle name="Cálculo 3 51 8 2" xfId="32382"/>
    <cellStyle name="Cálculo 3 51 9" xfId="1586"/>
    <cellStyle name="Cálculo 3 51 9 2" xfId="32383"/>
    <cellStyle name="Cálculo 3 52" xfId="1587"/>
    <cellStyle name="Cálculo 3 52 10" xfId="1588"/>
    <cellStyle name="Cálculo 3 52 10 2" xfId="32384"/>
    <cellStyle name="Cálculo 3 52 11" xfId="1589"/>
    <cellStyle name="Cálculo 3 52 11 2" xfId="32385"/>
    <cellStyle name="Cálculo 3 52 12" xfId="1590"/>
    <cellStyle name="Cálculo 3 52 12 2" xfId="32386"/>
    <cellStyle name="Cálculo 3 52 13" xfId="1591"/>
    <cellStyle name="Cálculo 3 52 13 2" xfId="32387"/>
    <cellStyle name="Cálculo 3 52 14" xfId="32388"/>
    <cellStyle name="Cálculo 3 52 2" xfId="1592"/>
    <cellStyle name="Cálculo 3 52 2 2" xfId="32389"/>
    <cellStyle name="Cálculo 3 52 3" xfId="1593"/>
    <cellStyle name="Cálculo 3 52 3 2" xfId="32390"/>
    <cellStyle name="Cálculo 3 52 4" xfId="1594"/>
    <cellStyle name="Cálculo 3 52 4 2" xfId="32391"/>
    <cellStyle name="Cálculo 3 52 5" xfId="1595"/>
    <cellStyle name="Cálculo 3 52 5 2" xfId="32392"/>
    <cellStyle name="Cálculo 3 52 6" xfId="1596"/>
    <cellStyle name="Cálculo 3 52 6 2" xfId="32393"/>
    <cellStyle name="Cálculo 3 52 7" xfId="1597"/>
    <cellStyle name="Cálculo 3 52 7 2" xfId="32394"/>
    <cellStyle name="Cálculo 3 52 8" xfId="1598"/>
    <cellStyle name="Cálculo 3 52 8 2" xfId="32395"/>
    <cellStyle name="Cálculo 3 52 9" xfId="1599"/>
    <cellStyle name="Cálculo 3 52 9 2" xfId="32396"/>
    <cellStyle name="Cálculo 3 53" xfId="1600"/>
    <cellStyle name="Cálculo 3 53 10" xfId="1601"/>
    <cellStyle name="Cálculo 3 53 10 2" xfId="32397"/>
    <cellStyle name="Cálculo 3 53 11" xfId="1602"/>
    <cellStyle name="Cálculo 3 53 11 2" xfId="32398"/>
    <cellStyle name="Cálculo 3 53 12" xfId="1603"/>
    <cellStyle name="Cálculo 3 53 12 2" xfId="32399"/>
    <cellStyle name="Cálculo 3 53 13" xfId="1604"/>
    <cellStyle name="Cálculo 3 53 13 2" xfId="32400"/>
    <cellStyle name="Cálculo 3 53 14" xfId="32401"/>
    <cellStyle name="Cálculo 3 53 2" xfId="1605"/>
    <cellStyle name="Cálculo 3 53 2 2" xfId="32402"/>
    <cellStyle name="Cálculo 3 53 3" xfId="1606"/>
    <cellStyle name="Cálculo 3 53 3 2" xfId="32403"/>
    <cellStyle name="Cálculo 3 53 4" xfId="1607"/>
    <cellStyle name="Cálculo 3 53 4 2" xfId="32404"/>
    <cellStyle name="Cálculo 3 53 5" xfId="1608"/>
    <cellStyle name="Cálculo 3 53 5 2" xfId="32405"/>
    <cellStyle name="Cálculo 3 53 6" xfId="1609"/>
    <cellStyle name="Cálculo 3 53 6 2" xfId="32406"/>
    <cellStyle name="Cálculo 3 53 7" xfId="1610"/>
    <cellStyle name="Cálculo 3 53 7 2" xfId="32407"/>
    <cellStyle name="Cálculo 3 53 8" xfId="1611"/>
    <cellStyle name="Cálculo 3 53 8 2" xfId="32408"/>
    <cellStyle name="Cálculo 3 53 9" xfId="1612"/>
    <cellStyle name="Cálculo 3 53 9 2" xfId="32409"/>
    <cellStyle name="Cálculo 3 54" xfId="1613"/>
    <cellStyle name="Cálculo 3 54 10" xfId="1614"/>
    <cellStyle name="Cálculo 3 54 10 2" xfId="32410"/>
    <cellStyle name="Cálculo 3 54 11" xfId="1615"/>
    <cellStyle name="Cálculo 3 54 11 2" xfId="32411"/>
    <cellStyle name="Cálculo 3 54 12" xfId="1616"/>
    <cellStyle name="Cálculo 3 54 12 2" xfId="32412"/>
    <cellStyle name="Cálculo 3 54 13" xfId="1617"/>
    <cellStyle name="Cálculo 3 54 13 2" xfId="32413"/>
    <cellStyle name="Cálculo 3 54 14" xfId="32414"/>
    <cellStyle name="Cálculo 3 54 2" xfId="1618"/>
    <cellStyle name="Cálculo 3 54 2 2" xfId="32415"/>
    <cellStyle name="Cálculo 3 54 3" xfId="1619"/>
    <cellStyle name="Cálculo 3 54 3 2" xfId="32416"/>
    <cellStyle name="Cálculo 3 54 4" xfId="1620"/>
    <cellStyle name="Cálculo 3 54 4 2" xfId="32417"/>
    <cellStyle name="Cálculo 3 54 5" xfId="1621"/>
    <cellStyle name="Cálculo 3 54 5 2" xfId="32418"/>
    <cellStyle name="Cálculo 3 54 6" xfId="1622"/>
    <cellStyle name="Cálculo 3 54 6 2" xfId="32419"/>
    <cellStyle name="Cálculo 3 54 7" xfId="1623"/>
    <cellStyle name="Cálculo 3 54 7 2" xfId="32420"/>
    <cellStyle name="Cálculo 3 54 8" xfId="1624"/>
    <cellStyle name="Cálculo 3 54 8 2" xfId="32421"/>
    <cellStyle name="Cálculo 3 54 9" xfId="1625"/>
    <cellStyle name="Cálculo 3 54 9 2" xfId="32422"/>
    <cellStyle name="Cálculo 3 55" xfId="1626"/>
    <cellStyle name="Cálculo 3 55 10" xfId="1627"/>
    <cellStyle name="Cálculo 3 55 10 2" xfId="32423"/>
    <cellStyle name="Cálculo 3 55 11" xfId="1628"/>
    <cellStyle name="Cálculo 3 55 11 2" xfId="32424"/>
    <cellStyle name="Cálculo 3 55 12" xfId="1629"/>
    <cellStyle name="Cálculo 3 55 12 2" xfId="32425"/>
    <cellStyle name="Cálculo 3 55 13" xfId="1630"/>
    <cellStyle name="Cálculo 3 55 13 2" xfId="32426"/>
    <cellStyle name="Cálculo 3 55 14" xfId="32427"/>
    <cellStyle name="Cálculo 3 55 2" xfId="1631"/>
    <cellStyle name="Cálculo 3 55 2 2" xfId="32428"/>
    <cellStyle name="Cálculo 3 55 3" xfId="1632"/>
    <cellStyle name="Cálculo 3 55 3 2" xfId="32429"/>
    <cellStyle name="Cálculo 3 55 4" xfId="1633"/>
    <cellStyle name="Cálculo 3 55 4 2" xfId="32430"/>
    <cellStyle name="Cálculo 3 55 5" xfId="1634"/>
    <cellStyle name="Cálculo 3 55 5 2" xfId="32431"/>
    <cellStyle name="Cálculo 3 55 6" xfId="1635"/>
    <cellStyle name="Cálculo 3 55 6 2" xfId="32432"/>
    <cellStyle name="Cálculo 3 55 7" xfId="1636"/>
    <cellStyle name="Cálculo 3 55 7 2" xfId="32433"/>
    <cellStyle name="Cálculo 3 55 8" xfId="1637"/>
    <cellStyle name="Cálculo 3 55 8 2" xfId="32434"/>
    <cellStyle name="Cálculo 3 55 9" xfId="1638"/>
    <cellStyle name="Cálculo 3 55 9 2" xfId="32435"/>
    <cellStyle name="Cálculo 3 56" xfId="1639"/>
    <cellStyle name="Cálculo 3 56 10" xfId="1640"/>
    <cellStyle name="Cálculo 3 56 10 2" xfId="32436"/>
    <cellStyle name="Cálculo 3 56 11" xfId="1641"/>
    <cellStyle name="Cálculo 3 56 11 2" xfId="32437"/>
    <cellStyle name="Cálculo 3 56 12" xfId="1642"/>
    <cellStyle name="Cálculo 3 56 12 2" xfId="32438"/>
    <cellStyle name="Cálculo 3 56 13" xfId="1643"/>
    <cellStyle name="Cálculo 3 56 13 2" xfId="32439"/>
    <cellStyle name="Cálculo 3 56 14" xfId="32440"/>
    <cellStyle name="Cálculo 3 56 2" xfId="1644"/>
    <cellStyle name="Cálculo 3 56 2 2" xfId="32441"/>
    <cellStyle name="Cálculo 3 56 3" xfId="1645"/>
    <cellStyle name="Cálculo 3 56 3 2" xfId="32442"/>
    <cellStyle name="Cálculo 3 56 4" xfId="1646"/>
    <cellStyle name="Cálculo 3 56 4 2" xfId="32443"/>
    <cellStyle name="Cálculo 3 56 5" xfId="1647"/>
    <cellStyle name="Cálculo 3 56 5 2" xfId="32444"/>
    <cellStyle name="Cálculo 3 56 6" xfId="1648"/>
    <cellStyle name="Cálculo 3 56 6 2" xfId="32445"/>
    <cellStyle name="Cálculo 3 56 7" xfId="1649"/>
    <cellStyle name="Cálculo 3 56 7 2" xfId="32446"/>
    <cellStyle name="Cálculo 3 56 8" xfId="1650"/>
    <cellStyle name="Cálculo 3 56 8 2" xfId="32447"/>
    <cellStyle name="Cálculo 3 56 9" xfId="1651"/>
    <cellStyle name="Cálculo 3 56 9 2" xfId="32448"/>
    <cellStyle name="Cálculo 3 57" xfId="1652"/>
    <cellStyle name="Cálculo 3 57 10" xfId="1653"/>
    <cellStyle name="Cálculo 3 57 10 2" xfId="32449"/>
    <cellStyle name="Cálculo 3 57 11" xfId="1654"/>
    <cellStyle name="Cálculo 3 57 11 2" xfId="32450"/>
    <cellStyle name="Cálculo 3 57 12" xfId="1655"/>
    <cellStyle name="Cálculo 3 57 12 2" xfId="32451"/>
    <cellStyle name="Cálculo 3 57 13" xfId="1656"/>
    <cellStyle name="Cálculo 3 57 13 2" xfId="32452"/>
    <cellStyle name="Cálculo 3 57 14" xfId="32453"/>
    <cellStyle name="Cálculo 3 57 2" xfId="1657"/>
    <cellStyle name="Cálculo 3 57 2 2" xfId="32454"/>
    <cellStyle name="Cálculo 3 57 3" xfId="1658"/>
    <cellStyle name="Cálculo 3 57 3 2" xfId="32455"/>
    <cellStyle name="Cálculo 3 57 4" xfId="1659"/>
    <cellStyle name="Cálculo 3 57 4 2" xfId="32456"/>
    <cellStyle name="Cálculo 3 57 5" xfId="1660"/>
    <cellStyle name="Cálculo 3 57 5 2" xfId="32457"/>
    <cellStyle name="Cálculo 3 57 6" xfId="1661"/>
    <cellStyle name="Cálculo 3 57 6 2" xfId="32458"/>
    <cellStyle name="Cálculo 3 57 7" xfId="1662"/>
    <cellStyle name="Cálculo 3 57 7 2" xfId="32459"/>
    <cellStyle name="Cálculo 3 57 8" xfId="1663"/>
    <cellStyle name="Cálculo 3 57 8 2" xfId="32460"/>
    <cellStyle name="Cálculo 3 57 9" xfId="1664"/>
    <cellStyle name="Cálculo 3 57 9 2" xfId="32461"/>
    <cellStyle name="Cálculo 3 58" xfId="1665"/>
    <cellStyle name="Cálculo 3 58 10" xfId="1666"/>
    <cellStyle name="Cálculo 3 58 10 2" xfId="32462"/>
    <cellStyle name="Cálculo 3 58 11" xfId="1667"/>
    <cellStyle name="Cálculo 3 58 11 2" xfId="32463"/>
    <cellStyle name="Cálculo 3 58 12" xfId="1668"/>
    <cellStyle name="Cálculo 3 58 12 2" xfId="32464"/>
    <cellStyle name="Cálculo 3 58 13" xfId="1669"/>
    <cellStyle name="Cálculo 3 58 13 2" xfId="32465"/>
    <cellStyle name="Cálculo 3 58 14" xfId="32466"/>
    <cellStyle name="Cálculo 3 58 2" xfId="1670"/>
    <cellStyle name="Cálculo 3 58 2 2" xfId="32467"/>
    <cellStyle name="Cálculo 3 58 3" xfId="1671"/>
    <cellStyle name="Cálculo 3 58 3 2" xfId="32468"/>
    <cellStyle name="Cálculo 3 58 4" xfId="1672"/>
    <cellStyle name="Cálculo 3 58 4 2" xfId="32469"/>
    <cellStyle name="Cálculo 3 58 5" xfId="1673"/>
    <cellStyle name="Cálculo 3 58 5 2" xfId="32470"/>
    <cellStyle name="Cálculo 3 58 6" xfId="1674"/>
    <cellStyle name="Cálculo 3 58 6 2" xfId="32471"/>
    <cellStyle name="Cálculo 3 58 7" xfId="1675"/>
    <cellStyle name="Cálculo 3 58 7 2" xfId="32472"/>
    <cellStyle name="Cálculo 3 58 8" xfId="1676"/>
    <cellStyle name="Cálculo 3 58 8 2" xfId="32473"/>
    <cellStyle name="Cálculo 3 58 9" xfId="1677"/>
    <cellStyle name="Cálculo 3 58 9 2" xfId="32474"/>
    <cellStyle name="Cálculo 3 59" xfId="1678"/>
    <cellStyle name="Cálculo 3 59 10" xfId="1679"/>
    <cellStyle name="Cálculo 3 59 10 2" xfId="32475"/>
    <cellStyle name="Cálculo 3 59 11" xfId="1680"/>
    <cellStyle name="Cálculo 3 59 11 2" xfId="32476"/>
    <cellStyle name="Cálculo 3 59 12" xfId="1681"/>
    <cellStyle name="Cálculo 3 59 12 2" xfId="32477"/>
    <cellStyle name="Cálculo 3 59 13" xfId="1682"/>
    <cellStyle name="Cálculo 3 59 13 2" xfId="32478"/>
    <cellStyle name="Cálculo 3 59 14" xfId="32479"/>
    <cellStyle name="Cálculo 3 59 2" xfId="1683"/>
    <cellStyle name="Cálculo 3 59 2 2" xfId="32480"/>
    <cellStyle name="Cálculo 3 59 3" xfId="1684"/>
    <cellStyle name="Cálculo 3 59 3 2" xfId="32481"/>
    <cellStyle name="Cálculo 3 59 4" xfId="1685"/>
    <cellStyle name="Cálculo 3 59 4 2" xfId="32482"/>
    <cellStyle name="Cálculo 3 59 5" xfId="1686"/>
    <cellStyle name="Cálculo 3 59 5 2" xfId="32483"/>
    <cellStyle name="Cálculo 3 59 6" xfId="1687"/>
    <cellStyle name="Cálculo 3 59 6 2" xfId="32484"/>
    <cellStyle name="Cálculo 3 59 7" xfId="1688"/>
    <cellStyle name="Cálculo 3 59 7 2" xfId="32485"/>
    <cellStyle name="Cálculo 3 59 8" xfId="1689"/>
    <cellStyle name="Cálculo 3 59 8 2" xfId="32486"/>
    <cellStyle name="Cálculo 3 59 9" xfId="1690"/>
    <cellStyle name="Cálculo 3 59 9 2" xfId="32487"/>
    <cellStyle name="Cálculo 3 6" xfId="1691"/>
    <cellStyle name="Cálculo 3 6 10" xfId="1692"/>
    <cellStyle name="Cálculo 3 6 10 2" xfId="32488"/>
    <cellStyle name="Cálculo 3 6 11" xfId="1693"/>
    <cellStyle name="Cálculo 3 6 11 2" xfId="32489"/>
    <cellStyle name="Cálculo 3 6 12" xfId="1694"/>
    <cellStyle name="Cálculo 3 6 12 2" xfId="32490"/>
    <cellStyle name="Cálculo 3 6 13" xfId="1695"/>
    <cellStyle name="Cálculo 3 6 13 2" xfId="32491"/>
    <cellStyle name="Cálculo 3 6 14" xfId="32492"/>
    <cellStyle name="Cálculo 3 6 2" xfId="1696"/>
    <cellStyle name="Cálculo 3 6 2 2" xfId="32493"/>
    <cellStyle name="Cálculo 3 6 3" xfId="1697"/>
    <cellStyle name="Cálculo 3 6 3 2" xfId="32494"/>
    <cellStyle name="Cálculo 3 6 4" xfId="1698"/>
    <cellStyle name="Cálculo 3 6 4 2" xfId="32495"/>
    <cellStyle name="Cálculo 3 6 5" xfId="1699"/>
    <cellStyle name="Cálculo 3 6 5 2" xfId="32496"/>
    <cellStyle name="Cálculo 3 6 6" xfId="1700"/>
    <cellStyle name="Cálculo 3 6 6 2" xfId="32497"/>
    <cellStyle name="Cálculo 3 6 7" xfId="1701"/>
    <cellStyle name="Cálculo 3 6 7 2" xfId="32498"/>
    <cellStyle name="Cálculo 3 6 8" xfId="1702"/>
    <cellStyle name="Cálculo 3 6 8 2" xfId="32499"/>
    <cellStyle name="Cálculo 3 6 9" xfId="1703"/>
    <cellStyle name="Cálculo 3 6 9 2" xfId="32500"/>
    <cellStyle name="Cálculo 3 60" xfId="1704"/>
    <cellStyle name="Cálculo 3 60 10" xfId="1705"/>
    <cellStyle name="Cálculo 3 60 10 2" xfId="32501"/>
    <cellStyle name="Cálculo 3 60 11" xfId="1706"/>
    <cellStyle name="Cálculo 3 60 11 2" xfId="32502"/>
    <cellStyle name="Cálculo 3 60 12" xfId="1707"/>
    <cellStyle name="Cálculo 3 60 12 2" xfId="32503"/>
    <cellStyle name="Cálculo 3 60 13" xfId="1708"/>
    <cellStyle name="Cálculo 3 60 13 2" xfId="32504"/>
    <cellStyle name="Cálculo 3 60 14" xfId="32505"/>
    <cellStyle name="Cálculo 3 60 2" xfId="1709"/>
    <cellStyle name="Cálculo 3 60 2 2" xfId="32506"/>
    <cellStyle name="Cálculo 3 60 3" xfId="1710"/>
    <cellStyle name="Cálculo 3 60 3 2" xfId="32507"/>
    <cellStyle name="Cálculo 3 60 4" xfId="1711"/>
    <cellStyle name="Cálculo 3 60 4 2" xfId="32508"/>
    <cellStyle name="Cálculo 3 60 5" xfId="1712"/>
    <cellStyle name="Cálculo 3 60 5 2" xfId="32509"/>
    <cellStyle name="Cálculo 3 60 6" xfId="1713"/>
    <cellStyle name="Cálculo 3 60 6 2" xfId="32510"/>
    <cellStyle name="Cálculo 3 60 7" xfId="1714"/>
    <cellStyle name="Cálculo 3 60 7 2" xfId="32511"/>
    <cellStyle name="Cálculo 3 60 8" xfId="1715"/>
    <cellStyle name="Cálculo 3 60 8 2" xfId="32512"/>
    <cellStyle name="Cálculo 3 60 9" xfId="1716"/>
    <cellStyle name="Cálculo 3 60 9 2" xfId="32513"/>
    <cellStyle name="Cálculo 3 61" xfId="1717"/>
    <cellStyle name="Cálculo 3 61 10" xfId="1718"/>
    <cellStyle name="Cálculo 3 61 10 2" xfId="32514"/>
    <cellStyle name="Cálculo 3 61 11" xfId="1719"/>
    <cellStyle name="Cálculo 3 61 11 2" xfId="32515"/>
    <cellStyle name="Cálculo 3 61 12" xfId="1720"/>
    <cellStyle name="Cálculo 3 61 12 2" xfId="32516"/>
    <cellStyle name="Cálculo 3 61 13" xfId="1721"/>
    <cellStyle name="Cálculo 3 61 13 2" xfId="32517"/>
    <cellStyle name="Cálculo 3 61 14" xfId="32518"/>
    <cellStyle name="Cálculo 3 61 2" xfId="1722"/>
    <cellStyle name="Cálculo 3 61 2 2" xfId="32519"/>
    <cellStyle name="Cálculo 3 61 3" xfId="1723"/>
    <cellStyle name="Cálculo 3 61 3 2" xfId="32520"/>
    <cellStyle name="Cálculo 3 61 4" xfId="1724"/>
    <cellStyle name="Cálculo 3 61 4 2" xfId="32521"/>
    <cellStyle name="Cálculo 3 61 5" xfId="1725"/>
    <cellStyle name="Cálculo 3 61 5 2" xfId="32522"/>
    <cellStyle name="Cálculo 3 61 6" xfId="1726"/>
    <cellStyle name="Cálculo 3 61 6 2" xfId="32523"/>
    <cellStyle name="Cálculo 3 61 7" xfId="1727"/>
    <cellStyle name="Cálculo 3 61 7 2" xfId="32524"/>
    <cellStyle name="Cálculo 3 61 8" xfId="1728"/>
    <cellStyle name="Cálculo 3 61 8 2" xfId="32525"/>
    <cellStyle name="Cálculo 3 61 9" xfId="1729"/>
    <cellStyle name="Cálculo 3 61 9 2" xfId="32526"/>
    <cellStyle name="Cálculo 3 62" xfId="1730"/>
    <cellStyle name="Cálculo 3 62 10" xfId="1731"/>
    <cellStyle name="Cálculo 3 62 10 2" xfId="32527"/>
    <cellStyle name="Cálculo 3 62 11" xfId="1732"/>
    <cellStyle name="Cálculo 3 62 11 2" xfId="32528"/>
    <cellStyle name="Cálculo 3 62 12" xfId="1733"/>
    <cellStyle name="Cálculo 3 62 12 2" xfId="32529"/>
    <cellStyle name="Cálculo 3 62 13" xfId="1734"/>
    <cellStyle name="Cálculo 3 62 13 2" xfId="32530"/>
    <cellStyle name="Cálculo 3 62 14" xfId="32531"/>
    <cellStyle name="Cálculo 3 62 2" xfId="1735"/>
    <cellStyle name="Cálculo 3 62 2 2" xfId="32532"/>
    <cellStyle name="Cálculo 3 62 3" xfId="1736"/>
    <cellStyle name="Cálculo 3 62 3 2" xfId="32533"/>
    <cellStyle name="Cálculo 3 62 4" xfId="1737"/>
    <cellStyle name="Cálculo 3 62 4 2" xfId="32534"/>
    <cellStyle name="Cálculo 3 62 5" xfId="1738"/>
    <cellStyle name="Cálculo 3 62 5 2" xfId="32535"/>
    <cellStyle name="Cálculo 3 62 6" xfId="1739"/>
    <cellStyle name="Cálculo 3 62 6 2" xfId="32536"/>
    <cellStyle name="Cálculo 3 62 7" xfId="1740"/>
    <cellStyle name="Cálculo 3 62 7 2" xfId="32537"/>
    <cellStyle name="Cálculo 3 62 8" xfId="1741"/>
    <cellStyle name="Cálculo 3 62 8 2" xfId="32538"/>
    <cellStyle name="Cálculo 3 62 9" xfId="1742"/>
    <cellStyle name="Cálculo 3 62 9 2" xfId="32539"/>
    <cellStyle name="Cálculo 3 63" xfId="1743"/>
    <cellStyle name="Cálculo 3 63 10" xfId="1744"/>
    <cellStyle name="Cálculo 3 63 10 2" xfId="32540"/>
    <cellStyle name="Cálculo 3 63 11" xfId="1745"/>
    <cellStyle name="Cálculo 3 63 11 2" xfId="32541"/>
    <cellStyle name="Cálculo 3 63 12" xfId="1746"/>
    <cellStyle name="Cálculo 3 63 12 2" xfId="32542"/>
    <cellStyle name="Cálculo 3 63 13" xfId="1747"/>
    <cellStyle name="Cálculo 3 63 13 2" xfId="32543"/>
    <cellStyle name="Cálculo 3 63 14" xfId="32544"/>
    <cellStyle name="Cálculo 3 63 2" xfId="1748"/>
    <cellStyle name="Cálculo 3 63 2 2" xfId="32545"/>
    <cellStyle name="Cálculo 3 63 3" xfId="1749"/>
    <cellStyle name="Cálculo 3 63 3 2" xfId="32546"/>
    <cellStyle name="Cálculo 3 63 4" xfId="1750"/>
    <cellStyle name="Cálculo 3 63 4 2" xfId="32547"/>
    <cellStyle name="Cálculo 3 63 5" xfId="1751"/>
    <cellStyle name="Cálculo 3 63 5 2" xfId="32548"/>
    <cellStyle name="Cálculo 3 63 6" xfId="1752"/>
    <cellStyle name="Cálculo 3 63 6 2" xfId="32549"/>
    <cellStyle name="Cálculo 3 63 7" xfId="1753"/>
    <cellStyle name="Cálculo 3 63 7 2" xfId="32550"/>
    <cellStyle name="Cálculo 3 63 8" xfId="1754"/>
    <cellStyle name="Cálculo 3 63 8 2" xfId="32551"/>
    <cellStyle name="Cálculo 3 63 9" xfId="1755"/>
    <cellStyle name="Cálculo 3 63 9 2" xfId="32552"/>
    <cellStyle name="Cálculo 3 64" xfId="1756"/>
    <cellStyle name="Cálculo 3 64 10" xfId="1757"/>
    <cellStyle name="Cálculo 3 64 10 2" xfId="32553"/>
    <cellStyle name="Cálculo 3 64 11" xfId="1758"/>
    <cellStyle name="Cálculo 3 64 11 2" xfId="32554"/>
    <cellStyle name="Cálculo 3 64 12" xfId="1759"/>
    <cellStyle name="Cálculo 3 64 12 2" xfId="32555"/>
    <cellStyle name="Cálculo 3 64 13" xfId="1760"/>
    <cellStyle name="Cálculo 3 64 13 2" xfId="32556"/>
    <cellStyle name="Cálculo 3 64 14" xfId="32557"/>
    <cellStyle name="Cálculo 3 64 2" xfId="1761"/>
    <cellStyle name="Cálculo 3 64 2 2" xfId="32558"/>
    <cellStyle name="Cálculo 3 64 3" xfId="1762"/>
    <cellStyle name="Cálculo 3 64 3 2" xfId="32559"/>
    <cellStyle name="Cálculo 3 64 4" xfId="1763"/>
    <cellStyle name="Cálculo 3 64 4 2" xfId="32560"/>
    <cellStyle name="Cálculo 3 64 5" xfId="1764"/>
    <cellStyle name="Cálculo 3 64 5 2" xfId="32561"/>
    <cellStyle name="Cálculo 3 64 6" xfId="1765"/>
    <cellStyle name="Cálculo 3 64 6 2" xfId="32562"/>
    <cellStyle name="Cálculo 3 64 7" xfId="1766"/>
    <cellStyle name="Cálculo 3 64 7 2" xfId="32563"/>
    <cellStyle name="Cálculo 3 64 8" xfId="1767"/>
    <cellStyle name="Cálculo 3 64 8 2" xfId="32564"/>
    <cellStyle name="Cálculo 3 64 9" xfId="1768"/>
    <cellStyle name="Cálculo 3 64 9 2" xfId="32565"/>
    <cellStyle name="Cálculo 3 65" xfId="1769"/>
    <cellStyle name="Cálculo 3 65 10" xfId="1770"/>
    <cellStyle name="Cálculo 3 65 10 2" xfId="32566"/>
    <cellStyle name="Cálculo 3 65 11" xfId="1771"/>
    <cellStyle name="Cálculo 3 65 11 2" xfId="32567"/>
    <cellStyle name="Cálculo 3 65 12" xfId="1772"/>
    <cellStyle name="Cálculo 3 65 12 2" xfId="32568"/>
    <cellStyle name="Cálculo 3 65 13" xfId="1773"/>
    <cellStyle name="Cálculo 3 65 13 2" xfId="32569"/>
    <cellStyle name="Cálculo 3 65 14" xfId="32570"/>
    <cellStyle name="Cálculo 3 65 2" xfId="1774"/>
    <cellStyle name="Cálculo 3 65 2 2" xfId="32571"/>
    <cellStyle name="Cálculo 3 65 3" xfId="1775"/>
    <cellStyle name="Cálculo 3 65 3 2" xfId="32572"/>
    <cellStyle name="Cálculo 3 65 4" xfId="1776"/>
    <cellStyle name="Cálculo 3 65 4 2" xfId="32573"/>
    <cellStyle name="Cálculo 3 65 5" xfId="1777"/>
    <cellStyle name="Cálculo 3 65 5 2" xfId="32574"/>
    <cellStyle name="Cálculo 3 65 6" xfId="1778"/>
    <cellStyle name="Cálculo 3 65 6 2" xfId="32575"/>
    <cellStyle name="Cálculo 3 65 7" xfId="1779"/>
    <cellStyle name="Cálculo 3 65 7 2" xfId="32576"/>
    <cellStyle name="Cálculo 3 65 8" xfId="1780"/>
    <cellStyle name="Cálculo 3 65 8 2" xfId="32577"/>
    <cellStyle name="Cálculo 3 65 9" xfId="1781"/>
    <cellStyle name="Cálculo 3 65 9 2" xfId="32578"/>
    <cellStyle name="Cálculo 3 66" xfId="1782"/>
    <cellStyle name="Cálculo 3 66 10" xfId="1783"/>
    <cellStyle name="Cálculo 3 66 10 2" xfId="32579"/>
    <cellStyle name="Cálculo 3 66 11" xfId="1784"/>
    <cellStyle name="Cálculo 3 66 11 2" xfId="32580"/>
    <cellStyle name="Cálculo 3 66 12" xfId="1785"/>
    <cellStyle name="Cálculo 3 66 12 2" xfId="32581"/>
    <cellStyle name="Cálculo 3 66 13" xfId="1786"/>
    <cellStyle name="Cálculo 3 66 13 2" xfId="32582"/>
    <cellStyle name="Cálculo 3 66 14" xfId="32583"/>
    <cellStyle name="Cálculo 3 66 2" xfId="1787"/>
    <cellStyle name="Cálculo 3 66 2 2" xfId="32584"/>
    <cellStyle name="Cálculo 3 66 3" xfId="1788"/>
    <cellStyle name="Cálculo 3 66 3 2" xfId="32585"/>
    <cellStyle name="Cálculo 3 66 4" xfId="1789"/>
    <cellStyle name="Cálculo 3 66 4 2" xfId="32586"/>
    <cellStyle name="Cálculo 3 66 5" xfId="1790"/>
    <cellStyle name="Cálculo 3 66 5 2" xfId="32587"/>
    <cellStyle name="Cálculo 3 66 6" xfId="1791"/>
    <cellStyle name="Cálculo 3 66 6 2" xfId="32588"/>
    <cellStyle name="Cálculo 3 66 7" xfId="1792"/>
    <cellStyle name="Cálculo 3 66 7 2" xfId="32589"/>
    <cellStyle name="Cálculo 3 66 8" xfId="1793"/>
    <cellStyle name="Cálculo 3 66 8 2" xfId="32590"/>
    <cellStyle name="Cálculo 3 66 9" xfId="1794"/>
    <cellStyle name="Cálculo 3 66 9 2" xfId="32591"/>
    <cellStyle name="Cálculo 3 67" xfId="1795"/>
    <cellStyle name="Cálculo 3 67 10" xfId="1796"/>
    <cellStyle name="Cálculo 3 67 10 2" xfId="32592"/>
    <cellStyle name="Cálculo 3 67 11" xfId="1797"/>
    <cellStyle name="Cálculo 3 67 11 2" xfId="32593"/>
    <cellStyle name="Cálculo 3 67 12" xfId="1798"/>
    <cellStyle name="Cálculo 3 67 12 2" xfId="32594"/>
    <cellStyle name="Cálculo 3 67 13" xfId="1799"/>
    <cellStyle name="Cálculo 3 67 13 2" xfId="32595"/>
    <cellStyle name="Cálculo 3 67 14" xfId="32596"/>
    <cellStyle name="Cálculo 3 67 2" xfId="1800"/>
    <cellStyle name="Cálculo 3 67 2 2" xfId="32597"/>
    <cellStyle name="Cálculo 3 67 3" xfId="1801"/>
    <cellStyle name="Cálculo 3 67 3 2" xfId="32598"/>
    <cellStyle name="Cálculo 3 67 4" xfId="1802"/>
    <cellStyle name="Cálculo 3 67 4 2" xfId="32599"/>
    <cellStyle name="Cálculo 3 67 5" xfId="1803"/>
    <cellStyle name="Cálculo 3 67 5 2" xfId="32600"/>
    <cellStyle name="Cálculo 3 67 6" xfId="1804"/>
    <cellStyle name="Cálculo 3 67 6 2" xfId="32601"/>
    <cellStyle name="Cálculo 3 67 7" xfId="1805"/>
    <cellStyle name="Cálculo 3 67 7 2" xfId="32602"/>
    <cellStyle name="Cálculo 3 67 8" xfId="1806"/>
    <cellStyle name="Cálculo 3 67 8 2" xfId="32603"/>
    <cellStyle name="Cálculo 3 67 9" xfId="1807"/>
    <cellStyle name="Cálculo 3 67 9 2" xfId="32604"/>
    <cellStyle name="Cálculo 3 68" xfId="1808"/>
    <cellStyle name="Cálculo 3 68 10" xfId="1809"/>
    <cellStyle name="Cálculo 3 68 10 2" xfId="32605"/>
    <cellStyle name="Cálculo 3 68 11" xfId="1810"/>
    <cellStyle name="Cálculo 3 68 11 2" xfId="32606"/>
    <cellStyle name="Cálculo 3 68 12" xfId="1811"/>
    <cellStyle name="Cálculo 3 68 12 2" xfId="32607"/>
    <cellStyle name="Cálculo 3 68 13" xfId="1812"/>
    <cellStyle name="Cálculo 3 68 13 2" xfId="32608"/>
    <cellStyle name="Cálculo 3 68 14" xfId="32609"/>
    <cellStyle name="Cálculo 3 68 2" xfId="1813"/>
    <cellStyle name="Cálculo 3 68 2 2" xfId="32610"/>
    <cellStyle name="Cálculo 3 68 3" xfId="1814"/>
    <cellStyle name="Cálculo 3 68 3 2" xfId="32611"/>
    <cellStyle name="Cálculo 3 68 4" xfId="1815"/>
    <cellStyle name="Cálculo 3 68 4 2" xfId="32612"/>
    <cellStyle name="Cálculo 3 68 5" xfId="1816"/>
    <cellStyle name="Cálculo 3 68 5 2" xfId="32613"/>
    <cellStyle name="Cálculo 3 68 6" xfId="1817"/>
    <cellStyle name="Cálculo 3 68 6 2" xfId="32614"/>
    <cellStyle name="Cálculo 3 68 7" xfId="1818"/>
    <cellStyle name="Cálculo 3 68 7 2" xfId="32615"/>
    <cellStyle name="Cálculo 3 68 8" xfId="1819"/>
    <cellStyle name="Cálculo 3 68 8 2" xfId="32616"/>
    <cellStyle name="Cálculo 3 68 9" xfId="1820"/>
    <cellStyle name="Cálculo 3 68 9 2" xfId="32617"/>
    <cellStyle name="Cálculo 3 69" xfId="1821"/>
    <cellStyle name="Cálculo 3 69 10" xfId="1822"/>
    <cellStyle name="Cálculo 3 69 10 2" xfId="32618"/>
    <cellStyle name="Cálculo 3 69 11" xfId="1823"/>
    <cellStyle name="Cálculo 3 69 11 2" xfId="32619"/>
    <cellStyle name="Cálculo 3 69 12" xfId="1824"/>
    <cellStyle name="Cálculo 3 69 12 2" xfId="32620"/>
    <cellStyle name="Cálculo 3 69 13" xfId="1825"/>
    <cellStyle name="Cálculo 3 69 13 2" xfId="32621"/>
    <cellStyle name="Cálculo 3 69 14" xfId="32622"/>
    <cellStyle name="Cálculo 3 69 2" xfId="1826"/>
    <cellStyle name="Cálculo 3 69 2 2" xfId="32623"/>
    <cellStyle name="Cálculo 3 69 3" xfId="1827"/>
    <cellStyle name="Cálculo 3 69 3 2" xfId="32624"/>
    <cellStyle name="Cálculo 3 69 4" xfId="1828"/>
    <cellStyle name="Cálculo 3 69 4 2" xfId="32625"/>
    <cellStyle name="Cálculo 3 69 5" xfId="1829"/>
    <cellStyle name="Cálculo 3 69 5 2" xfId="32626"/>
    <cellStyle name="Cálculo 3 69 6" xfId="1830"/>
    <cellStyle name="Cálculo 3 69 6 2" xfId="32627"/>
    <cellStyle name="Cálculo 3 69 7" xfId="1831"/>
    <cellStyle name="Cálculo 3 69 7 2" xfId="32628"/>
    <cellStyle name="Cálculo 3 69 8" xfId="1832"/>
    <cellStyle name="Cálculo 3 69 8 2" xfId="32629"/>
    <cellStyle name="Cálculo 3 69 9" xfId="1833"/>
    <cellStyle name="Cálculo 3 69 9 2" xfId="32630"/>
    <cellStyle name="Cálculo 3 7" xfId="1834"/>
    <cellStyle name="Cálculo 3 7 10" xfId="1835"/>
    <cellStyle name="Cálculo 3 7 10 2" xfId="32631"/>
    <cellStyle name="Cálculo 3 7 11" xfId="1836"/>
    <cellStyle name="Cálculo 3 7 11 2" xfId="32632"/>
    <cellStyle name="Cálculo 3 7 12" xfId="1837"/>
    <cellStyle name="Cálculo 3 7 12 2" xfId="32633"/>
    <cellStyle name="Cálculo 3 7 13" xfId="1838"/>
    <cellStyle name="Cálculo 3 7 13 2" xfId="32634"/>
    <cellStyle name="Cálculo 3 7 14" xfId="32635"/>
    <cellStyle name="Cálculo 3 7 2" xfId="1839"/>
    <cellStyle name="Cálculo 3 7 2 2" xfId="32636"/>
    <cellStyle name="Cálculo 3 7 3" xfId="1840"/>
    <cellStyle name="Cálculo 3 7 3 2" xfId="32637"/>
    <cellStyle name="Cálculo 3 7 4" xfId="1841"/>
    <cellStyle name="Cálculo 3 7 4 2" xfId="32638"/>
    <cellStyle name="Cálculo 3 7 5" xfId="1842"/>
    <cellStyle name="Cálculo 3 7 5 2" xfId="32639"/>
    <cellStyle name="Cálculo 3 7 6" xfId="1843"/>
    <cellStyle name="Cálculo 3 7 6 2" xfId="32640"/>
    <cellStyle name="Cálculo 3 7 7" xfId="1844"/>
    <cellStyle name="Cálculo 3 7 7 2" xfId="32641"/>
    <cellStyle name="Cálculo 3 7 8" xfId="1845"/>
    <cellStyle name="Cálculo 3 7 8 2" xfId="32642"/>
    <cellStyle name="Cálculo 3 7 9" xfId="1846"/>
    <cellStyle name="Cálculo 3 7 9 2" xfId="32643"/>
    <cellStyle name="Cálculo 3 70" xfId="1847"/>
    <cellStyle name="Cálculo 3 70 10" xfId="1848"/>
    <cellStyle name="Cálculo 3 70 10 2" xfId="32644"/>
    <cellStyle name="Cálculo 3 70 11" xfId="1849"/>
    <cellStyle name="Cálculo 3 70 11 2" xfId="32645"/>
    <cellStyle name="Cálculo 3 70 12" xfId="1850"/>
    <cellStyle name="Cálculo 3 70 12 2" xfId="32646"/>
    <cellStyle name="Cálculo 3 70 13" xfId="1851"/>
    <cellStyle name="Cálculo 3 70 13 2" xfId="32647"/>
    <cellStyle name="Cálculo 3 70 14" xfId="32648"/>
    <cellStyle name="Cálculo 3 70 2" xfId="1852"/>
    <cellStyle name="Cálculo 3 70 2 2" xfId="32649"/>
    <cellStyle name="Cálculo 3 70 3" xfId="1853"/>
    <cellStyle name="Cálculo 3 70 3 2" xfId="32650"/>
    <cellStyle name="Cálculo 3 70 4" xfId="1854"/>
    <cellStyle name="Cálculo 3 70 4 2" xfId="32651"/>
    <cellStyle name="Cálculo 3 70 5" xfId="1855"/>
    <cellStyle name="Cálculo 3 70 5 2" xfId="32652"/>
    <cellStyle name="Cálculo 3 70 6" xfId="1856"/>
    <cellStyle name="Cálculo 3 70 6 2" xfId="32653"/>
    <cellStyle name="Cálculo 3 70 7" xfId="1857"/>
    <cellStyle name="Cálculo 3 70 7 2" xfId="32654"/>
    <cellStyle name="Cálculo 3 70 8" xfId="1858"/>
    <cellStyle name="Cálculo 3 70 8 2" xfId="32655"/>
    <cellStyle name="Cálculo 3 70 9" xfId="1859"/>
    <cellStyle name="Cálculo 3 70 9 2" xfId="32656"/>
    <cellStyle name="Cálculo 3 71" xfId="1860"/>
    <cellStyle name="Cálculo 3 71 2" xfId="32657"/>
    <cellStyle name="Cálculo 3 72" xfId="1861"/>
    <cellStyle name="Cálculo 3 72 2" xfId="32658"/>
    <cellStyle name="Cálculo 3 73" xfId="1862"/>
    <cellStyle name="Cálculo 3 73 2" xfId="32659"/>
    <cellStyle name="Cálculo 3 74" xfId="1863"/>
    <cellStyle name="Cálculo 3 74 2" xfId="32660"/>
    <cellStyle name="Cálculo 3 75" xfId="1864"/>
    <cellStyle name="Cálculo 3 75 2" xfId="32661"/>
    <cellStyle name="Cálculo 3 76" xfId="1865"/>
    <cellStyle name="Cálculo 3 76 2" xfId="32662"/>
    <cellStyle name="Cálculo 3 77" xfId="1866"/>
    <cellStyle name="Cálculo 3 77 2" xfId="32663"/>
    <cellStyle name="Cálculo 3 78" xfId="1867"/>
    <cellStyle name="Cálculo 3 78 2" xfId="32664"/>
    <cellStyle name="Cálculo 3 79" xfId="1868"/>
    <cellStyle name="Cálculo 3 79 2" xfId="32665"/>
    <cellStyle name="Cálculo 3 8" xfId="1869"/>
    <cellStyle name="Cálculo 3 8 10" xfId="1870"/>
    <cellStyle name="Cálculo 3 8 10 2" xfId="32666"/>
    <cellStyle name="Cálculo 3 8 11" xfId="1871"/>
    <cellStyle name="Cálculo 3 8 11 2" xfId="32667"/>
    <cellStyle name="Cálculo 3 8 12" xfId="1872"/>
    <cellStyle name="Cálculo 3 8 12 2" xfId="32668"/>
    <cellStyle name="Cálculo 3 8 13" xfId="1873"/>
    <cellStyle name="Cálculo 3 8 13 2" xfId="32669"/>
    <cellStyle name="Cálculo 3 8 14" xfId="32670"/>
    <cellStyle name="Cálculo 3 8 2" xfId="1874"/>
    <cellStyle name="Cálculo 3 8 2 2" xfId="32671"/>
    <cellStyle name="Cálculo 3 8 3" xfId="1875"/>
    <cellStyle name="Cálculo 3 8 3 2" xfId="32672"/>
    <cellStyle name="Cálculo 3 8 4" xfId="1876"/>
    <cellStyle name="Cálculo 3 8 4 2" xfId="32673"/>
    <cellStyle name="Cálculo 3 8 5" xfId="1877"/>
    <cellStyle name="Cálculo 3 8 5 2" xfId="32674"/>
    <cellStyle name="Cálculo 3 8 6" xfId="1878"/>
    <cellStyle name="Cálculo 3 8 6 2" xfId="32675"/>
    <cellStyle name="Cálculo 3 8 7" xfId="1879"/>
    <cellStyle name="Cálculo 3 8 7 2" xfId="32676"/>
    <cellStyle name="Cálculo 3 8 8" xfId="1880"/>
    <cellStyle name="Cálculo 3 8 8 2" xfId="32677"/>
    <cellStyle name="Cálculo 3 8 9" xfId="1881"/>
    <cellStyle name="Cálculo 3 8 9 2" xfId="32678"/>
    <cellStyle name="Cálculo 3 80" xfId="1882"/>
    <cellStyle name="Cálculo 3 80 2" xfId="32679"/>
    <cellStyle name="Cálculo 3 81" xfId="1883"/>
    <cellStyle name="Cálculo 3 81 2" xfId="32680"/>
    <cellStyle name="Cálculo 3 82" xfId="32681"/>
    <cellStyle name="Cálculo 3 9" xfId="1884"/>
    <cellStyle name="Cálculo 3 9 10" xfId="1885"/>
    <cellStyle name="Cálculo 3 9 10 2" xfId="32682"/>
    <cellStyle name="Cálculo 3 9 11" xfId="1886"/>
    <cellStyle name="Cálculo 3 9 11 2" xfId="32683"/>
    <cellStyle name="Cálculo 3 9 12" xfId="1887"/>
    <cellStyle name="Cálculo 3 9 12 2" xfId="32684"/>
    <cellStyle name="Cálculo 3 9 13" xfId="1888"/>
    <cellStyle name="Cálculo 3 9 13 2" xfId="32685"/>
    <cellStyle name="Cálculo 3 9 14" xfId="32686"/>
    <cellStyle name="Cálculo 3 9 2" xfId="1889"/>
    <cellStyle name="Cálculo 3 9 2 2" xfId="32687"/>
    <cellStyle name="Cálculo 3 9 3" xfId="1890"/>
    <cellStyle name="Cálculo 3 9 3 2" xfId="32688"/>
    <cellStyle name="Cálculo 3 9 4" xfId="1891"/>
    <cellStyle name="Cálculo 3 9 4 2" xfId="32689"/>
    <cellStyle name="Cálculo 3 9 5" xfId="1892"/>
    <cellStyle name="Cálculo 3 9 5 2" xfId="32690"/>
    <cellStyle name="Cálculo 3 9 6" xfId="1893"/>
    <cellStyle name="Cálculo 3 9 6 2" xfId="32691"/>
    <cellStyle name="Cálculo 3 9 7" xfId="1894"/>
    <cellStyle name="Cálculo 3 9 7 2" xfId="32692"/>
    <cellStyle name="Cálculo 3 9 8" xfId="1895"/>
    <cellStyle name="Cálculo 3 9 8 2" xfId="32693"/>
    <cellStyle name="Cálculo 3 9 9" xfId="1896"/>
    <cellStyle name="Cálculo 3 9 9 2" xfId="32694"/>
    <cellStyle name="Celda de comprobación 2" xfId="1897"/>
    <cellStyle name="Celda de comprobación 2 2" xfId="1898"/>
    <cellStyle name="Celda de comprobación 3" xfId="1899"/>
    <cellStyle name="Celda vinculada 2" xfId="1900"/>
    <cellStyle name="Celda vinculada 2 2" xfId="1901"/>
    <cellStyle name="Celda vinculada 3" xfId="1902"/>
    <cellStyle name="Encabezado 4 2" xfId="1903"/>
    <cellStyle name="Encabezado 4 2 2" xfId="1904"/>
    <cellStyle name="Encabezado 4 3" xfId="1905"/>
    <cellStyle name="Énfasis1 2" xfId="1906"/>
    <cellStyle name="Énfasis1 2 2" xfId="1907"/>
    <cellStyle name="Énfasis1 3" xfId="1908"/>
    <cellStyle name="Énfasis2 2" xfId="1909"/>
    <cellStyle name="Énfasis2 2 2" xfId="1910"/>
    <cellStyle name="Énfasis2 3" xfId="1911"/>
    <cellStyle name="Énfasis3 2" xfId="1912"/>
    <cellStyle name="Énfasis3 2 2" xfId="1913"/>
    <cellStyle name="Énfasis3 3" xfId="1914"/>
    <cellStyle name="Énfasis4 2" xfId="1915"/>
    <cellStyle name="Énfasis4 2 2" xfId="1916"/>
    <cellStyle name="Énfasis4 3" xfId="1917"/>
    <cellStyle name="Énfasis5 2" xfId="1918"/>
    <cellStyle name="Énfasis5 2 2" xfId="1919"/>
    <cellStyle name="Énfasis5 3" xfId="1920"/>
    <cellStyle name="Énfasis6 2" xfId="1921"/>
    <cellStyle name="Énfasis6 2 2" xfId="1922"/>
    <cellStyle name="Énfasis6 3" xfId="1923"/>
    <cellStyle name="Entrada 2" xfId="1924"/>
    <cellStyle name="Entrada 2 10" xfId="1925"/>
    <cellStyle name="Entrada 2 10 10" xfId="1926"/>
    <cellStyle name="Entrada 2 10 10 2" xfId="32695"/>
    <cellStyle name="Entrada 2 10 11" xfId="1927"/>
    <cellStyle name="Entrada 2 10 11 2" xfId="32696"/>
    <cellStyle name="Entrada 2 10 12" xfId="1928"/>
    <cellStyle name="Entrada 2 10 12 2" xfId="32697"/>
    <cellStyle name="Entrada 2 10 13" xfId="1929"/>
    <cellStyle name="Entrada 2 10 13 2" xfId="32698"/>
    <cellStyle name="Entrada 2 10 14" xfId="32699"/>
    <cellStyle name="Entrada 2 10 2" xfId="1930"/>
    <cellStyle name="Entrada 2 10 2 2" xfId="32700"/>
    <cellStyle name="Entrada 2 10 3" xfId="1931"/>
    <cellStyle name="Entrada 2 10 3 2" xfId="32701"/>
    <cellStyle name="Entrada 2 10 4" xfId="1932"/>
    <cellStyle name="Entrada 2 10 4 2" xfId="32702"/>
    <cellStyle name="Entrada 2 10 5" xfId="1933"/>
    <cellStyle name="Entrada 2 10 5 2" xfId="32703"/>
    <cellStyle name="Entrada 2 10 6" xfId="1934"/>
    <cellStyle name="Entrada 2 10 6 2" xfId="32704"/>
    <cellStyle name="Entrada 2 10 7" xfId="1935"/>
    <cellStyle name="Entrada 2 10 7 2" xfId="32705"/>
    <cellStyle name="Entrada 2 10 8" xfId="1936"/>
    <cellStyle name="Entrada 2 10 8 2" xfId="32706"/>
    <cellStyle name="Entrada 2 10 9" xfId="1937"/>
    <cellStyle name="Entrada 2 10 9 2" xfId="32707"/>
    <cellStyle name="Entrada 2 11" xfId="1938"/>
    <cellStyle name="Entrada 2 11 10" xfId="1939"/>
    <cellStyle name="Entrada 2 11 10 2" xfId="32708"/>
    <cellStyle name="Entrada 2 11 11" xfId="1940"/>
    <cellStyle name="Entrada 2 11 11 2" xfId="32709"/>
    <cellStyle name="Entrada 2 11 12" xfId="1941"/>
    <cellStyle name="Entrada 2 11 12 2" xfId="32710"/>
    <cellStyle name="Entrada 2 11 13" xfId="1942"/>
    <cellStyle name="Entrada 2 11 13 2" xfId="32711"/>
    <cellStyle name="Entrada 2 11 14" xfId="32712"/>
    <cellStyle name="Entrada 2 11 2" xfId="1943"/>
    <cellStyle name="Entrada 2 11 2 2" xfId="32713"/>
    <cellStyle name="Entrada 2 11 3" xfId="1944"/>
    <cellStyle name="Entrada 2 11 3 2" xfId="32714"/>
    <cellStyle name="Entrada 2 11 4" xfId="1945"/>
    <cellStyle name="Entrada 2 11 4 2" xfId="32715"/>
    <cellStyle name="Entrada 2 11 5" xfId="1946"/>
    <cellStyle name="Entrada 2 11 5 2" xfId="32716"/>
    <cellStyle name="Entrada 2 11 6" xfId="1947"/>
    <cellStyle name="Entrada 2 11 6 2" xfId="32717"/>
    <cellStyle name="Entrada 2 11 7" xfId="1948"/>
    <cellStyle name="Entrada 2 11 7 2" xfId="32718"/>
    <cellStyle name="Entrada 2 11 8" xfId="1949"/>
    <cellStyle name="Entrada 2 11 8 2" xfId="32719"/>
    <cellStyle name="Entrada 2 11 9" xfId="1950"/>
    <cellStyle name="Entrada 2 11 9 2" xfId="32720"/>
    <cellStyle name="Entrada 2 12" xfId="1951"/>
    <cellStyle name="Entrada 2 12 10" xfId="1952"/>
    <cellStyle name="Entrada 2 12 10 2" xfId="32721"/>
    <cellStyle name="Entrada 2 12 11" xfId="1953"/>
    <cellStyle name="Entrada 2 12 11 2" xfId="32722"/>
    <cellStyle name="Entrada 2 12 12" xfId="1954"/>
    <cellStyle name="Entrada 2 12 12 2" xfId="32723"/>
    <cellStyle name="Entrada 2 12 13" xfId="1955"/>
    <cellStyle name="Entrada 2 12 13 2" xfId="32724"/>
    <cellStyle name="Entrada 2 12 14" xfId="32725"/>
    <cellStyle name="Entrada 2 12 2" xfId="1956"/>
    <cellStyle name="Entrada 2 12 2 2" xfId="32726"/>
    <cellStyle name="Entrada 2 12 3" xfId="1957"/>
    <cellStyle name="Entrada 2 12 3 2" xfId="32727"/>
    <cellStyle name="Entrada 2 12 4" xfId="1958"/>
    <cellStyle name="Entrada 2 12 4 2" xfId="32728"/>
    <cellStyle name="Entrada 2 12 5" xfId="1959"/>
    <cellStyle name="Entrada 2 12 5 2" xfId="32729"/>
    <cellStyle name="Entrada 2 12 6" xfId="1960"/>
    <cellStyle name="Entrada 2 12 6 2" xfId="32730"/>
    <cellStyle name="Entrada 2 12 7" xfId="1961"/>
    <cellStyle name="Entrada 2 12 7 2" xfId="32731"/>
    <cellStyle name="Entrada 2 12 8" xfId="1962"/>
    <cellStyle name="Entrada 2 12 8 2" xfId="32732"/>
    <cellStyle name="Entrada 2 12 9" xfId="1963"/>
    <cellStyle name="Entrada 2 12 9 2" xfId="32733"/>
    <cellStyle name="Entrada 2 13" xfId="1964"/>
    <cellStyle name="Entrada 2 13 10" xfId="1965"/>
    <cellStyle name="Entrada 2 13 10 2" xfId="32734"/>
    <cellStyle name="Entrada 2 13 11" xfId="1966"/>
    <cellStyle name="Entrada 2 13 11 2" xfId="32735"/>
    <cellStyle name="Entrada 2 13 12" xfId="1967"/>
    <cellStyle name="Entrada 2 13 12 2" xfId="32736"/>
    <cellStyle name="Entrada 2 13 13" xfId="1968"/>
    <cellStyle name="Entrada 2 13 13 2" xfId="32737"/>
    <cellStyle name="Entrada 2 13 14" xfId="32738"/>
    <cellStyle name="Entrada 2 13 2" xfId="1969"/>
    <cellStyle name="Entrada 2 13 2 2" xfId="32739"/>
    <cellStyle name="Entrada 2 13 3" xfId="1970"/>
    <cellStyle name="Entrada 2 13 3 2" xfId="32740"/>
    <cellStyle name="Entrada 2 13 4" xfId="1971"/>
    <cellStyle name="Entrada 2 13 4 2" xfId="32741"/>
    <cellStyle name="Entrada 2 13 5" xfId="1972"/>
    <cellStyle name="Entrada 2 13 5 2" xfId="32742"/>
    <cellStyle name="Entrada 2 13 6" xfId="1973"/>
    <cellStyle name="Entrada 2 13 6 2" xfId="32743"/>
    <cellStyle name="Entrada 2 13 7" xfId="1974"/>
    <cellStyle name="Entrada 2 13 7 2" xfId="32744"/>
    <cellStyle name="Entrada 2 13 8" xfId="1975"/>
    <cellStyle name="Entrada 2 13 8 2" xfId="32745"/>
    <cellStyle name="Entrada 2 13 9" xfId="1976"/>
    <cellStyle name="Entrada 2 13 9 2" xfId="32746"/>
    <cellStyle name="Entrada 2 14" xfId="1977"/>
    <cellStyle name="Entrada 2 14 10" xfId="1978"/>
    <cellStyle name="Entrada 2 14 10 2" xfId="32747"/>
    <cellStyle name="Entrada 2 14 11" xfId="1979"/>
    <cellStyle name="Entrada 2 14 11 2" xfId="32748"/>
    <cellStyle name="Entrada 2 14 12" xfId="1980"/>
    <cellStyle name="Entrada 2 14 12 2" xfId="32749"/>
    <cellStyle name="Entrada 2 14 13" xfId="1981"/>
    <cellStyle name="Entrada 2 14 13 2" xfId="32750"/>
    <cellStyle name="Entrada 2 14 14" xfId="32751"/>
    <cellStyle name="Entrada 2 14 2" xfId="1982"/>
    <cellStyle name="Entrada 2 14 2 2" xfId="32752"/>
    <cellStyle name="Entrada 2 14 3" xfId="1983"/>
    <cellStyle name="Entrada 2 14 3 2" xfId="32753"/>
    <cellStyle name="Entrada 2 14 4" xfId="1984"/>
    <cellStyle name="Entrada 2 14 4 2" xfId="32754"/>
    <cellStyle name="Entrada 2 14 5" xfId="1985"/>
    <cellStyle name="Entrada 2 14 5 2" xfId="32755"/>
    <cellStyle name="Entrada 2 14 6" xfId="1986"/>
    <cellStyle name="Entrada 2 14 6 2" xfId="32756"/>
    <cellStyle name="Entrada 2 14 7" xfId="1987"/>
    <cellStyle name="Entrada 2 14 7 2" xfId="32757"/>
    <cellStyle name="Entrada 2 14 8" xfId="1988"/>
    <cellStyle name="Entrada 2 14 8 2" xfId="32758"/>
    <cellStyle name="Entrada 2 14 9" xfId="1989"/>
    <cellStyle name="Entrada 2 14 9 2" xfId="32759"/>
    <cellStyle name="Entrada 2 15" xfId="1990"/>
    <cellStyle name="Entrada 2 15 10" xfId="1991"/>
    <cellStyle name="Entrada 2 15 10 2" xfId="32760"/>
    <cellStyle name="Entrada 2 15 11" xfId="1992"/>
    <cellStyle name="Entrada 2 15 11 2" xfId="32761"/>
    <cellStyle name="Entrada 2 15 12" xfId="1993"/>
    <cellStyle name="Entrada 2 15 12 2" xfId="32762"/>
    <cellStyle name="Entrada 2 15 13" xfId="1994"/>
    <cellStyle name="Entrada 2 15 13 2" xfId="32763"/>
    <cellStyle name="Entrada 2 15 14" xfId="32764"/>
    <cellStyle name="Entrada 2 15 2" xfId="1995"/>
    <cellStyle name="Entrada 2 15 2 2" xfId="32765"/>
    <cellStyle name="Entrada 2 15 3" xfId="1996"/>
    <cellStyle name="Entrada 2 15 3 2" xfId="32766"/>
    <cellStyle name="Entrada 2 15 4" xfId="1997"/>
    <cellStyle name="Entrada 2 15 4 2" xfId="32767"/>
    <cellStyle name="Entrada 2 15 5" xfId="1998"/>
    <cellStyle name="Entrada 2 15 5 2" xfId="32768"/>
    <cellStyle name="Entrada 2 15 6" xfId="1999"/>
    <cellStyle name="Entrada 2 15 6 2" xfId="32769"/>
    <cellStyle name="Entrada 2 15 7" xfId="2000"/>
    <cellStyle name="Entrada 2 15 7 2" xfId="32770"/>
    <cellStyle name="Entrada 2 15 8" xfId="2001"/>
    <cellStyle name="Entrada 2 15 8 2" xfId="32771"/>
    <cellStyle name="Entrada 2 15 9" xfId="2002"/>
    <cellStyle name="Entrada 2 15 9 2" xfId="32772"/>
    <cellStyle name="Entrada 2 16" xfId="2003"/>
    <cellStyle name="Entrada 2 16 10" xfId="2004"/>
    <cellStyle name="Entrada 2 16 10 2" xfId="32773"/>
    <cellStyle name="Entrada 2 16 11" xfId="2005"/>
    <cellStyle name="Entrada 2 16 11 2" xfId="32774"/>
    <cellStyle name="Entrada 2 16 12" xfId="2006"/>
    <cellStyle name="Entrada 2 16 12 2" xfId="32775"/>
    <cellStyle name="Entrada 2 16 13" xfId="2007"/>
    <cellStyle name="Entrada 2 16 13 2" xfId="32776"/>
    <cellStyle name="Entrada 2 16 14" xfId="32777"/>
    <cellStyle name="Entrada 2 16 2" xfId="2008"/>
    <cellStyle name="Entrada 2 16 2 2" xfId="32778"/>
    <cellStyle name="Entrada 2 16 3" xfId="2009"/>
    <cellStyle name="Entrada 2 16 3 2" xfId="32779"/>
    <cellStyle name="Entrada 2 16 4" xfId="2010"/>
    <cellStyle name="Entrada 2 16 4 2" xfId="32780"/>
    <cellStyle name="Entrada 2 16 5" xfId="2011"/>
    <cellStyle name="Entrada 2 16 5 2" xfId="32781"/>
    <cellStyle name="Entrada 2 16 6" xfId="2012"/>
    <cellStyle name="Entrada 2 16 6 2" xfId="32782"/>
    <cellStyle name="Entrada 2 16 7" xfId="2013"/>
    <cellStyle name="Entrada 2 16 7 2" xfId="32783"/>
    <cellStyle name="Entrada 2 16 8" xfId="2014"/>
    <cellStyle name="Entrada 2 16 8 2" xfId="32784"/>
    <cellStyle name="Entrada 2 16 9" xfId="2015"/>
    <cellStyle name="Entrada 2 16 9 2" xfId="32785"/>
    <cellStyle name="Entrada 2 17" xfId="2016"/>
    <cellStyle name="Entrada 2 17 10" xfId="2017"/>
    <cellStyle name="Entrada 2 17 10 2" xfId="32786"/>
    <cellStyle name="Entrada 2 17 11" xfId="2018"/>
    <cellStyle name="Entrada 2 17 11 2" xfId="32787"/>
    <cellStyle name="Entrada 2 17 12" xfId="2019"/>
    <cellStyle name="Entrada 2 17 12 2" xfId="32788"/>
    <cellStyle name="Entrada 2 17 13" xfId="2020"/>
    <cellStyle name="Entrada 2 17 13 2" xfId="32789"/>
    <cellStyle name="Entrada 2 17 14" xfId="32790"/>
    <cellStyle name="Entrada 2 17 2" xfId="2021"/>
    <cellStyle name="Entrada 2 17 2 2" xfId="32791"/>
    <cellStyle name="Entrada 2 17 3" xfId="2022"/>
    <cellStyle name="Entrada 2 17 3 2" xfId="32792"/>
    <cellStyle name="Entrada 2 17 4" xfId="2023"/>
    <cellStyle name="Entrada 2 17 4 2" xfId="32793"/>
    <cellStyle name="Entrada 2 17 5" xfId="2024"/>
    <cellStyle name="Entrada 2 17 5 2" xfId="32794"/>
    <cellStyle name="Entrada 2 17 6" xfId="2025"/>
    <cellStyle name="Entrada 2 17 6 2" xfId="32795"/>
    <cellStyle name="Entrada 2 17 7" xfId="2026"/>
    <cellStyle name="Entrada 2 17 7 2" xfId="32796"/>
    <cellStyle name="Entrada 2 17 8" xfId="2027"/>
    <cellStyle name="Entrada 2 17 8 2" xfId="32797"/>
    <cellStyle name="Entrada 2 17 9" xfId="2028"/>
    <cellStyle name="Entrada 2 17 9 2" xfId="32798"/>
    <cellStyle name="Entrada 2 18" xfId="2029"/>
    <cellStyle name="Entrada 2 18 10" xfId="2030"/>
    <cellStyle name="Entrada 2 18 10 2" xfId="32799"/>
    <cellStyle name="Entrada 2 18 11" xfId="2031"/>
    <cellStyle name="Entrada 2 18 11 2" xfId="32800"/>
    <cellStyle name="Entrada 2 18 12" xfId="2032"/>
    <cellStyle name="Entrada 2 18 12 2" xfId="32801"/>
    <cellStyle name="Entrada 2 18 13" xfId="2033"/>
    <cellStyle name="Entrada 2 18 13 2" xfId="32802"/>
    <cellStyle name="Entrada 2 18 14" xfId="32803"/>
    <cellStyle name="Entrada 2 18 2" xfId="2034"/>
    <cellStyle name="Entrada 2 18 2 2" xfId="32804"/>
    <cellStyle name="Entrada 2 18 3" xfId="2035"/>
    <cellStyle name="Entrada 2 18 3 2" xfId="32805"/>
    <cellStyle name="Entrada 2 18 4" xfId="2036"/>
    <cellStyle name="Entrada 2 18 4 2" xfId="32806"/>
    <cellStyle name="Entrada 2 18 5" xfId="2037"/>
    <cellStyle name="Entrada 2 18 5 2" xfId="32807"/>
    <cellStyle name="Entrada 2 18 6" xfId="2038"/>
    <cellStyle name="Entrada 2 18 6 2" xfId="32808"/>
    <cellStyle name="Entrada 2 18 7" xfId="2039"/>
    <cellStyle name="Entrada 2 18 7 2" xfId="32809"/>
    <cellStyle name="Entrada 2 18 8" xfId="2040"/>
    <cellStyle name="Entrada 2 18 8 2" xfId="32810"/>
    <cellStyle name="Entrada 2 18 9" xfId="2041"/>
    <cellStyle name="Entrada 2 18 9 2" xfId="32811"/>
    <cellStyle name="Entrada 2 19" xfId="2042"/>
    <cellStyle name="Entrada 2 19 10" xfId="2043"/>
    <cellStyle name="Entrada 2 19 10 2" xfId="32812"/>
    <cellStyle name="Entrada 2 19 11" xfId="2044"/>
    <cellStyle name="Entrada 2 19 11 2" xfId="32813"/>
    <cellStyle name="Entrada 2 19 12" xfId="2045"/>
    <cellStyle name="Entrada 2 19 12 2" xfId="32814"/>
    <cellStyle name="Entrada 2 19 13" xfId="2046"/>
    <cellStyle name="Entrada 2 19 13 2" xfId="32815"/>
    <cellStyle name="Entrada 2 19 14" xfId="32816"/>
    <cellStyle name="Entrada 2 19 2" xfId="2047"/>
    <cellStyle name="Entrada 2 19 2 2" xfId="32817"/>
    <cellStyle name="Entrada 2 19 3" xfId="2048"/>
    <cellStyle name="Entrada 2 19 3 2" xfId="32818"/>
    <cellStyle name="Entrada 2 19 4" xfId="2049"/>
    <cellStyle name="Entrada 2 19 4 2" xfId="32819"/>
    <cellStyle name="Entrada 2 19 5" xfId="2050"/>
    <cellStyle name="Entrada 2 19 5 2" xfId="32820"/>
    <cellStyle name="Entrada 2 19 6" xfId="2051"/>
    <cellStyle name="Entrada 2 19 6 2" xfId="32821"/>
    <cellStyle name="Entrada 2 19 7" xfId="2052"/>
    <cellStyle name="Entrada 2 19 7 2" xfId="32822"/>
    <cellStyle name="Entrada 2 19 8" xfId="2053"/>
    <cellStyle name="Entrada 2 19 8 2" xfId="32823"/>
    <cellStyle name="Entrada 2 19 9" xfId="2054"/>
    <cellStyle name="Entrada 2 19 9 2" xfId="32824"/>
    <cellStyle name="Entrada 2 2" xfId="2055"/>
    <cellStyle name="Entrada 2 2 10" xfId="2056"/>
    <cellStyle name="Entrada 2 2 10 2" xfId="32825"/>
    <cellStyle name="Entrada 2 2 11" xfId="2057"/>
    <cellStyle name="Entrada 2 2 11 2" xfId="32826"/>
    <cellStyle name="Entrada 2 2 12" xfId="2058"/>
    <cellStyle name="Entrada 2 2 12 2" xfId="32827"/>
    <cellStyle name="Entrada 2 2 13" xfId="2059"/>
    <cellStyle name="Entrada 2 2 13 2" xfId="32828"/>
    <cellStyle name="Entrada 2 2 14" xfId="32829"/>
    <cellStyle name="Entrada 2 2 2" xfId="2060"/>
    <cellStyle name="Entrada 2 2 2 2" xfId="32830"/>
    <cellStyle name="Entrada 2 2 3" xfId="2061"/>
    <cellStyle name="Entrada 2 2 3 2" xfId="32831"/>
    <cellStyle name="Entrada 2 2 4" xfId="2062"/>
    <cellStyle name="Entrada 2 2 4 2" xfId="32832"/>
    <cellStyle name="Entrada 2 2 5" xfId="2063"/>
    <cellStyle name="Entrada 2 2 5 2" xfId="32833"/>
    <cellStyle name="Entrada 2 2 6" xfId="2064"/>
    <cellStyle name="Entrada 2 2 6 2" xfId="32834"/>
    <cellStyle name="Entrada 2 2 7" xfId="2065"/>
    <cellStyle name="Entrada 2 2 7 2" xfId="32835"/>
    <cellStyle name="Entrada 2 2 8" xfId="2066"/>
    <cellStyle name="Entrada 2 2 8 2" xfId="32836"/>
    <cellStyle name="Entrada 2 2 9" xfId="2067"/>
    <cellStyle name="Entrada 2 2 9 2" xfId="32837"/>
    <cellStyle name="Entrada 2 20" xfId="2068"/>
    <cellStyle name="Entrada 2 20 10" xfId="2069"/>
    <cellStyle name="Entrada 2 20 10 2" xfId="32838"/>
    <cellStyle name="Entrada 2 20 11" xfId="2070"/>
    <cellStyle name="Entrada 2 20 11 2" xfId="32839"/>
    <cellStyle name="Entrada 2 20 12" xfId="2071"/>
    <cellStyle name="Entrada 2 20 12 2" xfId="32840"/>
    <cellStyle name="Entrada 2 20 13" xfId="2072"/>
    <cellStyle name="Entrada 2 20 13 2" xfId="32841"/>
    <cellStyle name="Entrada 2 20 14" xfId="32842"/>
    <cellStyle name="Entrada 2 20 2" xfId="2073"/>
    <cellStyle name="Entrada 2 20 2 2" xfId="32843"/>
    <cellStyle name="Entrada 2 20 3" xfId="2074"/>
    <cellStyle name="Entrada 2 20 3 2" xfId="32844"/>
    <cellStyle name="Entrada 2 20 4" xfId="2075"/>
    <cellStyle name="Entrada 2 20 4 2" xfId="32845"/>
    <cellStyle name="Entrada 2 20 5" xfId="2076"/>
    <cellStyle name="Entrada 2 20 5 2" xfId="32846"/>
    <cellStyle name="Entrada 2 20 6" xfId="2077"/>
    <cellStyle name="Entrada 2 20 6 2" xfId="32847"/>
    <cellStyle name="Entrada 2 20 7" xfId="2078"/>
    <cellStyle name="Entrada 2 20 7 2" xfId="32848"/>
    <cellStyle name="Entrada 2 20 8" xfId="2079"/>
    <cellStyle name="Entrada 2 20 8 2" xfId="32849"/>
    <cellStyle name="Entrada 2 20 9" xfId="2080"/>
    <cellStyle name="Entrada 2 20 9 2" xfId="32850"/>
    <cellStyle name="Entrada 2 21" xfId="2081"/>
    <cellStyle name="Entrada 2 21 10" xfId="2082"/>
    <cellStyle name="Entrada 2 21 10 2" xfId="32851"/>
    <cellStyle name="Entrada 2 21 11" xfId="2083"/>
    <cellStyle name="Entrada 2 21 11 2" xfId="32852"/>
    <cellStyle name="Entrada 2 21 12" xfId="2084"/>
    <cellStyle name="Entrada 2 21 12 2" xfId="32853"/>
    <cellStyle name="Entrada 2 21 13" xfId="2085"/>
    <cellStyle name="Entrada 2 21 13 2" xfId="32854"/>
    <cellStyle name="Entrada 2 21 14" xfId="32855"/>
    <cellStyle name="Entrada 2 21 2" xfId="2086"/>
    <cellStyle name="Entrada 2 21 2 2" xfId="32856"/>
    <cellStyle name="Entrada 2 21 3" xfId="2087"/>
    <cellStyle name="Entrada 2 21 3 2" xfId="32857"/>
    <cellStyle name="Entrada 2 21 4" xfId="2088"/>
    <cellStyle name="Entrada 2 21 4 2" xfId="32858"/>
    <cellStyle name="Entrada 2 21 5" xfId="2089"/>
    <cellStyle name="Entrada 2 21 5 2" xfId="32859"/>
    <cellStyle name="Entrada 2 21 6" xfId="2090"/>
    <cellStyle name="Entrada 2 21 6 2" xfId="32860"/>
    <cellStyle name="Entrada 2 21 7" xfId="2091"/>
    <cellStyle name="Entrada 2 21 7 2" xfId="32861"/>
    <cellStyle name="Entrada 2 21 8" xfId="2092"/>
    <cellStyle name="Entrada 2 21 8 2" xfId="32862"/>
    <cellStyle name="Entrada 2 21 9" xfId="2093"/>
    <cellStyle name="Entrada 2 21 9 2" xfId="32863"/>
    <cellStyle name="Entrada 2 22" xfId="2094"/>
    <cellStyle name="Entrada 2 22 10" xfId="2095"/>
    <cellStyle name="Entrada 2 22 10 2" xfId="32864"/>
    <cellStyle name="Entrada 2 22 11" xfId="2096"/>
    <cellStyle name="Entrada 2 22 11 2" xfId="32865"/>
    <cellStyle name="Entrada 2 22 12" xfId="2097"/>
    <cellStyle name="Entrada 2 22 12 2" xfId="32866"/>
    <cellStyle name="Entrada 2 22 13" xfId="2098"/>
    <cellStyle name="Entrada 2 22 13 2" xfId="32867"/>
    <cellStyle name="Entrada 2 22 14" xfId="32868"/>
    <cellStyle name="Entrada 2 22 2" xfId="2099"/>
    <cellStyle name="Entrada 2 22 2 2" xfId="32869"/>
    <cellStyle name="Entrada 2 22 3" xfId="2100"/>
    <cellStyle name="Entrada 2 22 3 2" xfId="32870"/>
    <cellStyle name="Entrada 2 22 4" xfId="2101"/>
    <cellStyle name="Entrada 2 22 4 2" xfId="32871"/>
    <cellStyle name="Entrada 2 22 5" xfId="2102"/>
    <cellStyle name="Entrada 2 22 5 2" xfId="32872"/>
    <cellStyle name="Entrada 2 22 6" xfId="2103"/>
    <cellStyle name="Entrada 2 22 6 2" xfId="32873"/>
    <cellStyle name="Entrada 2 22 7" xfId="2104"/>
    <cellStyle name="Entrada 2 22 7 2" xfId="32874"/>
    <cellStyle name="Entrada 2 22 8" xfId="2105"/>
    <cellStyle name="Entrada 2 22 8 2" xfId="32875"/>
    <cellStyle name="Entrada 2 22 9" xfId="2106"/>
    <cellStyle name="Entrada 2 22 9 2" xfId="32876"/>
    <cellStyle name="Entrada 2 23" xfId="2107"/>
    <cellStyle name="Entrada 2 23 10" xfId="2108"/>
    <cellStyle name="Entrada 2 23 10 2" xfId="32877"/>
    <cellStyle name="Entrada 2 23 11" xfId="2109"/>
    <cellStyle name="Entrada 2 23 11 2" xfId="32878"/>
    <cellStyle name="Entrada 2 23 12" xfId="2110"/>
    <cellStyle name="Entrada 2 23 12 2" xfId="32879"/>
    <cellStyle name="Entrada 2 23 13" xfId="2111"/>
    <cellStyle name="Entrada 2 23 13 2" xfId="32880"/>
    <cellStyle name="Entrada 2 23 14" xfId="32881"/>
    <cellStyle name="Entrada 2 23 2" xfId="2112"/>
    <cellStyle name="Entrada 2 23 2 2" xfId="32882"/>
    <cellStyle name="Entrada 2 23 3" xfId="2113"/>
    <cellStyle name="Entrada 2 23 3 2" xfId="32883"/>
    <cellStyle name="Entrada 2 23 4" xfId="2114"/>
    <cellStyle name="Entrada 2 23 4 2" xfId="32884"/>
    <cellStyle name="Entrada 2 23 5" xfId="2115"/>
    <cellStyle name="Entrada 2 23 5 2" xfId="32885"/>
    <cellStyle name="Entrada 2 23 6" xfId="2116"/>
    <cellStyle name="Entrada 2 23 6 2" xfId="32886"/>
    <cellStyle name="Entrada 2 23 7" xfId="2117"/>
    <cellStyle name="Entrada 2 23 7 2" xfId="32887"/>
    <cellStyle name="Entrada 2 23 8" xfId="2118"/>
    <cellStyle name="Entrada 2 23 8 2" xfId="32888"/>
    <cellStyle name="Entrada 2 23 9" xfId="2119"/>
    <cellStyle name="Entrada 2 23 9 2" xfId="32889"/>
    <cellStyle name="Entrada 2 24" xfId="2120"/>
    <cellStyle name="Entrada 2 24 10" xfId="2121"/>
    <cellStyle name="Entrada 2 24 10 2" xfId="32890"/>
    <cellStyle name="Entrada 2 24 11" xfId="2122"/>
    <cellStyle name="Entrada 2 24 11 2" xfId="32891"/>
    <cellStyle name="Entrada 2 24 12" xfId="2123"/>
    <cellStyle name="Entrada 2 24 12 2" xfId="32892"/>
    <cellStyle name="Entrada 2 24 13" xfId="2124"/>
    <cellStyle name="Entrada 2 24 13 2" xfId="32893"/>
    <cellStyle name="Entrada 2 24 14" xfId="32894"/>
    <cellStyle name="Entrada 2 24 2" xfId="2125"/>
    <cellStyle name="Entrada 2 24 2 2" xfId="32895"/>
    <cellStyle name="Entrada 2 24 3" xfId="2126"/>
    <cellStyle name="Entrada 2 24 3 2" xfId="32896"/>
    <cellStyle name="Entrada 2 24 4" xfId="2127"/>
    <cellStyle name="Entrada 2 24 4 2" xfId="32897"/>
    <cellStyle name="Entrada 2 24 5" xfId="2128"/>
    <cellStyle name="Entrada 2 24 5 2" xfId="32898"/>
    <cellStyle name="Entrada 2 24 6" xfId="2129"/>
    <cellStyle name="Entrada 2 24 6 2" xfId="32899"/>
    <cellStyle name="Entrada 2 24 7" xfId="2130"/>
    <cellStyle name="Entrada 2 24 7 2" xfId="32900"/>
    <cellStyle name="Entrada 2 24 8" xfId="2131"/>
    <cellStyle name="Entrada 2 24 8 2" xfId="32901"/>
    <cellStyle name="Entrada 2 24 9" xfId="2132"/>
    <cellStyle name="Entrada 2 24 9 2" xfId="32902"/>
    <cellStyle name="Entrada 2 25" xfId="2133"/>
    <cellStyle name="Entrada 2 25 10" xfId="2134"/>
    <cellStyle name="Entrada 2 25 10 2" xfId="32903"/>
    <cellStyle name="Entrada 2 25 11" xfId="2135"/>
    <cellStyle name="Entrada 2 25 11 2" xfId="32904"/>
    <cellStyle name="Entrada 2 25 12" xfId="2136"/>
    <cellStyle name="Entrada 2 25 12 2" xfId="32905"/>
    <cellStyle name="Entrada 2 25 13" xfId="2137"/>
    <cellStyle name="Entrada 2 25 13 2" xfId="32906"/>
    <cellStyle name="Entrada 2 25 14" xfId="32907"/>
    <cellStyle name="Entrada 2 25 2" xfId="2138"/>
    <cellStyle name="Entrada 2 25 2 2" xfId="32908"/>
    <cellStyle name="Entrada 2 25 3" xfId="2139"/>
    <cellStyle name="Entrada 2 25 3 2" xfId="32909"/>
    <cellStyle name="Entrada 2 25 4" xfId="2140"/>
    <cellStyle name="Entrada 2 25 4 2" xfId="32910"/>
    <cellStyle name="Entrada 2 25 5" xfId="2141"/>
    <cellStyle name="Entrada 2 25 5 2" xfId="32911"/>
    <cellStyle name="Entrada 2 25 6" xfId="2142"/>
    <cellStyle name="Entrada 2 25 6 2" xfId="32912"/>
    <cellStyle name="Entrada 2 25 7" xfId="2143"/>
    <cellStyle name="Entrada 2 25 7 2" xfId="32913"/>
    <cellStyle name="Entrada 2 25 8" xfId="2144"/>
    <cellStyle name="Entrada 2 25 8 2" xfId="32914"/>
    <cellStyle name="Entrada 2 25 9" xfId="2145"/>
    <cellStyle name="Entrada 2 25 9 2" xfId="32915"/>
    <cellStyle name="Entrada 2 26" xfId="2146"/>
    <cellStyle name="Entrada 2 26 10" xfId="2147"/>
    <cellStyle name="Entrada 2 26 10 2" xfId="32916"/>
    <cellStyle name="Entrada 2 26 11" xfId="2148"/>
    <cellStyle name="Entrada 2 26 11 2" xfId="32917"/>
    <cellStyle name="Entrada 2 26 12" xfId="2149"/>
    <cellStyle name="Entrada 2 26 12 2" xfId="32918"/>
    <cellStyle name="Entrada 2 26 13" xfId="2150"/>
    <cellStyle name="Entrada 2 26 13 2" xfId="32919"/>
    <cellStyle name="Entrada 2 26 14" xfId="32920"/>
    <cellStyle name="Entrada 2 26 2" xfId="2151"/>
    <cellStyle name="Entrada 2 26 2 2" xfId="32921"/>
    <cellStyle name="Entrada 2 26 3" xfId="2152"/>
    <cellStyle name="Entrada 2 26 3 2" xfId="32922"/>
    <cellStyle name="Entrada 2 26 4" xfId="2153"/>
    <cellStyle name="Entrada 2 26 4 2" xfId="32923"/>
    <cellStyle name="Entrada 2 26 5" xfId="2154"/>
    <cellStyle name="Entrada 2 26 5 2" xfId="32924"/>
    <cellStyle name="Entrada 2 26 6" xfId="2155"/>
    <cellStyle name="Entrada 2 26 6 2" xfId="32925"/>
    <cellStyle name="Entrada 2 26 7" xfId="2156"/>
    <cellStyle name="Entrada 2 26 7 2" xfId="32926"/>
    <cellStyle name="Entrada 2 26 8" xfId="2157"/>
    <cellStyle name="Entrada 2 26 8 2" xfId="32927"/>
    <cellStyle name="Entrada 2 26 9" xfId="2158"/>
    <cellStyle name="Entrada 2 26 9 2" xfId="32928"/>
    <cellStyle name="Entrada 2 27" xfId="2159"/>
    <cellStyle name="Entrada 2 27 10" xfId="2160"/>
    <cellStyle name="Entrada 2 27 10 2" xfId="32929"/>
    <cellStyle name="Entrada 2 27 11" xfId="2161"/>
    <cellStyle name="Entrada 2 27 11 2" xfId="32930"/>
    <cellStyle name="Entrada 2 27 12" xfId="2162"/>
    <cellStyle name="Entrada 2 27 12 2" xfId="32931"/>
    <cellStyle name="Entrada 2 27 13" xfId="2163"/>
    <cellStyle name="Entrada 2 27 13 2" xfId="32932"/>
    <cellStyle name="Entrada 2 27 14" xfId="32933"/>
    <cellStyle name="Entrada 2 27 2" xfId="2164"/>
    <cellStyle name="Entrada 2 27 2 2" xfId="32934"/>
    <cellStyle name="Entrada 2 27 3" xfId="2165"/>
    <cellStyle name="Entrada 2 27 3 2" xfId="32935"/>
    <cellStyle name="Entrada 2 27 4" xfId="2166"/>
    <cellStyle name="Entrada 2 27 4 2" xfId="32936"/>
    <cellStyle name="Entrada 2 27 5" xfId="2167"/>
    <cellStyle name="Entrada 2 27 5 2" xfId="32937"/>
    <cellStyle name="Entrada 2 27 6" xfId="2168"/>
    <cellStyle name="Entrada 2 27 6 2" xfId="32938"/>
    <cellStyle name="Entrada 2 27 7" xfId="2169"/>
    <cellStyle name="Entrada 2 27 7 2" xfId="32939"/>
    <cellStyle name="Entrada 2 27 8" xfId="2170"/>
    <cellStyle name="Entrada 2 27 8 2" xfId="32940"/>
    <cellStyle name="Entrada 2 27 9" xfId="2171"/>
    <cellStyle name="Entrada 2 27 9 2" xfId="32941"/>
    <cellStyle name="Entrada 2 28" xfId="2172"/>
    <cellStyle name="Entrada 2 28 10" xfId="2173"/>
    <cellStyle name="Entrada 2 28 10 2" xfId="32942"/>
    <cellStyle name="Entrada 2 28 11" xfId="2174"/>
    <cellStyle name="Entrada 2 28 11 2" xfId="32943"/>
    <cellStyle name="Entrada 2 28 12" xfId="2175"/>
    <cellStyle name="Entrada 2 28 12 2" xfId="32944"/>
    <cellStyle name="Entrada 2 28 13" xfId="2176"/>
    <cellStyle name="Entrada 2 28 13 2" xfId="32945"/>
    <cellStyle name="Entrada 2 28 14" xfId="32946"/>
    <cellStyle name="Entrada 2 28 2" xfId="2177"/>
    <cellStyle name="Entrada 2 28 2 2" xfId="32947"/>
    <cellStyle name="Entrada 2 28 3" xfId="2178"/>
    <cellStyle name="Entrada 2 28 3 2" xfId="32948"/>
    <cellStyle name="Entrada 2 28 4" xfId="2179"/>
    <cellStyle name="Entrada 2 28 4 2" xfId="32949"/>
    <cellStyle name="Entrada 2 28 5" xfId="2180"/>
    <cellStyle name="Entrada 2 28 5 2" xfId="32950"/>
    <cellStyle name="Entrada 2 28 6" xfId="2181"/>
    <cellStyle name="Entrada 2 28 6 2" xfId="32951"/>
    <cellStyle name="Entrada 2 28 7" xfId="2182"/>
    <cellStyle name="Entrada 2 28 7 2" xfId="32952"/>
    <cellStyle name="Entrada 2 28 8" xfId="2183"/>
    <cellStyle name="Entrada 2 28 8 2" xfId="32953"/>
    <cellStyle name="Entrada 2 28 9" xfId="2184"/>
    <cellStyle name="Entrada 2 28 9 2" xfId="32954"/>
    <cellStyle name="Entrada 2 29" xfId="2185"/>
    <cellStyle name="Entrada 2 29 10" xfId="2186"/>
    <cellStyle name="Entrada 2 29 10 2" xfId="32955"/>
    <cellStyle name="Entrada 2 29 11" xfId="2187"/>
    <cellStyle name="Entrada 2 29 11 2" xfId="32956"/>
    <cellStyle name="Entrada 2 29 12" xfId="2188"/>
    <cellStyle name="Entrada 2 29 12 2" xfId="32957"/>
    <cellStyle name="Entrada 2 29 13" xfId="2189"/>
    <cellStyle name="Entrada 2 29 13 2" xfId="32958"/>
    <cellStyle name="Entrada 2 29 14" xfId="32959"/>
    <cellStyle name="Entrada 2 29 2" xfId="2190"/>
    <cellStyle name="Entrada 2 29 2 2" xfId="32960"/>
    <cellStyle name="Entrada 2 29 3" xfId="2191"/>
    <cellStyle name="Entrada 2 29 3 2" xfId="32961"/>
    <cellStyle name="Entrada 2 29 4" xfId="2192"/>
    <cellStyle name="Entrada 2 29 4 2" xfId="32962"/>
    <cellStyle name="Entrada 2 29 5" xfId="2193"/>
    <cellStyle name="Entrada 2 29 5 2" xfId="32963"/>
    <cellStyle name="Entrada 2 29 6" xfId="2194"/>
    <cellStyle name="Entrada 2 29 6 2" xfId="32964"/>
    <cellStyle name="Entrada 2 29 7" xfId="2195"/>
    <cellStyle name="Entrada 2 29 7 2" xfId="32965"/>
    <cellStyle name="Entrada 2 29 8" xfId="2196"/>
    <cellStyle name="Entrada 2 29 8 2" xfId="32966"/>
    <cellStyle name="Entrada 2 29 9" xfId="2197"/>
    <cellStyle name="Entrada 2 29 9 2" xfId="32967"/>
    <cellStyle name="Entrada 2 3" xfId="2198"/>
    <cellStyle name="Entrada 2 3 10" xfId="2199"/>
    <cellStyle name="Entrada 2 3 10 2" xfId="32968"/>
    <cellStyle name="Entrada 2 3 11" xfId="2200"/>
    <cellStyle name="Entrada 2 3 11 2" xfId="32969"/>
    <cellStyle name="Entrada 2 3 12" xfId="2201"/>
    <cellStyle name="Entrada 2 3 12 2" xfId="32970"/>
    <cellStyle name="Entrada 2 3 13" xfId="2202"/>
    <cellStyle name="Entrada 2 3 13 2" xfId="32971"/>
    <cellStyle name="Entrada 2 3 14" xfId="32972"/>
    <cellStyle name="Entrada 2 3 2" xfId="2203"/>
    <cellStyle name="Entrada 2 3 2 2" xfId="32973"/>
    <cellStyle name="Entrada 2 3 3" xfId="2204"/>
    <cellStyle name="Entrada 2 3 3 2" xfId="32974"/>
    <cellStyle name="Entrada 2 3 4" xfId="2205"/>
    <cellStyle name="Entrada 2 3 4 2" xfId="32975"/>
    <cellStyle name="Entrada 2 3 5" xfId="2206"/>
    <cellStyle name="Entrada 2 3 5 2" xfId="32976"/>
    <cellStyle name="Entrada 2 3 6" xfId="2207"/>
    <cellStyle name="Entrada 2 3 6 2" xfId="32977"/>
    <cellStyle name="Entrada 2 3 7" xfId="2208"/>
    <cellStyle name="Entrada 2 3 7 2" xfId="32978"/>
    <cellStyle name="Entrada 2 3 8" xfId="2209"/>
    <cellStyle name="Entrada 2 3 8 2" xfId="32979"/>
    <cellStyle name="Entrada 2 3 9" xfId="2210"/>
    <cellStyle name="Entrada 2 3 9 2" xfId="32980"/>
    <cellStyle name="Entrada 2 30" xfId="2211"/>
    <cellStyle name="Entrada 2 30 10" xfId="2212"/>
    <cellStyle name="Entrada 2 30 10 2" xfId="32981"/>
    <cellStyle name="Entrada 2 30 11" xfId="2213"/>
    <cellStyle name="Entrada 2 30 11 2" xfId="32982"/>
    <cellStyle name="Entrada 2 30 12" xfId="2214"/>
    <cellStyle name="Entrada 2 30 12 2" xfId="32983"/>
    <cellStyle name="Entrada 2 30 13" xfId="2215"/>
    <cellStyle name="Entrada 2 30 13 2" xfId="32984"/>
    <cellStyle name="Entrada 2 30 14" xfId="32985"/>
    <cellStyle name="Entrada 2 30 2" xfId="2216"/>
    <cellStyle name="Entrada 2 30 2 2" xfId="32986"/>
    <cellStyle name="Entrada 2 30 3" xfId="2217"/>
    <cellStyle name="Entrada 2 30 3 2" xfId="32987"/>
    <cellStyle name="Entrada 2 30 4" xfId="2218"/>
    <cellStyle name="Entrada 2 30 4 2" xfId="32988"/>
    <cellStyle name="Entrada 2 30 5" xfId="2219"/>
    <cellStyle name="Entrada 2 30 5 2" xfId="32989"/>
    <cellStyle name="Entrada 2 30 6" xfId="2220"/>
    <cellStyle name="Entrada 2 30 6 2" xfId="32990"/>
    <cellStyle name="Entrada 2 30 7" xfId="2221"/>
    <cellStyle name="Entrada 2 30 7 2" xfId="32991"/>
    <cellStyle name="Entrada 2 30 8" xfId="2222"/>
    <cellStyle name="Entrada 2 30 8 2" xfId="32992"/>
    <cellStyle name="Entrada 2 30 9" xfId="2223"/>
    <cellStyle name="Entrada 2 30 9 2" xfId="32993"/>
    <cellStyle name="Entrada 2 31" xfId="2224"/>
    <cellStyle name="Entrada 2 31 10" xfId="2225"/>
    <cellStyle name="Entrada 2 31 10 2" xfId="32994"/>
    <cellStyle name="Entrada 2 31 11" xfId="2226"/>
    <cellStyle name="Entrada 2 31 11 2" xfId="32995"/>
    <cellStyle name="Entrada 2 31 12" xfId="2227"/>
    <cellStyle name="Entrada 2 31 12 2" xfId="32996"/>
    <cellStyle name="Entrada 2 31 13" xfId="2228"/>
    <cellStyle name="Entrada 2 31 13 2" xfId="32997"/>
    <cellStyle name="Entrada 2 31 14" xfId="32998"/>
    <cellStyle name="Entrada 2 31 2" xfId="2229"/>
    <cellStyle name="Entrada 2 31 2 2" xfId="32999"/>
    <cellStyle name="Entrada 2 31 3" xfId="2230"/>
    <cellStyle name="Entrada 2 31 3 2" xfId="33000"/>
    <cellStyle name="Entrada 2 31 4" xfId="2231"/>
    <cellStyle name="Entrada 2 31 4 2" xfId="33001"/>
    <cellStyle name="Entrada 2 31 5" xfId="2232"/>
    <cellStyle name="Entrada 2 31 5 2" xfId="33002"/>
    <cellStyle name="Entrada 2 31 6" xfId="2233"/>
    <cellStyle name="Entrada 2 31 6 2" xfId="33003"/>
    <cellStyle name="Entrada 2 31 7" xfId="2234"/>
    <cellStyle name="Entrada 2 31 7 2" xfId="33004"/>
    <cellStyle name="Entrada 2 31 8" xfId="2235"/>
    <cellStyle name="Entrada 2 31 8 2" xfId="33005"/>
    <cellStyle name="Entrada 2 31 9" xfId="2236"/>
    <cellStyle name="Entrada 2 31 9 2" xfId="33006"/>
    <cellStyle name="Entrada 2 32" xfId="2237"/>
    <cellStyle name="Entrada 2 32 10" xfId="2238"/>
    <cellStyle name="Entrada 2 32 10 2" xfId="33007"/>
    <cellStyle name="Entrada 2 32 11" xfId="2239"/>
    <cellStyle name="Entrada 2 32 11 2" xfId="33008"/>
    <cellStyle name="Entrada 2 32 12" xfId="2240"/>
    <cellStyle name="Entrada 2 32 12 2" xfId="33009"/>
    <cellStyle name="Entrada 2 32 13" xfId="2241"/>
    <cellStyle name="Entrada 2 32 13 2" xfId="33010"/>
    <cellStyle name="Entrada 2 32 14" xfId="33011"/>
    <cellStyle name="Entrada 2 32 2" xfId="2242"/>
    <cellStyle name="Entrada 2 32 2 2" xfId="33012"/>
    <cellStyle name="Entrada 2 32 3" xfId="2243"/>
    <cellStyle name="Entrada 2 32 3 2" xfId="33013"/>
    <cellStyle name="Entrada 2 32 4" xfId="2244"/>
    <cellStyle name="Entrada 2 32 4 2" xfId="33014"/>
    <cellStyle name="Entrada 2 32 5" xfId="2245"/>
    <cellStyle name="Entrada 2 32 5 2" xfId="33015"/>
    <cellStyle name="Entrada 2 32 6" xfId="2246"/>
    <cellStyle name="Entrada 2 32 6 2" xfId="33016"/>
    <cellStyle name="Entrada 2 32 7" xfId="2247"/>
    <cellStyle name="Entrada 2 32 7 2" xfId="33017"/>
    <cellStyle name="Entrada 2 32 8" xfId="2248"/>
    <cellStyle name="Entrada 2 32 8 2" xfId="33018"/>
    <cellStyle name="Entrada 2 32 9" xfId="2249"/>
    <cellStyle name="Entrada 2 32 9 2" xfId="33019"/>
    <cellStyle name="Entrada 2 33" xfId="2250"/>
    <cellStyle name="Entrada 2 33 10" xfId="2251"/>
    <cellStyle name="Entrada 2 33 10 2" xfId="33020"/>
    <cellStyle name="Entrada 2 33 11" xfId="2252"/>
    <cellStyle name="Entrada 2 33 11 2" xfId="33021"/>
    <cellStyle name="Entrada 2 33 12" xfId="2253"/>
    <cellStyle name="Entrada 2 33 12 2" xfId="33022"/>
    <cellStyle name="Entrada 2 33 13" xfId="2254"/>
    <cellStyle name="Entrada 2 33 13 2" xfId="33023"/>
    <cellStyle name="Entrada 2 33 14" xfId="33024"/>
    <cellStyle name="Entrada 2 33 2" xfId="2255"/>
    <cellStyle name="Entrada 2 33 2 2" xfId="33025"/>
    <cellStyle name="Entrada 2 33 3" xfId="2256"/>
    <cellStyle name="Entrada 2 33 3 2" xfId="33026"/>
    <cellStyle name="Entrada 2 33 4" xfId="2257"/>
    <cellStyle name="Entrada 2 33 4 2" xfId="33027"/>
    <cellStyle name="Entrada 2 33 5" xfId="2258"/>
    <cellStyle name="Entrada 2 33 5 2" xfId="33028"/>
    <cellStyle name="Entrada 2 33 6" xfId="2259"/>
    <cellStyle name="Entrada 2 33 6 2" xfId="33029"/>
    <cellStyle name="Entrada 2 33 7" xfId="2260"/>
    <cellStyle name="Entrada 2 33 7 2" xfId="33030"/>
    <cellStyle name="Entrada 2 33 8" xfId="2261"/>
    <cellStyle name="Entrada 2 33 8 2" xfId="33031"/>
    <cellStyle name="Entrada 2 33 9" xfId="2262"/>
    <cellStyle name="Entrada 2 33 9 2" xfId="33032"/>
    <cellStyle name="Entrada 2 34" xfId="2263"/>
    <cellStyle name="Entrada 2 34 10" xfId="2264"/>
    <cellStyle name="Entrada 2 34 10 2" xfId="33033"/>
    <cellStyle name="Entrada 2 34 11" xfId="2265"/>
    <cellStyle name="Entrada 2 34 11 2" xfId="33034"/>
    <cellStyle name="Entrada 2 34 12" xfId="2266"/>
    <cellStyle name="Entrada 2 34 12 2" xfId="33035"/>
    <cellStyle name="Entrada 2 34 13" xfId="2267"/>
    <cellStyle name="Entrada 2 34 13 2" xfId="33036"/>
    <cellStyle name="Entrada 2 34 14" xfId="33037"/>
    <cellStyle name="Entrada 2 34 2" xfId="2268"/>
    <cellStyle name="Entrada 2 34 2 2" xfId="33038"/>
    <cellStyle name="Entrada 2 34 3" xfId="2269"/>
    <cellStyle name="Entrada 2 34 3 2" xfId="33039"/>
    <cellStyle name="Entrada 2 34 4" xfId="2270"/>
    <cellStyle name="Entrada 2 34 4 2" xfId="33040"/>
    <cellStyle name="Entrada 2 34 5" xfId="2271"/>
    <cellStyle name="Entrada 2 34 5 2" xfId="33041"/>
    <cellStyle name="Entrada 2 34 6" xfId="2272"/>
    <cellStyle name="Entrada 2 34 6 2" xfId="33042"/>
    <cellStyle name="Entrada 2 34 7" xfId="2273"/>
    <cellStyle name="Entrada 2 34 7 2" xfId="33043"/>
    <cellStyle name="Entrada 2 34 8" xfId="2274"/>
    <cellStyle name="Entrada 2 34 8 2" xfId="33044"/>
    <cellStyle name="Entrada 2 34 9" xfId="2275"/>
    <cellStyle name="Entrada 2 34 9 2" xfId="33045"/>
    <cellStyle name="Entrada 2 35" xfId="2276"/>
    <cellStyle name="Entrada 2 35 10" xfId="2277"/>
    <cellStyle name="Entrada 2 35 10 2" xfId="33046"/>
    <cellStyle name="Entrada 2 35 11" xfId="2278"/>
    <cellStyle name="Entrada 2 35 11 2" xfId="33047"/>
    <cellStyle name="Entrada 2 35 12" xfId="2279"/>
    <cellStyle name="Entrada 2 35 12 2" xfId="33048"/>
    <cellStyle name="Entrada 2 35 13" xfId="2280"/>
    <cellStyle name="Entrada 2 35 13 2" xfId="33049"/>
    <cellStyle name="Entrada 2 35 14" xfId="33050"/>
    <cellStyle name="Entrada 2 35 2" xfId="2281"/>
    <cellStyle name="Entrada 2 35 2 2" xfId="33051"/>
    <cellStyle name="Entrada 2 35 3" xfId="2282"/>
    <cellStyle name="Entrada 2 35 3 2" xfId="33052"/>
    <cellStyle name="Entrada 2 35 4" xfId="2283"/>
    <cellStyle name="Entrada 2 35 4 2" xfId="33053"/>
    <cellStyle name="Entrada 2 35 5" xfId="2284"/>
    <cellStyle name="Entrada 2 35 5 2" xfId="33054"/>
    <cellStyle name="Entrada 2 35 6" xfId="2285"/>
    <cellStyle name="Entrada 2 35 6 2" xfId="33055"/>
    <cellStyle name="Entrada 2 35 7" xfId="2286"/>
    <cellStyle name="Entrada 2 35 7 2" xfId="33056"/>
    <cellStyle name="Entrada 2 35 8" xfId="2287"/>
    <cellStyle name="Entrada 2 35 8 2" xfId="33057"/>
    <cellStyle name="Entrada 2 35 9" xfId="2288"/>
    <cellStyle name="Entrada 2 35 9 2" xfId="33058"/>
    <cellStyle name="Entrada 2 36" xfId="2289"/>
    <cellStyle name="Entrada 2 36 10" xfId="2290"/>
    <cellStyle name="Entrada 2 36 10 2" xfId="33059"/>
    <cellStyle name="Entrada 2 36 11" xfId="2291"/>
    <cellStyle name="Entrada 2 36 11 2" xfId="33060"/>
    <cellStyle name="Entrada 2 36 12" xfId="2292"/>
    <cellStyle name="Entrada 2 36 12 2" xfId="33061"/>
    <cellStyle name="Entrada 2 36 13" xfId="2293"/>
    <cellStyle name="Entrada 2 36 13 2" xfId="33062"/>
    <cellStyle name="Entrada 2 36 14" xfId="33063"/>
    <cellStyle name="Entrada 2 36 2" xfId="2294"/>
    <cellStyle name="Entrada 2 36 2 2" xfId="33064"/>
    <cellStyle name="Entrada 2 36 3" xfId="2295"/>
    <cellStyle name="Entrada 2 36 3 2" xfId="33065"/>
    <cellStyle name="Entrada 2 36 4" xfId="2296"/>
    <cellStyle name="Entrada 2 36 4 2" xfId="33066"/>
    <cellStyle name="Entrada 2 36 5" xfId="2297"/>
    <cellStyle name="Entrada 2 36 5 2" xfId="33067"/>
    <cellStyle name="Entrada 2 36 6" xfId="2298"/>
    <cellStyle name="Entrada 2 36 6 2" xfId="33068"/>
    <cellStyle name="Entrada 2 36 7" xfId="2299"/>
    <cellStyle name="Entrada 2 36 7 2" xfId="33069"/>
    <cellStyle name="Entrada 2 36 8" xfId="2300"/>
    <cellStyle name="Entrada 2 36 8 2" xfId="33070"/>
    <cellStyle name="Entrada 2 36 9" xfId="2301"/>
    <cellStyle name="Entrada 2 36 9 2" xfId="33071"/>
    <cellStyle name="Entrada 2 37" xfId="2302"/>
    <cellStyle name="Entrada 2 37 10" xfId="2303"/>
    <cellStyle name="Entrada 2 37 10 2" xfId="33072"/>
    <cellStyle name="Entrada 2 37 11" xfId="2304"/>
    <cellStyle name="Entrada 2 37 11 2" xfId="33073"/>
    <cellStyle name="Entrada 2 37 12" xfId="2305"/>
    <cellStyle name="Entrada 2 37 12 2" xfId="33074"/>
    <cellStyle name="Entrada 2 37 13" xfId="2306"/>
    <cellStyle name="Entrada 2 37 13 2" xfId="33075"/>
    <cellStyle name="Entrada 2 37 14" xfId="33076"/>
    <cellStyle name="Entrada 2 37 2" xfId="2307"/>
    <cellStyle name="Entrada 2 37 2 2" xfId="33077"/>
    <cellStyle name="Entrada 2 37 3" xfId="2308"/>
    <cellStyle name="Entrada 2 37 3 2" xfId="33078"/>
    <cellStyle name="Entrada 2 37 4" xfId="2309"/>
    <cellStyle name="Entrada 2 37 4 2" xfId="33079"/>
    <cellStyle name="Entrada 2 37 5" xfId="2310"/>
    <cellStyle name="Entrada 2 37 5 2" xfId="33080"/>
    <cellStyle name="Entrada 2 37 6" xfId="2311"/>
    <cellStyle name="Entrada 2 37 6 2" xfId="33081"/>
    <cellStyle name="Entrada 2 37 7" xfId="2312"/>
    <cellStyle name="Entrada 2 37 7 2" xfId="33082"/>
    <cellStyle name="Entrada 2 37 8" xfId="2313"/>
    <cellStyle name="Entrada 2 37 8 2" xfId="33083"/>
    <cellStyle name="Entrada 2 37 9" xfId="2314"/>
    <cellStyle name="Entrada 2 37 9 2" xfId="33084"/>
    <cellStyle name="Entrada 2 38" xfId="2315"/>
    <cellStyle name="Entrada 2 38 10" xfId="2316"/>
    <cellStyle name="Entrada 2 38 10 2" xfId="33085"/>
    <cellStyle name="Entrada 2 38 11" xfId="2317"/>
    <cellStyle name="Entrada 2 38 11 2" xfId="33086"/>
    <cellStyle name="Entrada 2 38 12" xfId="2318"/>
    <cellStyle name="Entrada 2 38 12 2" xfId="33087"/>
    <cellStyle name="Entrada 2 38 13" xfId="2319"/>
    <cellStyle name="Entrada 2 38 13 2" xfId="33088"/>
    <cellStyle name="Entrada 2 38 14" xfId="33089"/>
    <cellStyle name="Entrada 2 38 2" xfId="2320"/>
    <cellStyle name="Entrada 2 38 2 2" xfId="33090"/>
    <cellStyle name="Entrada 2 38 3" xfId="2321"/>
    <cellStyle name="Entrada 2 38 3 2" xfId="33091"/>
    <cellStyle name="Entrada 2 38 4" xfId="2322"/>
    <cellStyle name="Entrada 2 38 4 2" xfId="33092"/>
    <cellStyle name="Entrada 2 38 5" xfId="2323"/>
    <cellStyle name="Entrada 2 38 5 2" xfId="33093"/>
    <cellStyle name="Entrada 2 38 6" xfId="2324"/>
    <cellStyle name="Entrada 2 38 6 2" xfId="33094"/>
    <cellStyle name="Entrada 2 38 7" xfId="2325"/>
    <cellStyle name="Entrada 2 38 7 2" xfId="33095"/>
    <cellStyle name="Entrada 2 38 8" xfId="2326"/>
    <cellStyle name="Entrada 2 38 8 2" xfId="33096"/>
    <cellStyle name="Entrada 2 38 9" xfId="2327"/>
    <cellStyle name="Entrada 2 38 9 2" xfId="33097"/>
    <cellStyle name="Entrada 2 39" xfId="2328"/>
    <cellStyle name="Entrada 2 39 10" xfId="2329"/>
    <cellStyle name="Entrada 2 39 10 2" xfId="33098"/>
    <cellStyle name="Entrada 2 39 11" xfId="2330"/>
    <cellStyle name="Entrada 2 39 11 2" xfId="33099"/>
    <cellStyle name="Entrada 2 39 12" xfId="2331"/>
    <cellStyle name="Entrada 2 39 12 2" xfId="33100"/>
    <cellStyle name="Entrada 2 39 13" xfId="2332"/>
    <cellStyle name="Entrada 2 39 13 2" xfId="33101"/>
    <cellStyle name="Entrada 2 39 14" xfId="33102"/>
    <cellStyle name="Entrada 2 39 2" xfId="2333"/>
    <cellStyle name="Entrada 2 39 2 2" xfId="33103"/>
    <cellStyle name="Entrada 2 39 3" xfId="2334"/>
    <cellStyle name="Entrada 2 39 3 2" xfId="33104"/>
    <cellStyle name="Entrada 2 39 4" xfId="2335"/>
    <cellStyle name="Entrada 2 39 4 2" xfId="33105"/>
    <cellStyle name="Entrada 2 39 5" xfId="2336"/>
    <cellStyle name="Entrada 2 39 5 2" xfId="33106"/>
    <cellStyle name="Entrada 2 39 6" xfId="2337"/>
    <cellStyle name="Entrada 2 39 6 2" xfId="33107"/>
    <cellStyle name="Entrada 2 39 7" xfId="2338"/>
    <cellStyle name="Entrada 2 39 7 2" xfId="33108"/>
    <cellStyle name="Entrada 2 39 8" xfId="2339"/>
    <cellStyle name="Entrada 2 39 8 2" xfId="33109"/>
    <cellStyle name="Entrada 2 39 9" xfId="2340"/>
    <cellStyle name="Entrada 2 39 9 2" xfId="33110"/>
    <cellStyle name="Entrada 2 4" xfId="2341"/>
    <cellStyle name="Entrada 2 4 10" xfId="2342"/>
    <cellStyle name="Entrada 2 4 10 2" xfId="33111"/>
    <cellStyle name="Entrada 2 4 11" xfId="2343"/>
    <cellStyle name="Entrada 2 4 11 2" xfId="33112"/>
    <cellStyle name="Entrada 2 4 12" xfId="2344"/>
    <cellStyle name="Entrada 2 4 12 2" xfId="33113"/>
    <cellStyle name="Entrada 2 4 13" xfId="2345"/>
    <cellStyle name="Entrada 2 4 13 2" xfId="33114"/>
    <cellStyle name="Entrada 2 4 14" xfId="33115"/>
    <cellStyle name="Entrada 2 4 2" xfId="2346"/>
    <cellStyle name="Entrada 2 4 2 2" xfId="33116"/>
    <cellStyle name="Entrada 2 4 3" xfId="2347"/>
    <cellStyle name="Entrada 2 4 3 2" xfId="33117"/>
    <cellStyle name="Entrada 2 4 4" xfId="2348"/>
    <cellStyle name="Entrada 2 4 4 2" xfId="33118"/>
    <cellStyle name="Entrada 2 4 5" xfId="2349"/>
    <cellStyle name="Entrada 2 4 5 2" xfId="33119"/>
    <cellStyle name="Entrada 2 4 6" xfId="2350"/>
    <cellStyle name="Entrada 2 4 6 2" xfId="33120"/>
    <cellStyle name="Entrada 2 4 7" xfId="2351"/>
    <cellStyle name="Entrada 2 4 7 2" xfId="33121"/>
    <cellStyle name="Entrada 2 4 8" xfId="2352"/>
    <cellStyle name="Entrada 2 4 8 2" xfId="33122"/>
    <cellStyle name="Entrada 2 4 9" xfId="2353"/>
    <cellStyle name="Entrada 2 4 9 2" xfId="33123"/>
    <cellStyle name="Entrada 2 40" xfId="2354"/>
    <cellStyle name="Entrada 2 40 10" xfId="2355"/>
    <cellStyle name="Entrada 2 40 10 2" xfId="33124"/>
    <cellStyle name="Entrada 2 40 11" xfId="2356"/>
    <cellStyle name="Entrada 2 40 11 2" xfId="33125"/>
    <cellStyle name="Entrada 2 40 12" xfId="2357"/>
    <cellStyle name="Entrada 2 40 12 2" xfId="33126"/>
    <cellStyle name="Entrada 2 40 13" xfId="2358"/>
    <cellStyle name="Entrada 2 40 13 2" xfId="33127"/>
    <cellStyle name="Entrada 2 40 14" xfId="33128"/>
    <cellStyle name="Entrada 2 40 2" xfId="2359"/>
    <cellStyle name="Entrada 2 40 2 2" xfId="33129"/>
    <cellStyle name="Entrada 2 40 3" xfId="2360"/>
    <cellStyle name="Entrada 2 40 3 2" xfId="33130"/>
    <cellStyle name="Entrada 2 40 4" xfId="2361"/>
    <cellStyle name="Entrada 2 40 4 2" xfId="33131"/>
    <cellStyle name="Entrada 2 40 5" xfId="2362"/>
    <cellStyle name="Entrada 2 40 5 2" xfId="33132"/>
    <cellStyle name="Entrada 2 40 6" xfId="2363"/>
    <cellStyle name="Entrada 2 40 6 2" xfId="33133"/>
    <cellStyle name="Entrada 2 40 7" xfId="2364"/>
    <cellStyle name="Entrada 2 40 7 2" xfId="33134"/>
    <cellStyle name="Entrada 2 40 8" xfId="2365"/>
    <cellStyle name="Entrada 2 40 8 2" xfId="33135"/>
    <cellStyle name="Entrada 2 40 9" xfId="2366"/>
    <cellStyle name="Entrada 2 40 9 2" xfId="33136"/>
    <cellStyle name="Entrada 2 41" xfId="2367"/>
    <cellStyle name="Entrada 2 41 10" xfId="2368"/>
    <cellStyle name="Entrada 2 41 10 2" xfId="33137"/>
    <cellStyle name="Entrada 2 41 11" xfId="2369"/>
    <cellStyle name="Entrada 2 41 11 2" xfId="33138"/>
    <cellStyle name="Entrada 2 41 12" xfId="2370"/>
    <cellStyle name="Entrada 2 41 12 2" xfId="33139"/>
    <cellStyle name="Entrada 2 41 13" xfId="2371"/>
    <cellStyle name="Entrada 2 41 13 2" xfId="33140"/>
    <cellStyle name="Entrada 2 41 14" xfId="33141"/>
    <cellStyle name="Entrada 2 41 2" xfId="2372"/>
    <cellStyle name="Entrada 2 41 2 2" xfId="33142"/>
    <cellStyle name="Entrada 2 41 3" xfId="2373"/>
    <cellStyle name="Entrada 2 41 3 2" xfId="33143"/>
    <cellStyle name="Entrada 2 41 4" xfId="2374"/>
    <cellStyle name="Entrada 2 41 4 2" xfId="33144"/>
    <cellStyle name="Entrada 2 41 5" xfId="2375"/>
    <cellStyle name="Entrada 2 41 5 2" xfId="33145"/>
    <cellStyle name="Entrada 2 41 6" xfId="2376"/>
    <cellStyle name="Entrada 2 41 6 2" xfId="33146"/>
    <cellStyle name="Entrada 2 41 7" xfId="2377"/>
    <cellStyle name="Entrada 2 41 7 2" xfId="33147"/>
    <cellStyle name="Entrada 2 41 8" xfId="2378"/>
    <cellStyle name="Entrada 2 41 8 2" xfId="33148"/>
    <cellStyle name="Entrada 2 41 9" xfId="2379"/>
    <cellStyle name="Entrada 2 41 9 2" xfId="33149"/>
    <cellStyle name="Entrada 2 42" xfId="2380"/>
    <cellStyle name="Entrada 2 42 10" xfId="2381"/>
    <cellStyle name="Entrada 2 42 10 2" xfId="33150"/>
    <cellStyle name="Entrada 2 42 11" xfId="2382"/>
    <cellStyle name="Entrada 2 42 11 2" xfId="33151"/>
    <cellStyle name="Entrada 2 42 12" xfId="2383"/>
    <cellStyle name="Entrada 2 42 12 2" xfId="33152"/>
    <cellStyle name="Entrada 2 42 13" xfId="2384"/>
    <cellStyle name="Entrada 2 42 13 2" xfId="33153"/>
    <cellStyle name="Entrada 2 42 14" xfId="33154"/>
    <cellStyle name="Entrada 2 42 2" xfId="2385"/>
    <cellStyle name="Entrada 2 42 2 2" xfId="33155"/>
    <cellStyle name="Entrada 2 42 3" xfId="2386"/>
    <cellStyle name="Entrada 2 42 3 2" xfId="33156"/>
    <cellStyle name="Entrada 2 42 4" xfId="2387"/>
    <cellStyle name="Entrada 2 42 4 2" xfId="33157"/>
    <cellStyle name="Entrada 2 42 5" xfId="2388"/>
    <cellStyle name="Entrada 2 42 5 2" xfId="33158"/>
    <cellStyle name="Entrada 2 42 6" xfId="2389"/>
    <cellStyle name="Entrada 2 42 6 2" xfId="33159"/>
    <cellStyle name="Entrada 2 42 7" xfId="2390"/>
    <cellStyle name="Entrada 2 42 7 2" xfId="33160"/>
    <cellStyle name="Entrada 2 42 8" xfId="2391"/>
    <cellStyle name="Entrada 2 42 8 2" xfId="33161"/>
    <cellStyle name="Entrada 2 42 9" xfId="2392"/>
    <cellStyle name="Entrada 2 42 9 2" xfId="33162"/>
    <cellStyle name="Entrada 2 43" xfId="2393"/>
    <cellStyle name="Entrada 2 43 10" xfId="2394"/>
    <cellStyle name="Entrada 2 43 10 2" xfId="33163"/>
    <cellStyle name="Entrada 2 43 11" xfId="2395"/>
    <cellStyle name="Entrada 2 43 11 2" xfId="33164"/>
    <cellStyle name="Entrada 2 43 12" xfId="2396"/>
    <cellStyle name="Entrada 2 43 12 2" xfId="33165"/>
    <cellStyle name="Entrada 2 43 13" xfId="2397"/>
    <cellStyle name="Entrada 2 43 13 2" xfId="33166"/>
    <cellStyle name="Entrada 2 43 14" xfId="33167"/>
    <cellStyle name="Entrada 2 43 2" xfId="2398"/>
    <cellStyle name="Entrada 2 43 2 2" xfId="33168"/>
    <cellStyle name="Entrada 2 43 3" xfId="2399"/>
    <cellStyle name="Entrada 2 43 3 2" xfId="33169"/>
    <cellStyle name="Entrada 2 43 4" xfId="2400"/>
    <cellStyle name="Entrada 2 43 4 2" xfId="33170"/>
    <cellStyle name="Entrada 2 43 5" xfId="2401"/>
    <cellStyle name="Entrada 2 43 5 2" xfId="33171"/>
    <cellStyle name="Entrada 2 43 6" xfId="2402"/>
    <cellStyle name="Entrada 2 43 6 2" xfId="33172"/>
    <cellStyle name="Entrada 2 43 7" xfId="2403"/>
    <cellStyle name="Entrada 2 43 7 2" xfId="33173"/>
    <cellStyle name="Entrada 2 43 8" xfId="2404"/>
    <cellStyle name="Entrada 2 43 8 2" xfId="33174"/>
    <cellStyle name="Entrada 2 43 9" xfId="2405"/>
    <cellStyle name="Entrada 2 43 9 2" xfId="33175"/>
    <cellStyle name="Entrada 2 44" xfId="2406"/>
    <cellStyle name="Entrada 2 44 10" xfId="2407"/>
    <cellStyle name="Entrada 2 44 10 2" xfId="33176"/>
    <cellStyle name="Entrada 2 44 11" xfId="2408"/>
    <cellStyle name="Entrada 2 44 11 2" xfId="33177"/>
    <cellStyle name="Entrada 2 44 12" xfId="2409"/>
    <cellStyle name="Entrada 2 44 12 2" xfId="33178"/>
    <cellStyle name="Entrada 2 44 13" xfId="2410"/>
    <cellStyle name="Entrada 2 44 13 2" xfId="33179"/>
    <cellStyle name="Entrada 2 44 14" xfId="33180"/>
    <cellStyle name="Entrada 2 44 2" xfId="2411"/>
    <cellStyle name="Entrada 2 44 2 2" xfId="33181"/>
    <cellStyle name="Entrada 2 44 3" xfId="2412"/>
    <cellStyle name="Entrada 2 44 3 2" xfId="33182"/>
    <cellStyle name="Entrada 2 44 4" xfId="2413"/>
    <cellStyle name="Entrada 2 44 4 2" xfId="33183"/>
    <cellStyle name="Entrada 2 44 5" xfId="2414"/>
    <cellStyle name="Entrada 2 44 5 2" xfId="33184"/>
    <cellStyle name="Entrada 2 44 6" xfId="2415"/>
    <cellStyle name="Entrada 2 44 6 2" xfId="33185"/>
    <cellStyle name="Entrada 2 44 7" xfId="2416"/>
    <cellStyle name="Entrada 2 44 7 2" xfId="33186"/>
    <cellStyle name="Entrada 2 44 8" xfId="2417"/>
    <cellStyle name="Entrada 2 44 8 2" xfId="33187"/>
    <cellStyle name="Entrada 2 44 9" xfId="2418"/>
    <cellStyle name="Entrada 2 44 9 2" xfId="33188"/>
    <cellStyle name="Entrada 2 45" xfId="2419"/>
    <cellStyle name="Entrada 2 45 10" xfId="2420"/>
    <cellStyle name="Entrada 2 45 10 2" xfId="33189"/>
    <cellStyle name="Entrada 2 45 11" xfId="2421"/>
    <cellStyle name="Entrada 2 45 11 2" xfId="33190"/>
    <cellStyle name="Entrada 2 45 12" xfId="2422"/>
    <cellStyle name="Entrada 2 45 12 2" xfId="33191"/>
    <cellStyle name="Entrada 2 45 13" xfId="2423"/>
    <cellStyle name="Entrada 2 45 13 2" xfId="33192"/>
    <cellStyle name="Entrada 2 45 14" xfId="33193"/>
    <cellStyle name="Entrada 2 45 2" xfId="2424"/>
    <cellStyle name="Entrada 2 45 2 2" xfId="33194"/>
    <cellStyle name="Entrada 2 45 3" xfId="2425"/>
    <cellStyle name="Entrada 2 45 3 2" xfId="33195"/>
    <cellStyle name="Entrada 2 45 4" xfId="2426"/>
    <cellStyle name="Entrada 2 45 4 2" xfId="33196"/>
    <cellStyle name="Entrada 2 45 5" xfId="2427"/>
    <cellStyle name="Entrada 2 45 5 2" xfId="33197"/>
    <cellStyle name="Entrada 2 45 6" xfId="2428"/>
    <cellStyle name="Entrada 2 45 6 2" xfId="33198"/>
    <cellStyle name="Entrada 2 45 7" xfId="2429"/>
    <cellStyle name="Entrada 2 45 7 2" xfId="33199"/>
    <cellStyle name="Entrada 2 45 8" xfId="2430"/>
    <cellStyle name="Entrada 2 45 8 2" xfId="33200"/>
    <cellStyle name="Entrada 2 45 9" xfId="2431"/>
    <cellStyle name="Entrada 2 45 9 2" xfId="33201"/>
    <cellStyle name="Entrada 2 46" xfId="2432"/>
    <cellStyle name="Entrada 2 46 10" xfId="2433"/>
    <cellStyle name="Entrada 2 46 10 2" xfId="33202"/>
    <cellStyle name="Entrada 2 46 11" xfId="2434"/>
    <cellStyle name="Entrada 2 46 11 2" xfId="33203"/>
    <cellStyle name="Entrada 2 46 12" xfId="2435"/>
    <cellStyle name="Entrada 2 46 12 2" xfId="33204"/>
    <cellStyle name="Entrada 2 46 13" xfId="2436"/>
    <cellStyle name="Entrada 2 46 13 2" xfId="33205"/>
    <cellStyle name="Entrada 2 46 14" xfId="33206"/>
    <cellStyle name="Entrada 2 46 2" xfId="2437"/>
    <cellStyle name="Entrada 2 46 2 2" xfId="33207"/>
    <cellStyle name="Entrada 2 46 3" xfId="2438"/>
    <cellStyle name="Entrada 2 46 3 2" xfId="33208"/>
    <cellStyle name="Entrada 2 46 4" xfId="2439"/>
    <cellStyle name="Entrada 2 46 4 2" xfId="33209"/>
    <cellStyle name="Entrada 2 46 5" xfId="2440"/>
    <cellStyle name="Entrada 2 46 5 2" xfId="33210"/>
    <cellStyle name="Entrada 2 46 6" xfId="2441"/>
    <cellStyle name="Entrada 2 46 6 2" xfId="33211"/>
    <cellStyle name="Entrada 2 46 7" xfId="2442"/>
    <cellStyle name="Entrada 2 46 7 2" xfId="33212"/>
    <cellStyle name="Entrada 2 46 8" xfId="2443"/>
    <cellStyle name="Entrada 2 46 8 2" xfId="33213"/>
    <cellStyle name="Entrada 2 46 9" xfId="2444"/>
    <cellStyle name="Entrada 2 46 9 2" xfId="33214"/>
    <cellStyle name="Entrada 2 47" xfId="2445"/>
    <cellStyle name="Entrada 2 47 10" xfId="2446"/>
    <cellStyle name="Entrada 2 47 10 2" xfId="33215"/>
    <cellStyle name="Entrada 2 47 11" xfId="2447"/>
    <cellStyle name="Entrada 2 47 11 2" xfId="33216"/>
    <cellStyle name="Entrada 2 47 12" xfId="2448"/>
    <cellStyle name="Entrada 2 47 12 2" xfId="33217"/>
    <cellStyle name="Entrada 2 47 13" xfId="2449"/>
    <cellStyle name="Entrada 2 47 13 2" xfId="33218"/>
    <cellStyle name="Entrada 2 47 14" xfId="33219"/>
    <cellStyle name="Entrada 2 47 2" xfId="2450"/>
    <cellStyle name="Entrada 2 47 2 2" xfId="33220"/>
    <cellStyle name="Entrada 2 47 3" xfId="2451"/>
    <cellStyle name="Entrada 2 47 3 2" xfId="33221"/>
    <cellStyle name="Entrada 2 47 4" xfId="2452"/>
    <cellStyle name="Entrada 2 47 4 2" xfId="33222"/>
    <cellStyle name="Entrada 2 47 5" xfId="2453"/>
    <cellStyle name="Entrada 2 47 5 2" xfId="33223"/>
    <cellStyle name="Entrada 2 47 6" xfId="2454"/>
    <cellStyle name="Entrada 2 47 6 2" xfId="33224"/>
    <cellStyle name="Entrada 2 47 7" xfId="2455"/>
    <cellStyle name="Entrada 2 47 7 2" xfId="33225"/>
    <cellStyle name="Entrada 2 47 8" xfId="2456"/>
    <cellStyle name="Entrada 2 47 8 2" xfId="33226"/>
    <cellStyle name="Entrada 2 47 9" xfId="2457"/>
    <cellStyle name="Entrada 2 47 9 2" xfId="33227"/>
    <cellStyle name="Entrada 2 48" xfId="2458"/>
    <cellStyle name="Entrada 2 48 10" xfId="2459"/>
    <cellStyle name="Entrada 2 48 10 2" xfId="33228"/>
    <cellStyle name="Entrada 2 48 11" xfId="2460"/>
    <cellStyle name="Entrada 2 48 11 2" xfId="33229"/>
    <cellStyle name="Entrada 2 48 12" xfId="2461"/>
    <cellStyle name="Entrada 2 48 12 2" xfId="33230"/>
    <cellStyle name="Entrada 2 48 13" xfId="2462"/>
    <cellStyle name="Entrada 2 48 13 2" xfId="33231"/>
    <cellStyle name="Entrada 2 48 14" xfId="33232"/>
    <cellStyle name="Entrada 2 48 2" xfId="2463"/>
    <cellStyle name="Entrada 2 48 2 2" xfId="33233"/>
    <cellStyle name="Entrada 2 48 3" xfId="2464"/>
    <cellStyle name="Entrada 2 48 3 2" xfId="33234"/>
    <cellStyle name="Entrada 2 48 4" xfId="2465"/>
    <cellStyle name="Entrada 2 48 4 2" xfId="33235"/>
    <cellStyle name="Entrada 2 48 5" xfId="2466"/>
    <cellStyle name="Entrada 2 48 5 2" xfId="33236"/>
    <cellStyle name="Entrada 2 48 6" xfId="2467"/>
    <cellStyle name="Entrada 2 48 6 2" xfId="33237"/>
    <cellStyle name="Entrada 2 48 7" xfId="2468"/>
    <cellStyle name="Entrada 2 48 7 2" xfId="33238"/>
    <cellStyle name="Entrada 2 48 8" xfId="2469"/>
    <cellStyle name="Entrada 2 48 8 2" xfId="33239"/>
    <cellStyle name="Entrada 2 48 9" xfId="2470"/>
    <cellStyle name="Entrada 2 48 9 2" xfId="33240"/>
    <cellStyle name="Entrada 2 49" xfId="2471"/>
    <cellStyle name="Entrada 2 49 10" xfId="2472"/>
    <cellStyle name="Entrada 2 49 10 2" xfId="33241"/>
    <cellStyle name="Entrada 2 49 11" xfId="2473"/>
    <cellStyle name="Entrada 2 49 11 2" xfId="33242"/>
    <cellStyle name="Entrada 2 49 12" xfId="2474"/>
    <cellStyle name="Entrada 2 49 12 2" xfId="33243"/>
    <cellStyle name="Entrada 2 49 13" xfId="2475"/>
    <cellStyle name="Entrada 2 49 13 2" xfId="33244"/>
    <cellStyle name="Entrada 2 49 14" xfId="33245"/>
    <cellStyle name="Entrada 2 49 2" xfId="2476"/>
    <cellStyle name="Entrada 2 49 2 2" xfId="33246"/>
    <cellStyle name="Entrada 2 49 3" xfId="2477"/>
    <cellStyle name="Entrada 2 49 3 2" xfId="33247"/>
    <cellStyle name="Entrada 2 49 4" xfId="2478"/>
    <cellStyle name="Entrada 2 49 4 2" xfId="33248"/>
    <cellStyle name="Entrada 2 49 5" xfId="2479"/>
    <cellStyle name="Entrada 2 49 5 2" xfId="33249"/>
    <cellStyle name="Entrada 2 49 6" xfId="2480"/>
    <cellStyle name="Entrada 2 49 6 2" xfId="33250"/>
    <cellStyle name="Entrada 2 49 7" xfId="2481"/>
    <cellStyle name="Entrada 2 49 7 2" xfId="33251"/>
    <cellStyle name="Entrada 2 49 8" xfId="2482"/>
    <cellStyle name="Entrada 2 49 8 2" xfId="33252"/>
    <cellStyle name="Entrada 2 49 9" xfId="2483"/>
    <cellStyle name="Entrada 2 49 9 2" xfId="33253"/>
    <cellStyle name="Entrada 2 5" xfId="2484"/>
    <cellStyle name="Entrada 2 5 10" xfId="2485"/>
    <cellStyle name="Entrada 2 5 10 2" xfId="33254"/>
    <cellStyle name="Entrada 2 5 11" xfId="2486"/>
    <cellStyle name="Entrada 2 5 11 2" xfId="33255"/>
    <cellStyle name="Entrada 2 5 12" xfId="2487"/>
    <cellStyle name="Entrada 2 5 12 2" xfId="33256"/>
    <cellStyle name="Entrada 2 5 13" xfId="2488"/>
    <cellStyle name="Entrada 2 5 13 2" xfId="33257"/>
    <cellStyle name="Entrada 2 5 14" xfId="33258"/>
    <cellStyle name="Entrada 2 5 2" xfId="2489"/>
    <cellStyle name="Entrada 2 5 2 2" xfId="33259"/>
    <cellStyle name="Entrada 2 5 3" xfId="2490"/>
    <cellStyle name="Entrada 2 5 3 2" xfId="33260"/>
    <cellStyle name="Entrada 2 5 4" xfId="2491"/>
    <cellStyle name="Entrada 2 5 4 2" xfId="33261"/>
    <cellStyle name="Entrada 2 5 5" xfId="2492"/>
    <cellStyle name="Entrada 2 5 5 2" xfId="33262"/>
    <cellStyle name="Entrada 2 5 6" xfId="2493"/>
    <cellStyle name="Entrada 2 5 6 2" xfId="33263"/>
    <cellStyle name="Entrada 2 5 7" xfId="2494"/>
    <cellStyle name="Entrada 2 5 7 2" xfId="33264"/>
    <cellStyle name="Entrada 2 5 8" xfId="2495"/>
    <cellStyle name="Entrada 2 5 8 2" xfId="33265"/>
    <cellStyle name="Entrada 2 5 9" xfId="2496"/>
    <cellStyle name="Entrada 2 5 9 2" xfId="33266"/>
    <cellStyle name="Entrada 2 50" xfId="2497"/>
    <cellStyle name="Entrada 2 50 10" xfId="2498"/>
    <cellStyle name="Entrada 2 50 10 2" xfId="33267"/>
    <cellStyle name="Entrada 2 50 11" xfId="2499"/>
    <cellStyle name="Entrada 2 50 11 2" xfId="33268"/>
    <cellStyle name="Entrada 2 50 12" xfId="2500"/>
    <cellStyle name="Entrada 2 50 12 2" xfId="33269"/>
    <cellStyle name="Entrada 2 50 13" xfId="2501"/>
    <cellStyle name="Entrada 2 50 13 2" xfId="33270"/>
    <cellStyle name="Entrada 2 50 14" xfId="33271"/>
    <cellStyle name="Entrada 2 50 2" xfId="2502"/>
    <cellStyle name="Entrada 2 50 2 2" xfId="33272"/>
    <cellStyle name="Entrada 2 50 3" xfId="2503"/>
    <cellStyle name="Entrada 2 50 3 2" xfId="33273"/>
    <cellStyle name="Entrada 2 50 4" xfId="2504"/>
    <cellStyle name="Entrada 2 50 4 2" xfId="33274"/>
    <cellStyle name="Entrada 2 50 5" xfId="2505"/>
    <cellStyle name="Entrada 2 50 5 2" xfId="33275"/>
    <cellStyle name="Entrada 2 50 6" xfId="2506"/>
    <cellStyle name="Entrada 2 50 6 2" xfId="33276"/>
    <cellStyle name="Entrada 2 50 7" xfId="2507"/>
    <cellStyle name="Entrada 2 50 7 2" xfId="33277"/>
    <cellStyle name="Entrada 2 50 8" xfId="2508"/>
    <cellStyle name="Entrada 2 50 8 2" xfId="33278"/>
    <cellStyle name="Entrada 2 50 9" xfId="2509"/>
    <cellStyle name="Entrada 2 50 9 2" xfId="33279"/>
    <cellStyle name="Entrada 2 51" xfId="2510"/>
    <cellStyle name="Entrada 2 51 10" xfId="2511"/>
    <cellStyle name="Entrada 2 51 10 2" xfId="33280"/>
    <cellStyle name="Entrada 2 51 11" xfId="2512"/>
    <cellStyle name="Entrada 2 51 11 2" xfId="33281"/>
    <cellStyle name="Entrada 2 51 12" xfId="2513"/>
    <cellStyle name="Entrada 2 51 12 2" xfId="33282"/>
    <cellStyle name="Entrada 2 51 13" xfId="2514"/>
    <cellStyle name="Entrada 2 51 13 2" xfId="33283"/>
    <cellStyle name="Entrada 2 51 14" xfId="33284"/>
    <cellStyle name="Entrada 2 51 2" xfId="2515"/>
    <cellStyle name="Entrada 2 51 2 2" xfId="33285"/>
    <cellStyle name="Entrada 2 51 3" xfId="2516"/>
    <cellStyle name="Entrada 2 51 3 2" xfId="33286"/>
    <cellStyle name="Entrada 2 51 4" xfId="2517"/>
    <cellStyle name="Entrada 2 51 4 2" xfId="33287"/>
    <cellStyle name="Entrada 2 51 5" xfId="2518"/>
    <cellStyle name="Entrada 2 51 5 2" xfId="33288"/>
    <cellStyle name="Entrada 2 51 6" xfId="2519"/>
    <cellStyle name="Entrada 2 51 6 2" xfId="33289"/>
    <cellStyle name="Entrada 2 51 7" xfId="2520"/>
    <cellStyle name="Entrada 2 51 7 2" xfId="33290"/>
    <cellStyle name="Entrada 2 51 8" xfId="2521"/>
    <cellStyle name="Entrada 2 51 8 2" xfId="33291"/>
    <cellStyle name="Entrada 2 51 9" xfId="2522"/>
    <cellStyle name="Entrada 2 51 9 2" xfId="33292"/>
    <cellStyle name="Entrada 2 52" xfId="2523"/>
    <cellStyle name="Entrada 2 52 10" xfId="2524"/>
    <cellStyle name="Entrada 2 52 10 2" xfId="33293"/>
    <cellStyle name="Entrada 2 52 11" xfId="2525"/>
    <cellStyle name="Entrada 2 52 11 2" xfId="33294"/>
    <cellStyle name="Entrada 2 52 12" xfId="2526"/>
    <cellStyle name="Entrada 2 52 12 2" xfId="33295"/>
    <cellStyle name="Entrada 2 52 13" xfId="2527"/>
    <cellStyle name="Entrada 2 52 13 2" xfId="33296"/>
    <cellStyle name="Entrada 2 52 14" xfId="33297"/>
    <cellStyle name="Entrada 2 52 2" xfId="2528"/>
    <cellStyle name="Entrada 2 52 2 2" xfId="33298"/>
    <cellStyle name="Entrada 2 52 3" xfId="2529"/>
    <cellStyle name="Entrada 2 52 3 2" xfId="33299"/>
    <cellStyle name="Entrada 2 52 4" xfId="2530"/>
    <cellStyle name="Entrada 2 52 4 2" xfId="33300"/>
    <cellStyle name="Entrada 2 52 5" xfId="2531"/>
    <cellStyle name="Entrada 2 52 5 2" xfId="33301"/>
    <cellStyle name="Entrada 2 52 6" xfId="2532"/>
    <cellStyle name="Entrada 2 52 6 2" xfId="33302"/>
    <cellStyle name="Entrada 2 52 7" xfId="2533"/>
    <cellStyle name="Entrada 2 52 7 2" xfId="33303"/>
    <cellStyle name="Entrada 2 52 8" xfId="2534"/>
    <cellStyle name="Entrada 2 52 8 2" xfId="33304"/>
    <cellStyle name="Entrada 2 52 9" xfId="2535"/>
    <cellStyle name="Entrada 2 52 9 2" xfId="33305"/>
    <cellStyle name="Entrada 2 53" xfId="2536"/>
    <cellStyle name="Entrada 2 53 10" xfId="2537"/>
    <cellStyle name="Entrada 2 53 10 2" xfId="33306"/>
    <cellStyle name="Entrada 2 53 11" xfId="2538"/>
    <cellStyle name="Entrada 2 53 11 2" xfId="33307"/>
    <cellStyle name="Entrada 2 53 12" xfId="2539"/>
    <cellStyle name="Entrada 2 53 12 2" xfId="33308"/>
    <cellStyle name="Entrada 2 53 13" xfId="2540"/>
    <cellStyle name="Entrada 2 53 13 2" xfId="33309"/>
    <cellStyle name="Entrada 2 53 14" xfId="33310"/>
    <cellStyle name="Entrada 2 53 2" xfId="2541"/>
    <cellStyle name="Entrada 2 53 2 2" xfId="33311"/>
    <cellStyle name="Entrada 2 53 3" xfId="2542"/>
    <cellStyle name="Entrada 2 53 3 2" xfId="33312"/>
    <cellStyle name="Entrada 2 53 4" xfId="2543"/>
    <cellStyle name="Entrada 2 53 4 2" xfId="33313"/>
    <cellStyle name="Entrada 2 53 5" xfId="2544"/>
    <cellStyle name="Entrada 2 53 5 2" xfId="33314"/>
    <cellStyle name="Entrada 2 53 6" xfId="2545"/>
    <cellStyle name="Entrada 2 53 6 2" xfId="33315"/>
    <cellStyle name="Entrada 2 53 7" xfId="2546"/>
    <cellStyle name="Entrada 2 53 7 2" xfId="33316"/>
    <cellStyle name="Entrada 2 53 8" xfId="2547"/>
    <cellStyle name="Entrada 2 53 8 2" xfId="33317"/>
    <cellStyle name="Entrada 2 53 9" xfId="2548"/>
    <cellStyle name="Entrada 2 53 9 2" xfId="33318"/>
    <cellStyle name="Entrada 2 54" xfId="2549"/>
    <cellStyle name="Entrada 2 54 10" xfId="2550"/>
    <cellStyle name="Entrada 2 54 10 2" xfId="33319"/>
    <cellStyle name="Entrada 2 54 11" xfId="2551"/>
    <cellStyle name="Entrada 2 54 11 2" xfId="33320"/>
    <cellStyle name="Entrada 2 54 12" xfId="2552"/>
    <cellStyle name="Entrada 2 54 12 2" xfId="33321"/>
    <cellStyle name="Entrada 2 54 13" xfId="2553"/>
    <cellStyle name="Entrada 2 54 13 2" xfId="33322"/>
    <cellStyle name="Entrada 2 54 14" xfId="33323"/>
    <cellStyle name="Entrada 2 54 2" xfId="2554"/>
    <cellStyle name="Entrada 2 54 2 2" xfId="33324"/>
    <cellStyle name="Entrada 2 54 3" xfId="2555"/>
    <cellStyle name="Entrada 2 54 3 2" xfId="33325"/>
    <cellStyle name="Entrada 2 54 4" xfId="2556"/>
    <cellStyle name="Entrada 2 54 4 2" xfId="33326"/>
    <cellStyle name="Entrada 2 54 5" xfId="2557"/>
    <cellStyle name="Entrada 2 54 5 2" xfId="33327"/>
    <cellStyle name="Entrada 2 54 6" xfId="2558"/>
    <cellStyle name="Entrada 2 54 6 2" xfId="33328"/>
    <cellStyle name="Entrada 2 54 7" xfId="2559"/>
    <cellStyle name="Entrada 2 54 7 2" xfId="33329"/>
    <cellStyle name="Entrada 2 54 8" xfId="2560"/>
    <cellStyle name="Entrada 2 54 8 2" xfId="33330"/>
    <cellStyle name="Entrada 2 54 9" xfId="2561"/>
    <cellStyle name="Entrada 2 54 9 2" xfId="33331"/>
    <cellStyle name="Entrada 2 55" xfId="2562"/>
    <cellStyle name="Entrada 2 55 10" xfId="2563"/>
    <cellStyle name="Entrada 2 55 10 2" xfId="33332"/>
    <cellStyle name="Entrada 2 55 11" xfId="2564"/>
    <cellStyle name="Entrada 2 55 11 2" xfId="33333"/>
    <cellStyle name="Entrada 2 55 12" xfId="2565"/>
    <cellStyle name="Entrada 2 55 12 2" xfId="33334"/>
    <cellStyle name="Entrada 2 55 13" xfId="2566"/>
    <cellStyle name="Entrada 2 55 13 2" xfId="33335"/>
    <cellStyle name="Entrada 2 55 14" xfId="33336"/>
    <cellStyle name="Entrada 2 55 2" xfId="2567"/>
    <cellStyle name="Entrada 2 55 2 2" xfId="33337"/>
    <cellStyle name="Entrada 2 55 3" xfId="2568"/>
    <cellStyle name="Entrada 2 55 3 2" xfId="33338"/>
    <cellStyle name="Entrada 2 55 4" xfId="2569"/>
    <cellStyle name="Entrada 2 55 4 2" xfId="33339"/>
    <cellStyle name="Entrada 2 55 5" xfId="2570"/>
    <cellStyle name="Entrada 2 55 5 2" xfId="33340"/>
    <cellStyle name="Entrada 2 55 6" xfId="2571"/>
    <cellStyle name="Entrada 2 55 6 2" xfId="33341"/>
    <cellStyle name="Entrada 2 55 7" xfId="2572"/>
    <cellStyle name="Entrada 2 55 7 2" xfId="33342"/>
    <cellStyle name="Entrada 2 55 8" xfId="2573"/>
    <cellStyle name="Entrada 2 55 8 2" xfId="33343"/>
    <cellStyle name="Entrada 2 55 9" xfId="2574"/>
    <cellStyle name="Entrada 2 55 9 2" xfId="33344"/>
    <cellStyle name="Entrada 2 56" xfId="2575"/>
    <cellStyle name="Entrada 2 56 10" xfId="2576"/>
    <cellStyle name="Entrada 2 56 10 2" xfId="33345"/>
    <cellStyle name="Entrada 2 56 11" xfId="2577"/>
    <cellStyle name="Entrada 2 56 11 2" xfId="33346"/>
    <cellStyle name="Entrada 2 56 12" xfId="2578"/>
    <cellStyle name="Entrada 2 56 12 2" xfId="33347"/>
    <cellStyle name="Entrada 2 56 13" xfId="2579"/>
    <cellStyle name="Entrada 2 56 13 2" xfId="33348"/>
    <cellStyle name="Entrada 2 56 14" xfId="33349"/>
    <cellStyle name="Entrada 2 56 2" xfId="2580"/>
    <cellStyle name="Entrada 2 56 2 2" xfId="33350"/>
    <cellStyle name="Entrada 2 56 3" xfId="2581"/>
    <cellStyle name="Entrada 2 56 3 2" xfId="33351"/>
    <cellStyle name="Entrada 2 56 4" xfId="2582"/>
    <cellStyle name="Entrada 2 56 4 2" xfId="33352"/>
    <cellStyle name="Entrada 2 56 5" xfId="2583"/>
    <cellStyle name="Entrada 2 56 5 2" xfId="33353"/>
    <cellStyle name="Entrada 2 56 6" xfId="2584"/>
    <cellStyle name="Entrada 2 56 6 2" xfId="33354"/>
    <cellStyle name="Entrada 2 56 7" xfId="2585"/>
    <cellStyle name="Entrada 2 56 7 2" xfId="33355"/>
    <cellStyle name="Entrada 2 56 8" xfId="2586"/>
    <cellStyle name="Entrada 2 56 8 2" xfId="33356"/>
    <cellStyle name="Entrada 2 56 9" xfId="2587"/>
    <cellStyle name="Entrada 2 56 9 2" xfId="33357"/>
    <cellStyle name="Entrada 2 57" xfId="2588"/>
    <cellStyle name="Entrada 2 57 10" xfId="2589"/>
    <cellStyle name="Entrada 2 57 10 2" xfId="33358"/>
    <cellStyle name="Entrada 2 57 11" xfId="2590"/>
    <cellStyle name="Entrada 2 57 11 2" xfId="33359"/>
    <cellStyle name="Entrada 2 57 12" xfId="2591"/>
    <cellStyle name="Entrada 2 57 12 2" xfId="33360"/>
    <cellStyle name="Entrada 2 57 13" xfId="2592"/>
    <cellStyle name="Entrada 2 57 13 2" xfId="33361"/>
    <cellStyle name="Entrada 2 57 14" xfId="33362"/>
    <cellStyle name="Entrada 2 57 2" xfId="2593"/>
    <cellStyle name="Entrada 2 57 2 2" xfId="33363"/>
    <cellStyle name="Entrada 2 57 3" xfId="2594"/>
    <cellStyle name="Entrada 2 57 3 2" xfId="33364"/>
    <cellStyle name="Entrada 2 57 4" xfId="2595"/>
    <cellStyle name="Entrada 2 57 4 2" xfId="33365"/>
    <cellStyle name="Entrada 2 57 5" xfId="2596"/>
    <cellStyle name="Entrada 2 57 5 2" xfId="33366"/>
    <cellStyle name="Entrada 2 57 6" xfId="2597"/>
    <cellStyle name="Entrada 2 57 6 2" xfId="33367"/>
    <cellStyle name="Entrada 2 57 7" xfId="2598"/>
    <cellStyle name="Entrada 2 57 7 2" xfId="33368"/>
    <cellStyle name="Entrada 2 57 8" xfId="2599"/>
    <cellStyle name="Entrada 2 57 8 2" xfId="33369"/>
    <cellStyle name="Entrada 2 57 9" xfId="2600"/>
    <cellStyle name="Entrada 2 57 9 2" xfId="33370"/>
    <cellStyle name="Entrada 2 58" xfId="2601"/>
    <cellStyle name="Entrada 2 58 10" xfId="2602"/>
    <cellStyle name="Entrada 2 58 10 2" xfId="33371"/>
    <cellStyle name="Entrada 2 58 11" xfId="2603"/>
    <cellStyle name="Entrada 2 58 11 2" xfId="33372"/>
    <cellStyle name="Entrada 2 58 12" xfId="2604"/>
    <cellStyle name="Entrada 2 58 12 2" xfId="33373"/>
    <cellStyle name="Entrada 2 58 13" xfId="2605"/>
    <cellStyle name="Entrada 2 58 13 2" xfId="33374"/>
    <cellStyle name="Entrada 2 58 14" xfId="33375"/>
    <cellStyle name="Entrada 2 58 2" xfId="2606"/>
    <cellStyle name="Entrada 2 58 2 2" xfId="33376"/>
    <cellStyle name="Entrada 2 58 3" xfId="2607"/>
    <cellStyle name="Entrada 2 58 3 2" xfId="33377"/>
    <cellStyle name="Entrada 2 58 4" xfId="2608"/>
    <cellStyle name="Entrada 2 58 4 2" xfId="33378"/>
    <cellStyle name="Entrada 2 58 5" xfId="2609"/>
    <cellStyle name="Entrada 2 58 5 2" xfId="33379"/>
    <cellStyle name="Entrada 2 58 6" xfId="2610"/>
    <cellStyle name="Entrada 2 58 6 2" xfId="33380"/>
    <cellStyle name="Entrada 2 58 7" xfId="2611"/>
    <cellStyle name="Entrada 2 58 7 2" xfId="33381"/>
    <cellStyle name="Entrada 2 58 8" xfId="2612"/>
    <cellStyle name="Entrada 2 58 8 2" xfId="33382"/>
    <cellStyle name="Entrada 2 58 9" xfId="2613"/>
    <cellStyle name="Entrada 2 58 9 2" xfId="33383"/>
    <cellStyle name="Entrada 2 59" xfId="2614"/>
    <cellStyle name="Entrada 2 59 10" xfId="2615"/>
    <cellStyle name="Entrada 2 59 10 2" xfId="33384"/>
    <cellStyle name="Entrada 2 59 11" xfId="2616"/>
    <cellStyle name="Entrada 2 59 11 2" xfId="33385"/>
    <cellStyle name="Entrada 2 59 12" xfId="2617"/>
    <cellStyle name="Entrada 2 59 12 2" xfId="33386"/>
    <cellStyle name="Entrada 2 59 13" xfId="2618"/>
    <cellStyle name="Entrada 2 59 13 2" xfId="33387"/>
    <cellStyle name="Entrada 2 59 14" xfId="33388"/>
    <cellStyle name="Entrada 2 59 2" xfId="2619"/>
    <cellStyle name="Entrada 2 59 2 2" xfId="33389"/>
    <cellStyle name="Entrada 2 59 3" xfId="2620"/>
    <cellStyle name="Entrada 2 59 3 2" xfId="33390"/>
    <cellStyle name="Entrada 2 59 4" xfId="2621"/>
    <cellStyle name="Entrada 2 59 4 2" xfId="33391"/>
    <cellStyle name="Entrada 2 59 5" xfId="2622"/>
    <cellStyle name="Entrada 2 59 5 2" xfId="33392"/>
    <cellStyle name="Entrada 2 59 6" xfId="2623"/>
    <cellStyle name="Entrada 2 59 6 2" xfId="33393"/>
    <cellStyle name="Entrada 2 59 7" xfId="2624"/>
    <cellStyle name="Entrada 2 59 7 2" xfId="33394"/>
    <cellStyle name="Entrada 2 59 8" xfId="2625"/>
    <cellStyle name="Entrada 2 59 8 2" xfId="33395"/>
    <cellStyle name="Entrada 2 59 9" xfId="2626"/>
    <cellStyle name="Entrada 2 59 9 2" xfId="33396"/>
    <cellStyle name="Entrada 2 6" xfId="2627"/>
    <cellStyle name="Entrada 2 6 10" xfId="2628"/>
    <cellStyle name="Entrada 2 6 10 2" xfId="33397"/>
    <cellStyle name="Entrada 2 6 11" xfId="2629"/>
    <cellStyle name="Entrada 2 6 11 2" xfId="33398"/>
    <cellStyle name="Entrada 2 6 12" xfId="2630"/>
    <cellStyle name="Entrada 2 6 12 2" xfId="33399"/>
    <cellStyle name="Entrada 2 6 13" xfId="2631"/>
    <cellStyle name="Entrada 2 6 13 2" xfId="33400"/>
    <cellStyle name="Entrada 2 6 14" xfId="33401"/>
    <cellStyle name="Entrada 2 6 2" xfId="2632"/>
    <cellStyle name="Entrada 2 6 2 2" xfId="33402"/>
    <cellStyle name="Entrada 2 6 3" xfId="2633"/>
    <cellStyle name="Entrada 2 6 3 2" xfId="33403"/>
    <cellStyle name="Entrada 2 6 4" xfId="2634"/>
    <cellStyle name="Entrada 2 6 4 2" xfId="33404"/>
    <cellStyle name="Entrada 2 6 5" xfId="2635"/>
    <cellStyle name="Entrada 2 6 5 2" xfId="33405"/>
    <cellStyle name="Entrada 2 6 6" xfId="2636"/>
    <cellStyle name="Entrada 2 6 6 2" xfId="33406"/>
    <cellStyle name="Entrada 2 6 7" xfId="2637"/>
    <cellStyle name="Entrada 2 6 7 2" xfId="33407"/>
    <cellStyle name="Entrada 2 6 8" xfId="2638"/>
    <cellStyle name="Entrada 2 6 8 2" xfId="33408"/>
    <cellStyle name="Entrada 2 6 9" xfId="2639"/>
    <cellStyle name="Entrada 2 6 9 2" xfId="33409"/>
    <cellStyle name="Entrada 2 60" xfId="2640"/>
    <cellStyle name="Entrada 2 60 10" xfId="2641"/>
    <cellStyle name="Entrada 2 60 10 2" xfId="33410"/>
    <cellStyle name="Entrada 2 60 11" xfId="2642"/>
    <cellStyle name="Entrada 2 60 11 2" xfId="33411"/>
    <cellStyle name="Entrada 2 60 12" xfId="2643"/>
    <cellStyle name="Entrada 2 60 12 2" xfId="33412"/>
    <cellStyle name="Entrada 2 60 13" xfId="2644"/>
    <cellStyle name="Entrada 2 60 13 2" xfId="33413"/>
    <cellStyle name="Entrada 2 60 14" xfId="33414"/>
    <cellStyle name="Entrada 2 60 2" xfId="2645"/>
    <cellStyle name="Entrada 2 60 2 2" xfId="33415"/>
    <cellStyle name="Entrada 2 60 3" xfId="2646"/>
    <cellStyle name="Entrada 2 60 3 2" xfId="33416"/>
    <cellStyle name="Entrada 2 60 4" xfId="2647"/>
    <cellStyle name="Entrada 2 60 4 2" xfId="33417"/>
    <cellStyle name="Entrada 2 60 5" xfId="2648"/>
    <cellStyle name="Entrada 2 60 5 2" xfId="33418"/>
    <cellStyle name="Entrada 2 60 6" xfId="2649"/>
    <cellStyle name="Entrada 2 60 6 2" xfId="33419"/>
    <cellStyle name="Entrada 2 60 7" xfId="2650"/>
    <cellStyle name="Entrada 2 60 7 2" xfId="33420"/>
    <cellStyle name="Entrada 2 60 8" xfId="2651"/>
    <cellStyle name="Entrada 2 60 8 2" xfId="33421"/>
    <cellStyle name="Entrada 2 60 9" xfId="2652"/>
    <cellStyle name="Entrada 2 60 9 2" xfId="33422"/>
    <cellStyle name="Entrada 2 61" xfId="2653"/>
    <cellStyle name="Entrada 2 61 10" xfId="2654"/>
    <cellStyle name="Entrada 2 61 10 2" xfId="33423"/>
    <cellStyle name="Entrada 2 61 11" xfId="2655"/>
    <cellStyle name="Entrada 2 61 11 2" xfId="33424"/>
    <cellStyle name="Entrada 2 61 12" xfId="2656"/>
    <cellStyle name="Entrada 2 61 12 2" xfId="33425"/>
    <cellStyle name="Entrada 2 61 13" xfId="2657"/>
    <cellStyle name="Entrada 2 61 13 2" xfId="33426"/>
    <cellStyle name="Entrada 2 61 14" xfId="33427"/>
    <cellStyle name="Entrada 2 61 2" xfId="2658"/>
    <cellStyle name="Entrada 2 61 2 2" xfId="33428"/>
    <cellStyle name="Entrada 2 61 3" xfId="2659"/>
    <cellStyle name="Entrada 2 61 3 2" xfId="33429"/>
    <cellStyle name="Entrada 2 61 4" xfId="2660"/>
    <cellStyle name="Entrada 2 61 4 2" xfId="33430"/>
    <cellStyle name="Entrada 2 61 5" xfId="2661"/>
    <cellStyle name="Entrada 2 61 5 2" xfId="33431"/>
    <cellStyle name="Entrada 2 61 6" xfId="2662"/>
    <cellStyle name="Entrada 2 61 6 2" xfId="33432"/>
    <cellStyle name="Entrada 2 61 7" xfId="2663"/>
    <cellStyle name="Entrada 2 61 7 2" xfId="33433"/>
    <cellStyle name="Entrada 2 61 8" xfId="2664"/>
    <cellStyle name="Entrada 2 61 8 2" xfId="33434"/>
    <cellStyle name="Entrada 2 61 9" xfId="2665"/>
    <cellStyle name="Entrada 2 61 9 2" xfId="33435"/>
    <cellStyle name="Entrada 2 62" xfId="2666"/>
    <cellStyle name="Entrada 2 62 10" xfId="2667"/>
    <cellStyle name="Entrada 2 62 10 2" xfId="33436"/>
    <cellStyle name="Entrada 2 62 11" xfId="2668"/>
    <cellStyle name="Entrada 2 62 11 2" xfId="33437"/>
    <cellStyle name="Entrada 2 62 12" xfId="2669"/>
    <cellStyle name="Entrada 2 62 12 2" xfId="33438"/>
    <cellStyle name="Entrada 2 62 13" xfId="2670"/>
    <cellStyle name="Entrada 2 62 13 2" xfId="33439"/>
    <cellStyle name="Entrada 2 62 14" xfId="33440"/>
    <cellStyle name="Entrada 2 62 2" xfId="2671"/>
    <cellStyle name="Entrada 2 62 2 2" xfId="33441"/>
    <cellStyle name="Entrada 2 62 3" xfId="2672"/>
    <cellStyle name="Entrada 2 62 3 2" xfId="33442"/>
    <cellStyle name="Entrada 2 62 4" xfId="2673"/>
    <cellStyle name="Entrada 2 62 4 2" xfId="33443"/>
    <cellStyle name="Entrada 2 62 5" xfId="2674"/>
    <cellStyle name="Entrada 2 62 5 2" xfId="33444"/>
    <cellStyle name="Entrada 2 62 6" xfId="2675"/>
    <cellStyle name="Entrada 2 62 6 2" xfId="33445"/>
    <cellStyle name="Entrada 2 62 7" xfId="2676"/>
    <cellStyle name="Entrada 2 62 7 2" xfId="33446"/>
    <cellStyle name="Entrada 2 62 8" xfId="2677"/>
    <cellStyle name="Entrada 2 62 8 2" xfId="33447"/>
    <cellStyle name="Entrada 2 62 9" xfId="2678"/>
    <cellStyle name="Entrada 2 62 9 2" xfId="33448"/>
    <cellStyle name="Entrada 2 63" xfId="2679"/>
    <cellStyle name="Entrada 2 63 10" xfId="2680"/>
    <cellStyle name="Entrada 2 63 10 2" xfId="33449"/>
    <cellStyle name="Entrada 2 63 11" xfId="2681"/>
    <cellStyle name="Entrada 2 63 11 2" xfId="33450"/>
    <cellStyle name="Entrada 2 63 12" xfId="2682"/>
    <cellStyle name="Entrada 2 63 12 2" xfId="33451"/>
    <cellStyle name="Entrada 2 63 13" xfId="2683"/>
    <cellStyle name="Entrada 2 63 13 2" xfId="33452"/>
    <cellStyle name="Entrada 2 63 14" xfId="33453"/>
    <cellStyle name="Entrada 2 63 2" xfId="2684"/>
    <cellStyle name="Entrada 2 63 2 2" xfId="33454"/>
    <cellStyle name="Entrada 2 63 3" xfId="2685"/>
    <cellStyle name="Entrada 2 63 3 2" xfId="33455"/>
    <cellStyle name="Entrada 2 63 4" xfId="2686"/>
    <cellStyle name="Entrada 2 63 4 2" xfId="33456"/>
    <cellStyle name="Entrada 2 63 5" xfId="2687"/>
    <cellStyle name="Entrada 2 63 5 2" xfId="33457"/>
    <cellStyle name="Entrada 2 63 6" xfId="2688"/>
    <cellStyle name="Entrada 2 63 6 2" xfId="33458"/>
    <cellStyle name="Entrada 2 63 7" xfId="2689"/>
    <cellStyle name="Entrada 2 63 7 2" xfId="33459"/>
    <cellStyle name="Entrada 2 63 8" xfId="2690"/>
    <cellStyle name="Entrada 2 63 8 2" xfId="33460"/>
    <cellStyle name="Entrada 2 63 9" xfId="2691"/>
    <cellStyle name="Entrada 2 63 9 2" xfId="33461"/>
    <cellStyle name="Entrada 2 64" xfId="2692"/>
    <cellStyle name="Entrada 2 64 10" xfId="2693"/>
    <cellStyle name="Entrada 2 64 10 2" xfId="33462"/>
    <cellStyle name="Entrada 2 64 11" xfId="2694"/>
    <cellStyle name="Entrada 2 64 11 2" xfId="33463"/>
    <cellStyle name="Entrada 2 64 12" xfId="2695"/>
    <cellStyle name="Entrada 2 64 12 2" xfId="33464"/>
    <cellStyle name="Entrada 2 64 13" xfId="2696"/>
    <cellStyle name="Entrada 2 64 13 2" xfId="33465"/>
    <cellStyle name="Entrada 2 64 14" xfId="33466"/>
    <cellStyle name="Entrada 2 64 2" xfId="2697"/>
    <cellStyle name="Entrada 2 64 2 2" xfId="33467"/>
    <cellStyle name="Entrada 2 64 3" xfId="2698"/>
    <cellStyle name="Entrada 2 64 3 2" xfId="33468"/>
    <cellStyle name="Entrada 2 64 4" xfId="2699"/>
    <cellStyle name="Entrada 2 64 4 2" xfId="33469"/>
    <cellStyle name="Entrada 2 64 5" xfId="2700"/>
    <cellStyle name="Entrada 2 64 5 2" xfId="33470"/>
    <cellStyle name="Entrada 2 64 6" xfId="2701"/>
    <cellStyle name="Entrada 2 64 6 2" xfId="33471"/>
    <cellStyle name="Entrada 2 64 7" xfId="2702"/>
    <cellStyle name="Entrada 2 64 7 2" xfId="33472"/>
    <cellStyle name="Entrada 2 64 8" xfId="2703"/>
    <cellStyle name="Entrada 2 64 8 2" xfId="33473"/>
    <cellStyle name="Entrada 2 64 9" xfId="2704"/>
    <cellStyle name="Entrada 2 64 9 2" xfId="33474"/>
    <cellStyle name="Entrada 2 65" xfId="2705"/>
    <cellStyle name="Entrada 2 65 10" xfId="2706"/>
    <cellStyle name="Entrada 2 65 10 2" xfId="33475"/>
    <cellStyle name="Entrada 2 65 11" xfId="2707"/>
    <cellStyle name="Entrada 2 65 11 2" xfId="33476"/>
    <cellStyle name="Entrada 2 65 12" xfId="2708"/>
    <cellStyle name="Entrada 2 65 12 2" xfId="33477"/>
    <cellStyle name="Entrada 2 65 13" xfId="2709"/>
    <cellStyle name="Entrada 2 65 13 2" xfId="33478"/>
    <cellStyle name="Entrada 2 65 14" xfId="33479"/>
    <cellStyle name="Entrada 2 65 2" xfId="2710"/>
    <cellStyle name="Entrada 2 65 2 2" xfId="33480"/>
    <cellStyle name="Entrada 2 65 3" xfId="2711"/>
    <cellStyle name="Entrada 2 65 3 2" xfId="33481"/>
    <cellStyle name="Entrada 2 65 4" xfId="2712"/>
    <cellStyle name="Entrada 2 65 4 2" xfId="33482"/>
    <cellStyle name="Entrada 2 65 5" xfId="2713"/>
    <cellStyle name="Entrada 2 65 5 2" xfId="33483"/>
    <cellStyle name="Entrada 2 65 6" xfId="2714"/>
    <cellStyle name="Entrada 2 65 6 2" xfId="33484"/>
    <cellStyle name="Entrada 2 65 7" xfId="2715"/>
    <cellStyle name="Entrada 2 65 7 2" xfId="33485"/>
    <cellStyle name="Entrada 2 65 8" xfId="2716"/>
    <cellStyle name="Entrada 2 65 8 2" xfId="33486"/>
    <cellStyle name="Entrada 2 65 9" xfId="2717"/>
    <cellStyle name="Entrada 2 65 9 2" xfId="33487"/>
    <cellStyle name="Entrada 2 66" xfId="2718"/>
    <cellStyle name="Entrada 2 66 10" xfId="2719"/>
    <cellStyle name="Entrada 2 66 10 2" xfId="33488"/>
    <cellStyle name="Entrada 2 66 11" xfId="2720"/>
    <cellStyle name="Entrada 2 66 11 2" xfId="33489"/>
    <cellStyle name="Entrada 2 66 12" xfId="2721"/>
    <cellStyle name="Entrada 2 66 12 2" xfId="33490"/>
    <cellStyle name="Entrada 2 66 13" xfId="2722"/>
    <cellStyle name="Entrada 2 66 13 2" xfId="33491"/>
    <cellStyle name="Entrada 2 66 14" xfId="33492"/>
    <cellStyle name="Entrada 2 66 2" xfId="2723"/>
    <cellStyle name="Entrada 2 66 2 2" xfId="33493"/>
    <cellStyle name="Entrada 2 66 3" xfId="2724"/>
    <cellStyle name="Entrada 2 66 3 2" xfId="33494"/>
    <cellStyle name="Entrada 2 66 4" xfId="2725"/>
    <cellStyle name="Entrada 2 66 4 2" xfId="33495"/>
    <cellStyle name="Entrada 2 66 5" xfId="2726"/>
    <cellStyle name="Entrada 2 66 5 2" xfId="33496"/>
    <cellStyle name="Entrada 2 66 6" xfId="2727"/>
    <cellStyle name="Entrada 2 66 6 2" xfId="33497"/>
    <cellStyle name="Entrada 2 66 7" xfId="2728"/>
    <cellStyle name="Entrada 2 66 7 2" xfId="33498"/>
    <cellStyle name="Entrada 2 66 8" xfId="2729"/>
    <cellStyle name="Entrada 2 66 8 2" xfId="33499"/>
    <cellStyle name="Entrada 2 66 9" xfId="2730"/>
    <cellStyle name="Entrada 2 66 9 2" xfId="33500"/>
    <cellStyle name="Entrada 2 67" xfId="2731"/>
    <cellStyle name="Entrada 2 67 10" xfId="2732"/>
    <cellStyle name="Entrada 2 67 10 2" xfId="33501"/>
    <cellStyle name="Entrada 2 67 11" xfId="2733"/>
    <cellStyle name="Entrada 2 67 11 2" xfId="33502"/>
    <cellStyle name="Entrada 2 67 12" xfId="2734"/>
    <cellStyle name="Entrada 2 67 12 2" xfId="33503"/>
    <cellStyle name="Entrada 2 67 13" xfId="2735"/>
    <cellStyle name="Entrada 2 67 13 2" xfId="33504"/>
    <cellStyle name="Entrada 2 67 14" xfId="33505"/>
    <cellStyle name="Entrada 2 67 2" xfId="2736"/>
    <cellStyle name="Entrada 2 67 2 2" xfId="33506"/>
    <cellStyle name="Entrada 2 67 3" xfId="2737"/>
    <cellStyle name="Entrada 2 67 3 2" xfId="33507"/>
    <cellStyle name="Entrada 2 67 4" xfId="2738"/>
    <cellStyle name="Entrada 2 67 4 2" xfId="33508"/>
    <cellStyle name="Entrada 2 67 5" xfId="2739"/>
    <cellStyle name="Entrada 2 67 5 2" xfId="33509"/>
    <cellStyle name="Entrada 2 67 6" xfId="2740"/>
    <cellStyle name="Entrada 2 67 6 2" xfId="33510"/>
    <cellStyle name="Entrada 2 67 7" xfId="2741"/>
    <cellStyle name="Entrada 2 67 7 2" xfId="33511"/>
    <cellStyle name="Entrada 2 67 8" xfId="2742"/>
    <cellStyle name="Entrada 2 67 8 2" xfId="33512"/>
    <cellStyle name="Entrada 2 67 9" xfId="2743"/>
    <cellStyle name="Entrada 2 67 9 2" xfId="33513"/>
    <cellStyle name="Entrada 2 68" xfId="2744"/>
    <cellStyle name="Entrada 2 68 10" xfId="2745"/>
    <cellStyle name="Entrada 2 68 10 2" xfId="33514"/>
    <cellStyle name="Entrada 2 68 11" xfId="2746"/>
    <cellStyle name="Entrada 2 68 11 2" xfId="33515"/>
    <cellStyle name="Entrada 2 68 12" xfId="2747"/>
    <cellStyle name="Entrada 2 68 12 2" xfId="33516"/>
    <cellStyle name="Entrada 2 68 13" xfId="2748"/>
    <cellStyle name="Entrada 2 68 13 2" xfId="33517"/>
    <cellStyle name="Entrada 2 68 14" xfId="33518"/>
    <cellStyle name="Entrada 2 68 2" xfId="2749"/>
    <cellStyle name="Entrada 2 68 2 2" xfId="33519"/>
    <cellStyle name="Entrada 2 68 3" xfId="2750"/>
    <cellStyle name="Entrada 2 68 3 2" xfId="33520"/>
    <cellStyle name="Entrada 2 68 4" xfId="2751"/>
    <cellStyle name="Entrada 2 68 4 2" xfId="33521"/>
    <cellStyle name="Entrada 2 68 5" xfId="2752"/>
    <cellStyle name="Entrada 2 68 5 2" xfId="33522"/>
    <cellStyle name="Entrada 2 68 6" xfId="2753"/>
    <cellStyle name="Entrada 2 68 6 2" xfId="33523"/>
    <cellStyle name="Entrada 2 68 7" xfId="2754"/>
    <cellStyle name="Entrada 2 68 7 2" xfId="33524"/>
    <cellStyle name="Entrada 2 68 8" xfId="2755"/>
    <cellStyle name="Entrada 2 68 8 2" xfId="33525"/>
    <cellStyle name="Entrada 2 68 9" xfId="2756"/>
    <cellStyle name="Entrada 2 68 9 2" xfId="33526"/>
    <cellStyle name="Entrada 2 69" xfId="2757"/>
    <cellStyle name="Entrada 2 69 10" xfId="2758"/>
    <cellStyle name="Entrada 2 69 10 2" xfId="33527"/>
    <cellStyle name="Entrada 2 69 11" xfId="2759"/>
    <cellStyle name="Entrada 2 69 11 2" xfId="33528"/>
    <cellStyle name="Entrada 2 69 12" xfId="2760"/>
    <cellStyle name="Entrada 2 69 12 2" xfId="33529"/>
    <cellStyle name="Entrada 2 69 13" xfId="2761"/>
    <cellStyle name="Entrada 2 69 13 2" xfId="33530"/>
    <cellStyle name="Entrada 2 69 14" xfId="33531"/>
    <cellStyle name="Entrada 2 69 2" xfId="2762"/>
    <cellStyle name="Entrada 2 69 2 2" xfId="33532"/>
    <cellStyle name="Entrada 2 69 3" xfId="2763"/>
    <cellStyle name="Entrada 2 69 3 2" xfId="33533"/>
    <cellStyle name="Entrada 2 69 4" xfId="2764"/>
    <cellStyle name="Entrada 2 69 4 2" xfId="33534"/>
    <cellStyle name="Entrada 2 69 5" xfId="2765"/>
    <cellStyle name="Entrada 2 69 5 2" xfId="33535"/>
    <cellStyle name="Entrada 2 69 6" xfId="2766"/>
    <cellStyle name="Entrada 2 69 6 2" xfId="33536"/>
    <cellStyle name="Entrada 2 69 7" xfId="2767"/>
    <cellStyle name="Entrada 2 69 7 2" xfId="33537"/>
    <cellStyle name="Entrada 2 69 8" xfId="2768"/>
    <cellStyle name="Entrada 2 69 8 2" xfId="33538"/>
    <cellStyle name="Entrada 2 69 9" xfId="2769"/>
    <cellStyle name="Entrada 2 69 9 2" xfId="33539"/>
    <cellStyle name="Entrada 2 7" xfId="2770"/>
    <cellStyle name="Entrada 2 7 10" xfId="2771"/>
    <cellStyle name="Entrada 2 7 10 2" xfId="33540"/>
    <cellStyle name="Entrada 2 7 11" xfId="2772"/>
    <cellStyle name="Entrada 2 7 11 2" xfId="33541"/>
    <cellStyle name="Entrada 2 7 12" xfId="2773"/>
    <cellStyle name="Entrada 2 7 12 2" xfId="33542"/>
    <cellStyle name="Entrada 2 7 13" xfId="2774"/>
    <cellStyle name="Entrada 2 7 13 2" xfId="33543"/>
    <cellStyle name="Entrada 2 7 14" xfId="33544"/>
    <cellStyle name="Entrada 2 7 2" xfId="2775"/>
    <cellStyle name="Entrada 2 7 2 2" xfId="33545"/>
    <cellStyle name="Entrada 2 7 3" xfId="2776"/>
    <cellStyle name="Entrada 2 7 3 2" xfId="33546"/>
    <cellStyle name="Entrada 2 7 4" xfId="2777"/>
    <cellStyle name="Entrada 2 7 4 2" xfId="33547"/>
    <cellStyle name="Entrada 2 7 5" xfId="2778"/>
    <cellStyle name="Entrada 2 7 5 2" xfId="33548"/>
    <cellStyle name="Entrada 2 7 6" xfId="2779"/>
    <cellStyle name="Entrada 2 7 6 2" xfId="33549"/>
    <cellStyle name="Entrada 2 7 7" xfId="2780"/>
    <cellStyle name="Entrada 2 7 7 2" xfId="33550"/>
    <cellStyle name="Entrada 2 7 8" xfId="2781"/>
    <cellStyle name="Entrada 2 7 8 2" xfId="33551"/>
    <cellStyle name="Entrada 2 7 9" xfId="2782"/>
    <cellStyle name="Entrada 2 7 9 2" xfId="33552"/>
    <cellStyle name="Entrada 2 70" xfId="2783"/>
    <cellStyle name="Entrada 2 70 10" xfId="2784"/>
    <cellStyle name="Entrada 2 70 10 2" xfId="33553"/>
    <cellStyle name="Entrada 2 70 11" xfId="2785"/>
    <cellStyle name="Entrada 2 70 11 2" xfId="33554"/>
    <cellStyle name="Entrada 2 70 12" xfId="2786"/>
    <cellStyle name="Entrada 2 70 12 2" xfId="33555"/>
    <cellStyle name="Entrada 2 70 13" xfId="2787"/>
    <cellStyle name="Entrada 2 70 13 2" xfId="33556"/>
    <cellStyle name="Entrada 2 70 14" xfId="33557"/>
    <cellStyle name="Entrada 2 70 2" xfId="2788"/>
    <cellStyle name="Entrada 2 70 2 2" xfId="33558"/>
    <cellStyle name="Entrada 2 70 3" xfId="2789"/>
    <cellStyle name="Entrada 2 70 3 2" xfId="33559"/>
    <cellStyle name="Entrada 2 70 4" xfId="2790"/>
    <cellStyle name="Entrada 2 70 4 2" xfId="33560"/>
    <cellStyle name="Entrada 2 70 5" xfId="2791"/>
    <cellStyle name="Entrada 2 70 5 2" xfId="33561"/>
    <cellStyle name="Entrada 2 70 6" xfId="2792"/>
    <cellStyle name="Entrada 2 70 6 2" xfId="33562"/>
    <cellStyle name="Entrada 2 70 7" xfId="2793"/>
    <cellStyle name="Entrada 2 70 7 2" xfId="33563"/>
    <cellStyle name="Entrada 2 70 8" xfId="2794"/>
    <cellStyle name="Entrada 2 70 8 2" xfId="33564"/>
    <cellStyle name="Entrada 2 70 9" xfId="2795"/>
    <cellStyle name="Entrada 2 70 9 2" xfId="33565"/>
    <cellStyle name="Entrada 2 71" xfId="2796"/>
    <cellStyle name="Entrada 2 71 2" xfId="33566"/>
    <cellStyle name="Entrada 2 72" xfId="2797"/>
    <cellStyle name="Entrada 2 72 2" xfId="33567"/>
    <cellStyle name="Entrada 2 73" xfId="2798"/>
    <cellStyle name="Entrada 2 73 2" xfId="33568"/>
    <cellStyle name="Entrada 2 74" xfId="2799"/>
    <cellStyle name="Entrada 2 74 2" xfId="33569"/>
    <cellStyle name="Entrada 2 75" xfId="2800"/>
    <cellStyle name="Entrada 2 75 2" xfId="33570"/>
    <cellStyle name="Entrada 2 76" xfId="2801"/>
    <cellStyle name="Entrada 2 76 2" xfId="33571"/>
    <cellStyle name="Entrada 2 77" xfId="2802"/>
    <cellStyle name="Entrada 2 77 2" xfId="33572"/>
    <cellStyle name="Entrada 2 78" xfId="2803"/>
    <cellStyle name="Entrada 2 78 2" xfId="33573"/>
    <cellStyle name="Entrada 2 79" xfId="2804"/>
    <cellStyle name="Entrada 2 79 2" xfId="33574"/>
    <cellStyle name="Entrada 2 8" xfId="2805"/>
    <cellStyle name="Entrada 2 8 10" xfId="2806"/>
    <cellStyle name="Entrada 2 8 10 2" xfId="33575"/>
    <cellStyle name="Entrada 2 8 11" xfId="2807"/>
    <cellStyle name="Entrada 2 8 11 2" xfId="33576"/>
    <cellStyle name="Entrada 2 8 12" xfId="2808"/>
    <cellStyle name="Entrada 2 8 12 2" xfId="33577"/>
    <cellStyle name="Entrada 2 8 13" xfId="2809"/>
    <cellStyle name="Entrada 2 8 13 2" xfId="33578"/>
    <cellStyle name="Entrada 2 8 14" xfId="33579"/>
    <cellStyle name="Entrada 2 8 2" xfId="2810"/>
    <cellStyle name="Entrada 2 8 2 2" xfId="33580"/>
    <cellStyle name="Entrada 2 8 3" xfId="2811"/>
    <cellStyle name="Entrada 2 8 3 2" xfId="33581"/>
    <cellStyle name="Entrada 2 8 4" xfId="2812"/>
    <cellStyle name="Entrada 2 8 4 2" xfId="33582"/>
    <cellStyle name="Entrada 2 8 5" xfId="2813"/>
    <cellStyle name="Entrada 2 8 5 2" xfId="33583"/>
    <cellStyle name="Entrada 2 8 6" xfId="2814"/>
    <cellStyle name="Entrada 2 8 6 2" xfId="33584"/>
    <cellStyle name="Entrada 2 8 7" xfId="2815"/>
    <cellStyle name="Entrada 2 8 7 2" xfId="33585"/>
    <cellStyle name="Entrada 2 8 8" xfId="2816"/>
    <cellStyle name="Entrada 2 8 8 2" xfId="33586"/>
    <cellStyle name="Entrada 2 8 9" xfId="2817"/>
    <cellStyle name="Entrada 2 8 9 2" xfId="33587"/>
    <cellStyle name="Entrada 2 80" xfId="2818"/>
    <cellStyle name="Entrada 2 80 2" xfId="33588"/>
    <cellStyle name="Entrada 2 81" xfId="2819"/>
    <cellStyle name="Entrada 2 81 2" xfId="33589"/>
    <cellStyle name="Entrada 2 82" xfId="33590"/>
    <cellStyle name="Entrada 2 9" xfId="2820"/>
    <cellStyle name="Entrada 2 9 10" xfId="2821"/>
    <cellStyle name="Entrada 2 9 10 2" xfId="33591"/>
    <cellStyle name="Entrada 2 9 11" xfId="2822"/>
    <cellStyle name="Entrada 2 9 11 2" xfId="33592"/>
    <cellStyle name="Entrada 2 9 12" xfId="2823"/>
    <cellStyle name="Entrada 2 9 12 2" xfId="33593"/>
    <cellStyle name="Entrada 2 9 13" xfId="2824"/>
    <cellStyle name="Entrada 2 9 13 2" xfId="33594"/>
    <cellStyle name="Entrada 2 9 14" xfId="33595"/>
    <cellStyle name="Entrada 2 9 2" xfId="2825"/>
    <cellStyle name="Entrada 2 9 2 2" xfId="33596"/>
    <cellStyle name="Entrada 2 9 3" xfId="2826"/>
    <cellStyle name="Entrada 2 9 3 2" xfId="33597"/>
    <cellStyle name="Entrada 2 9 4" xfId="2827"/>
    <cellStyle name="Entrada 2 9 4 2" xfId="33598"/>
    <cellStyle name="Entrada 2 9 5" xfId="2828"/>
    <cellStyle name="Entrada 2 9 5 2" xfId="33599"/>
    <cellStyle name="Entrada 2 9 6" xfId="2829"/>
    <cellStyle name="Entrada 2 9 6 2" xfId="33600"/>
    <cellStyle name="Entrada 2 9 7" xfId="2830"/>
    <cellStyle name="Entrada 2 9 7 2" xfId="33601"/>
    <cellStyle name="Entrada 2 9 8" xfId="2831"/>
    <cellStyle name="Entrada 2 9 8 2" xfId="33602"/>
    <cellStyle name="Entrada 2 9 9" xfId="2832"/>
    <cellStyle name="Entrada 2 9 9 2" xfId="33603"/>
    <cellStyle name="Entrada 3" xfId="2833"/>
    <cellStyle name="Entrada 3 10" xfId="2834"/>
    <cellStyle name="Entrada 3 10 10" xfId="2835"/>
    <cellStyle name="Entrada 3 10 10 2" xfId="33604"/>
    <cellStyle name="Entrada 3 10 11" xfId="2836"/>
    <cellStyle name="Entrada 3 10 11 2" xfId="33605"/>
    <cellStyle name="Entrada 3 10 12" xfId="2837"/>
    <cellStyle name="Entrada 3 10 12 2" xfId="33606"/>
    <cellStyle name="Entrada 3 10 13" xfId="2838"/>
    <cellStyle name="Entrada 3 10 13 2" xfId="33607"/>
    <cellStyle name="Entrada 3 10 14" xfId="33608"/>
    <cellStyle name="Entrada 3 10 2" xfId="2839"/>
    <cellStyle name="Entrada 3 10 2 2" xfId="33609"/>
    <cellStyle name="Entrada 3 10 3" xfId="2840"/>
    <cellStyle name="Entrada 3 10 3 2" xfId="33610"/>
    <cellStyle name="Entrada 3 10 4" xfId="2841"/>
    <cellStyle name="Entrada 3 10 4 2" xfId="33611"/>
    <cellStyle name="Entrada 3 10 5" xfId="2842"/>
    <cellStyle name="Entrada 3 10 5 2" xfId="33612"/>
    <cellStyle name="Entrada 3 10 6" xfId="2843"/>
    <cellStyle name="Entrada 3 10 6 2" xfId="33613"/>
    <cellStyle name="Entrada 3 10 7" xfId="2844"/>
    <cellStyle name="Entrada 3 10 7 2" xfId="33614"/>
    <cellStyle name="Entrada 3 10 8" xfId="2845"/>
    <cellStyle name="Entrada 3 10 8 2" xfId="33615"/>
    <cellStyle name="Entrada 3 10 9" xfId="2846"/>
    <cellStyle name="Entrada 3 10 9 2" xfId="33616"/>
    <cellStyle name="Entrada 3 11" xfId="2847"/>
    <cellStyle name="Entrada 3 11 10" xfId="2848"/>
    <cellStyle name="Entrada 3 11 10 2" xfId="33617"/>
    <cellStyle name="Entrada 3 11 11" xfId="2849"/>
    <cellStyle name="Entrada 3 11 11 2" xfId="33618"/>
    <cellStyle name="Entrada 3 11 12" xfId="2850"/>
    <cellStyle name="Entrada 3 11 12 2" xfId="33619"/>
    <cellStyle name="Entrada 3 11 13" xfId="2851"/>
    <cellStyle name="Entrada 3 11 13 2" xfId="33620"/>
    <cellStyle name="Entrada 3 11 14" xfId="33621"/>
    <cellStyle name="Entrada 3 11 2" xfId="2852"/>
    <cellStyle name="Entrada 3 11 2 2" xfId="33622"/>
    <cellStyle name="Entrada 3 11 3" xfId="2853"/>
    <cellStyle name="Entrada 3 11 3 2" xfId="33623"/>
    <cellStyle name="Entrada 3 11 4" xfId="2854"/>
    <cellStyle name="Entrada 3 11 4 2" xfId="33624"/>
    <cellStyle name="Entrada 3 11 5" xfId="2855"/>
    <cellStyle name="Entrada 3 11 5 2" xfId="33625"/>
    <cellStyle name="Entrada 3 11 6" xfId="2856"/>
    <cellStyle name="Entrada 3 11 6 2" xfId="33626"/>
    <cellStyle name="Entrada 3 11 7" xfId="2857"/>
    <cellStyle name="Entrada 3 11 7 2" xfId="33627"/>
    <cellStyle name="Entrada 3 11 8" xfId="2858"/>
    <cellStyle name="Entrada 3 11 8 2" xfId="33628"/>
    <cellStyle name="Entrada 3 11 9" xfId="2859"/>
    <cellStyle name="Entrada 3 11 9 2" xfId="33629"/>
    <cellStyle name="Entrada 3 12" xfId="2860"/>
    <cellStyle name="Entrada 3 12 10" xfId="2861"/>
    <cellStyle name="Entrada 3 12 10 2" xfId="33630"/>
    <cellStyle name="Entrada 3 12 11" xfId="2862"/>
    <cellStyle name="Entrada 3 12 11 2" xfId="33631"/>
    <cellStyle name="Entrada 3 12 12" xfId="2863"/>
    <cellStyle name="Entrada 3 12 12 2" xfId="33632"/>
    <cellStyle name="Entrada 3 12 13" xfId="2864"/>
    <cellStyle name="Entrada 3 12 13 2" xfId="33633"/>
    <cellStyle name="Entrada 3 12 14" xfId="33634"/>
    <cellStyle name="Entrada 3 12 2" xfId="2865"/>
    <cellStyle name="Entrada 3 12 2 2" xfId="33635"/>
    <cellStyle name="Entrada 3 12 3" xfId="2866"/>
    <cellStyle name="Entrada 3 12 3 2" xfId="33636"/>
    <cellStyle name="Entrada 3 12 4" xfId="2867"/>
    <cellStyle name="Entrada 3 12 4 2" xfId="33637"/>
    <cellStyle name="Entrada 3 12 5" xfId="2868"/>
    <cellStyle name="Entrada 3 12 5 2" xfId="33638"/>
    <cellStyle name="Entrada 3 12 6" xfId="2869"/>
    <cellStyle name="Entrada 3 12 6 2" xfId="33639"/>
    <cellStyle name="Entrada 3 12 7" xfId="2870"/>
    <cellStyle name="Entrada 3 12 7 2" xfId="33640"/>
    <cellStyle name="Entrada 3 12 8" xfId="2871"/>
    <cellStyle name="Entrada 3 12 8 2" xfId="33641"/>
    <cellStyle name="Entrada 3 12 9" xfId="2872"/>
    <cellStyle name="Entrada 3 12 9 2" xfId="33642"/>
    <cellStyle name="Entrada 3 13" xfId="2873"/>
    <cellStyle name="Entrada 3 13 10" xfId="2874"/>
    <cellStyle name="Entrada 3 13 10 2" xfId="33643"/>
    <cellStyle name="Entrada 3 13 11" xfId="2875"/>
    <cellStyle name="Entrada 3 13 11 2" xfId="33644"/>
    <cellStyle name="Entrada 3 13 12" xfId="2876"/>
    <cellStyle name="Entrada 3 13 12 2" xfId="33645"/>
    <cellStyle name="Entrada 3 13 13" xfId="2877"/>
    <cellStyle name="Entrada 3 13 13 2" xfId="33646"/>
    <cellStyle name="Entrada 3 13 14" xfId="33647"/>
    <cellStyle name="Entrada 3 13 2" xfId="2878"/>
    <cellStyle name="Entrada 3 13 2 2" xfId="33648"/>
    <cellStyle name="Entrada 3 13 3" xfId="2879"/>
    <cellStyle name="Entrada 3 13 3 2" xfId="33649"/>
    <cellStyle name="Entrada 3 13 4" xfId="2880"/>
    <cellStyle name="Entrada 3 13 4 2" xfId="33650"/>
    <cellStyle name="Entrada 3 13 5" xfId="2881"/>
    <cellStyle name="Entrada 3 13 5 2" xfId="33651"/>
    <cellStyle name="Entrada 3 13 6" xfId="2882"/>
    <cellStyle name="Entrada 3 13 6 2" xfId="33652"/>
    <cellStyle name="Entrada 3 13 7" xfId="2883"/>
    <cellStyle name="Entrada 3 13 7 2" xfId="33653"/>
    <cellStyle name="Entrada 3 13 8" xfId="2884"/>
    <cellStyle name="Entrada 3 13 8 2" xfId="33654"/>
    <cellStyle name="Entrada 3 13 9" xfId="2885"/>
    <cellStyle name="Entrada 3 13 9 2" xfId="33655"/>
    <cellStyle name="Entrada 3 14" xfId="2886"/>
    <cellStyle name="Entrada 3 14 10" xfId="2887"/>
    <cellStyle name="Entrada 3 14 10 2" xfId="33656"/>
    <cellStyle name="Entrada 3 14 11" xfId="2888"/>
    <cellStyle name="Entrada 3 14 11 2" xfId="33657"/>
    <cellStyle name="Entrada 3 14 12" xfId="2889"/>
    <cellStyle name="Entrada 3 14 12 2" xfId="33658"/>
    <cellStyle name="Entrada 3 14 13" xfId="2890"/>
    <cellStyle name="Entrada 3 14 13 2" xfId="33659"/>
    <cellStyle name="Entrada 3 14 14" xfId="33660"/>
    <cellStyle name="Entrada 3 14 2" xfId="2891"/>
    <cellStyle name="Entrada 3 14 2 2" xfId="33661"/>
    <cellStyle name="Entrada 3 14 3" xfId="2892"/>
    <cellStyle name="Entrada 3 14 3 2" xfId="33662"/>
    <cellStyle name="Entrada 3 14 4" xfId="2893"/>
    <cellStyle name="Entrada 3 14 4 2" xfId="33663"/>
    <cellStyle name="Entrada 3 14 5" xfId="2894"/>
    <cellStyle name="Entrada 3 14 5 2" xfId="33664"/>
    <cellStyle name="Entrada 3 14 6" xfId="2895"/>
    <cellStyle name="Entrada 3 14 6 2" xfId="33665"/>
    <cellStyle name="Entrada 3 14 7" xfId="2896"/>
    <cellStyle name="Entrada 3 14 7 2" xfId="33666"/>
    <cellStyle name="Entrada 3 14 8" xfId="2897"/>
    <cellStyle name="Entrada 3 14 8 2" xfId="33667"/>
    <cellStyle name="Entrada 3 14 9" xfId="2898"/>
    <cellStyle name="Entrada 3 14 9 2" xfId="33668"/>
    <cellStyle name="Entrada 3 15" xfId="2899"/>
    <cellStyle name="Entrada 3 15 10" xfId="2900"/>
    <cellStyle name="Entrada 3 15 10 2" xfId="33669"/>
    <cellStyle name="Entrada 3 15 11" xfId="2901"/>
    <cellStyle name="Entrada 3 15 11 2" xfId="33670"/>
    <cellStyle name="Entrada 3 15 12" xfId="2902"/>
    <cellStyle name="Entrada 3 15 12 2" xfId="33671"/>
    <cellStyle name="Entrada 3 15 13" xfId="2903"/>
    <cellStyle name="Entrada 3 15 13 2" xfId="33672"/>
    <cellStyle name="Entrada 3 15 14" xfId="33673"/>
    <cellStyle name="Entrada 3 15 2" xfId="2904"/>
    <cellStyle name="Entrada 3 15 2 2" xfId="33674"/>
    <cellStyle name="Entrada 3 15 3" xfId="2905"/>
    <cellStyle name="Entrada 3 15 3 2" xfId="33675"/>
    <cellStyle name="Entrada 3 15 4" xfId="2906"/>
    <cellStyle name="Entrada 3 15 4 2" xfId="33676"/>
    <cellStyle name="Entrada 3 15 5" xfId="2907"/>
    <cellStyle name="Entrada 3 15 5 2" xfId="33677"/>
    <cellStyle name="Entrada 3 15 6" xfId="2908"/>
    <cellStyle name="Entrada 3 15 6 2" xfId="33678"/>
    <cellStyle name="Entrada 3 15 7" xfId="2909"/>
    <cellStyle name="Entrada 3 15 7 2" xfId="33679"/>
    <cellStyle name="Entrada 3 15 8" xfId="2910"/>
    <cellStyle name="Entrada 3 15 8 2" xfId="33680"/>
    <cellStyle name="Entrada 3 15 9" xfId="2911"/>
    <cellStyle name="Entrada 3 15 9 2" xfId="33681"/>
    <cellStyle name="Entrada 3 16" xfId="2912"/>
    <cellStyle name="Entrada 3 16 10" xfId="2913"/>
    <cellStyle name="Entrada 3 16 10 2" xfId="33682"/>
    <cellStyle name="Entrada 3 16 11" xfId="2914"/>
    <cellStyle name="Entrada 3 16 11 2" xfId="33683"/>
    <cellStyle name="Entrada 3 16 12" xfId="2915"/>
    <cellStyle name="Entrada 3 16 12 2" xfId="33684"/>
    <cellStyle name="Entrada 3 16 13" xfId="2916"/>
    <cellStyle name="Entrada 3 16 13 2" xfId="33685"/>
    <cellStyle name="Entrada 3 16 14" xfId="33686"/>
    <cellStyle name="Entrada 3 16 2" xfId="2917"/>
    <cellStyle name="Entrada 3 16 2 2" xfId="33687"/>
    <cellStyle name="Entrada 3 16 3" xfId="2918"/>
    <cellStyle name="Entrada 3 16 3 2" xfId="33688"/>
    <cellStyle name="Entrada 3 16 4" xfId="2919"/>
    <cellStyle name="Entrada 3 16 4 2" xfId="33689"/>
    <cellStyle name="Entrada 3 16 5" xfId="2920"/>
    <cellStyle name="Entrada 3 16 5 2" xfId="33690"/>
    <cellStyle name="Entrada 3 16 6" xfId="2921"/>
    <cellStyle name="Entrada 3 16 6 2" xfId="33691"/>
    <cellStyle name="Entrada 3 16 7" xfId="2922"/>
    <cellStyle name="Entrada 3 16 7 2" xfId="33692"/>
    <cellStyle name="Entrada 3 16 8" xfId="2923"/>
    <cellStyle name="Entrada 3 16 8 2" xfId="33693"/>
    <cellStyle name="Entrada 3 16 9" xfId="2924"/>
    <cellStyle name="Entrada 3 16 9 2" xfId="33694"/>
    <cellStyle name="Entrada 3 17" xfId="2925"/>
    <cellStyle name="Entrada 3 17 10" xfId="2926"/>
    <cellStyle name="Entrada 3 17 10 2" xfId="33695"/>
    <cellStyle name="Entrada 3 17 11" xfId="2927"/>
    <cellStyle name="Entrada 3 17 11 2" xfId="33696"/>
    <cellStyle name="Entrada 3 17 12" xfId="2928"/>
    <cellStyle name="Entrada 3 17 12 2" xfId="33697"/>
    <cellStyle name="Entrada 3 17 13" xfId="2929"/>
    <cellStyle name="Entrada 3 17 13 2" xfId="33698"/>
    <cellStyle name="Entrada 3 17 14" xfId="33699"/>
    <cellStyle name="Entrada 3 17 2" xfId="2930"/>
    <cellStyle name="Entrada 3 17 2 2" xfId="33700"/>
    <cellStyle name="Entrada 3 17 3" xfId="2931"/>
    <cellStyle name="Entrada 3 17 3 2" xfId="33701"/>
    <cellStyle name="Entrada 3 17 4" xfId="2932"/>
    <cellStyle name="Entrada 3 17 4 2" xfId="33702"/>
    <cellStyle name="Entrada 3 17 5" xfId="2933"/>
    <cellStyle name="Entrada 3 17 5 2" xfId="33703"/>
    <cellStyle name="Entrada 3 17 6" xfId="2934"/>
    <cellStyle name="Entrada 3 17 6 2" xfId="33704"/>
    <cellStyle name="Entrada 3 17 7" xfId="2935"/>
    <cellStyle name="Entrada 3 17 7 2" xfId="33705"/>
    <cellStyle name="Entrada 3 17 8" xfId="2936"/>
    <cellStyle name="Entrada 3 17 8 2" xfId="33706"/>
    <cellStyle name="Entrada 3 17 9" xfId="2937"/>
    <cellStyle name="Entrada 3 17 9 2" xfId="33707"/>
    <cellStyle name="Entrada 3 18" xfId="2938"/>
    <cellStyle name="Entrada 3 18 10" xfId="2939"/>
    <cellStyle name="Entrada 3 18 10 2" xfId="33708"/>
    <cellStyle name="Entrada 3 18 11" xfId="2940"/>
    <cellStyle name="Entrada 3 18 11 2" xfId="33709"/>
    <cellStyle name="Entrada 3 18 12" xfId="2941"/>
    <cellStyle name="Entrada 3 18 12 2" xfId="33710"/>
    <cellStyle name="Entrada 3 18 13" xfId="2942"/>
    <cellStyle name="Entrada 3 18 13 2" xfId="33711"/>
    <cellStyle name="Entrada 3 18 14" xfId="33712"/>
    <cellStyle name="Entrada 3 18 2" xfId="2943"/>
    <cellStyle name="Entrada 3 18 2 2" xfId="33713"/>
    <cellStyle name="Entrada 3 18 3" xfId="2944"/>
    <cellStyle name="Entrada 3 18 3 2" xfId="33714"/>
    <cellStyle name="Entrada 3 18 4" xfId="2945"/>
    <cellStyle name="Entrada 3 18 4 2" xfId="33715"/>
    <cellStyle name="Entrada 3 18 5" xfId="2946"/>
    <cellStyle name="Entrada 3 18 5 2" xfId="33716"/>
    <cellStyle name="Entrada 3 18 6" xfId="2947"/>
    <cellStyle name="Entrada 3 18 6 2" xfId="33717"/>
    <cellStyle name="Entrada 3 18 7" xfId="2948"/>
    <cellStyle name="Entrada 3 18 7 2" xfId="33718"/>
    <cellStyle name="Entrada 3 18 8" xfId="2949"/>
    <cellStyle name="Entrada 3 18 8 2" xfId="33719"/>
    <cellStyle name="Entrada 3 18 9" xfId="2950"/>
    <cellStyle name="Entrada 3 18 9 2" xfId="33720"/>
    <cellStyle name="Entrada 3 19" xfId="2951"/>
    <cellStyle name="Entrada 3 19 10" xfId="2952"/>
    <cellStyle name="Entrada 3 19 10 2" xfId="33721"/>
    <cellStyle name="Entrada 3 19 11" xfId="2953"/>
    <cellStyle name="Entrada 3 19 11 2" xfId="33722"/>
    <cellStyle name="Entrada 3 19 12" xfId="2954"/>
    <cellStyle name="Entrada 3 19 12 2" xfId="33723"/>
    <cellStyle name="Entrada 3 19 13" xfId="2955"/>
    <cellStyle name="Entrada 3 19 13 2" xfId="33724"/>
    <cellStyle name="Entrada 3 19 14" xfId="33725"/>
    <cellStyle name="Entrada 3 19 2" xfId="2956"/>
    <cellStyle name="Entrada 3 19 2 2" xfId="33726"/>
    <cellStyle name="Entrada 3 19 3" xfId="2957"/>
    <cellStyle name="Entrada 3 19 3 2" xfId="33727"/>
    <cellStyle name="Entrada 3 19 4" xfId="2958"/>
    <cellStyle name="Entrada 3 19 4 2" xfId="33728"/>
    <cellStyle name="Entrada 3 19 5" xfId="2959"/>
    <cellStyle name="Entrada 3 19 5 2" xfId="33729"/>
    <cellStyle name="Entrada 3 19 6" xfId="2960"/>
    <cellStyle name="Entrada 3 19 6 2" xfId="33730"/>
    <cellStyle name="Entrada 3 19 7" xfId="2961"/>
    <cellStyle name="Entrada 3 19 7 2" xfId="33731"/>
    <cellStyle name="Entrada 3 19 8" xfId="2962"/>
    <cellStyle name="Entrada 3 19 8 2" xfId="33732"/>
    <cellStyle name="Entrada 3 19 9" xfId="2963"/>
    <cellStyle name="Entrada 3 19 9 2" xfId="33733"/>
    <cellStyle name="Entrada 3 2" xfId="2964"/>
    <cellStyle name="Entrada 3 2 10" xfId="2965"/>
    <cellStyle name="Entrada 3 2 10 2" xfId="33734"/>
    <cellStyle name="Entrada 3 2 11" xfId="2966"/>
    <cellStyle name="Entrada 3 2 11 2" xfId="33735"/>
    <cellStyle name="Entrada 3 2 12" xfId="2967"/>
    <cellStyle name="Entrada 3 2 12 2" xfId="33736"/>
    <cellStyle name="Entrada 3 2 13" xfId="2968"/>
    <cellStyle name="Entrada 3 2 13 2" xfId="33737"/>
    <cellStyle name="Entrada 3 2 14" xfId="33738"/>
    <cellStyle name="Entrada 3 2 2" xfId="2969"/>
    <cellStyle name="Entrada 3 2 2 2" xfId="33739"/>
    <cellStyle name="Entrada 3 2 3" xfId="2970"/>
    <cellStyle name="Entrada 3 2 3 2" xfId="33740"/>
    <cellStyle name="Entrada 3 2 4" xfId="2971"/>
    <cellStyle name="Entrada 3 2 4 2" xfId="33741"/>
    <cellStyle name="Entrada 3 2 5" xfId="2972"/>
    <cellStyle name="Entrada 3 2 5 2" xfId="33742"/>
    <cellStyle name="Entrada 3 2 6" xfId="2973"/>
    <cellStyle name="Entrada 3 2 6 2" xfId="33743"/>
    <cellStyle name="Entrada 3 2 7" xfId="2974"/>
    <cellStyle name="Entrada 3 2 7 2" xfId="33744"/>
    <cellStyle name="Entrada 3 2 8" xfId="2975"/>
    <cellStyle name="Entrada 3 2 8 2" xfId="33745"/>
    <cellStyle name="Entrada 3 2 9" xfId="2976"/>
    <cellStyle name="Entrada 3 2 9 2" xfId="33746"/>
    <cellStyle name="Entrada 3 20" xfId="2977"/>
    <cellStyle name="Entrada 3 20 10" xfId="2978"/>
    <cellStyle name="Entrada 3 20 10 2" xfId="33747"/>
    <cellStyle name="Entrada 3 20 11" xfId="2979"/>
    <cellStyle name="Entrada 3 20 11 2" xfId="33748"/>
    <cellStyle name="Entrada 3 20 12" xfId="2980"/>
    <cellStyle name="Entrada 3 20 12 2" xfId="33749"/>
    <cellStyle name="Entrada 3 20 13" xfId="2981"/>
    <cellStyle name="Entrada 3 20 13 2" xfId="33750"/>
    <cellStyle name="Entrada 3 20 14" xfId="33751"/>
    <cellStyle name="Entrada 3 20 2" xfId="2982"/>
    <cellStyle name="Entrada 3 20 2 2" xfId="33752"/>
    <cellStyle name="Entrada 3 20 3" xfId="2983"/>
    <cellStyle name="Entrada 3 20 3 2" xfId="33753"/>
    <cellStyle name="Entrada 3 20 4" xfId="2984"/>
    <cellStyle name="Entrada 3 20 4 2" xfId="33754"/>
    <cellStyle name="Entrada 3 20 5" xfId="2985"/>
    <cellStyle name="Entrada 3 20 5 2" xfId="33755"/>
    <cellStyle name="Entrada 3 20 6" xfId="2986"/>
    <cellStyle name="Entrada 3 20 6 2" xfId="33756"/>
    <cellStyle name="Entrada 3 20 7" xfId="2987"/>
    <cellStyle name="Entrada 3 20 7 2" xfId="33757"/>
    <cellStyle name="Entrada 3 20 8" xfId="2988"/>
    <cellStyle name="Entrada 3 20 8 2" xfId="33758"/>
    <cellStyle name="Entrada 3 20 9" xfId="2989"/>
    <cellStyle name="Entrada 3 20 9 2" xfId="33759"/>
    <cellStyle name="Entrada 3 21" xfId="2990"/>
    <cellStyle name="Entrada 3 21 10" xfId="2991"/>
    <cellStyle name="Entrada 3 21 10 2" xfId="33760"/>
    <cellStyle name="Entrada 3 21 11" xfId="2992"/>
    <cellStyle name="Entrada 3 21 11 2" xfId="33761"/>
    <cellStyle name="Entrada 3 21 12" xfId="2993"/>
    <cellStyle name="Entrada 3 21 12 2" xfId="33762"/>
    <cellStyle name="Entrada 3 21 13" xfId="2994"/>
    <cellStyle name="Entrada 3 21 13 2" xfId="33763"/>
    <cellStyle name="Entrada 3 21 14" xfId="33764"/>
    <cellStyle name="Entrada 3 21 2" xfId="2995"/>
    <cellStyle name="Entrada 3 21 2 2" xfId="33765"/>
    <cellStyle name="Entrada 3 21 3" xfId="2996"/>
    <cellStyle name="Entrada 3 21 3 2" xfId="33766"/>
    <cellStyle name="Entrada 3 21 4" xfId="2997"/>
    <cellStyle name="Entrada 3 21 4 2" xfId="33767"/>
    <cellStyle name="Entrada 3 21 5" xfId="2998"/>
    <cellStyle name="Entrada 3 21 5 2" xfId="33768"/>
    <cellStyle name="Entrada 3 21 6" xfId="2999"/>
    <cellStyle name="Entrada 3 21 6 2" xfId="33769"/>
    <cellStyle name="Entrada 3 21 7" xfId="3000"/>
    <cellStyle name="Entrada 3 21 7 2" xfId="33770"/>
    <cellStyle name="Entrada 3 21 8" xfId="3001"/>
    <cellStyle name="Entrada 3 21 8 2" xfId="33771"/>
    <cellStyle name="Entrada 3 21 9" xfId="3002"/>
    <cellStyle name="Entrada 3 21 9 2" xfId="33772"/>
    <cellStyle name="Entrada 3 22" xfId="3003"/>
    <cellStyle name="Entrada 3 22 10" xfId="3004"/>
    <cellStyle name="Entrada 3 22 10 2" xfId="33773"/>
    <cellStyle name="Entrada 3 22 11" xfId="3005"/>
    <cellStyle name="Entrada 3 22 11 2" xfId="33774"/>
    <cellStyle name="Entrada 3 22 12" xfId="3006"/>
    <cellStyle name="Entrada 3 22 12 2" xfId="33775"/>
    <cellStyle name="Entrada 3 22 13" xfId="3007"/>
    <cellStyle name="Entrada 3 22 13 2" xfId="33776"/>
    <cellStyle name="Entrada 3 22 14" xfId="33777"/>
    <cellStyle name="Entrada 3 22 2" xfId="3008"/>
    <cellStyle name="Entrada 3 22 2 2" xfId="33778"/>
    <cellStyle name="Entrada 3 22 3" xfId="3009"/>
    <cellStyle name="Entrada 3 22 3 2" xfId="33779"/>
    <cellStyle name="Entrada 3 22 4" xfId="3010"/>
    <cellStyle name="Entrada 3 22 4 2" xfId="33780"/>
    <cellStyle name="Entrada 3 22 5" xfId="3011"/>
    <cellStyle name="Entrada 3 22 5 2" xfId="33781"/>
    <cellStyle name="Entrada 3 22 6" xfId="3012"/>
    <cellStyle name="Entrada 3 22 6 2" xfId="33782"/>
    <cellStyle name="Entrada 3 22 7" xfId="3013"/>
    <cellStyle name="Entrada 3 22 7 2" xfId="33783"/>
    <cellStyle name="Entrada 3 22 8" xfId="3014"/>
    <cellStyle name="Entrada 3 22 8 2" xfId="33784"/>
    <cellStyle name="Entrada 3 22 9" xfId="3015"/>
    <cellStyle name="Entrada 3 22 9 2" xfId="33785"/>
    <cellStyle name="Entrada 3 23" xfId="3016"/>
    <cellStyle name="Entrada 3 23 10" xfId="3017"/>
    <cellStyle name="Entrada 3 23 10 2" xfId="33786"/>
    <cellStyle name="Entrada 3 23 11" xfId="3018"/>
    <cellStyle name="Entrada 3 23 11 2" xfId="33787"/>
    <cellStyle name="Entrada 3 23 12" xfId="3019"/>
    <cellStyle name="Entrada 3 23 12 2" xfId="33788"/>
    <cellStyle name="Entrada 3 23 13" xfId="3020"/>
    <cellStyle name="Entrada 3 23 13 2" xfId="33789"/>
    <cellStyle name="Entrada 3 23 14" xfId="33790"/>
    <cellStyle name="Entrada 3 23 2" xfId="3021"/>
    <cellStyle name="Entrada 3 23 2 2" xfId="33791"/>
    <cellStyle name="Entrada 3 23 3" xfId="3022"/>
    <cellStyle name="Entrada 3 23 3 2" xfId="33792"/>
    <cellStyle name="Entrada 3 23 4" xfId="3023"/>
    <cellStyle name="Entrada 3 23 4 2" xfId="33793"/>
    <cellStyle name="Entrada 3 23 5" xfId="3024"/>
    <cellStyle name="Entrada 3 23 5 2" xfId="33794"/>
    <cellStyle name="Entrada 3 23 6" xfId="3025"/>
    <cellStyle name="Entrada 3 23 6 2" xfId="33795"/>
    <cellStyle name="Entrada 3 23 7" xfId="3026"/>
    <cellStyle name="Entrada 3 23 7 2" xfId="33796"/>
    <cellStyle name="Entrada 3 23 8" xfId="3027"/>
    <cellStyle name="Entrada 3 23 8 2" xfId="33797"/>
    <cellStyle name="Entrada 3 23 9" xfId="3028"/>
    <cellStyle name="Entrada 3 23 9 2" xfId="33798"/>
    <cellStyle name="Entrada 3 24" xfId="3029"/>
    <cellStyle name="Entrada 3 24 10" xfId="3030"/>
    <cellStyle name="Entrada 3 24 10 2" xfId="33799"/>
    <cellStyle name="Entrada 3 24 11" xfId="3031"/>
    <cellStyle name="Entrada 3 24 11 2" xfId="33800"/>
    <cellStyle name="Entrada 3 24 12" xfId="3032"/>
    <cellStyle name="Entrada 3 24 12 2" xfId="33801"/>
    <cellStyle name="Entrada 3 24 13" xfId="3033"/>
    <cellStyle name="Entrada 3 24 13 2" xfId="33802"/>
    <cellStyle name="Entrada 3 24 14" xfId="33803"/>
    <cellStyle name="Entrada 3 24 2" xfId="3034"/>
    <cellStyle name="Entrada 3 24 2 2" xfId="33804"/>
    <cellStyle name="Entrada 3 24 3" xfId="3035"/>
    <cellStyle name="Entrada 3 24 3 2" xfId="33805"/>
    <cellStyle name="Entrada 3 24 4" xfId="3036"/>
    <cellStyle name="Entrada 3 24 4 2" xfId="33806"/>
    <cellStyle name="Entrada 3 24 5" xfId="3037"/>
    <cellStyle name="Entrada 3 24 5 2" xfId="33807"/>
    <cellStyle name="Entrada 3 24 6" xfId="3038"/>
    <cellStyle name="Entrada 3 24 6 2" xfId="33808"/>
    <cellStyle name="Entrada 3 24 7" xfId="3039"/>
    <cellStyle name="Entrada 3 24 7 2" xfId="33809"/>
    <cellStyle name="Entrada 3 24 8" xfId="3040"/>
    <cellStyle name="Entrada 3 24 8 2" xfId="33810"/>
    <cellStyle name="Entrada 3 24 9" xfId="3041"/>
    <cellStyle name="Entrada 3 24 9 2" xfId="33811"/>
    <cellStyle name="Entrada 3 25" xfId="3042"/>
    <cellStyle name="Entrada 3 25 10" xfId="3043"/>
    <cellStyle name="Entrada 3 25 10 2" xfId="33812"/>
    <cellStyle name="Entrada 3 25 11" xfId="3044"/>
    <cellStyle name="Entrada 3 25 11 2" xfId="33813"/>
    <cellStyle name="Entrada 3 25 12" xfId="3045"/>
    <cellStyle name="Entrada 3 25 12 2" xfId="33814"/>
    <cellStyle name="Entrada 3 25 13" xfId="3046"/>
    <cellStyle name="Entrada 3 25 13 2" xfId="33815"/>
    <cellStyle name="Entrada 3 25 14" xfId="33816"/>
    <cellStyle name="Entrada 3 25 2" xfId="3047"/>
    <cellStyle name="Entrada 3 25 2 2" xfId="33817"/>
    <cellStyle name="Entrada 3 25 3" xfId="3048"/>
    <cellStyle name="Entrada 3 25 3 2" xfId="33818"/>
    <cellStyle name="Entrada 3 25 4" xfId="3049"/>
    <cellStyle name="Entrada 3 25 4 2" xfId="33819"/>
    <cellStyle name="Entrada 3 25 5" xfId="3050"/>
    <cellStyle name="Entrada 3 25 5 2" xfId="33820"/>
    <cellStyle name="Entrada 3 25 6" xfId="3051"/>
    <cellStyle name="Entrada 3 25 6 2" xfId="33821"/>
    <cellStyle name="Entrada 3 25 7" xfId="3052"/>
    <cellStyle name="Entrada 3 25 7 2" xfId="33822"/>
    <cellStyle name="Entrada 3 25 8" xfId="3053"/>
    <cellStyle name="Entrada 3 25 8 2" xfId="33823"/>
    <cellStyle name="Entrada 3 25 9" xfId="3054"/>
    <cellStyle name="Entrada 3 25 9 2" xfId="33824"/>
    <cellStyle name="Entrada 3 26" xfId="3055"/>
    <cellStyle name="Entrada 3 26 10" xfId="3056"/>
    <cellStyle name="Entrada 3 26 10 2" xfId="33825"/>
    <cellStyle name="Entrada 3 26 11" xfId="3057"/>
    <cellStyle name="Entrada 3 26 11 2" xfId="33826"/>
    <cellStyle name="Entrada 3 26 12" xfId="3058"/>
    <cellStyle name="Entrada 3 26 12 2" xfId="33827"/>
    <cellStyle name="Entrada 3 26 13" xfId="3059"/>
    <cellStyle name="Entrada 3 26 13 2" xfId="33828"/>
    <cellStyle name="Entrada 3 26 14" xfId="33829"/>
    <cellStyle name="Entrada 3 26 2" xfId="3060"/>
    <cellStyle name="Entrada 3 26 2 2" xfId="33830"/>
    <cellStyle name="Entrada 3 26 3" xfId="3061"/>
    <cellStyle name="Entrada 3 26 3 2" xfId="33831"/>
    <cellStyle name="Entrada 3 26 4" xfId="3062"/>
    <cellStyle name="Entrada 3 26 4 2" xfId="33832"/>
    <cellStyle name="Entrada 3 26 5" xfId="3063"/>
    <cellStyle name="Entrada 3 26 5 2" xfId="33833"/>
    <cellStyle name="Entrada 3 26 6" xfId="3064"/>
    <cellStyle name="Entrada 3 26 6 2" xfId="33834"/>
    <cellStyle name="Entrada 3 26 7" xfId="3065"/>
    <cellStyle name="Entrada 3 26 7 2" xfId="33835"/>
    <cellStyle name="Entrada 3 26 8" xfId="3066"/>
    <cellStyle name="Entrada 3 26 8 2" xfId="33836"/>
    <cellStyle name="Entrada 3 26 9" xfId="3067"/>
    <cellStyle name="Entrada 3 26 9 2" xfId="33837"/>
    <cellStyle name="Entrada 3 27" xfId="3068"/>
    <cellStyle name="Entrada 3 27 10" xfId="3069"/>
    <cellStyle name="Entrada 3 27 10 2" xfId="33838"/>
    <cellStyle name="Entrada 3 27 11" xfId="3070"/>
    <cellStyle name="Entrada 3 27 11 2" xfId="33839"/>
    <cellStyle name="Entrada 3 27 12" xfId="3071"/>
    <cellStyle name="Entrada 3 27 12 2" xfId="33840"/>
    <cellStyle name="Entrada 3 27 13" xfId="3072"/>
    <cellStyle name="Entrada 3 27 13 2" xfId="33841"/>
    <cellStyle name="Entrada 3 27 14" xfId="33842"/>
    <cellStyle name="Entrada 3 27 2" xfId="3073"/>
    <cellStyle name="Entrada 3 27 2 2" xfId="33843"/>
    <cellStyle name="Entrada 3 27 3" xfId="3074"/>
    <cellStyle name="Entrada 3 27 3 2" xfId="33844"/>
    <cellStyle name="Entrada 3 27 4" xfId="3075"/>
    <cellStyle name="Entrada 3 27 4 2" xfId="33845"/>
    <cellStyle name="Entrada 3 27 5" xfId="3076"/>
    <cellStyle name="Entrada 3 27 5 2" xfId="33846"/>
    <cellStyle name="Entrada 3 27 6" xfId="3077"/>
    <cellStyle name="Entrada 3 27 6 2" xfId="33847"/>
    <cellStyle name="Entrada 3 27 7" xfId="3078"/>
    <cellStyle name="Entrada 3 27 7 2" xfId="33848"/>
    <cellStyle name="Entrada 3 27 8" xfId="3079"/>
    <cellStyle name="Entrada 3 27 8 2" xfId="33849"/>
    <cellStyle name="Entrada 3 27 9" xfId="3080"/>
    <cellStyle name="Entrada 3 27 9 2" xfId="33850"/>
    <cellStyle name="Entrada 3 28" xfId="3081"/>
    <cellStyle name="Entrada 3 28 10" xfId="3082"/>
    <cellStyle name="Entrada 3 28 10 2" xfId="33851"/>
    <cellStyle name="Entrada 3 28 11" xfId="3083"/>
    <cellStyle name="Entrada 3 28 11 2" xfId="33852"/>
    <cellStyle name="Entrada 3 28 12" xfId="3084"/>
    <cellStyle name="Entrada 3 28 12 2" xfId="33853"/>
    <cellStyle name="Entrada 3 28 13" xfId="3085"/>
    <cellStyle name="Entrada 3 28 13 2" xfId="33854"/>
    <cellStyle name="Entrada 3 28 14" xfId="33855"/>
    <cellStyle name="Entrada 3 28 2" xfId="3086"/>
    <cellStyle name="Entrada 3 28 2 2" xfId="33856"/>
    <cellStyle name="Entrada 3 28 3" xfId="3087"/>
    <cellStyle name="Entrada 3 28 3 2" xfId="33857"/>
    <cellStyle name="Entrada 3 28 4" xfId="3088"/>
    <cellStyle name="Entrada 3 28 4 2" xfId="33858"/>
    <cellStyle name="Entrada 3 28 5" xfId="3089"/>
    <cellStyle name="Entrada 3 28 5 2" xfId="33859"/>
    <cellStyle name="Entrada 3 28 6" xfId="3090"/>
    <cellStyle name="Entrada 3 28 6 2" xfId="33860"/>
    <cellStyle name="Entrada 3 28 7" xfId="3091"/>
    <cellStyle name="Entrada 3 28 7 2" xfId="33861"/>
    <cellStyle name="Entrada 3 28 8" xfId="3092"/>
    <cellStyle name="Entrada 3 28 8 2" xfId="33862"/>
    <cellStyle name="Entrada 3 28 9" xfId="3093"/>
    <cellStyle name="Entrada 3 28 9 2" xfId="33863"/>
    <cellStyle name="Entrada 3 29" xfId="3094"/>
    <cellStyle name="Entrada 3 29 10" xfId="3095"/>
    <cellStyle name="Entrada 3 29 10 2" xfId="33864"/>
    <cellStyle name="Entrada 3 29 11" xfId="3096"/>
    <cellStyle name="Entrada 3 29 11 2" xfId="33865"/>
    <cellStyle name="Entrada 3 29 12" xfId="3097"/>
    <cellStyle name="Entrada 3 29 12 2" xfId="33866"/>
    <cellStyle name="Entrada 3 29 13" xfId="3098"/>
    <cellStyle name="Entrada 3 29 13 2" xfId="33867"/>
    <cellStyle name="Entrada 3 29 14" xfId="33868"/>
    <cellStyle name="Entrada 3 29 2" xfId="3099"/>
    <cellStyle name="Entrada 3 29 2 2" xfId="33869"/>
    <cellStyle name="Entrada 3 29 3" xfId="3100"/>
    <cellStyle name="Entrada 3 29 3 2" xfId="33870"/>
    <cellStyle name="Entrada 3 29 4" xfId="3101"/>
    <cellStyle name="Entrada 3 29 4 2" xfId="33871"/>
    <cellStyle name="Entrada 3 29 5" xfId="3102"/>
    <cellStyle name="Entrada 3 29 5 2" xfId="33872"/>
    <cellStyle name="Entrada 3 29 6" xfId="3103"/>
    <cellStyle name="Entrada 3 29 6 2" xfId="33873"/>
    <cellStyle name="Entrada 3 29 7" xfId="3104"/>
    <cellStyle name="Entrada 3 29 7 2" xfId="33874"/>
    <cellStyle name="Entrada 3 29 8" xfId="3105"/>
    <cellStyle name="Entrada 3 29 8 2" xfId="33875"/>
    <cellStyle name="Entrada 3 29 9" xfId="3106"/>
    <cellStyle name="Entrada 3 29 9 2" xfId="33876"/>
    <cellStyle name="Entrada 3 3" xfId="3107"/>
    <cellStyle name="Entrada 3 3 10" xfId="3108"/>
    <cellStyle name="Entrada 3 3 10 2" xfId="33877"/>
    <cellStyle name="Entrada 3 3 11" xfId="3109"/>
    <cellStyle name="Entrada 3 3 11 2" xfId="33878"/>
    <cellStyle name="Entrada 3 3 12" xfId="3110"/>
    <cellStyle name="Entrada 3 3 12 2" xfId="33879"/>
    <cellStyle name="Entrada 3 3 13" xfId="3111"/>
    <cellStyle name="Entrada 3 3 13 2" xfId="33880"/>
    <cellStyle name="Entrada 3 3 14" xfId="33881"/>
    <cellStyle name="Entrada 3 3 2" xfId="3112"/>
    <cellStyle name="Entrada 3 3 2 2" xfId="33882"/>
    <cellStyle name="Entrada 3 3 3" xfId="3113"/>
    <cellStyle name="Entrada 3 3 3 2" xfId="33883"/>
    <cellStyle name="Entrada 3 3 4" xfId="3114"/>
    <cellStyle name="Entrada 3 3 4 2" xfId="33884"/>
    <cellStyle name="Entrada 3 3 5" xfId="3115"/>
    <cellStyle name="Entrada 3 3 5 2" xfId="33885"/>
    <cellStyle name="Entrada 3 3 6" xfId="3116"/>
    <cellStyle name="Entrada 3 3 6 2" xfId="33886"/>
    <cellStyle name="Entrada 3 3 7" xfId="3117"/>
    <cellStyle name="Entrada 3 3 7 2" xfId="33887"/>
    <cellStyle name="Entrada 3 3 8" xfId="3118"/>
    <cellStyle name="Entrada 3 3 8 2" xfId="33888"/>
    <cellStyle name="Entrada 3 3 9" xfId="3119"/>
    <cellStyle name="Entrada 3 3 9 2" xfId="33889"/>
    <cellStyle name="Entrada 3 30" xfId="3120"/>
    <cellStyle name="Entrada 3 30 10" xfId="3121"/>
    <cellStyle name="Entrada 3 30 10 2" xfId="33890"/>
    <cellStyle name="Entrada 3 30 11" xfId="3122"/>
    <cellStyle name="Entrada 3 30 11 2" xfId="33891"/>
    <cellStyle name="Entrada 3 30 12" xfId="3123"/>
    <cellStyle name="Entrada 3 30 12 2" xfId="33892"/>
    <cellStyle name="Entrada 3 30 13" xfId="3124"/>
    <cellStyle name="Entrada 3 30 13 2" xfId="33893"/>
    <cellStyle name="Entrada 3 30 14" xfId="33894"/>
    <cellStyle name="Entrada 3 30 2" xfId="3125"/>
    <cellStyle name="Entrada 3 30 2 2" xfId="33895"/>
    <cellStyle name="Entrada 3 30 3" xfId="3126"/>
    <cellStyle name="Entrada 3 30 3 2" xfId="33896"/>
    <cellStyle name="Entrada 3 30 4" xfId="3127"/>
    <cellStyle name="Entrada 3 30 4 2" xfId="33897"/>
    <cellStyle name="Entrada 3 30 5" xfId="3128"/>
    <cellStyle name="Entrada 3 30 5 2" xfId="33898"/>
    <cellStyle name="Entrada 3 30 6" xfId="3129"/>
    <cellStyle name="Entrada 3 30 6 2" xfId="33899"/>
    <cellStyle name="Entrada 3 30 7" xfId="3130"/>
    <cellStyle name="Entrada 3 30 7 2" xfId="33900"/>
    <cellStyle name="Entrada 3 30 8" xfId="3131"/>
    <cellStyle name="Entrada 3 30 8 2" xfId="33901"/>
    <cellStyle name="Entrada 3 30 9" xfId="3132"/>
    <cellStyle name="Entrada 3 30 9 2" xfId="33902"/>
    <cellStyle name="Entrada 3 31" xfId="3133"/>
    <cellStyle name="Entrada 3 31 10" xfId="3134"/>
    <cellStyle name="Entrada 3 31 10 2" xfId="33903"/>
    <cellStyle name="Entrada 3 31 11" xfId="3135"/>
    <cellStyle name="Entrada 3 31 11 2" xfId="33904"/>
    <cellStyle name="Entrada 3 31 12" xfId="3136"/>
    <cellStyle name="Entrada 3 31 12 2" xfId="33905"/>
    <cellStyle name="Entrada 3 31 13" xfId="3137"/>
    <cellStyle name="Entrada 3 31 13 2" xfId="33906"/>
    <cellStyle name="Entrada 3 31 14" xfId="33907"/>
    <cellStyle name="Entrada 3 31 2" xfId="3138"/>
    <cellStyle name="Entrada 3 31 2 2" xfId="33908"/>
    <cellStyle name="Entrada 3 31 3" xfId="3139"/>
    <cellStyle name="Entrada 3 31 3 2" xfId="33909"/>
    <cellStyle name="Entrada 3 31 4" xfId="3140"/>
    <cellStyle name="Entrada 3 31 4 2" xfId="33910"/>
    <cellStyle name="Entrada 3 31 5" xfId="3141"/>
    <cellStyle name="Entrada 3 31 5 2" xfId="33911"/>
    <cellStyle name="Entrada 3 31 6" xfId="3142"/>
    <cellStyle name="Entrada 3 31 6 2" xfId="33912"/>
    <cellStyle name="Entrada 3 31 7" xfId="3143"/>
    <cellStyle name="Entrada 3 31 7 2" xfId="33913"/>
    <cellStyle name="Entrada 3 31 8" xfId="3144"/>
    <cellStyle name="Entrada 3 31 8 2" xfId="33914"/>
    <cellStyle name="Entrada 3 31 9" xfId="3145"/>
    <cellStyle name="Entrada 3 31 9 2" xfId="33915"/>
    <cellStyle name="Entrada 3 32" xfId="3146"/>
    <cellStyle name="Entrada 3 32 10" xfId="3147"/>
    <cellStyle name="Entrada 3 32 10 2" xfId="33916"/>
    <cellStyle name="Entrada 3 32 11" xfId="3148"/>
    <cellStyle name="Entrada 3 32 11 2" xfId="33917"/>
    <cellStyle name="Entrada 3 32 12" xfId="3149"/>
    <cellStyle name="Entrada 3 32 12 2" xfId="33918"/>
    <cellStyle name="Entrada 3 32 13" xfId="3150"/>
    <cellStyle name="Entrada 3 32 13 2" xfId="33919"/>
    <cellStyle name="Entrada 3 32 14" xfId="33920"/>
    <cellStyle name="Entrada 3 32 2" xfId="3151"/>
    <cellStyle name="Entrada 3 32 2 2" xfId="33921"/>
    <cellStyle name="Entrada 3 32 3" xfId="3152"/>
    <cellStyle name="Entrada 3 32 3 2" xfId="33922"/>
    <cellStyle name="Entrada 3 32 4" xfId="3153"/>
    <cellStyle name="Entrada 3 32 4 2" xfId="33923"/>
    <cellStyle name="Entrada 3 32 5" xfId="3154"/>
    <cellStyle name="Entrada 3 32 5 2" xfId="33924"/>
    <cellStyle name="Entrada 3 32 6" xfId="3155"/>
    <cellStyle name="Entrada 3 32 6 2" xfId="33925"/>
    <cellStyle name="Entrada 3 32 7" xfId="3156"/>
    <cellStyle name="Entrada 3 32 7 2" xfId="33926"/>
    <cellStyle name="Entrada 3 32 8" xfId="3157"/>
    <cellStyle name="Entrada 3 32 8 2" xfId="33927"/>
    <cellStyle name="Entrada 3 32 9" xfId="3158"/>
    <cellStyle name="Entrada 3 32 9 2" xfId="33928"/>
    <cellStyle name="Entrada 3 33" xfId="3159"/>
    <cellStyle name="Entrada 3 33 10" xfId="3160"/>
    <cellStyle name="Entrada 3 33 10 2" xfId="33929"/>
    <cellStyle name="Entrada 3 33 11" xfId="3161"/>
    <cellStyle name="Entrada 3 33 11 2" xfId="33930"/>
    <cellStyle name="Entrada 3 33 12" xfId="3162"/>
    <cellStyle name="Entrada 3 33 12 2" xfId="33931"/>
    <cellStyle name="Entrada 3 33 13" xfId="3163"/>
    <cellStyle name="Entrada 3 33 13 2" xfId="33932"/>
    <cellStyle name="Entrada 3 33 14" xfId="33933"/>
    <cellStyle name="Entrada 3 33 2" xfId="3164"/>
    <cellStyle name="Entrada 3 33 2 2" xfId="33934"/>
    <cellStyle name="Entrada 3 33 3" xfId="3165"/>
    <cellStyle name="Entrada 3 33 3 2" xfId="33935"/>
    <cellStyle name="Entrada 3 33 4" xfId="3166"/>
    <cellStyle name="Entrada 3 33 4 2" xfId="33936"/>
    <cellStyle name="Entrada 3 33 5" xfId="3167"/>
    <cellStyle name="Entrada 3 33 5 2" xfId="33937"/>
    <cellStyle name="Entrada 3 33 6" xfId="3168"/>
    <cellStyle name="Entrada 3 33 6 2" xfId="33938"/>
    <cellStyle name="Entrada 3 33 7" xfId="3169"/>
    <cellStyle name="Entrada 3 33 7 2" xfId="33939"/>
    <cellStyle name="Entrada 3 33 8" xfId="3170"/>
    <cellStyle name="Entrada 3 33 8 2" xfId="33940"/>
    <cellStyle name="Entrada 3 33 9" xfId="3171"/>
    <cellStyle name="Entrada 3 33 9 2" xfId="33941"/>
    <cellStyle name="Entrada 3 34" xfId="3172"/>
    <cellStyle name="Entrada 3 34 10" xfId="3173"/>
    <cellStyle name="Entrada 3 34 10 2" xfId="33942"/>
    <cellStyle name="Entrada 3 34 11" xfId="3174"/>
    <cellStyle name="Entrada 3 34 11 2" xfId="33943"/>
    <cellStyle name="Entrada 3 34 12" xfId="3175"/>
    <cellStyle name="Entrada 3 34 12 2" xfId="33944"/>
    <cellStyle name="Entrada 3 34 13" xfId="3176"/>
    <cellStyle name="Entrada 3 34 13 2" xfId="33945"/>
    <cellStyle name="Entrada 3 34 14" xfId="33946"/>
    <cellStyle name="Entrada 3 34 2" xfId="3177"/>
    <cellStyle name="Entrada 3 34 2 2" xfId="33947"/>
    <cellStyle name="Entrada 3 34 3" xfId="3178"/>
    <cellStyle name="Entrada 3 34 3 2" xfId="33948"/>
    <cellStyle name="Entrada 3 34 4" xfId="3179"/>
    <cellStyle name="Entrada 3 34 4 2" xfId="33949"/>
    <cellStyle name="Entrada 3 34 5" xfId="3180"/>
    <cellStyle name="Entrada 3 34 5 2" xfId="33950"/>
    <cellStyle name="Entrada 3 34 6" xfId="3181"/>
    <cellStyle name="Entrada 3 34 6 2" xfId="33951"/>
    <cellStyle name="Entrada 3 34 7" xfId="3182"/>
    <cellStyle name="Entrada 3 34 7 2" xfId="33952"/>
    <cellStyle name="Entrada 3 34 8" xfId="3183"/>
    <cellStyle name="Entrada 3 34 8 2" xfId="33953"/>
    <cellStyle name="Entrada 3 34 9" xfId="3184"/>
    <cellStyle name="Entrada 3 34 9 2" xfId="33954"/>
    <cellStyle name="Entrada 3 35" xfId="3185"/>
    <cellStyle name="Entrada 3 35 10" xfId="3186"/>
    <cellStyle name="Entrada 3 35 10 2" xfId="33955"/>
    <cellStyle name="Entrada 3 35 11" xfId="3187"/>
    <cellStyle name="Entrada 3 35 11 2" xfId="33956"/>
    <cellStyle name="Entrada 3 35 12" xfId="3188"/>
    <cellStyle name="Entrada 3 35 12 2" xfId="33957"/>
    <cellStyle name="Entrada 3 35 13" xfId="3189"/>
    <cellStyle name="Entrada 3 35 13 2" xfId="33958"/>
    <cellStyle name="Entrada 3 35 14" xfId="33959"/>
    <cellStyle name="Entrada 3 35 2" xfId="3190"/>
    <cellStyle name="Entrada 3 35 2 2" xfId="33960"/>
    <cellStyle name="Entrada 3 35 3" xfId="3191"/>
    <cellStyle name="Entrada 3 35 3 2" xfId="33961"/>
    <cellStyle name="Entrada 3 35 4" xfId="3192"/>
    <cellStyle name="Entrada 3 35 4 2" xfId="33962"/>
    <cellStyle name="Entrada 3 35 5" xfId="3193"/>
    <cellStyle name="Entrada 3 35 5 2" xfId="33963"/>
    <cellStyle name="Entrada 3 35 6" xfId="3194"/>
    <cellStyle name="Entrada 3 35 6 2" xfId="33964"/>
    <cellStyle name="Entrada 3 35 7" xfId="3195"/>
    <cellStyle name="Entrada 3 35 7 2" xfId="33965"/>
    <cellStyle name="Entrada 3 35 8" xfId="3196"/>
    <cellStyle name="Entrada 3 35 8 2" xfId="33966"/>
    <cellStyle name="Entrada 3 35 9" xfId="3197"/>
    <cellStyle name="Entrada 3 35 9 2" xfId="33967"/>
    <cellStyle name="Entrada 3 36" xfId="3198"/>
    <cellStyle name="Entrada 3 36 10" xfId="3199"/>
    <cellStyle name="Entrada 3 36 10 2" xfId="33968"/>
    <cellStyle name="Entrada 3 36 11" xfId="3200"/>
    <cellStyle name="Entrada 3 36 11 2" xfId="33969"/>
    <cellStyle name="Entrada 3 36 12" xfId="3201"/>
    <cellStyle name="Entrada 3 36 12 2" xfId="33970"/>
    <cellStyle name="Entrada 3 36 13" xfId="3202"/>
    <cellStyle name="Entrada 3 36 13 2" xfId="33971"/>
    <cellStyle name="Entrada 3 36 14" xfId="33972"/>
    <cellStyle name="Entrada 3 36 2" xfId="3203"/>
    <cellStyle name="Entrada 3 36 2 2" xfId="33973"/>
    <cellStyle name="Entrada 3 36 3" xfId="3204"/>
    <cellStyle name="Entrada 3 36 3 2" xfId="33974"/>
    <cellStyle name="Entrada 3 36 4" xfId="3205"/>
    <cellStyle name="Entrada 3 36 4 2" xfId="33975"/>
    <cellStyle name="Entrada 3 36 5" xfId="3206"/>
    <cellStyle name="Entrada 3 36 5 2" xfId="33976"/>
    <cellStyle name="Entrada 3 36 6" xfId="3207"/>
    <cellStyle name="Entrada 3 36 6 2" xfId="33977"/>
    <cellStyle name="Entrada 3 36 7" xfId="3208"/>
    <cellStyle name="Entrada 3 36 7 2" xfId="33978"/>
    <cellStyle name="Entrada 3 36 8" xfId="3209"/>
    <cellStyle name="Entrada 3 36 8 2" xfId="33979"/>
    <cellStyle name="Entrada 3 36 9" xfId="3210"/>
    <cellStyle name="Entrada 3 36 9 2" xfId="33980"/>
    <cellStyle name="Entrada 3 37" xfId="3211"/>
    <cellStyle name="Entrada 3 37 10" xfId="3212"/>
    <cellStyle name="Entrada 3 37 10 2" xfId="33981"/>
    <cellStyle name="Entrada 3 37 11" xfId="3213"/>
    <cellStyle name="Entrada 3 37 11 2" xfId="33982"/>
    <cellStyle name="Entrada 3 37 12" xfId="3214"/>
    <cellStyle name="Entrada 3 37 12 2" xfId="33983"/>
    <cellStyle name="Entrada 3 37 13" xfId="3215"/>
    <cellStyle name="Entrada 3 37 13 2" xfId="33984"/>
    <cellStyle name="Entrada 3 37 14" xfId="33985"/>
    <cellStyle name="Entrada 3 37 2" xfId="3216"/>
    <cellStyle name="Entrada 3 37 2 2" xfId="33986"/>
    <cellStyle name="Entrada 3 37 3" xfId="3217"/>
    <cellStyle name="Entrada 3 37 3 2" xfId="33987"/>
    <cellStyle name="Entrada 3 37 4" xfId="3218"/>
    <cellStyle name="Entrada 3 37 4 2" xfId="33988"/>
    <cellStyle name="Entrada 3 37 5" xfId="3219"/>
    <cellStyle name="Entrada 3 37 5 2" xfId="33989"/>
    <cellStyle name="Entrada 3 37 6" xfId="3220"/>
    <cellStyle name="Entrada 3 37 6 2" xfId="33990"/>
    <cellStyle name="Entrada 3 37 7" xfId="3221"/>
    <cellStyle name="Entrada 3 37 7 2" xfId="33991"/>
    <cellStyle name="Entrada 3 37 8" xfId="3222"/>
    <cellStyle name="Entrada 3 37 8 2" xfId="33992"/>
    <cellStyle name="Entrada 3 37 9" xfId="3223"/>
    <cellStyle name="Entrada 3 37 9 2" xfId="33993"/>
    <cellStyle name="Entrada 3 38" xfId="3224"/>
    <cellStyle name="Entrada 3 38 10" xfId="3225"/>
    <cellStyle name="Entrada 3 38 10 2" xfId="33994"/>
    <cellStyle name="Entrada 3 38 11" xfId="3226"/>
    <cellStyle name="Entrada 3 38 11 2" xfId="33995"/>
    <cellStyle name="Entrada 3 38 12" xfId="3227"/>
    <cellStyle name="Entrada 3 38 12 2" xfId="33996"/>
    <cellStyle name="Entrada 3 38 13" xfId="3228"/>
    <cellStyle name="Entrada 3 38 13 2" xfId="33997"/>
    <cellStyle name="Entrada 3 38 14" xfId="33998"/>
    <cellStyle name="Entrada 3 38 2" xfId="3229"/>
    <cellStyle name="Entrada 3 38 2 2" xfId="33999"/>
    <cellStyle name="Entrada 3 38 3" xfId="3230"/>
    <cellStyle name="Entrada 3 38 3 2" xfId="34000"/>
    <cellStyle name="Entrada 3 38 4" xfId="3231"/>
    <cellStyle name="Entrada 3 38 4 2" xfId="34001"/>
    <cellStyle name="Entrada 3 38 5" xfId="3232"/>
    <cellStyle name="Entrada 3 38 5 2" xfId="34002"/>
    <cellStyle name="Entrada 3 38 6" xfId="3233"/>
    <cellStyle name="Entrada 3 38 6 2" xfId="34003"/>
    <cellStyle name="Entrada 3 38 7" xfId="3234"/>
    <cellStyle name="Entrada 3 38 7 2" xfId="34004"/>
    <cellStyle name="Entrada 3 38 8" xfId="3235"/>
    <cellStyle name="Entrada 3 38 8 2" xfId="34005"/>
    <cellStyle name="Entrada 3 38 9" xfId="3236"/>
    <cellStyle name="Entrada 3 38 9 2" xfId="34006"/>
    <cellStyle name="Entrada 3 39" xfId="3237"/>
    <cellStyle name="Entrada 3 39 10" xfId="3238"/>
    <cellStyle name="Entrada 3 39 10 2" xfId="34007"/>
    <cellStyle name="Entrada 3 39 11" xfId="3239"/>
    <cellStyle name="Entrada 3 39 11 2" xfId="34008"/>
    <cellStyle name="Entrada 3 39 12" xfId="3240"/>
    <cellStyle name="Entrada 3 39 12 2" xfId="34009"/>
    <cellStyle name="Entrada 3 39 13" xfId="3241"/>
    <cellStyle name="Entrada 3 39 13 2" xfId="34010"/>
    <cellStyle name="Entrada 3 39 14" xfId="34011"/>
    <cellStyle name="Entrada 3 39 2" xfId="3242"/>
    <cellStyle name="Entrada 3 39 2 2" xfId="34012"/>
    <cellStyle name="Entrada 3 39 3" xfId="3243"/>
    <cellStyle name="Entrada 3 39 3 2" xfId="34013"/>
    <cellStyle name="Entrada 3 39 4" xfId="3244"/>
    <cellStyle name="Entrada 3 39 4 2" xfId="34014"/>
    <cellStyle name="Entrada 3 39 5" xfId="3245"/>
    <cellStyle name="Entrada 3 39 5 2" xfId="34015"/>
    <cellStyle name="Entrada 3 39 6" xfId="3246"/>
    <cellStyle name="Entrada 3 39 6 2" xfId="34016"/>
    <cellStyle name="Entrada 3 39 7" xfId="3247"/>
    <cellStyle name="Entrada 3 39 7 2" xfId="34017"/>
    <cellStyle name="Entrada 3 39 8" xfId="3248"/>
    <cellStyle name="Entrada 3 39 8 2" xfId="34018"/>
    <cellStyle name="Entrada 3 39 9" xfId="3249"/>
    <cellStyle name="Entrada 3 39 9 2" xfId="34019"/>
    <cellStyle name="Entrada 3 4" xfId="3250"/>
    <cellStyle name="Entrada 3 4 10" xfId="3251"/>
    <cellStyle name="Entrada 3 4 10 2" xfId="34020"/>
    <cellStyle name="Entrada 3 4 11" xfId="3252"/>
    <cellStyle name="Entrada 3 4 11 2" xfId="34021"/>
    <cellStyle name="Entrada 3 4 12" xfId="3253"/>
    <cellStyle name="Entrada 3 4 12 2" xfId="34022"/>
    <cellStyle name="Entrada 3 4 13" xfId="3254"/>
    <cellStyle name="Entrada 3 4 13 2" xfId="34023"/>
    <cellStyle name="Entrada 3 4 14" xfId="34024"/>
    <cellStyle name="Entrada 3 4 2" xfId="3255"/>
    <cellStyle name="Entrada 3 4 2 2" xfId="34025"/>
    <cellStyle name="Entrada 3 4 3" xfId="3256"/>
    <cellStyle name="Entrada 3 4 3 2" xfId="34026"/>
    <cellStyle name="Entrada 3 4 4" xfId="3257"/>
    <cellStyle name="Entrada 3 4 4 2" xfId="34027"/>
    <cellStyle name="Entrada 3 4 5" xfId="3258"/>
    <cellStyle name="Entrada 3 4 5 2" xfId="34028"/>
    <cellStyle name="Entrada 3 4 6" xfId="3259"/>
    <cellStyle name="Entrada 3 4 6 2" xfId="34029"/>
    <cellStyle name="Entrada 3 4 7" xfId="3260"/>
    <cellStyle name="Entrada 3 4 7 2" xfId="34030"/>
    <cellStyle name="Entrada 3 4 8" xfId="3261"/>
    <cellStyle name="Entrada 3 4 8 2" xfId="34031"/>
    <cellStyle name="Entrada 3 4 9" xfId="3262"/>
    <cellStyle name="Entrada 3 4 9 2" xfId="34032"/>
    <cellStyle name="Entrada 3 40" xfId="3263"/>
    <cellStyle name="Entrada 3 40 10" xfId="3264"/>
    <cellStyle name="Entrada 3 40 10 2" xfId="34033"/>
    <cellStyle name="Entrada 3 40 11" xfId="3265"/>
    <cellStyle name="Entrada 3 40 11 2" xfId="34034"/>
    <cellStyle name="Entrada 3 40 12" xfId="3266"/>
    <cellStyle name="Entrada 3 40 12 2" xfId="34035"/>
    <cellStyle name="Entrada 3 40 13" xfId="3267"/>
    <cellStyle name="Entrada 3 40 13 2" xfId="34036"/>
    <cellStyle name="Entrada 3 40 14" xfId="34037"/>
    <cellStyle name="Entrada 3 40 2" xfId="3268"/>
    <cellStyle name="Entrada 3 40 2 2" xfId="34038"/>
    <cellStyle name="Entrada 3 40 3" xfId="3269"/>
    <cellStyle name="Entrada 3 40 3 2" xfId="34039"/>
    <cellStyle name="Entrada 3 40 4" xfId="3270"/>
    <cellStyle name="Entrada 3 40 4 2" xfId="34040"/>
    <cellStyle name="Entrada 3 40 5" xfId="3271"/>
    <cellStyle name="Entrada 3 40 5 2" xfId="34041"/>
    <cellStyle name="Entrada 3 40 6" xfId="3272"/>
    <cellStyle name="Entrada 3 40 6 2" xfId="34042"/>
    <cellStyle name="Entrada 3 40 7" xfId="3273"/>
    <cellStyle name="Entrada 3 40 7 2" xfId="34043"/>
    <cellStyle name="Entrada 3 40 8" xfId="3274"/>
    <cellStyle name="Entrada 3 40 8 2" xfId="34044"/>
    <cellStyle name="Entrada 3 40 9" xfId="3275"/>
    <cellStyle name="Entrada 3 40 9 2" xfId="34045"/>
    <cellStyle name="Entrada 3 41" xfId="3276"/>
    <cellStyle name="Entrada 3 41 10" xfId="3277"/>
    <cellStyle name="Entrada 3 41 10 2" xfId="34046"/>
    <cellStyle name="Entrada 3 41 11" xfId="3278"/>
    <cellStyle name="Entrada 3 41 11 2" xfId="34047"/>
    <cellStyle name="Entrada 3 41 12" xfId="3279"/>
    <cellStyle name="Entrada 3 41 12 2" xfId="34048"/>
    <cellStyle name="Entrada 3 41 13" xfId="3280"/>
    <cellStyle name="Entrada 3 41 13 2" xfId="34049"/>
    <cellStyle name="Entrada 3 41 14" xfId="34050"/>
    <cellStyle name="Entrada 3 41 2" xfId="3281"/>
    <cellStyle name="Entrada 3 41 2 2" xfId="34051"/>
    <cellStyle name="Entrada 3 41 3" xfId="3282"/>
    <cellStyle name="Entrada 3 41 3 2" xfId="34052"/>
    <cellStyle name="Entrada 3 41 4" xfId="3283"/>
    <cellStyle name="Entrada 3 41 4 2" xfId="34053"/>
    <cellStyle name="Entrada 3 41 5" xfId="3284"/>
    <cellStyle name="Entrada 3 41 5 2" xfId="34054"/>
    <cellStyle name="Entrada 3 41 6" xfId="3285"/>
    <cellStyle name="Entrada 3 41 6 2" xfId="34055"/>
    <cellStyle name="Entrada 3 41 7" xfId="3286"/>
    <cellStyle name="Entrada 3 41 7 2" xfId="34056"/>
    <cellStyle name="Entrada 3 41 8" xfId="3287"/>
    <cellStyle name="Entrada 3 41 8 2" xfId="34057"/>
    <cellStyle name="Entrada 3 41 9" xfId="3288"/>
    <cellStyle name="Entrada 3 41 9 2" xfId="34058"/>
    <cellStyle name="Entrada 3 42" xfId="3289"/>
    <cellStyle name="Entrada 3 42 10" xfId="3290"/>
    <cellStyle name="Entrada 3 42 10 2" xfId="34059"/>
    <cellStyle name="Entrada 3 42 11" xfId="3291"/>
    <cellStyle name="Entrada 3 42 11 2" xfId="34060"/>
    <cellStyle name="Entrada 3 42 12" xfId="3292"/>
    <cellStyle name="Entrada 3 42 12 2" xfId="34061"/>
    <cellStyle name="Entrada 3 42 13" xfId="3293"/>
    <cellStyle name="Entrada 3 42 13 2" xfId="34062"/>
    <cellStyle name="Entrada 3 42 14" xfId="34063"/>
    <cellStyle name="Entrada 3 42 2" xfId="3294"/>
    <cellStyle name="Entrada 3 42 2 2" xfId="34064"/>
    <cellStyle name="Entrada 3 42 3" xfId="3295"/>
    <cellStyle name="Entrada 3 42 3 2" xfId="34065"/>
    <cellStyle name="Entrada 3 42 4" xfId="3296"/>
    <cellStyle name="Entrada 3 42 4 2" xfId="34066"/>
    <cellStyle name="Entrada 3 42 5" xfId="3297"/>
    <cellStyle name="Entrada 3 42 5 2" xfId="34067"/>
    <cellStyle name="Entrada 3 42 6" xfId="3298"/>
    <cellStyle name="Entrada 3 42 6 2" xfId="34068"/>
    <cellStyle name="Entrada 3 42 7" xfId="3299"/>
    <cellStyle name="Entrada 3 42 7 2" xfId="34069"/>
    <cellStyle name="Entrada 3 42 8" xfId="3300"/>
    <cellStyle name="Entrada 3 42 8 2" xfId="34070"/>
    <cellStyle name="Entrada 3 42 9" xfId="3301"/>
    <cellStyle name="Entrada 3 42 9 2" xfId="34071"/>
    <cellStyle name="Entrada 3 43" xfId="3302"/>
    <cellStyle name="Entrada 3 43 10" xfId="3303"/>
    <cellStyle name="Entrada 3 43 10 2" xfId="34072"/>
    <cellStyle name="Entrada 3 43 11" xfId="3304"/>
    <cellStyle name="Entrada 3 43 11 2" xfId="34073"/>
    <cellStyle name="Entrada 3 43 12" xfId="3305"/>
    <cellStyle name="Entrada 3 43 12 2" xfId="34074"/>
    <cellStyle name="Entrada 3 43 13" xfId="3306"/>
    <cellStyle name="Entrada 3 43 13 2" xfId="34075"/>
    <cellStyle name="Entrada 3 43 14" xfId="34076"/>
    <cellStyle name="Entrada 3 43 2" xfId="3307"/>
    <cellStyle name="Entrada 3 43 2 2" xfId="34077"/>
    <cellStyle name="Entrada 3 43 3" xfId="3308"/>
    <cellStyle name="Entrada 3 43 3 2" xfId="34078"/>
    <cellStyle name="Entrada 3 43 4" xfId="3309"/>
    <cellStyle name="Entrada 3 43 4 2" xfId="34079"/>
    <cellStyle name="Entrada 3 43 5" xfId="3310"/>
    <cellStyle name="Entrada 3 43 5 2" xfId="34080"/>
    <cellStyle name="Entrada 3 43 6" xfId="3311"/>
    <cellStyle name="Entrada 3 43 6 2" xfId="34081"/>
    <cellStyle name="Entrada 3 43 7" xfId="3312"/>
    <cellStyle name="Entrada 3 43 7 2" xfId="34082"/>
    <cellStyle name="Entrada 3 43 8" xfId="3313"/>
    <cellStyle name="Entrada 3 43 8 2" xfId="34083"/>
    <cellStyle name="Entrada 3 43 9" xfId="3314"/>
    <cellStyle name="Entrada 3 43 9 2" xfId="34084"/>
    <cellStyle name="Entrada 3 44" xfId="3315"/>
    <cellStyle name="Entrada 3 44 10" xfId="3316"/>
    <cellStyle name="Entrada 3 44 10 2" xfId="34085"/>
    <cellStyle name="Entrada 3 44 11" xfId="3317"/>
    <cellStyle name="Entrada 3 44 11 2" xfId="34086"/>
    <cellStyle name="Entrada 3 44 12" xfId="3318"/>
    <cellStyle name="Entrada 3 44 12 2" xfId="34087"/>
    <cellStyle name="Entrada 3 44 13" xfId="3319"/>
    <cellStyle name="Entrada 3 44 13 2" xfId="34088"/>
    <cellStyle name="Entrada 3 44 14" xfId="34089"/>
    <cellStyle name="Entrada 3 44 2" xfId="3320"/>
    <cellStyle name="Entrada 3 44 2 2" xfId="34090"/>
    <cellStyle name="Entrada 3 44 3" xfId="3321"/>
    <cellStyle name="Entrada 3 44 3 2" xfId="34091"/>
    <cellStyle name="Entrada 3 44 4" xfId="3322"/>
    <cellStyle name="Entrada 3 44 4 2" xfId="34092"/>
    <cellStyle name="Entrada 3 44 5" xfId="3323"/>
    <cellStyle name="Entrada 3 44 5 2" xfId="34093"/>
    <cellStyle name="Entrada 3 44 6" xfId="3324"/>
    <cellStyle name="Entrada 3 44 6 2" xfId="34094"/>
    <cellStyle name="Entrada 3 44 7" xfId="3325"/>
    <cellStyle name="Entrada 3 44 7 2" xfId="34095"/>
    <cellStyle name="Entrada 3 44 8" xfId="3326"/>
    <cellStyle name="Entrada 3 44 8 2" xfId="34096"/>
    <cellStyle name="Entrada 3 44 9" xfId="3327"/>
    <cellStyle name="Entrada 3 44 9 2" xfId="34097"/>
    <cellStyle name="Entrada 3 45" xfId="3328"/>
    <cellStyle name="Entrada 3 45 10" xfId="3329"/>
    <cellStyle name="Entrada 3 45 10 2" xfId="34098"/>
    <cellStyle name="Entrada 3 45 11" xfId="3330"/>
    <cellStyle name="Entrada 3 45 11 2" xfId="34099"/>
    <cellStyle name="Entrada 3 45 12" xfId="3331"/>
    <cellStyle name="Entrada 3 45 12 2" xfId="34100"/>
    <cellStyle name="Entrada 3 45 13" xfId="3332"/>
    <cellStyle name="Entrada 3 45 13 2" xfId="34101"/>
    <cellStyle name="Entrada 3 45 14" xfId="34102"/>
    <cellStyle name="Entrada 3 45 2" xfId="3333"/>
    <cellStyle name="Entrada 3 45 2 2" xfId="34103"/>
    <cellStyle name="Entrada 3 45 3" xfId="3334"/>
    <cellStyle name="Entrada 3 45 3 2" xfId="34104"/>
    <cellStyle name="Entrada 3 45 4" xfId="3335"/>
    <cellStyle name="Entrada 3 45 4 2" xfId="34105"/>
    <cellStyle name="Entrada 3 45 5" xfId="3336"/>
    <cellStyle name="Entrada 3 45 5 2" xfId="34106"/>
    <cellStyle name="Entrada 3 45 6" xfId="3337"/>
    <cellStyle name="Entrada 3 45 6 2" xfId="34107"/>
    <cellStyle name="Entrada 3 45 7" xfId="3338"/>
    <cellStyle name="Entrada 3 45 7 2" xfId="34108"/>
    <cellStyle name="Entrada 3 45 8" xfId="3339"/>
    <cellStyle name="Entrada 3 45 8 2" xfId="34109"/>
    <cellStyle name="Entrada 3 45 9" xfId="3340"/>
    <cellStyle name="Entrada 3 45 9 2" xfId="34110"/>
    <cellStyle name="Entrada 3 46" xfId="3341"/>
    <cellStyle name="Entrada 3 46 10" xfId="3342"/>
    <cellStyle name="Entrada 3 46 10 2" xfId="34111"/>
    <cellStyle name="Entrada 3 46 11" xfId="3343"/>
    <cellStyle name="Entrada 3 46 11 2" xfId="34112"/>
    <cellStyle name="Entrada 3 46 12" xfId="3344"/>
    <cellStyle name="Entrada 3 46 12 2" xfId="34113"/>
    <cellStyle name="Entrada 3 46 13" xfId="3345"/>
    <cellStyle name="Entrada 3 46 13 2" xfId="34114"/>
    <cellStyle name="Entrada 3 46 14" xfId="34115"/>
    <cellStyle name="Entrada 3 46 2" xfId="3346"/>
    <cellStyle name="Entrada 3 46 2 2" xfId="34116"/>
    <cellStyle name="Entrada 3 46 3" xfId="3347"/>
    <cellStyle name="Entrada 3 46 3 2" xfId="34117"/>
    <cellStyle name="Entrada 3 46 4" xfId="3348"/>
    <cellStyle name="Entrada 3 46 4 2" xfId="34118"/>
    <cellStyle name="Entrada 3 46 5" xfId="3349"/>
    <cellStyle name="Entrada 3 46 5 2" xfId="34119"/>
    <cellStyle name="Entrada 3 46 6" xfId="3350"/>
    <cellStyle name="Entrada 3 46 6 2" xfId="34120"/>
    <cellStyle name="Entrada 3 46 7" xfId="3351"/>
    <cellStyle name="Entrada 3 46 7 2" xfId="34121"/>
    <cellStyle name="Entrada 3 46 8" xfId="3352"/>
    <cellStyle name="Entrada 3 46 8 2" xfId="34122"/>
    <cellStyle name="Entrada 3 46 9" xfId="3353"/>
    <cellStyle name="Entrada 3 46 9 2" xfId="34123"/>
    <cellStyle name="Entrada 3 47" xfId="3354"/>
    <cellStyle name="Entrada 3 47 10" xfId="3355"/>
    <cellStyle name="Entrada 3 47 10 2" xfId="34124"/>
    <cellStyle name="Entrada 3 47 11" xfId="3356"/>
    <cellStyle name="Entrada 3 47 11 2" xfId="34125"/>
    <cellStyle name="Entrada 3 47 12" xfId="3357"/>
    <cellStyle name="Entrada 3 47 12 2" xfId="34126"/>
    <cellStyle name="Entrada 3 47 13" xfId="3358"/>
    <cellStyle name="Entrada 3 47 13 2" xfId="34127"/>
    <cellStyle name="Entrada 3 47 14" xfId="34128"/>
    <cellStyle name="Entrada 3 47 2" xfId="3359"/>
    <cellStyle name="Entrada 3 47 2 2" xfId="34129"/>
    <cellStyle name="Entrada 3 47 3" xfId="3360"/>
    <cellStyle name="Entrada 3 47 3 2" xfId="34130"/>
    <cellStyle name="Entrada 3 47 4" xfId="3361"/>
    <cellStyle name="Entrada 3 47 4 2" xfId="34131"/>
    <cellStyle name="Entrada 3 47 5" xfId="3362"/>
    <cellStyle name="Entrada 3 47 5 2" xfId="34132"/>
    <cellStyle name="Entrada 3 47 6" xfId="3363"/>
    <cellStyle name="Entrada 3 47 6 2" xfId="34133"/>
    <cellStyle name="Entrada 3 47 7" xfId="3364"/>
    <cellStyle name="Entrada 3 47 7 2" xfId="34134"/>
    <cellStyle name="Entrada 3 47 8" xfId="3365"/>
    <cellStyle name="Entrada 3 47 8 2" xfId="34135"/>
    <cellStyle name="Entrada 3 47 9" xfId="3366"/>
    <cellStyle name="Entrada 3 47 9 2" xfId="34136"/>
    <cellStyle name="Entrada 3 48" xfId="3367"/>
    <cellStyle name="Entrada 3 48 10" xfId="3368"/>
    <cellStyle name="Entrada 3 48 10 2" xfId="34137"/>
    <cellStyle name="Entrada 3 48 11" xfId="3369"/>
    <cellStyle name="Entrada 3 48 11 2" xfId="34138"/>
    <cellStyle name="Entrada 3 48 12" xfId="3370"/>
    <cellStyle name="Entrada 3 48 12 2" xfId="34139"/>
    <cellStyle name="Entrada 3 48 13" xfId="3371"/>
    <cellStyle name="Entrada 3 48 13 2" xfId="34140"/>
    <cellStyle name="Entrada 3 48 14" xfId="34141"/>
    <cellStyle name="Entrada 3 48 2" xfId="3372"/>
    <cellStyle name="Entrada 3 48 2 2" xfId="34142"/>
    <cellStyle name="Entrada 3 48 3" xfId="3373"/>
    <cellStyle name="Entrada 3 48 3 2" xfId="34143"/>
    <cellStyle name="Entrada 3 48 4" xfId="3374"/>
    <cellStyle name="Entrada 3 48 4 2" xfId="34144"/>
    <cellStyle name="Entrada 3 48 5" xfId="3375"/>
    <cellStyle name="Entrada 3 48 5 2" xfId="34145"/>
    <cellStyle name="Entrada 3 48 6" xfId="3376"/>
    <cellStyle name="Entrada 3 48 6 2" xfId="34146"/>
    <cellStyle name="Entrada 3 48 7" xfId="3377"/>
    <cellStyle name="Entrada 3 48 7 2" xfId="34147"/>
    <cellStyle name="Entrada 3 48 8" xfId="3378"/>
    <cellStyle name="Entrada 3 48 8 2" xfId="34148"/>
    <cellStyle name="Entrada 3 48 9" xfId="3379"/>
    <cellStyle name="Entrada 3 48 9 2" xfId="34149"/>
    <cellStyle name="Entrada 3 49" xfId="3380"/>
    <cellStyle name="Entrada 3 49 10" xfId="3381"/>
    <cellStyle name="Entrada 3 49 10 2" xfId="34150"/>
    <cellStyle name="Entrada 3 49 11" xfId="3382"/>
    <cellStyle name="Entrada 3 49 11 2" xfId="34151"/>
    <cellStyle name="Entrada 3 49 12" xfId="3383"/>
    <cellStyle name="Entrada 3 49 12 2" xfId="34152"/>
    <cellStyle name="Entrada 3 49 13" xfId="3384"/>
    <cellStyle name="Entrada 3 49 13 2" xfId="34153"/>
    <cellStyle name="Entrada 3 49 14" xfId="34154"/>
    <cellStyle name="Entrada 3 49 2" xfId="3385"/>
    <cellStyle name="Entrada 3 49 2 2" xfId="34155"/>
    <cellStyle name="Entrada 3 49 3" xfId="3386"/>
    <cellStyle name="Entrada 3 49 3 2" xfId="34156"/>
    <cellStyle name="Entrada 3 49 4" xfId="3387"/>
    <cellStyle name="Entrada 3 49 4 2" xfId="34157"/>
    <cellStyle name="Entrada 3 49 5" xfId="3388"/>
    <cellStyle name="Entrada 3 49 5 2" xfId="34158"/>
    <cellStyle name="Entrada 3 49 6" xfId="3389"/>
    <cellStyle name="Entrada 3 49 6 2" xfId="34159"/>
    <cellStyle name="Entrada 3 49 7" xfId="3390"/>
    <cellStyle name="Entrada 3 49 7 2" xfId="34160"/>
    <cellStyle name="Entrada 3 49 8" xfId="3391"/>
    <cellStyle name="Entrada 3 49 8 2" xfId="34161"/>
    <cellStyle name="Entrada 3 49 9" xfId="3392"/>
    <cellStyle name="Entrada 3 49 9 2" xfId="34162"/>
    <cellStyle name="Entrada 3 5" xfId="3393"/>
    <cellStyle name="Entrada 3 5 10" xfId="3394"/>
    <cellStyle name="Entrada 3 5 10 2" xfId="34163"/>
    <cellStyle name="Entrada 3 5 11" xfId="3395"/>
    <cellStyle name="Entrada 3 5 11 2" xfId="34164"/>
    <cellStyle name="Entrada 3 5 12" xfId="3396"/>
    <cellStyle name="Entrada 3 5 12 2" xfId="34165"/>
    <cellStyle name="Entrada 3 5 13" xfId="3397"/>
    <cellStyle name="Entrada 3 5 13 2" xfId="34166"/>
    <cellStyle name="Entrada 3 5 14" xfId="34167"/>
    <cellStyle name="Entrada 3 5 2" xfId="3398"/>
    <cellStyle name="Entrada 3 5 2 2" xfId="34168"/>
    <cellStyle name="Entrada 3 5 3" xfId="3399"/>
    <cellStyle name="Entrada 3 5 3 2" xfId="34169"/>
    <cellStyle name="Entrada 3 5 4" xfId="3400"/>
    <cellStyle name="Entrada 3 5 4 2" xfId="34170"/>
    <cellStyle name="Entrada 3 5 5" xfId="3401"/>
    <cellStyle name="Entrada 3 5 5 2" xfId="34171"/>
    <cellStyle name="Entrada 3 5 6" xfId="3402"/>
    <cellStyle name="Entrada 3 5 6 2" xfId="34172"/>
    <cellStyle name="Entrada 3 5 7" xfId="3403"/>
    <cellStyle name="Entrada 3 5 7 2" xfId="34173"/>
    <cellStyle name="Entrada 3 5 8" xfId="3404"/>
    <cellStyle name="Entrada 3 5 8 2" xfId="34174"/>
    <cellStyle name="Entrada 3 5 9" xfId="3405"/>
    <cellStyle name="Entrada 3 5 9 2" xfId="34175"/>
    <cellStyle name="Entrada 3 50" xfId="3406"/>
    <cellStyle name="Entrada 3 50 10" xfId="3407"/>
    <cellStyle name="Entrada 3 50 10 2" xfId="34176"/>
    <cellStyle name="Entrada 3 50 11" xfId="3408"/>
    <cellStyle name="Entrada 3 50 11 2" xfId="34177"/>
    <cellStyle name="Entrada 3 50 12" xfId="3409"/>
    <cellStyle name="Entrada 3 50 12 2" xfId="34178"/>
    <cellStyle name="Entrada 3 50 13" xfId="3410"/>
    <cellStyle name="Entrada 3 50 13 2" xfId="34179"/>
    <cellStyle name="Entrada 3 50 14" xfId="34180"/>
    <cellStyle name="Entrada 3 50 2" xfId="3411"/>
    <cellStyle name="Entrada 3 50 2 2" xfId="34181"/>
    <cellStyle name="Entrada 3 50 3" xfId="3412"/>
    <cellStyle name="Entrada 3 50 3 2" xfId="34182"/>
    <cellStyle name="Entrada 3 50 4" xfId="3413"/>
    <cellStyle name="Entrada 3 50 4 2" xfId="34183"/>
    <cellStyle name="Entrada 3 50 5" xfId="3414"/>
    <cellStyle name="Entrada 3 50 5 2" xfId="34184"/>
    <cellStyle name="Entrada 3 50 6" xfId="3415"/>
    <cellStyle name="Entrada 3 50 6 2" xfId="34185"/>
    <cellStyle name="Entrada 3 50 7" xfId="3416"/>
    <cellStyle name="Entrada 3 50 7 2" xfId="34186"/>
    <cellStyle name="Entrada 3 50 8" xfId="3417"/>
    <cellStyle name="Entrada 3 50 8 2" xfId="34187"/>
    <cellStyle name="Entrada 3 50 9" xfId="3418"/>
    <cellStyle name="Entrada 3 50 9 2" xfId="34188"/>
    <cellStyle name="Entrada 3 51" xfId="3419"/>
    <cellStyle name="Entrada 3 51 10" xfId="3420"/>
    <cellStyle name="Entrada 3 51 10 2" xfId="34189"/>
    <cellStyle name="Entrada 3 51 11" xfId="3421"/>
    <cellStyle name="Entrada 3 51 11 2" xfId="34190"/>
    <cellStyle name="Entrada 3 51 12" xfId="3422"/>
    <cellStyle name="Entrada 3 51 12 2" xfId="34191"/>
    <cellStyle name="Entrada 3 51 13" xfId="3423"/>
    <cellStyle name="Entrada 3 51 13 2" xfId="34192"/>
    <cellStyle name="Entrada 3 51 14" xfId="34193"/>
    <cellStyle name="Entrada 3 51 2" xfId="3424"/>
    <cellStyle name="Entrada 3 51 2 2" xfId="34194"/>
    <cellStyle name="Entrada 3 51 3" xfId="3425"/>
    <cellStyle name="Entrada 3 51 3 2" xfId="34195"/>
    <cellStyle name="Entrada 3 51 4" xfId="3426"/>
    <cellStyle name="Entrada 3 51 4 2" xfId="34196"/>
    <cellStyle name="Entrada 3 51 5" xfId="3427"/>
    <cellStyle name="Entrada 3 51 5 2" xfId="34197"/>
    <cellStyle name="Entrada 3 51 6" xfId="3428"/>
    <cellStyle name="Entrada 3 51 6 2" xfId="34198"/>
    <cellStyle name="Entrada 3 51 7" xfId="3429"/>
    <cellStyle name="Entrada 3 51 7 2" xfId="34199"/>
    <cellStyle name="Entrada 3 51 8" xfId="3430"/>
    <cellStyle name="Entrada 3 51 8 2" xfId="34200"/>
    <cellStyle name="Entrada 3 51 9" xfId="3431"/>
    <cellStyle name="Entrada 3 51 9 2" xfId="34201"/>
    <cellStyle name="Entrada 3 52" xfId="3432"/>
    <cellStyle name="Entrada 3 52 10" xfId="3433"/>
    <cellStyle name="Entrada 3 52 10 2" xfId="34202"/>
    <cellStyle name="Entrada 3 52 11" xfId="3434"/>
    <cellStyle name="Entrada 3 52 11 2" xfId="34203"/>
    <cellStyle name="Entrada 3 52 12" xfId="3435"/>
    <cellStyle name="Entrada 3 52 12 2" xfId="34204"/>
    <cellStyle name="Entrada 3 52 13" xfId="3436"/>
    <cellStyle name="Entrada 3 52 13 2" xfId="34205"/>
    <cellStyle name="Entrada 3 52 14" xfId="34206"/>
    <cellStyle name="Entrada 3 52 2" xfId="3437"/>
    <cellStyle name="Entrada 3 52 2 2" xfId="34207"/>
    <cellStyle name="Entrada 3 52 3" xfId="3438"/>
    <cellStyle name="Entrada 3 52 3 2" xfId="34208"/>
    <cellStyle name="Entrada 3 52 4" xfId="3439"/>
    <cellStyle name="Entrada 3 52 4 2" xfId="34209"/>
    <cellStyle name="Entrada 3 52 5" xfId="3440"/>
    <cellStyle name="Entrada 3 52 5 2" xfId="34210"/>
    <cellStyle name="Entrada 3 52 6" xfId="3441"/>
    <cellStyle name="Entrada 3 52 6 2" xfId="34211"/>
    <cellStyle name="Entrada 3 52 7" xfId="3442"/>
    <cellStyle name="Entrada 3 52 7 2" xfId="34212"/>
    <cellStyle name="Entrada 3 52 8" xfId="3443"/>
    <cellStyle name="Entrada 3 52 8 2" xfId="34213"/>
    <cellStyle name="Entrada 3 52 9" xfId="3444"/>
    <cellStyle name="Entrada 3 52 9 2" xfId="34214"/>
    <cellStyle name="Entrada 3 53" xfId="3445"/>
    <cellStyle name="Entrada 3 53 10" xfId="3446"/>
    <cellStyle name="Entrada 3 53 10 2" xfId="34215"/>
    <cellStyle name="Entrada 3 53 11" xfId="3447"/>
    <cellStyle name="Entrada 3 53 11 2" xfId="34216"/>
    <cellStyle name="Entrada 3 53 12" xfId="3448"/>
    <cellStyle name="Entrada 3 53 12 2" xfId="34217"/>
    <cellStyle name="Entrada 3 53 13" xfId="3449"/>
    <cellStyle name="Entrada 3 53 13 2" xfId="34218"/>
    <cellStyle name="Entrada 3 53 14" xfId="34219"/>
    <cellStyle name="Entrada 3 53 2" xfId="3450"/>
    <cellStyle name="Entrada 3 53 2 2" xfId="34220"/>
    <cellStyle name="Entrada 3 53 3" xfId="3451"/>
    <cellStyle name="Entrada 3 53 3 2" xfId="34221"/>
    <cellStyle name="Entrada 3 53 4" xfId="3452"/>
    <cellStyle name="Entrada 3 53 4 2" xfId="34222"/>
    <cellStyle name="Entrada 3 53 5" xfId="3453"/>
    <cellStyle name="Entrada 3 53 5 2" xfId="34223"/>
    <cellStyle name="Entrada 3 53 6" xfId="3454"/>
    <cellStyle name="Entrada 3 53 6 2" xfId="34224"/>
    <cellStyle name="Entrada 3 53 7" xfId="3455"/>
    <cellStyle name="Entrada 3 53 7 2" xfId="34225"/>
    <cellStyle name="Entrada 3 53 8" xfId="3456"/>
    <cellStyle name="Entrada 3 53 8 2" xfId="34226"/>
    <cellStyle name="Entrada 3 53 9" xfId="3457"/>
    <cellStyle name="Entrada 3 53 9 2" xfId="34227"/>
    <cellStyle name="Entrada 3 54" xfId="3458"/>
    <cellStyle name="Entrada 3 54 10" xfId="3459"/>
    <cellStyle name="Entrada 3 54 10 2" xfId="34228"/>
    <cellStyle name="Entrada 3 54 11" xfId="3460"/>
    <cellStyle name="Entrada 3 54 11 2" xfId="34229"/>
    <cellStyle name="Entrada 3 54 12" xfId="3461"/>
    <cellStyle name="Entrada 3 54 12 2" xfId="34230"/>
    <cellStyle name="Entrada 3 54 13" xfId="3462"/>
    <cellStyle name="Entrada 3 54 13 2" xfId="34231"/>
    <cellStyle name="Entrada 3 54 14" xfId="34232"/>
    <cellStyle name="Entrada 3 54 2" xfId="3463"/>
    <cellStyle name="Entrada 3 54 2 2" xfId="34233"/>
    <cellStyle name="Entrada 3 54 3" xfId="3464"/>
    <cellStyle name="Entrada 3 54 3 2" xfId="34234"/>
    <cellStyle name="Entrada 3 54 4" xfId="3465"/>
    <cellStyle name="Entrada 3 54 4 2" xfId="34235"/>
    <cellStyle name="Entrada 3 54 5" xfId="3466"/>
    <cellStyle name="Entrada 3 54 5 2" xfId="34236"/>
    <cellStyle name="Entrada 3 54 6" xfId="3467"/>
    <cellStyle name="Entrada 3 54 6 2" xfId="34237"/>
    <cellStyle name="Entrada 3 54 7" xfId="3468"/>
    <cellStyle name="Entrada 3 54 7 2" xfId="34238"/>
    <cellStyle name="Entrada 3 54 8" xfId="3469"/>
    <cellStyle name="Entrada 3 54 8 2" xfId="34239"/>
    <cellStyle name="Entrada 3 54 9" xfId="3470"/>
    <cellStyle name="Entrada 3 54 9 2" xfId="34240"/>
    <cellStyle name="Entrada 3 55" xfId="3471"/>
    <cellStyle name="Entrada 3 55 10" xfId="3472"/>
    <cellStyle name="Entrada 3 55 10 2" xfId="34241"/>
    <cellStyle name="Entrada 3 55 11" xfId="3473"/>
    <cellStyle name="Entrada 3 55 11 2" xfId="34242"/>
    <cellStyle name="Entrada 3 55 12" xfId="3474"/>
    <cellStyle name="Entrada 3 55 12 2" xfId="34243"/>
    <cellStyle name="Entrada 3 55 13" xfId="3475"/>
    <cellStyle name="Entrada 3 55 13 2" xfId="34244"/>
    <cellStyle name="Entrada 3 55 14" xfId="34245"/>
    <cellStyle name="Entrada 3 55 2" xfId="3476"/>
    <cellStyle name="Entrada 3 55 2 2" xfId="34246"/>
    <cellStyle name="Entrada 3 55 3" xfId="3477"/>
    <cellStyle name="Entrada 3 55 3 2" xfId="34247"/>
    <cellStyle name="Entrada 3 55 4" xfId="3478"/>
    <cellStyle name="Entrada 3 55 4 2" xfId="34248"/>
    <cellStyle name="Entrada 3 55 5" xfId="3479"/>
    <cellStyle name="Entrada 3 55 5 2" xfId="34249"/>
    <cellStyle name="Entrada 3 55 6" xfId="3480"/>
    <cellStyle name="Entrada 3 55 6 2" xfId="34250"/>
    <cellStyle name="Entrada 3 55 7" xfId="3481"/>
    <cellStyle name="Entrada 3 55 7 2" xfId="34251"/>
    <cellStyle name="Entrada 3 55 8" xfId="3482"/>
    <cellStyle name="Entrada 3 55 8 2" xfId="34252"/>
    <cellStyle name="Entrada 3 55 9" xfId="3483"/>
    <cellStyle name="Entrada 3 55 9 2" xfId="34253"/>
    <cellStyle name="Entrada 3 56" xfId="3484"/>
    <cellStyle name="Entrada 3 56 10" xfId="3485"/>
    <cellStyle name="Entrada 3 56 10 2" xfId="34254"/>
    <cellStyle name="Entrada 3 56 11" xfId="3486"/>
    <cellStyle name="Entrada 3 56 11 2" xfId="34255"/>
    <cellStyle name="Entrada 3 56 12" xfId="3487"/>
    <cellStyle name="Entrada 3 56 12 2" xfId="34256"/>
    <cellStyle name="Entrada 3 56 13" xfId="3488"/>
    <cellStyle name="Entrada 3 56 13 2" xfId="34257"/>
    <cellStyle name="Entrada 3 56 14" xfId="34258"/>
    <cellStyle name="Entrada 3 56 2" xfId="3489"/>
    <cellStyle name="Entrada 3 56 2 2" xfId="34259"/>
    <cellStyle name="Entrada 3 56 3" xfId="3490"/>
    <cellStyle name="Entrada 3 56 3 2" xfId="34260"/>
    <cellStyle name="Entrada 3 56 4" xfId="3491"/>
    <cellStyle name="Entrada 3 56 4 2" xfId="34261"/>
    <cellStyle name="Entrada 3 56 5" xfId="3492"/>
    <cellStyle name="Entrada 3 56 5 2" xfId="34262"/>
    <cellStyle name="Entrada 3 56 6" xfId="3493"/>
    <cellStyle name="Entrada 3 56 6 2" xfId="34263"/>
    <cellStyle name="Entrada 3 56 7" xfId="3494"/>
    <cellStyle name="Entrada 3 56 7 2" xfId="34264"/>
    <cellStyle name="Entrada 3 56 8" xfId="3495"/>
    <cellStyle name="Entrada 3 56 8 2" xfId="34265"/>
    <cellStyle name="Entrada 3 56 9" xfId="3496"/>
    <cellStyle name="Entrada 3 56 9 2" xfId="34266"/>
    <cellStyle name="Entrada 3 57" xfId="3497"/>
    <cellStyle name="Entrada 3 57 10" xfId="3498"/>
    <cellStyle name="Entrada 3 57 10 2" xfId="34267"/>
    <cellStyle name="Entrada 3 57 11" xfId="3499"/>
    <cellStyle name="Entrada 3 57 11 2" xfId="34268"/>
    <cellStyle name="Entrada 3 57 12" xfId="3500"/>
    <cellStyle name="Entrada 3 57 12 2" xfId="34269"/>
    <cellStyle name="Entrada 3 57 13" xfId="3501"/>
    <cellStyle name="Entrada 3 57 13 2" xfId="34270"/>
    <cellStyle name="Entrada 3 57 14" xfId="34271"/>
    <cellStyle name="Entrada 3 57 2" xfId="3502"/>
    <cellStyle name="Entrada 3 57 2 2" xfId="34272"/>
    <cellStyle name="Entrada 3 57 3" xfId="3503"/>
    <cellStyle name="Entrada 3 57 3 2" xfId="34273"/>
    <cellStyle name="Entrada 3 57 4" xfId="3504"/>
    <cellStyle name="Entrada 3 57 4 2" xfId="34274"/>
    <cellStyle name="Entrada 3 57 5" xfId="3505"/>
    <cellStyle name="Entrada 3 57 5 2" xfId="34275"/>
    <cellStyle name="Entrada 3 57 6" xfId="3506"/>
    <cellStyle name="Entrada 3 57 6 2" xfId="34276"/>
    <cellStyle name="Entrada 3 57 7" xfId="3507"/>
    <cellStyle name="Entrada 3 57 7 2" xfId="34277"/>
    <cellStyle name="Entrada 3 57 8" xfId="3508"/>
    <cellStyle name="Entrada 3 57 8 2" xfId="34278"/>
    <cellStyle name="Entrada 3 57 9" xfId="3509"/>
    <cellStyle name="Entrada 3 57 9 2" xfId="34279"/>
    <cellStyle name="Entrada 3 58" xfId="3510"/>
    <cellStyle name="Entrada 3 58 10" xfId="3511"/>
    <cellStyle name="Entrada 3 58 10 2" xfId="34280"/>
    <cellStyle name="Entrada 3 58 11" xfId="3512"/>
    <cellStyle name="Entrada 3 58 11 2" xfId="34281"/>
    <cellStyle name="Entrada 3 58 12" xfId="3513"/>
    <cellStyle name="Entrada 3 58 12 2" xfId="34282"/>
    <cellStyle name="Entrada 3 58 13" xfId="3514"/>
    <cellStyle name="Entrada 3 58 13 2" xfId="34283"/>
    <cellStyle name="Entrada 3 58 14" xfId="34284"/>
    <cellStyle name="Entrada 3 58 2" xfId="3515"/>
    <cellStyle name="Entrada 3 58 2 2" xfId="34285"/>
    <cellStyle name="Entrada 3 58 3" xfId="3516"/>
    <cellStyle name="Entrada 3 58 3 2" xfId="34286"/>
    <cellStyle name="Entrada 3 58 4" xfId="3517"/>
    <cellStyle name="Entrada 3 58 4 2" xfId="34287"/>
    <cellStyle name="Entrada 3 58 5" xfId="3518"/>
    <cellStyle name="Entrada 3 58 5 2" xfId="34288"/>
    <cellStyle name="Entrada 3 58 6" xfId="3519"/>
    <cellStyle name="Entrada 3 58 6 2" xfId="34289"/>
    <cellStyle name="Entrada 3 58 7" xfId="3520"/>
    <cellStyle name="Entrada 3 58 7 2" xfId="34290"/>
    <cellStyle name="Entrada 3 58 8" xfId="3521"/>
    <cellStyle name="Entrada 3 58 8 2" xfId="34291"/>
    <cellStyle name="Entrada 3 58 9" xfId="3522"/>
    <cellStyle name="Entrada 3 58 9 2" xfId="34292"/>
    <cellStyle name="Entrada 3 59" xfId="3523"/>
    <cellStyle name="Entrada 3 59 10" xfId="3524"/>
    <cellStyle name="Entrada 3 59 10 2" xfId="34293"/>
    <cellStyle name="Entrada 3 59 11" xfId="3525"/>
    <cellStyle name="Entrada 3 59 11 2" xfId="34294"/>
    <cellStyle name="Entrada 3 59 12" xfId="3526"/>
    <cellStyle name="Entrada 3 59 12 2" xfId="34295"/>
    <cellStyle name="Entrada 3 59 13" xfId="3527"/>
    <cellStyle name="Entrada 3 59 13 2" xfId="34296"/>
    <cellStyle name="Entrada 3 59 14" xfId="34297"/>
    <cellStyle name="Entrada 3 59 2" xfId="3528"/>
    <cellStyle name="Entrada 3 59 2 2" xfId="34298"/>
    <cellStyle name="Entrada 3 59 3" xfId="3529"/>
    <cellStyle name="Entrada 3 59 3 2" xfId="34299"/>
    <cellStyle name="Entrada 3 59 4" xfId="3530"/>
    <cellStyle name="Entrada 3 59 4 2" xfId="34300"/>
    <cellStyle name="Entrada 3 59 5" xfId="3531"/>
    <cellStyle name="Entrada 3 59 5 2" xfId="34301"/>
    <cellStyle name="Entrada 3 59 6" xfId="3532"/>
    <cellStyle name="Entrada 3 59 6 2" xfId="34302"/>
    <cellStyle name="Entrada 3 59 7" xfId="3533"/>
    <cellStyle name="Entrada 3 59 7 2" xfId="34303"/>
    <cellStyle name="Entrada 3 59 8" xfId="3534"/>
    <cellStyle name="Entrada 3 59 8 2" xfId="34304"/>
    <cellStyle name="Entrada 3 59 9" xfId="3535"/>
    <cellStyle name="Entrada 3 59 9 2" xfId="34305"/>
    <cellStyle name="Entrada 3 6" xfId="3536"/>
    <cellStyle name="Entrada 3 6 10" xfId="3537"/>
    <cellStyle name="Entrada 3 6 10 2" xfId="34306"/>
    <cellStyle name="Entrada 3 6 11" xfId="3538"/>
    <cellStyle name="Entrada 3 6 11 2" xfId="34307"/>
    <cellStyle name="Entrada 3 6 12" xfId="3539"/>
    <cellStyle name="Entrada 3 6 12 2" xfId="34308"/>
    <cellStyle name="Entrada 3 6 13" xfId="3540"/>
    <cellStyle name="Entrada 3 6 13 2" xfId="34309"/>
    <cellStyle name="Entrada 3 6 14" xfId="34310"/>
    <cellStyle name="Entrada 3 6 2" xfId="3541"/>
    <cellStyle name="Entrada 3 6 2 2" xfId="34311"/>
    <cellStyle name="Entrada 3 6 3" xfId="3542"/>
    <cellStyle name="Entrada 3 6 3 2" xfId="34312"/>
    <cellStyle name="Entrada 3 6 4" xfId="3543"/>
    <cellStyle name="Entrada 3 6 4 2" xfId="34313"/>
    <cellStyle name="Entrada 3 6 5" xfId="3544"/>
    <cellStyle name="Entrada 3 6 5 2" xfId="34314"/>
    <cellStyle name="Entrada 3 6 6" xfId="3545"/>
    <cellStyle name="Entrada 3 6 6 2" xfId="34315"/>
    <cellStyle name="Entrada 3 6 7" xfId="3546"/>
    <cellStyle name="Entrada 3 6 7 2" xfId="34316"/>
    <cellStyle name="Entrada 3 6 8" xfId="3547"/>
    <cellStyle name="Entrada 3 6 8 2" xfId="34317"/>
    <cellStyle name="Entrada 3 6 9" xfId="3548"/>
    <cellStyle name="Entrada 3 6 9 2" xfId="34318"/>
    <cellStyle name="Entrada 3 60" xfId="3549"/>
    <cellStyle name="Entrada 3 60 10" xfId="3550"/>
    <cellStyle name="Entrada 3 60 10 2" xfId="34319"/>
    <cellStyle name="Entrada 3 60 11" xfId="3551"/>
    <cellStyle name="Entrada 3 60 11 2" xfId="34320"/>
    <cellStyle name="Entrada 3 60 12" xfId="3552"/>
    <cellStyle name="Entrada 3 60 12 2" xfId="34321"/>
    <cellStyle name="Entrada 3 60 13" xfId="3553"/>
    <cellStyle name="Entrada 3 60 13 2" xfId="34322"/>
    <cellStyle name="Entrada 3 60 14" xfId="34323"/>
    <cellStyle name="Entrada 3 60 2" xfId="3554"/>
    <cellStyle name="Entrada 3 60 2 2" xfId="34324"/>
    <cellStyle name="Entrada 3 60 3" xfId="3555"/>
    <cellStyle name="Entrada 3 60 3 2" xfId="34325"/>
    <cellStyle name="Entrada 3 60 4" xfId="3556"/>
    <cellStyle name="Entrada 3 60 4 2" xfId="34326"/>
    <cellStyle name="Entrada 3 60 5" xfId="3557"/>
    <cellStyle name="Entrada 3 60 5 2" xfId="34327"/>
    <cellStyle name="Entrada 3 60 6" xfId="3558"/>
    <cellStyle name="Entrada 3 60 6 2" xfId="34328"/>
    <cellStyle name="Entrada 3 60 7" xfId="3559"/>
    <cellStyle name="Entrada 3 60 7 2" xfId="34329"/>
    <cellStyle name="Entrada 3 60 8" xfId="3560"/>
    <cellStyle name="Entrada 3 60 8 2" xfId="34330"/>
    <cellStyle name="Entrada 3 60 9" xfId="3561"/>
    <cellStyle name="Entrada 3 60 9 2" xfId="34331"/>
    <cellStyle name="Entrada 3 61" xfId="3562"/>
    <cellStyle name="Entrada 3 61 10" xfId="3563"/>
    <cellStyle name="Entrada 3 61 10 2" xfId="34332"/>
    <cellStyle name="Entrada 3 61 11" xfId="3564"/>
    <cellStyle name="Entrada 3 61 11 2" xfId="34333"/>
    <cellStyle name="Entrada 3 61 12" xfId="3565"/>
    <cellStyle name="Entrada 3 61 12 2" xfId="34334"/>
    <cellStyle name="Entrada 3 61 13" xfId="3566"/>
    <cellStyle name="Entrada 3 61 13 2" xfId="34335"/>
    <cellStyle name="Entrada 3 61 14" xfId="34336"/>
    <cellStyle name="Entrada 3 61 2" xfId="3567"/>
    <cellStyle name="Entrada 3 61 2 2" xfId="34337"/>
    <cellStyle name="Entrada 3 61 3" xfId="3568"/>
    <cellStyle name="Entrada 3 61 3 2" xfId="34338"/>
    <cellStyle name="Entrada 3 61 4" xfId="3569"/>
    <cellStyle name="Entrada 3 61 4 2" xfId="34339"/>
    <cellStyle name="Entrada 3 61 5" xfId="3570"/>
    <cellStyle name="Entrada 3 61 5 2" xfId="34340"/>
    <cellStyle name="Entrada 3 61 6" xfId="3571"/>
    <cellStyle name="Entrada 3 61 6 2" xfId="34341"/>
    <cellStyle name="Entrada 3 61 7" xfId="3572"/>
    <cellStyle name="Entrada 3 61 7 2" xfId="34342"/>
    <cellStyle name="Entrada 3 61 8" xfId="3573"/>
    <cellStyle name="Entrada 3 61 8 2" xfId="34343"/>
    <cellStyle name="Entrada 3 61 9" xfId="3574"/>
    <cellStyle name="Entrada 3 61 9 2" xfId="34344"/>
    <cellStyle name="Entrada 3 62" xfId="3575"/>
    <cellStyle name="Entrada 3 62 10" xfId="3576"/>
    <cellStyle name="Entrada 3 62 10 2" xfId="34345"/>
    <cellStyle name="Entrada 3 62 11" xfId="3577"/>
    <cellStyle name="Entrada 3 62 11 2" xfId="34346"/>
    <cellStyle name="Entrada 3 62 12" xfId="3578"/>
    <cellStyle name="Entrada 3 62 12 2" xfId="34347"/>
    <cellStyle name="Entrada 3 62 13" xfId="3579"/>
    <cellStyle name="Entrada 3 62 13 2" xfId="34348"/>
    <cellStyle name="Entrada 3 62 14" xfId="34349"/>
    <cellStyle name="Entrada 3 62 2" xfId="3580"/>
    <cellStyle name="Entrada 3 62 2 2" xfId="34350"/>
    <cellStyle name="Entrada 3 62 3" xfId="3581"/>
    <cellStyle name="Entrada 3 62 3 2" xfId="34351"/>
    <cellStyle name="Entrada 3 62 4" xfId="3582"/>
    <cellStyle name="Entrada 3 62 4 2" xfId="34352"/>
    <cellStyle name="Entrada 3 62 5" xfId="3583"/>
    <cellStyle name="Entrada 3 62 5 2" xfId="34353"/>
    <cellStyle name="Entrada 3 62 6" xfId="3584"/>
    <cellStyle name="Entrada 3 62 6 2" xfId="34354"/>
    <cellStyle name="Entrada 3 62 7" xfId="3585"/>
    <cellStyle name="Entrada 3 62 7 2" xfId="34355"/>
    <cellStyle name="Entrada 3 62 8" xfId="3586"/>
    <cellStyle name="Entrada 3 62 8 2" xfId="34356"/>
    <cellStyle name="Entrada 3 62 9" xfId="3587"/>
    <cellStyle name="Entrada 3 62 9 2" xfId="34357"/>
    <cellStyle name="Entrada 3 63" xfId="3588"/>
    <cellStyle name="Entrada 3 63 10" xfId="3589"/>
    <cellStyle name="Entrada 3 63 10 2" xfId="34358"/>
    <cellStyle name="Entrada 3 63 11" xfId="3590"/>
    <cellStyle name="Entrada 3 63 11 2" xfId="34359"/>
    <cellStyle name="Entrada 3 63 12" xfId="3591"/>
    <cellStyle name="Entrada 3 63 12 2" xfId="34360"/>
    <cellStyle name="Entrada 3 63 13" xfId="3592"/>
    <cellStyle name="Entrada 3 63 13 2" xfId="34361"/>
    <cellStyle name="Entrada 3 63 14" xfId="34362"/>
    <cellStyle name="Entrada 3 63 2" xfId="3593"/>
    <cellStyle name="Entrada 3 63 2 2" xfId="34363"/>
    <cellStyle name="Entrada 3 63 3" xfId="3594"/>
    <cellStyle name="Entrada 3 63 3 2" xfId="34364"/>
    <cellStyle name="Entrada 3 63 4" xfId="3595"/>
    <cellStyle name="Entrada 3 63 4 2" xfId="34365"/>
    <cellStyle name="Entrada 3 63 5" xfId="3596"/>
    <cellStyle name="Entrada 3 63 5 2" xfId="34366"/>
    <cellStyle name="Entrada 3 63 6" xfId="3597"/>
    <cellStyle name="Entrada 3 63 6 2" xfId="34367"/>
    <cellStyle name="Entrada 3 63 7" xfId="3598"/>
    <cellStyle name="Entrada 3 63 7 2" xfId="34368"/>
    <cellStyle name="Entrada 3 63 8" xfId="3599"/>
    <cellStyle name="Entrada 3 63 8 2" xfId="34369"/>
    <cellStyle name="Entrada 3 63 9" xfId="3600"/>
    <cellStyle name="Entrada 3 63 9 2" xfId="34370"/>
    <cellStyle name="Entrada 3 64" xfId="3601"/>
    <cellStyle name="Entrada 3 64 10" xfId="3602"/>
    <cellStyle name="Entrada 3 64 10 2" xfId="34371"/>
    <cellStyle name="Entrada 3 64 11" xfId="3603"/>
    <cellStyle name="Entrada 3 64 11 2" xfId="34372"/>
    <cellStyle name="Entrada 3 64 12" xfId="3604"/>
    <cellStyle name="Entrada 3 64 12 2" xfId="34373"/>
    <cellStyle name="Entrada 3 64 13" xfId="3605"/>
    <cellStyle name="Entrada 3 64 13 2" xfId="34374"/>
    <cellStyle name="Entrada 3 64 14" xfId="34375"/>
    <cellStyle name="Entrada 3 64 2" xfId="3606"/>
    <cellStyle name="Entrada 3 64 2 2" xfId="34376"/>
    <cellStyle name="Entrada 3 64 3" xfId="3607"/>
    <cellStyle name="Entrada 3 64 3 2" xfId="34377"/>
    <cellStyle name="Entrada 3 64 4" xfId="3608"/>
    <cellStyle name="Entrada 3 64 4 2" xfId="34378"/>
    <cellStyle name="Entrada 3 64 5" xfId="3609"/>
    <cellStyle name="Entrada 3 64 5 2" xfId="34379"/>
    <cellStyle name="Entrada 3 64 6" xfId="3610"/>
    <cellStyle name="Entrada 3 64 6 2" xfId="34380"/>
    <cellStyle name="Entrada 3 64 7" xfId="3611"/>
    <cellStyle name="Entrada 3 64 7 2" xfId="34381"/>
    <cellStyle name="Entrada 3 64 8" xfId="3612"/>
    <cellStyle name="Entrada 3 64 8 2" xfId="34382"/>
    <cellStyle name="Entrada 3 64 9" xfId="3613"/>
    <cellStyle name="Entrada 3 64 9 2" xfId="34383"/>
    <cellStyle name="Entrada 3 65" xfId="3614"/>
    <cellStyle name="Entrada 3 65 10" xfId="3615"/>
    <cellStyle name="Entrada 3 65 10 2" xfId="34384"/>
    <cellStyle name="Entrada 3 65 11" xfId="3616"/>
    <cellStyle name="Entrada 3 65 11 2" xfId="34385"/>
    <cellStyle name="Entrada 3 65 12" xfId="3617"/>
    <cellStyle name="Entrada 3 65 12 2" xfId="34386"/>
    <cellStyle name="Entrada 3 65 13" xfId="3618"/>
    <cellStyle name="Entrada 3 65 13 2" xfId="34387"/>
    <cellStyle name="Entrada 3 65 14" xfId="34388"/>
    <cellStyle name="Entrada 3 65 2" xfId="3619"/>
    <cellStyle name="Entrada 3 65 2 2" xfId="34389"/>
    <cellStyle name="Entrada 3 65 3" xfId="3620"/>
    <cellStyle name="Entrada 3 65 3 2" xfId="34390"/>
    <cellStyle name="Entrada 3 65 4" xfId="3621"/>
    <cellStyle name="Entrada 3 65 4 2" xfId="34391"/>
    <cellStyle name="Entrada 3 65 5" xfId="3622"/>
    <cellStyle name="Entrada 3 65 5 2" xfId="34392"/>
    <cellStyle name="Entrada 3 65 6" xfId="3623"/>
    <cellStyle name="Entrada 3 65 6 2" xfId="34393"/>
    <cellStyle name="Entrada 3 65 7" xfId="3624"/>
    <cellStyle name="Entrada 3 65 7 2" xfId="34394"/>
    <cellStyle name="Entrada 3 65 8" xfId="3625"/>
    <cellStyle name="Entrada 3 65 8 2" xfId="34395"/>
    <cellStyle name="Entrada 3 65 9" xfId="3626"/>
    <cellStyle name="Entrada 3 65 9 2" xfId="34396"/>
    <cellStyle name="Entrada 3 66" xfId="3627"/>
    <cellStyle name="Entrada 3 66 10" xfId="3628"/>
    <cellStyle name="Entrada 3 66 10 2" xfId="34397"/>
    <cellStyle name="Entrada 3 66 11" xfId="3629"/>
    <cellStyle name="Entrada 3 66 11 2" xfId="34398"/>
    <cellStyle name="Entrada 3 66 12" xfId="3630"/>
    <cellStyle name="Entrada 3 66 12 2" xfId="34399"/>
    <cellStyle name="Entrada 3 66 13" xfId="3631"/>
    <cellStyle name="Entrada 3 66 13 2" xfId="34400"/>
    <cellStyle name="Entrada 3 66 14" xfId="34401"/>
    <cellStyle name="Entrada 3 66 2" xfId="3632"/>
    <cellStyle name="Entrada 3 66 2 2" xfId="34402"/>
    <cellStyle name="Entrada 3 66 3" xfId="3633"/>
    <cellStyle name="Entrada 3 66 3 2" xfId="34403"/>
    <cellStyle name="Entrada 3 66 4" xfId="3634"/>
    <cellStyle name="Entrada 3 66 4 2" xfId="34404"/>
    <cellStyle name="Entrada 3 66 5" xfId="3635"/>
    <cellStyle name="Entrada 3 66 5 2" xfId="34405"/>
    <cellStyle name="Entrada 3 66 6" xfId="3636"/>
    <cellStyle name="Entrada 3 66 6 2" xfId="34406"/>
    <cellStyle name="Entrada 3 66 7" xfId="3637"/>
    <cellStyle name="Entrada 3 66 7 2" xfId="34407"/>
    <cellStyle name="Entrada 3 66 8" xfId="3638"/>
    <cellStyle name="Entrada 3 66 8 2" xfId="34408"/>
    <cellStyle name="Entrada 3 66 9" xfId="3639"/>
    <cellStyle name="Entrada 3 66 9 2" xfId="34409"/>
    <cellStyle name="Entrada 3 67" xfId="3640"/>
    <cellStyle name="Entrada 3 67 10" xfId="3641"/>
    <cellStyle name="Entrada 3 67 10 2" xfId="34410"/>
    <cellStyle name="Entrada 3 67 11" xfId="3642"/>
    <cellStyle name="Entrada 3 67 11 2" xfId="34411"/>
    <cellStyle name="Entrada 3 67 12" xfId="3643"/>
    <cellStyle name="Entrada 3 67 12 2" xfId="34412"/>
    <cellStyle name="Entrada 3 67 13" xfId="3644"/>
    <cellStyle name="Entrada 3 67 13 2" xfId="34413"/>
    <cellStyle name="Entrada 3 67 14" xfId="34414"/>
    <cellStyle name="Entrada 3 67 2" xfId="3645"/>
    <cellStyle name="Entrada 3 67 2 2" xfId="34415"/>
    <cellStyle name="Entrada 3 67 3" xfId="3646"/>
    <cellStyle name="Entrada 3 67 3 2" xfId="34416"/>
    <cellStyle name="Entrada 3 67 4" xfId="3647"/>
    <cellStyle name="Entrada 3 67 4 2" xfId="34417"/>
    <cellStyle name="Entrada 3 67 5" xfId="3648"/>
    <cellStyle name="Entrada 3 67 5 2" xfId="34418"/>
    <cellStyle name="Entrada 3 67 6" xfId="3649"/>
    <cellStyle name="Entrada 3 67 6 2" xfId="34419"/>
    <cellStyle name="Entrada 3 67 7" xfId="3650"/>
    <cellStyle name="Entrada 3 67 7 2" xfId="34420"/>
    <cellStyle name="Entrada 3 67 8" xfId="3651"/>
    <cellStyle name="Entrada 3 67 8 2" xfId="34421"/>
    <cellStyle name="Entrada 3 67 9" xfId="3652"/>
    <cellStyle name="Entrada 3 67 9 2" xfId="34422"/>
    <cellStyle name="Entrada 3 68" xfId="3653"/>
    <cellStyle name="Entrada 3 68 10" xfId="3654"/>
    <cellStyle name="Entrada 3 68 10 2" xfId="34423"/>
    <cellStyle name="Entrada 3 68 11" xfId="3655"/>
    <cellStyle name="Entrada 3 68 11 2" xfId="34424"/>
    <cellStyle name="Entrada 3 68 12" xfId="3656"/>
    <cellStyle name="Entrada 3 68 12 2" xfId="34425"/>
    <cellStyle name="Entrada 3 68 13" xfId="3657"/>
    <cellStyle name="Entrada 3 68 13 2" xfId="34426"/>
    <cellStyle name="Entrada 3 68 14" xfId="34427"/>
    <cellStyle name="Entrada 3 68 2" xfId="3658"/>
    <cellStyle name="Entrada 3 68 2 2" xfId="34428"/>
    <cellStyle name="Entrada 3 68 3" xfId="3659"/>
    <cellStyle name="Entrada 3 68 3 2" xfId="34429"/>
    <cellStyle name="Entrada 3 68 4" xfId="3660"/>
    <cellStyle name="Entrada 3 68 4 2" xfId="34430"/>
    <cellStyle name="Entrada 3 68 5" xfId="3661"/>
    <cellStyle name="Entrada 3 68 5 2" xfId="34431"/>
    <cellStyle name="Entrada 3 68 6" xfId="3662"/>
    <cellStyle name="Entrada 3 68 6 2" xfId="34432"/>
    <cellStyle name="Entrada 3 68 7" xfId="3663"/>
    <cellStyle name="Entrada 3 68 7 2" xfId="34433"/>
    <cellStyle name="Entrada 3 68 8" xfId="3664"/>
    <cellStyle name="Entrada 3 68 8 2" xfId="34434"/>
    <cellStyle name="Entrada 3 68 9" xfId="3665"/>
    <cellStyle name="Entrada 3 68 9 2" xfId="34435"/>
    <cellStyle name="Entrada 3 69" xfId="3666"/>
    <cellStyle name="Entrada 3 69 10" xfId="3667"/>
    <cellStyle name="Entrada 3 69 10 2" xfId="34436"/>
    <cellStyle name="Entrada 3 69 11" xfId="3668"/>
    <cellStyle name="Entrada 3 69 11 2" xfId="34437"/>
    <cellStyle name="Entrada 3 69 12" xfId="3669"/>
    <cellStyle name="Entrada 3 69 12 2" xfId="34438"/>
    <cellStyle name="Entrada 3 69 13" xfId="3670"/>
    <cellStyle name="Entrada 3 69 13 2" xfId="34439"/>
    <cellStyle name="Entrada 3 69 14" xfId="34440"/>
    <cellStyle name="Entrada 3 69 2" xfId="3671"/>
    <cellStyle name="Entrada 3 69 2 2" xfId="34441"/>
    <cellStyle name="Entrada 3 69 3" xfId="3672"/>
    <cellStyle name="Entrada 3 69 3 2" xfId="34442"/>
    <cellStyle name="Entrada 3 69 4" xfId="3673"/>
    <cellStyle name="Entrada 3 69 4 2" xfId="34443"/>
    <cellStyle name="Entrada 3 69 5" xfId="3674"/>
    <cellStyle name="Entrada 3 69 5 2" xfId="34444"/>
    <cellStyle name="Entrada 3 69 6" xfId="3675"/>
    <cellStyle name="Entrada 3 69 6 2" xfId="34445"/>
    <cellStyle name="Entrada 3 69 7" xfId="3676"/>
    <cellStyle name="Entrada 3 69 7 2" xfId="34446"/>
    <cellStyle name="Entrada 3 69 8" xfId="3677"/>
    <cellStyle name="Entrada 3 69 8 2" xfId="34447"/>
    <cellStyle name="Entrada 3 69 9" xfId="3678"/>
    <cellStyle name="Entrada 3 69 9 2" xfId="34448"/>
    <cellStyle name="Entrada 3 7" xfId="3679"/>
    <cellStyle name="Entrada 3 7 10" xfId="3680"/>
    <cellStyle name="Entrada 3 7 10 2" xfId="34449"/>
    <cellStyle name="Entrada 3 7 11" xfId="3681"/>
    <cellStyle name="Entrada 3 7 11 2" xfId="34450"/>
    <cellStyle name="Entrada 3 7 12" xfId="3682"/>
    <cellStyle name="Entrada 3 7 12 2" xfId="34451"/>
    <cellStyle name="Entrada 3 7 13" xfId="3683"/>
    <cellStyle name="Entrada 3 7 13 2" xfId="34452"/>
    <cellStyle name="Entrada 3 7 14" xfId="34453"/>
    <cellStyle name="Entrada 3 7 2" xfId="3684"/>
    <cellStyle name="Entrada 3 7 2 2" xfId="34454"/>
    <cellStyle name="Entrada 3 7 3" xfId="3685"/>
    <cellStyle name="Entrada 3 7 3 2" xfId="34455"/>
    <cellStyle name="Entrada 3 7 4" xfId="3686"/>
    <cellStyle name="Entrada 3 7 4 2" xfId="34456"/>
    <cellStyle name="Entrada 3 7 5" xfId="3687"/>
    <cellStyle name="Entrada 3 7 5 2" xfId="34457"/>
    <cellStyle name="Entrada 3 7 6" xfId="3688"/>
    <cellStyle name="Entrada 3 7 6 2" xfId="34458"/>
    <cellStyle name="Entrada 3 7 7" xfId="3689"/>
    <cellStyle name="Entrada 3 7 7 2" xfId="34459"/>
    <cellStyle name="Entrada 3 7 8" xfId="3690"/>
    <cellStyle name="Entrada 3 7 8 2" xfId="34460"/>
    <cellStyle name="Entrada 3 7 9" xfId="3691"/>
    <cellStyle name="Entrada 3 7 9 2" xfId="34461"/>
    <cellStyle name="Entrada 3 70" xfId="3692"/>
    <cellStyle name="Entrada 3 70 10" xfId="3693"/>
    <cellStyle name="Entrada 3 70 10 2" xfId="34462"/>
    <cellStyle name="Entrada 3 70 11" xfId="3694"/>
    <cellStyle name="Entrada 3 70 11 2" xfId="34463"/>
    <cellStyle name="Entrada 3 70 12" xfId="3695"/>
    <cellStyle name="Entrada 3 70 12 2" xfId="34464"/>
    <cellStyle name="Entrada 3 70 13" xfId="3696"/>
    <cellStyle name="Entrada 3 70 13 2" xfId="34465"/>
    <cellStyle name="Entrada 3 70 14" xfId="34466"/>
    <cellStyle name="Entrada 3 70 2" xfId="3697"/>
    <cellStyle name="Entrada 3 70 2 2" xfId="34467"/>
    <cellStyle name="Entrada 3 70 3" xfId="3698"/>
    <cellStyle name="Entrada 3 70 3 2" xfId="34468"/>
    <cellStyle name="Entrada 3 70 4" xfId="3699"/>
    <cellStyle name="Entrada 3 70 4 2" xfId="34469"/>
    <cellStyle name="Entrada 3 70 5" xfId="3700"/>
    <cellStyle name="Entrada 3 70 5 2" xfId="34470"/>
    <cellStyle name="Entrada 3 70 6" xfId="3701"/>
    <cellStyle name="Entrada 3 70 6 2" xfId="34471"/>
    <cellStyle name="Entrada 3 70 7" xfId="3702"/>
    <cellStyle name="Entrada 3 70 7 2" xfId="34472"/>
    <cellStyle name="Entrada 3 70 8" xfId="3703"/>
    <cellStyle name="Entrada 3 70 8 2" xfId="34473"/>
    <cellStyle name="Entrada 3 70 9" xfId="3704"/>
    <cellStyle name="Entrada 3 70 9 2" xfId="34474"/>
    <cellStyle name="Entrada 3 71" xfId="3705"/>
    <cellStyle name="Entrada 3 71 2" xfId="34475"/>
    <cellStyle name="Entrada 3 72" xfId="3706"/>
    <cellStyle name="Entrada 3 72 2" xfId="34476"/>
    <cellStyle name="Entrada 3 73" xfId="3707"/>
    <cellStyle name="Entrada 3 73 2" xfId="34477"/>
    <cellStyle name="Entrada 3 74" xfId="3708"/>
    <cellStyle name="Entrada 3 74 2" xfId="34478"/>
    <cellStyle name="Entrada 3 75" xfId="3709"/>
    <cellStyle name="Entrada 3 75 2" xfId="34479"/>
    <cellStyle name="Entrada 3 76" xfId="3710"/>
    <cellStyle name="Entrada 3 76 2" xfId="34480"/>
    <cellStyle name="Entrada 3 77" xfId="3711"/>
    <cellStyle name="Entrada 3 77 2" xfId="34481"/>
    <cellStyle name="Entrada 3 78" xfId="3712"/>
    <cellStyle name="Entrada 3 78 2" xfId="34482"/>
    <cellStyle name="Entrada 3 79" xfId="3713"/>
    <cellStyle name="Entrada 3 79 2" xfId="34483"/>
    <cellStyle name="Entrada 3 8" xfId="3714"/>
    <cellStyle name="Entrada 3 8 10" xfId="3715"/>
    <cellStyle name="Entrada 3 8 10 2" xfId="34484"/>
    <cellStyle name="Entrada 3 8 11" xfId="3716"/>
    <cellStyle name="Entrada 3 8 11 2" xfId="34485"/>
    <cellStyle name="Entrada 3 8 12" xfId="3717"/>
    <cellStyle name="Entrada 3 8 12 2" xfId="34486"/>
    <cellStyle name="Entrada 3 8 13" xfId="3718"/>
    <cellStyle name="Entrada 3 8 13 2" xfId="34487"/>
    <cellStyle name="Entrada 3 8 14" xfId="34488"/>
    <cellStyle name="Entrada 3 8 2" xfId="3719"/>
    <cellStyle name="Entrada 3 8 2 2" xfId="34489"/>
    <cellStyle name="Entrada 3 8 3" xfId="3720"/>
    <cellStyle name="Entrada 3 8 3 2" xfId="34490"/>
    <cellStyle name="Entrada 3 8 4" xfId="3721"/>
    <cellStyle name="Entrada 3 8 4 2" xfId="34491"/>
    <cellStyle name="Entrada 3 8 5" xfId="3722"/>
    <cellStyle name="Entrada 3 8 5 2" xfId="34492"/>
    <cellStyle name="Entrada 3 8 6" xfId="3723"/>
    <cellStyle name="Entrada 3 8 6 2" xfId="34493"/>
    <cellStyle name="Entrada 3 8 7" xfId="3724"/>
    <cellStyle name="Entrada 3 8 7 2" xfId="34494"/>
    <cellStyle name="Entrada 3 8 8" xfId="3725"/>
    <cellStyle name="Entrada 3 8 8 2" xfId="34495"/>
    <cellStyle name="Entrada 3 8 9" xfId="3726"/>
    <cellStyle name="Entrada 3 8 9 2" xfId="34496"/>
    <cellStyle name="Entrada 3 80" xfId="3727"/>
    <cellStyle name="Entrada 3 80 2" xfId="34497"/>
    <cellStyle name="Entrada 3 81" xfId="3728"/>
    <cellStyle name="Entrada 3 81 2" xfId="34498"/>
    <cellStyle name="Entrada 3 82" xfId="34499"/>
    <cellStyle name="Entrada 3 9" xfId="3729"/>
    <cellStyle name="Entrada 3 9 10" xfId="3730"/>
    <cellStyle name="Entrada 3 9 10 2" xfId="34500"/>
    <cellStyle name="Entrada 3 9 11" xfId="3731"/>
    <cellStyle name="Entrada 3 9 11 2" xfId="34501"/>
    <cellStyle name="Entrada 3 9 12" xfId="3732"/>
    <cellStyle name="Entrada 3 9 12 2" xfId="34502"/>
    <cellStyle name="Entrada 3 9 13" xfId="3733"/>
    <cellStyle name="Entrada 3 9 13 2" xfId="34503"/>
    <cellStyle name="Entrada 3 9 14" xfId="34504"/>
    <cellStyle name="Entrada 3 9 2" xfId="3734"/>
    <cellStyle name="Entrada 3 9 2 2" xfId="34505"/>
    <cellStyle name="Entrada 3 9 3" xfId="3735"/>
    <cellStyle name="Entrada 3 9 3 2" xfId="34506"/>
    <cellStyle name="Entrada 3 9 4" xfId="3736"/>
    <cellStyle name="Entrada 3 9 4 2" xfId="34507"/>
    <cellStyle name="Entrada 3 9 5" xfId="3737"/>
    <cellStyle name="Entrada 3 9 5 2" xfId="34508"/>
    <cellStyle name="Entrada 3 9 6" xfId="3738"/>
    <cellStyle name="Entrada 3 9 6 2" xfId="34509"/>
    <cellStyle name="Entrada 3 9 7" xfId="3739"/>
    <cellStyle name="Entrada 3 9 7 2" xfId="34510"/>
    <cellStyle name="Entrada 3 9 8" xfId="3740"/>
    <cellStyle name="Entrada 3 9 8 2" xfId="34511"/>
    <cellStyle name="Entrada 3 9 9" xfId="3741"/>
    <cellStyle name="Entrada 3 9 9 2" xfId="34512"/>
    <cellStyle name="Euro" xfId="3742"/>
    <cellStyle name="Euro 2" xfId="3743"/>
    <cellStyle name="Euro 2 10" xfId="3744"/>
    <cellStyle name="Euro 2 11" xfId="3745"/>
    <cellStyle name="Euro 2 12" xfId="3746"/>
    <cellStyle name="Euro 2 13" xfId="3747"/>
    <cellStyle name="Euro 2 14" xfId="3748"/>
    <cellStyle name="Euro 2 15" xfId="3749"/>
    <cellStyle name="Euro 2 16" xfId="3750"/>
    <cellStyle name="Euro 2 17" xfId="3751"/>
    <cellStyle name="Euro 2 18" xfId="3752"/>
    <cellStyle name="Euro 2 19" xfId="3753"/>
    <cellStyle name="Euro 2 2" xfId="3754"/>
    <cellStyle name="Euro 2 2 10" xfId="3755"/>
    <cellStyle name="Euro 2 2 11" xfId="3756"/>
    <cellStyle name="Euro 2 2 12" xfId="3757"/>
    <cellStyle name="Euro 2 2 13" xfId="3758"/>
    <cellStyle name="Euro 2 2 14" xfId="3759"/>
    <cellStyle name="Euro 2 2 15" xfId="3760"/>
    <cellStyle name="Euro 2 2 16" xfId="3761"/>
    <cellStyle name="Euro 2 2 17" xfId="3762"/>
    <cellStyle name="Euro 2 2 18" xfId="3763"/>
    <cellStyle name="Euro 2 2 19" xfId="3764"/>
    <cellStyle name="Euro 2 2 2" xfId="3765"/>
    <cellStyle name="Euro 2 2 20" xfId="3766"/>
    <cellStyle name="Euro 2 2 21" xfId="3767"/>
    <cellStyle name="Euro 2 2 22" xfId="3768"/>
    <cellStyle name="Euro 2 2 23" xfId="3769"/>
    <cellStyle name="Euro 2 2 24" xfId="3770"/>
    <cellStyle name="Euro 2 2 25" xfId="3771"/>
    <cellStyle name="Euro 2 2 26" xfId="3772"/>
    <cellStyle name="Euro 2 2 27" xfId="3773"/>
    <cellStyle name="Euro 2 2 28" xfId="3774"/>
    <cellStyle name="Euro 2 2 29" xfId="3775"/>
    <cellStyle name="Euro 2 2 3" xfId="3776"/>
    <cellStyle name="Euro 2 2 30" xfId="3777"/>
    <cellStyle name="Euro 2 2 31" xfId="3778"/>
    <cellStyle name="Euro 2 2 32" xfId="3779"/>
    <cellStyle name="Euro 2 2 33" xfId="3780"/>
    <cellStyle name="Euro 2 2 34" xfId="3781"/>
    <cellStyle name="Euro 2 2 35" xfId="3782"/>
    <cellStyle name="Euro 2 2 36" xfId="3783"/>
    <cellStyle name="Euro 2 2 37" xfId="3784"/>
    <cellStyle name="Euro 2 2 38" xfId="3785"/>
    <cellStyle name="Euro 2 2 39" xfId="3786"/>
    <cellStyle name="Euro 2 2 4" xfId="3787"/>
    <cellStyle name="Euro 2 2 40" xfId="3788"/>
    <cellStyle name="Euro 2 2 41" xfId="3789"/>
    <cellStyle name="Euro 2 2 42" xfId="3790"/>
    <cellStyle name="Euro 2 2 43" xfId="3791"/>
    <cellStyle name="Euro 2 2 44" xfId="3792"/>
    <cellStyle name="Euro 2 2 45" xfId="3793"/>
    <cellStyle name="Euro 2 2 46" xfId="3794"/>
    <cellStyle name="Euro 2 2 47" xfId="3795"/>
    <cellStyle name="Euro 2 2 48" xfId="3796"/>
    <cellStyle name="Euro 2 2 49" xfId="3797"/>
    <cellStyle name="Euro 2 2 5" xfId="3798"/>
    <cellStyle name="Euro 2 2 50" xfId="3799"/>
    <cellStyle name="Euro 2 2 51" xfId="3800"/>
    <cellStyle name="Euro 2 2 52" xfId="3801"/>
    <cellStyle name="Euro 2 2 53" xfId="3802"/>
    <cellStyle name="Euro 2 2 54" xfId="3803"/>
    <cellStyle name="Euro 2 2 55" xfId="3804"/>
    <cellStyle name="Euro 2 2 56" xfId="3805"/>
    <cellStyle name="Euro 2 2 57" xfId="3806"/>
    <cellStyle name="Euro 2 2 58" xfId="3807"/>
    <cellStyle name="Euro 2 2 59" xfId="3808"/>
    <cellStyle name="Euro 2 2 6" xfId="3809"/>
    <cellStyle name="Euro 2 2 60" xfId="3810"/>
    <cellStyle name="Euro 2 2 61" xfId="3811"/>
    <cellStyle name="Euro 2 2 62" xfId="3812"/>
    <cellStyle name="Euro 2 2 63" xfId="3813"/>
    <cellStyle name="Euro 2 2 64" xfId="3814"/>
    <cellStyle name="Euro 2 2 65" xfId="3815"/>
    <cellStyle name="Euro 2 2 66" xfId="3816"/>
    <cellStyle name="Euro 2 2 67" xfId="3817"/>
    <cellStyle name="Euro 2 2 68" xfId="3818"/>
    <cellStyle name="Euro 2 2 69" xfId="3819"/>
    <cellStyle name="Euro 2 2 7" xfId="3820"/>
    <cellStyle name="Euro 2 2 70" xfId="3821"/>
    <cellStyle name="Euro 2 2 71" xfId="3822"/>
    <cellStyle name="Euro 2 2 72" xfId="3823"/>
    <cellStyle name="Euro 2 2 73" xfId="3824"/>
    <cellStyle name="Euro 2 2 74" xfId="3825"/>
    <cellStyle name="Euro 2 2 75" xfId="3826"/>
    <cellStyle name="Euro 2 2 76" xfId="3827"/>
    <cellStyle name="Euro 2 2 77" xfId="3828"/>
    <cellStyle name="Euro 2 2 78" xfId="3829"/>
    <cellStyle name="Euro 2 2 79" xfId="3830"/>
    <cellStyle name="Euro 2 2 8" xfId="3831"/>
    <cellStyle name="Euro 2 2 80" xfId="3832"/>
    <cellStyle name="Euro 2 2 81" xfId="3833"/>
    <cellStyle name="Euro 2 2 82" xfId="3834"/>
    <cellStyle name="Euro 2 2 83" xfId="3835"/>
    <cellStyle name="Euro 2 2 9" xfId="3836"/>
    <cellStyle name="Euro 2 20" xfId="3837"/>
    <cellStyle name="Euro 2 21" xfId="3838"/>
    <cellStyle name="Euro 2 22" xfId="3839"/>
    <cellStyle name="Euro 2 23" xfId="3840"/>
    <cellStyle name="Euro 2 24" xfId="3841"/>
    <cellStyle name="Euro 2 25" xfId="3842"/>
    <cellStyle name="Euro 2 26" xfId="3843"/>
    <cellStyle name="Euro 2 27" xfId="3844"/>
    <cellStyle name="Euro 2 28" xfId="3845"/>
    <cellStyle name="Euro 2 29" xfId="3846"/>
    <cellStyle name="Euro 2 3" xfId="3847"/>
    <cellStyle name="Euro 2 30" xfId="3848"/>
    <cellStyle name="Euro 2 31" xfId="3849"/>
    <cellStyle name="Euro 2 32" xfId="3850"/>
    <cellStyle name="Euro 2 33" xfId="3851"/>
    <cellStyle name="Euro 2 34" xfId="3852"/>
    <cellStyle name="Euro 2 35" xfId="3853"/>
    <cellStyle name="Euro 2 36" xfId="3854"/>
    <cellStyle name="Euro 2 37" xfId="3855"/>
    <cellStyle name="Euro 2 38" xfId="3856"/>
    <cellStyle name="Euro 2 39" xfId="3857"/>
    <cellStyle name="Euro 2 4" xfId="3858"/>
    <cellStyle name="Euro 2 40" xfId="3859"/>
    <cellStyle name="Euro 2 41" xfId="3860"/>
    <cellStyle name="Euro 2 42" xfId="3861"/>
    <cellStyle name="Euro 2 43" xfId="3862"/>
    <cellStyle name="Euro 2 44" xfId="3863"/>
    <cellStyle name="Euro 2 45" xfId="3864"/>
    <cellStyle name="Euro 2 46" xfId="3865"/>
    <cellStyle name="Euro 2 47" xfId="3866"/>
    <cellStyle name="Euro 2 48" xfId="3867"/>
    <cellStyle name="Euro 2 49" xfId="3868"/>
    <cellStyle name="Euro 2 5" xfId="3869"/>
    <cellStyle name="Euro 2 50" xfId="3870"/>
    <cellStyle name="Euro 2 51" xfId="3871"/>
    <cellStyle name="Euro 2 52" xfId="3872"/>
    <cellStyle name="Euro 2 53" xfId="3873"/>
    <cellStyle name="Euro 2 54" xfId="3874"/>
    <cellStyle name="Euro 2 55" xfId="3875"/>
    <cellStyle name="Euro 2 56" xfId="3876"/>
    <cellStyle name="Euro 2 57" xfId="3877"/>
    <cellStyle name="Euro 2 58" xfId="3878"/>
    <cellStyle name="Euro 2 59" xfId="3879"/>
    <cellStyle name="Euro 2 6" xfId="3880"/>
    <cellStyle name="Euro 2 60" xfId="3881"/>
    <cellStyle name="Euro 2 61" xfId="3882"/>
    <cellStyle name="Euro 2 62" xfId="3883"/>
    <cellStyle name="Euro 2 63" xfId="3884"/>
    <cellStyle name="Euro 2 64" xfId="3885"/>
    <cellStyle name="Euro 2 65" xfId="3886"/>
    <cellStyle name="Euro 2 66" xfId="3887"/>
    <cellStyle name="Euro 2 67" xfId="3888"/>
    <cellStyle name="Euro 2 68" xfId="3889"/>
    <cellStyle name="Euro 2 69" xfId="3890"/>
    <cellStyle name="Euro 2 7" xfId="3891"/>
    <cellStyle name="Euro 2 70" xfId="3892"/>
    <cellStyle name="Euro 2 71" xfId="3893"/>
    <cellStyle name="Euro 2 72" xfId="3894"/>
    <cellStyle name="Euro 2 73" xfId="3895"/>
    <cellStyle name="Euro 2 74" xfId="3896"/>
    <cellStyle name="Euro 2 75" xfId="3897"/>
    <cellStyle name="Euro 2 76" xfId="3898"/>
    <cellStyle name="Euro 2 77" xfId="3899"/>
    <cellStyle name="Euro 2 78" xfId="3900"/>
    <cellStyle name="Euro 2 79" xfId="3901"/>
    <cellStyle name="Euro 2 8" xfId="3902"/>
    <cellStyle name="Euro 2 80" xfId="3903"/>
    <cellStyle name="Euro 2 81" xfId="3904"/>
    <cellStyle name="Euro 2 82" xfId="3905"/>
    <cellStyle name="Euro 2 83" xfId="3906"/>
    <cellStyle name="Euro 2 84" xfId="3907"/>
    <cellStyle name="Euro 2 9" xfId="3908"/>
    <cellStyle name="Euro 3" xfId="3909"/>
    <cellStyle name="Euro 3 10" xfId="3910"/>
    <cellStyle name="Euro 3 11" xfId="3911"/>
    <cellStyle name="Euro 3 12" xfId="3912"/>
    <cellStyle name="Euro 3 13" xfId="3913"/>
    <cellStyle name="Euro 3 14" xfId="3914"/>
    <cellStyle name="Euro 3 15" xfId="3915"/>
    <cellStyle name="Euro 3 16" xfId="3916"/>
    <cellStyle name="Euro 3 17" xfId="3917"/>
    <cellStyle name="Euro 3 18" xfId="3918"/>
    <cellStyle name="Euro 3 19" xfId="3919"/>
    <cellStyle name="Euro 3 2" xfId="3920"/>
    <cellStyle name="Euro 3 20" xfId="3921"/>
    <cellStyle name="Euro 3 21" xfId="3922"/>
    <cellStyle name="Euro 3 22" xfId="3923"/>
    <cellStyle name="Euro 3 23" xfId="3924"/>
    <cellStyle name="Euro 3 24" xfId="3925"/>
    <cellStyle name="Euro 3 25" xfId="3926"/>
    <cellStyle name="Euro 3 26" xfId="3927"/>
    <cellStyle name="Euro 3 27" xfId="3928"/>
    <cellStyle name="Euro 3 28" xfId="3929"/>
    <cellStyle name="Euro 3 29" xfId="3930"/>
    <cellStyle name="Euro 3 3" xfId="3931"/>
    <cellStyle name="Euro 3 30" xfId="3932"/>
    <cellStyle name="Euro 3 31" xfId="3933"/>
    <cellStyle name="Euro 3 32" xfId="3934"/>
    <cellStyle name="Euro 3 33" xfId="3935"/>
    <cellStyle name="Euro 3 34" xfId="3936"/>
    <cellStyle name="Euro 3 35" xfId="3937"/>
    <cellStyle name="Euro 3 36" xfId="3938"/>
    <cellStyle name="Euro 3 37" xfId="3939"/>
    <cellStyle name="Euro 3 38" xfId="3940"/>
    <cellStyle name="Euro 3 39" xfId="3941"/>
    <cellStyle name="Euro 3 4" xfId="3942"/>
    <cellStyle name="Euro 3 40" xfId="3943"/>
    <cellStyle name="Euro 3 41" xfId="3944"/>
    <cellStyle name="Euro 3 42" xfId="3945"/>
    <cellStyle name="Euro 3 43" xfId="3946"/>
    <cellStyle name="Euro 3 44" xfId="3947"/>
    <cellStyle name="Euro 3 45" xfId="3948"/>
    <cellStyle name="Euro 3 46" xfId="3949"/>
    <cellStyle name="Euro 3 47" xfId="3950"/>
    <cellStyle name="Euro 3 48" xfId="3951"/>
    <cellStyle name="Euro 3 49" xfId="3952"/>
    <cellStyle name="Euro 3 5" xfId="3953"/>
    <cellStyle name="Euro 3 50" xfId="3954"/>
    <cellStyle name="Euro 3 51" xfId="3955"/>
    <cellStyle name="Euro 3 52" xfId="3956"/>
    <cellStyle name="Euro 3 53" xfId="3957"/>
    <cellStyle name="Euro 3 54" xfId="3958"/>
    <cellStyle name="Euro 3 55" xfId="3959"/>
    <cellStyle name="Euro 3 56" xfId="3960"/>
    <cellStyle name="Euro 3 57" xfId="3961"/>
    <cellStyle name="Euro 3 58" xfId="3962"/>
    <cellStyle name="Euro 3 59" xfId="3963"/>
    <cellStyle name="Euro 3 6" xfId="3964"/>
    <cellStyle name="Euro 3 60" xfId="3965"/>
    <cellStyle name="Euro 3 61" xfId="3966"/>
    <cellStyle name="Euro 3 62" xfId="3967"/>
    <cellStyle name="Euro 3 63" xfId="3968"/>
    <cellStyle name="Euro 3 64" xfId="3969"/>
    <cellStyle name="Euro 3 65" xfId="3970"/>
    <cellStyle name="Euro 3 66" xfId="3971"/>
    <cellStyle name="Euro 3 67" xfId="3972"/>
    <cellStyle name="Euro 3 68" xfId="3973"/>
    <cellStyle name="Euro 3 69" xfId="3974"/>
    <cellStyle name="Euro 3 7" xfId="3975"/>
    <cellStyle name="Euro 3 70" xfId="3976"/>
    <cellStyle name="Euro 3 71" xfId="3977"/>
    <cellStyle name="Euro 3 72" xfId="3978"/>
    <cellStyle name="Euro 3 73" xfId="3979"/>
    <cellStyle name="Euro 3 74" xfId="3980"/>
    <cellStyle name="Euro 3 75" xfId="3981"/>
    <cellStyle name="Euro 3 76" xfId="3982"/>
    <cellStyle name="Euro 3 77" xfId="3983"/>
    <cellStyle name="Euro 3 78" xfId="3984"/>
    <cellStyle name="Euro 3 79" xfId="3985"/>
    <cellStyle name="Euro 3 8" xfId="3986"/>
    <cellStyle name="Euro 3 80" xfId="3987"/>
    <cellStyle name="Euro 3 81" xfId="3988"/>
    <cellStyle name="Euro 3 82" xfId="3989"/>
    <cellStyle name="Euro 3 83" xfId="3990"/>
    <cellStyle name="Euro 3 9" xfId="3991"/>
    <cellStyle name="Euro 4" xfId="3992"/>
    <cellStyle name="Euro 4 10" xfId="3993"/>
    <cellStyle name="Euro 4 11" xfId="3994"/>
    <cellStyle name="Euro 4 12" xfId="3995"/>
    <cellStyle name="Euro 4 13" xfId="3996"/>
    <cellStyle name="Euro 4 14" xfId="3997"/>
    <cellStyle name="Euro 4 15" xfId="3998"/>
    <cellStyle name="Euro 4 16" xfId="3999"/>
    <cellStyle name="Euro 4 17" xfId="4000"/>
    <cellStyle name="Euro 4 18" xfId="4001"/>
    <cellStyle name="Euro 4 19" xfId="4002"/>
    <cellStyle name="Euro 4 2" xfId="4003"/>
    <cellStyle name="Euro 4 20" xfId="4004"/>
    <cellStyle name="Euro 4 21" xfId="4005"/>
    <cellStyle name="Euro 4 22" xfId="4006"/>
    <cellStyle name="Euro 4 23" xfId="4007"/>
    <cellStyle name="Euro 4 24" xfId="4008"/>
    <cellStyle name="Euro 4 25" xfId="4009"/>
    <cellStyle name="Euro 4 26" xfId="4010"/>
    <cellStyle name="Euro 4 27" xfId="4011"/>
    <cellStyle name="Euro 4 28" xfId="4012"/>
    <cellStyle name="Euro 4 29" xfId="4013"/>
    <cellStyle name="Euro 4 3" xfId="4014"/>
    <cellStyle name="Euro 4 30" xfId="4015"/>
    <cellStyle name="Euro 4 31" xfId="4016"/>
    <cellStyle name="Euro 4 32" xfId="4017"/>
    <cellStyle name="Euro 4 33" xfId="4018"/>
    <cellStyle name="Euro 4 34" xfId="4019"/>
    <cellStyle name="Euro 4 35" xfId="4020"/>
    <cellStyle name="Euro 4 36" xfId="4021"/>
    <cellStyle name="Euro 4 37" xfId="4022"/>
    <cellStyle name="Euro 4 38" xfId="4023"/>
    <cellStyle name="Euro 4 39" xfId="4024"/>
    <cellStyle name="Euro 4 4" xfId="4025"/>
    <cellStyle name="Euro 4 40" xfId="4026"/>
    <cellStyle name="Euro 4 41" xfId="4027"/>
    <cellStyle name="Euro 4 42" xfId="4028"/>
    <cellStyle name="Euro 4 43" xfId="4029"/>
    <cellStyle name="Euro 4 44" xfId="4030"/>
    <cellStyle name="Euro 4 45" xfId="4031"/>
    <cellStyle name="Euro 4 46" xfId="4032"/>
    <cellStyle name="Euro 4 47" xfId="4033"/>
    <cellStyle name="Euro 4 48" xfId="4034"/>
    <cellStyle name="Euro 4 49" xfId="4035"/>
    <cellStyle name="Euro 4 5" xfId="4036"/>
    <cellStyle name="Euro 4 50" xfId="4037"/>
    <cellStyle name="Euro 4 51" xfId="4038"/>
    <cellStyle name="Euro 4 52" xfId="4039"/>
    <cellStyle name="Euro 4 53" xfId="4040"/>
    <cellStyle name="Euro 4 54" xfId="4041"/>
    <cellStyle name="Euro 4 55" xfId="4042"/>
    <cellStyle name="Euro 4 56" xfId="4043"/>
    <cellStyle name="Euro 4 57" xfId="4044"/>
    <cellStyle name="Euro 4 58" xfId="4045"/>
    <cellStyle name="Euro 4 59" xfId="4046"/>
    <cellStyle name="Euro 4 6" xfId="4047"/>
    <cellStyle name="Euro 4 60" xfId="4048"/>
    <cellStyle name="Euro 4 61" xfId="4049"/>
    <cellStyle name="Euro 4 62" xfId="4050"/>
    <cellStyle name="Euro 4 63" xfId="4051"/>
    <cellStyle name="Euro 4 64" xfId="4052"/>
    <cellStyle name="Euro 4 65" xfId="4053"/>
    <cellStyle name="Euro 4 66" xfId="4054"/>
    <cellStyle name="Euro 4 67" xfId="4055"/>
    <cellStyle name="Euro 4 68" xfId="4056"/>
    <cellStyle name="Euro 4 69" xfId="4057"/>
    <cellStyle name="Euro 4 7" xfId="4058"/>
    <cellStyle name="Euro 4 70" xfId="4059"/>
    <cellStyle name="Euro 4 71" xfId="4060"/>
    <cellStyle name="Euro 4 72" xfId="4061"/>
    <cellStyle name="Euro 4 73" xfId="4062"/>
    <cellStyle name="Euro 4 74" xfId="4063"/>
    <cellStyle name="Euro 4 75" xfId="4064"/>
    <cellStyle name="Euro 4 76" xfId="4065"/>
    <cellStyle name="Euro 4 77" xfId="4066"/>
    <cellStyle name="Euro 4 78" xfId="4067"/>
    <cellStyle name="Euro 4 79" xfId="4068"/>
    <cellStyle name="Euro 4 8" xfId="4069"/>
    <cellStyle name="Euro 4 80" xfId="4070"/>
    <cellStyle name="Euro 4 81" xfId="4071"/>
    <cellStyle name="Euro 4 82" xfId="4072"/>
    <cellStyle name="Euro 4 83" xfId="4073"/>
    <cellStyle name="Euro 4 9" xfId="4074"/>
    <cellStyle name="Euro_PDI anuario de culturaJENAMA 2010" xfId="4075"/>
    <cellStyle name="Hipervínculo" xfId="36418" builtinId="8"/>
    <cellStyle name="Incorrecto 2" xfId="4076"/>
    <cellStyle name="Incorrecto 2 2" xfId="4077"/>
    <cellStyle name="Incorrecto 3" xfId="4078"/>
    <cellStyle name="Millares" xfId="1" builtinId="3"/>
    <cellStyle name="Millares 10" xfId="4079"/>
    <cellStyle name="Millares 14" xfId="4080"/>
    <cellStyle name="Millares 15" xfId="4081"/>
    <cellStyle name="Millares 16" xfId="4082"/>
    <cellStyle name="Millares 17" xfId="4083"/>
    <cellStyle name="Millares 2" xfId="8"/>
    <cellStyle name="Millares 2 2" xfId="4084"/>
    <cellStyle name="Millares 2 3" xfId="4085"/>
    <cellStyle name="Millares 3" xfId="13"/>
    <cellStyle name="Millares 4" xfId="36419"/>
    <cellStyle name="Millares 6" xfId="4086"/>
    <cellStyle name="Millares 7" xfId="4087"/>
    <cellStyle name="Millares 8" xfId="4088"/>
    <cellStyle name="Millares 9" xfId="4089"/>
    <cellStyle name="Moneda [0] 2" xfId="30869"/>
    <cellStyle name="Moneda 2" xfId="30866"/>
    <cellStyle name="Neutral 2" xfId="4090"/>
    <cellStyle name="Neutral 2 2" xfId="4091"/>
    <cellStyle name="Neutral 3" xfId="4092"/>
    <cellStyle name="Normal" xfId="0" builtinId="0"/>
    <cellStyle name="Normal 10" xfId="4093"/>
    <cellStyle name="Normal 10 10" xfId="4094"/>
    <cellStyle name="Normal 10 11" xfId="4095"/>
    <cellStyle name="Normal 10 12" xfId="4096"/>
    <cellStyle name="Normal 10 13" xfId="4097"/>
    <cellStyle name="Normal 10 14" xfId="4098"/>
    <cellStyle name="Normal 10 15" xfId="4099"/>
    <cellStyle name="Normal 10 16" xfId="4100"/>
    <cellStyle name="Normal 10 17" xfId="4101"/>
    <cellStyle name="Normal 10 18" xfId="4102"/>
    <cellStyle name="Normal 10 19" xfId="4103"/>
    <cellStyle name="Normal 10 2" xfId="4104"/>
    <cellStyle name="Normal 10 2 10" xfId="4105"/>
    <cellStyle name="Normal 10 2 11" xfId="4106"/>
    <cellStyle name="Normal 10 2 12" xfId="4107"/>
    <cellStyle name="Normal 10 2 13" xfId="4108"/>
    <cellStyle name="Normal 10 2 14" xfId="4109"/>
    <cellStyle name="Normal 10 2 15" xfId="4110"/>
    <cellStyle name="Normal 10 2 16" xfId="4111"/>
    <cellStyle name="Normal 10 2 17" xfId="4112"/>
    <cellStyle name="Normal 10 2 18" xfId="4113"/>
    <cellStyle name="Normal 10 2 19" xfId="4114"/>
    <cellStyle name="Normal 10 2 2" xfId="4115"/>
    <cellStyle name="Normal 10 2 20" xfId="4116"/>
    <cellStyle name="Normal 10 2 21" xfId="4117"/>
    <cellStyle name="Normal 10 2 22" xfId="4118"/>
    <cellStyle name="Normal 10 2 23" xfId="4119"/>
    <cellStyle name="Normal 10 2 24" xfId="4120"/>
    <cellStyle name="Normal 10 2 25" xfId="4121"/>
    <cellStyle name="Normal 10 2 26" xfId="4122"/>
    <cellStyle name="Normal 10 2 27" xfId="4123"/>
    <cellStyle name="Normal 10 2 28" xfId="4124"/>
    <cellStyle name="Normal 10 2 29" xfId="4125"/>
    <cellStyle name="Normal 10 2 3" xfId="4126"/>
    <cellStyle name="Normal 10 2 30" xfId="4127"/>
    <cellStyle name="Normal 10 2 31" xfId="4128"/>
    <cellStyle name="Normal 10 2 32" xfId="4129"/>
    <cellStyle name="Normal 10 2 33" xfId="4130"/>
    <cellStyle name="Normal 10 2 34" xfId="4131"/>
    <cellStyle name="Normal 10 2 35" xfId="4132"/>
    <cellStyle name="Normal 10 2 36" xfId="4133"/>
    <cellStyle name="Normal 10 2 37" xfId="4134"/>
    <cellStyle name="Normal 10 2 38" xfId="4135"/>
    <cellStyle name="Normal 10 2 39" xfId="4136"/>
    <cellStyle name="Normal 10 2 4" xfId="4137"/>
    <cellStyle name="Normal 10 2 40" xfId="4138"/>
    <cellStyle name="Normal 10 2 41" xfId="4139"/>
    <cellStyle name="Normal 10 2 42" xfId="4140"/>
    <cellStyle name="Normal 10 2 43" xfId="4141"/>
    <cellStyle name="Normal 10 2 44" xfId="4142"/>
    <cellStyle name="Normal 10 2 45" xfId="4143"/>
    <cellStyle name="Normal 10 2 46" xfId="4144"/>
    <cellStyle name="Normal 10 2 47" xfId="4145"/>
    <cellStyle name="Normal 10 2 48" xfId="4146"/>
    <cellStyle name="Normal 10 2 49" xfId="4147"/>
    <cellStyle name="Normal 10 2 5" xfId="4148"/>
    <cellStyle name="Normal 10 2 50" xfId="4149"/>
    <cellStyle name="Normal 10 2 51" xfId="4150"/>
    <cellStyle name="Normal 10 2 52" xfId="4151"/>
    <cellStyle name="Normal 10 2 53" xfId="4152"/>
    <cellStyle name="Normal 10 2 54" xfId="4153"/>
    <cellStyle name="Normal 10 2 55" xfId="4154"/>
    <cellStyle name="Normal 10 2 56" xfId="4155"/>
    <cellStyle name="Normal 10 2 57" xfId="4156"/>
    <cellStyle name="Normal 10 2 58" xfId="4157"/>
    <cellStyle name="Normal 10 2 59" xfId="4158"/>
    <cellStyle name="Normal 10 2 6" xfId="4159"/>
    <cellStyle name="Normal 10 2 60" xfId="4160"/>
    <cellStyle name="Normal 10 2 61" xfId="4161"/>
    <cellStyle name="Normal 10 2 62" xfId="4162"/>
    <cellStyle name="Normal 10 2 63" xfId="4163"/>
    <cellStyle name="Normal 10 2 64" xfId="4164"/>
    <cellStyle name="Normal 10 2 65" xfId="4165"/>
    <cellStyle name="Normal 10 2 66" xfId="4166"/>
    <cellStyle name="Normal 10 2 67" xfId="4167"/>
    <cellStyle name="Normal 10 2 68" xfId="4168"/>
    <cellStyle name="Normal 10 2 69" xfId="4169"/>
    <cellStyle name="Normal 10 2 7" xfId="4170"/>
    <cellStyle name="Normal 10 2 70" xfId="4171"/>
    <cellStyle name="Normal 10 2 71" xfId="4172"/>
    <cellStyle name="Normal 10 2 72" xfId="4173"/>
    <cellStyle name="Normal 10 2 73" xfId="4174"/>
    <cellStyle name="Normal 10 2 74" xfId="4175"/>
    <cellStyle name="Normal 10 2 75" xfId="4176"/>
    <cellStyle name="Normal 10 2 76" xfId="4177"/>
    <cellStyle name="Normal 10 2 77" xfId="4178"/>
    <cellStyle name="Normal 10 2 78" xfId="4179"/>
    <cellStyle name="Normal 10 2 79" xfId="4180"/>
    <cellStyle name="Normal 10 2 8" xfId="4181"/>
    <cellStyle name="Normal 10 2 80" xfId="4182"/>
    <cellStyle name="Normal 10 2 81" xfId="4183"/>
    <cellStyle name="Normal 10 2 82" xfId="4184"/>
    <cellStyle name="Normal 10 2 83" xfId="4185"/>
    <cellStyle name="Normal 10 2 9" xfId="4186"/>
    <cellStyle name="Normal 10 20" xfId="4187"/>
    <cellStyle name="Normal 10 21" xfId="4188"/>
    <cellStyle name="Normal 10 22" xfId="4189"/>
    <cellStyle name="Normal 10 23" xfId="4190"/>
    <cellStyle name="Normal 10 24" xfId="4191"/>
    <cellStyle name="Normal 10 25" xfId="4192"/>
    <cellStyle name="Normal 10 26" xfId="4193"/>
    <cellStyle name="Normal 10 27" xfId="4194"/>
    <cellStyle name="Normal 10 28" xfId="4195"/>
    <cellStyle name="Normal 10 29" xfId="4196"/>
    <cellStyle name="Normal 10 3" xfId="4197"/>
    <cellStyle name="Normal 10 3 10" xfId="4198"/>
    <cellStyle name="Normal 10 3 11" xfId="4199"/>
    <cellStyle name="Normal 10 3 12" xfId="4200"/>
    <cellStyle name="Normal 10 3 13" xfId="4201"/>
    <cellStyle name="Normal 10 3 14" xfId="4202"/>
    <cellStyle name="Normal 10 3 15" xfId="4203"/>
    <cellStyle name="Normal 10 3 16" xfId="4204"/>
    <cellStyle name="Normal 10 3 17" xfId="4205"/>
    <cellStyle name="Normal 10 3 18" xfId="4206"/>
    <cellStyle name="Normal 10 3 19" xfId="4207"/>
    <cellStyle name="Normal 10 3 2" xfId="4208"/>
    <cellStyle name="Normal 10 3 20" xfId="4209"/>
    <cellStyle name="Normal 10 3 21" xfId="4210"/>
    <cellStyle name="Normal 10 3 22" xfId="4211"/>
    <cellStyle name="Normal 10 3 23" xfId="4212"/>
    <cellStyle name="Normal 10 3 24" xfId="4213"/>
    <cellStyle name="Normal 10 3 25" xfId="4214"/>
    <cellStyle name="Normal 10 3 26" xfId="4215"/>
    <cellStyle name="Normal 10 3 27" xfId="4216"/>
    <cellStyle name="Normal 10 3 28" xfId="4217"/>
    <cellStyle name="Normal 10 3 29" xfId="4218"/>
    <cellStyle name="Normal 10 3 3" xfId="4219"/>
    <cellStyle name="Normal 10 3 30" xfId="4220"/>
    <cellStyle name="Normal 10 3 31" xfId="4221"/>
    <cellStyle name="Normal 10 3 32" xfId="4222"/>
    <cellStyle name="Normal 10 3 33" xfId="4223"/>
    <cellStyle name="Normal 10 3 34" xfId="4224"/>
    <cellStyle name="Normal 10 3 35" xfId="4225"/>
    <cellStyle name="Normal 10 3 36" xfId="4226"/>
    <cellStyle name="Normal 10 3 37" xfId="4227"/>
    <cellStyle name="Normal 10 3 38" xfId="4228"/>
    <cellStyle name="Normal 10 3 39" xfId="4229"/>
    <cellStyle name="Normal 10 3 4" xfId="4230"/>
    <cellStyle name="Normal 10 3 40" xfId="4231"/>
    <cellStyle name="Normal 10 3 41" xfId="4232"/>
    <cellStyle name="Normal 10 3 42" xfId="4233"/>
    <cellStyle name="Normal 10 3 43" xfId="4234"/>
    <cellStyle name="Normal 10 3 44" xfId="4235"/>
    <cellStyle name="Normal 10 3 45" xfId="4236"/>
    <cellStyle name="Normal 10 3 46" xfId="4237"/>
    <cellStyle name="Normal 10 3 47" xfId="4238"/>
    <cellStyle name="Normal 10 3 48" xfId="4239"/>
    <cellStyle name="Normal 10 3 49" xfId="4240"/>
    <cellStyle name="Normal 10 3 5" xfId="4241"/>
    <cellStyle name="Normal 10 3 50" xfId="4242"/>
    <cellStyle name="Normal 10 3 51" xfId="4243"/>
    <cellStyle name="Normal 10 3 52" xfId="4244"/>
    <cellStyle name="Normal 10 3 53" xfId="4245"/>
    <cellStyle name="Normal 10 3 54" xfId="4246"/>
    <cellStyle name="Normal 10 3 55" xfId="4247"/>
    <cellStyle name="Normal 10 3 56" xfId="4248"/>
    <cellStyle name="Normal 10 3 57" xfId="4249"/>
    <cellStyle name="Normal 10 3 58" xfId="4250"/>
    <cellStyle name="Normal 10 3 59" xfId="4251"/>
    <cellStyle name="Normal 10 3 6" xfId="4252"/>
    <cellStyle name="Normal 10 3 60" xfId="4253"/>
    <cellStyle name="Normal 10 3 61" xfId="4254"/>
    <cellStyle name="Normal 10 3 62" xfId="4255"/>
    <cellStyle name="Normal 10 3 63" xfId="4256"/>
    <cellStyle name="Normal 10 3 64" xfId="4257"/>
    <cellStyle name="Normal 10 3 65" xfId="4258"/>
    <cellStyle name="Normal 10 3 66" xfId="4259"/>
    <cellStyle name="Normal 10 3 67" xfId="4260"/>
    <cellStyle name="Normal 10 3 68" xfId="4261"/>
    <cellStyle name="Normal 10 3 69" xfId="4262"/>
    <cellStyle name="Normal 10 3 7" xfId="4263"/>
    <cellStyle name="Normal 10 3 70" xfId="4264"/>
    <cellStyle name="Normal 10 3 71" xfId="4265"/>
    <cellStyle name="Normal 10 3 72" xfId="4266"/>
    <cellStyle name="Normal 10 3 73" xfId="4267"/>
    <cellStyle name="Normal 10 3 74" xfId="4268"/>
    <cellStyle name="Normal 10 3 75" xfId="4269"/>
    <cellStyle name="Normal 10 3 76" xfId="4270"/>
    <cellStyle name="Normal 10 3 77" xfId="4271"/>
    <cellStyle name="Normal 10 3 78" xfId="4272"/>
    <cellStyle name="Normal 10 3 79" xfId="4273"/>
    <cellStyle name="Normal 10 3 8" xfId="4274"/>
    <cellStyle name="Normal 10 3 80" xfId="4275"/>
    <cellStyle name="Normal 10 3 81" xfId="4276"/>
    <cellStyle name="Normal 10 3 82" xfId="4277"/>
    <cellStyle name="Normal 10 3 83" xfId="4278"/>
    <cellStyle name="Normal 10 3 9" xfId="4279"/>
    <cellStyle name="Normal 10 30" xfId="4280"/>
    <cellStyle name="Normal 10 31" xfId="4281"/>
    <cellStyle name="Normal 10 32" xfId="4282"/>
    <cellStyle name="Normal 10 33" xfId="4283"/>
    <cellStyle name="Normal 10 34" xfId="4284"/>
    <cellStyle name="Normal 10 35" xfId="4285"/>
    <cellStyle name="Normal 10 36" xfId="4286"/>
    <cellStyle name="Normal 10 37" xfId="4287"/>
    <cellStyle name="Normal 10 38" xfId="4288"/>
    <cellStyle name="Normal 10 39" xfId="4289"/>
    <cellStyle name="Normal 10 4" xfId="4290"/>
    <cellStyle name="Normal 10 4 10" xfId="4291"/>
    <cellStyle name="Normal 10 4 11" xfId="4292"/>
    <cellStyle name="Normal 10 4 12" xfId="4293"/>
    <cellStyle name="Normal 10 4 13" xfId="4294"/>
    <cellStyle name="Normal 10 4 14" xfId="4295"/>
    <cellStyle name="Normal 10 4 15" xfId="4296"/>
    <cellStyle name="Normal 10 4 16" xfId="4297"/>
    <cellStyle name="Normal 10 4 17" xfId="4298"/>
    <cellStyle name="Normal 10 4 18" xfId="4299"/>
    <cellStyle name="Normal 10 4 19" xfId="4300"/>
    <cellStyle name="Normal 10 4 2" xfId="4301"/>
    <cellStyle name="Normal 10 4 20" xfId="4302"/>
    <cellStyle name="Normal 10 4 21" xfId="4303"/>
    <cellStyle name="Normal 10 4 22" xfId="4304"/>
    <cellStyle name="Normal 10 4 23" xfId="4305"/>
    <cellStyle name="Normal 10 4 24" xfId="4306"/>
    <cellStyle name="Normal 10 4 25" xfId="4307"/>
    <cellStyle name="Normal 10 4 26" xfId="4308"/>
    <cellStyle name="Normal 10 4 27" xfId="4309"/>
    <cellStyle name="Normal 10 4 28" xfId="4310"/>
    <cellStyle name="Normal 10 4 29" xfId="4311"/>
    <cellStyle name="Normal 10 4 3" xfId="4312"/>
    <cellStyle name="Normal 10 4 30" xfId="4313"/>
    <cellStyle name="Normal 10 4 31" xfId="4314"/>
    <cellStyle name="Normal 10 4 32" xfId="4315"/>
    <cellStyle name="Normal 10 4 33" xfId="4316"/>
    <cellStyle name="Normal 10 4 34" xfId="4317"/>
    <cellStyle name="Normal 10 4 35" xfId="4318"/>
    <cellStyle name="Normal 10 4 36" xfId="4319"/>
    <cellStyle name="Normal 10 4 37" xfId="4320"/>
    <cellStyle name="Normal 10 4 38" xfId="4321"/>
    <cellStyle name="Normal 10 4 39" xfId="4322"/>
    <cellStyle name="Normal 10 4 4" xfId="4323"/>
    <cellStyle name="Normal 10 4 40" xfId="4324"/>
    <cellStyle name="Normal 10 4 41" xfId="4325"/>
    <cellStyle name="Normal 10 4 42" xfId="4326"/>
    <cellStyle name="Normal 10 4 43" xfId="4327"/>
    <cellStyle name="Normal 10 4 44" xfId="4328"/>
    <cellStyle name="Normal 10 4 45" xfId="4329"/>
    <cellStyle name="Normal 10 4 46" xfId="4330"/>
    <cellStyle name="Normal 10 4 47" xfId="4331"/>
    <cellStyle name="Normal 10 4 48" xfId="4332"/>
    <cellStyle name="Normal 10 4 49" xfId="4333"/>
    <cellStyle name="Normal 10 4 5" xfId="4334"/>
    <cellStyle name="Normal 10 4 50" xfId="4335"/>
    <cellStyle name="Normal 10 4 51" xfId="4336"/>
    <cellStyle name="Normal 10 4 52" xfId="4337"/>
    <cellStyle name="Normal 10 4 53" xfId="4338"/>
    <cellStyle name="Normal 10 4 54" xfId="4339"/>
    <cellStyle name="Normal 10 4 55" xfId="4340"/>
    <cellStyle name="Normal 10 4 56" xfId="4341"/>
    <cellStyle name="Normal 10 4 57" xfId="4342"/>
    <cellStyle name="Normal 10 4 58" xfId="4343"/>
    <cellStyle name="Normal 10 4 59" xfId="4344"/>
    <cellStyle name="Normal 10 4 6" xfId="4345"/>
    <cellStyle name="Normal 10 4 60" xfId="4346"/>
    <cellStyle name="Normal 10 4 61" xfId="4347"/>
    <cellStyle name="Normal 10 4 62" xfId="4348"/>
    <cellStyle name="Normal 10 4 63" xfId="4349"/>
    <cellStyle name="Normal 10 4 64" xfId="4350"/>
    <cellStyle name="Normal 10 4 65" xfId="4351"/>
    <cellStyle name="Normal 10 4 66" xfId="4352"/>
    <cellStyle name="Normal 10 4 67" xfId="4353"/>
    <cellStyle name="Normal 10 4 68" xfId="4354"/>
    <cellStyle name="Normal 10 4 69" xfId="4355"/>
    <cellStyle name="Normal 10 4 7" xfId="4356"/>
    <cellStyle name="Normal 10 4 70" xfId="4357"/>
    <cellStyle name="Normal 10 4 71" xfId="4358"/>
    <cellStyle name="Normal 10 4 72" xfId="4359"/>
    <cellStyle name="Normal 10 4 73" xfId="4360"/>
    <cellStyle name="Normal 10 4 74" xfId="4361"/>
    <cellStyle name="Normal 10 4 75" xfId="4362"/>
    <cellStyle name="Normal 10 4 76" xfId="4363"/>
    <cellStyle name="Normal 10 4 77" xfId="4364"/>
    <cellStyle name="Normal 10 4 78" xfId="4365"/>
    <cellStyle name="Normal 10 4 79" xfId="4366"/>
    <cellStyle name="Normal 10 4 8" xfId="4367"/>
    <cellStyle name="Normal 10 4 80" xfId="4368"/>
    <cellStyle name="Normal 10 4 81" xfId="4369"/>
    <cellStyle name="Normal 10 4 82" xfId="4370"/>
    <cellStyle name="Normal 10 4 83" xfId="4371"/>
    <cellStyle name="Normal 10 4 9" xfId="4372"/>
    <cellStyle name="Normal 10 40" xfId="4373"/>
    <cellStyle name="Normal 10 41" xfId="4374"/>
    <cellStyle name="Normal 10 42" xfId="4375"/>
    <cellStyle name="Normal 10 43" xfId="4376"/>
    <cellStyle name="Normal 10 44" xfId="4377"/>
    <cellStyle name="Normal 10 45" xfId="4378"/>
    <cellStyle name="Normal 10 46" xfId="4379"/>
    <cellStyle name="Normal 10 47" xfId="4380"/>
    <cellStyle name="Normal 10 48" xfId="4381"/>
    <cellStyle name="Normal 10 49" xfId="4382"/>
    <cellStyle name="Normal 10 5" xfId="4383"/>
    <cellStyle name="Normal 10 50" xfId="4384"/>
    <cellStyle name="Normal 10 51" xfId="4385"/>
    <cellStyle name="Normal 10 52" xfId="4386"/>
    <cellStyle name="Normal 10 53" xfId="4387"/>
    <cellStyle name="Normal 10 54" xfId="4388"/>
    <cellStyle name="Normal 10 55" xfId="4389"/>
    <cellStyle name="Normal 10 56" xfId="4390"/>
    <cellStyle name="Normal 10 57" xfId="4391"/>
    <cellStyle name="Normal 10 58" xfId="4392"/>
    <cellStyle name="Normal 10 59" xfId="4393"/>
    <cellStyle name="Normal 10 6" xfId="4394"/>
    <cellStyle name="Normal 10 60" xfId="4395"/>
    <cellStyle name="Normal 10 61" xfId="4396"/>
    <cellStyle name="Normal 10 62" xfId="4397"/>
    <cellStyle name="Normal 10 63" xfId="4398"/>
    <cellStyle name="Normal 10 64" xfId="4399"/>
    <cellStyle name="Normal 10 65" xfId="4400"/>
    <cellStyle name="Normal 10 66" xfId="4401"/>
    <cellStyle name="Normal 10 67" xfId="4402"/>
    <cellStyle name="Normal 10 68" xfId="4403"/>
    <cellStyle name="Normal 10 69" xfId="4404"/>
    <cellStyle name="Normal 10 7" xfId="4405"/>
    <cellStyle name="Normal 10 70" xfId="4406"/>
    <cellStyle name="Normal 10 71" xfId="4407"/>
    <cellStyle name="Normal 10 72" xfId="4408"/>
    <cellStyle name="Normal 10 73" xfId="4409"/>
    <cellStyle name="Normal 10 74" xfId="4410"/>
    <cellStyle name="Normal 10 75" xfId="4411"/>
    <cellStyle name="Normal 10 76" xfId="4412"/>
    <cellStyle name="Normal 10 77" xfId="4413"/>
    <cellStyle name="Normal 10 78" xfId="4414"/>
    <cellStyle name="Normal 10 79" xfId="4415"/>
    <cellStyle name="Normal 10 8" xfId="4416"/>
    <cellStyle name="Normal 10 80" xfId="4417"/>
    <cellStyle name="Normal 10 81" xfId="4418"/>
    <cellStyle name="Normal 10 82" xfId="4419"/>
    <cellStyle name="Normal 10 83" xfId="4420"/>
    <cellStyle name="Normal 10 84" xfId="4421"/>
    <cellStyle name="Normal 10 85" xfId="4422"/>
    <cellStyle name="Normal 10 86" xfId="4423"/>
    <cellStyle name="Normal 10 9" xfId="4424"/>
    <cellStyle name="Normal 10_Cultura y Tiempo libre 2011 base 2012 PGM - EMV  2013" xfId="6"/>
    <cellStyle name="Normal 11" xfId="4425"/>
    <cellStyle name="Normal 11 10" xfId="4426"/>
    <cellStyle name="Normal 11 11" xfId="4427"/>
    <cellStyle name="Normal 11 12" xfId="4428"/>
    <cellStyle name="Normal 11 13" xfId="4429"/>
    <cellStyle name="Normal 11 14" xfId="4430"/>
    <cellStyle name="Normal 11 15" xfId="4431"/>
    <cellStyle name="Normal 11 16" xfId="4432"/>
    <cellStyle name="Normal 11 17" xfId="4433"/>
    <cellStyle name="Normal 11 18" xfId="4434"/>
    <cellStyle name="Normal 11 19" xfId="4435"/>
    <cellStyle name="Normal 11 2" xfId="4436"/>
    <cellStyle name="Normal 11 2 10" xfId="4437"/>
    <cellStyle name="Normal 11 2 11" xfId="4438"/>
    <cellStyle name="Normal 11 2 12" xfId="4439"/>
    <cellStyle name="Normal 11 2 13" xfId="4440"/>
    <cellStyle name="Normal 11 2 14" xfId="4441"/>
    <cellStyle name="Normal 11 2 15" xfId="4442"/>
    <cellStyle name="Normal 11 2 16" xfId="4443"/>
    <cellStyle name="Normal 11 2 17" xfId="4444"/>
    <cellStyle name="Normal 11 2 18" xfId="4445"/>
    <cellStyle name="Normal 11 2 19" xfId="4446"/>
    <cellStyle name="Normal 11 2 2" xfId="4447"/>
    <cellStyle name="Normal 11 2 20" xfId="4448"/>
    <cellStyle name="Normal 11 2 21" xfId="4449"/>
    <cellStyle name="Normal 11 2 22" xfId="4450"/>
    <cellStyle name="Normal 11 2 23" xfId="4451"/>
    <cellStyle name="Normal 11 2 24" xfId="4452"/>
    <cellStyle name="Normal 11 2 25" xfId="4453"/>
    <cellStyle name="Normal 11 2 26" xfId="4454"/>
    <cellStyle name="Normal 11 2 27" xfId="4455"/>
    <cellStyle name="Normal 11 2 28" xfId="4456"/>
    <cellStyle name="Normal 11 2 29" xfId="4457"/>
    <cellStyle name="Normal 11 2 3" xfId="4458"/>
    <cellStyle name="Normal 11 2 30" xfId="4459"/>
    <cellStyle name="Normal 11 2 31" xfId="4460"/>
    <cellStyle name="Normal 11 2 32" xfId="4461"/>
    <cellStyle name="Normal 11 2 33" xfId="4462"/>
    <cellStyle name="Normal 11 2 34" xfId="4463"/>
    <cellStyle name="Normal 11 2 35" xfId="4464"/>
    <cellStyle name="Normal 11 2 36" xfId="4465"/>
    <cellStyle name="Normal 11 2 37" xfId="4466"/>
    <cellStyle name="Normal 11 2 38" xfId="4467"/>
    <cellStyle name="Normal 11 2 39" xfId="4468"/>
    <cellStyle name="Normal 11 2 4" xfId="4469"/>
    <cellStyle name="Normal 11 2 40" xfId="4470"/>
    <cellStyle name="Normal 11 2 41" xfId="4471"/>
    <cellStyle name="Normal 11 2 42" xfId="4472"/>
    <cellStyle name="Normal 11 2 43" xfId="4473"/>
    <cellStyle name="Normal 11 2 44" xfId="4474"/>
    <cellStyle name="Normal 11 2 45" xfId="4475"/>
    <cellStyle name="Normal 11 2 46" xfId="4476"/>
    <cellStyle name="Normal 11 2 47" xfId="4477"/>
    <cellStyle name="Normal 11 2 48" xfId="4478"/>
    <cellStyle name="Normal 11 2 49" xfId="4479"/>
    <cellStyle name="Normal 11 2 5" xfId="4480"/>
    <cellStyle name="Normal 11 2 50" xfId="4481"/>
    <cellStyle name="Normal 11 2 51" xfId="4482"/>
    <cellStyle name="Normal 11 2 52" xfId="4483"/>
    <cellStyle name="Normal 11 2 53" xfId="4484"/>
    <cellStyle name="Normal 11 2 54" xfId="4485"/>
    <cellStyle name="Normal 11 2 55" xfId="4486"/>
    <cellStyle name="Normal 11 2 56" xfId="4487"/>
    <cellStyle name="Normal 11 2 57" xfId="4488"/>
    <cellStyle name="Normal 11 2 58" xfId="4489"/>
    <cellStyle name="Normal 11 2 59" xfId="4490"/>
    <cellStyle name="Normal 11 2 6" xfId="4491"/>
    <cellStyle name="Normal 11 2 60" xfId="4492"/>
    <cellStyle name="Normal 11 2 61" xfId="4493"/>
    <cellStyle name="Normal 11 2 62" xfId="4494"/>
    <cellStyle name="Normal 11 2 63" xfId="4495"/>
    <cellStyle name="Normal 11 2 64" xfId="4496"/>
    <cellStyle name="Normal 11 2 65" xfId="4497"/>
    <cellStyle name="Normal 11 2 66" xfId="4498"/>
    <cellStyle name="Normal 11 2 67" xfId="4499"/>
    <cellStyle name="Normal 11 2 68" xfId="4500"/>
    <cellStyle name="Normal 11 2 69" xfId="4501"/>
    <cellStyle name="Normal 11 2 7" xfId="4502"/>
    <cellStyle name="Normal 11 2 70" xfId="4503"/>
    <cellStyle name="Normal 11 2 71" xfId="4504"/>
    <cellStyle name="Normal 11 2 72" xfId="4505"/>
    <cellStyle name="Normal 11 2 73" xfId="4506"/>
    <cellStyle name="Normal 11 2 74" xfId="4507"/>
    <cellStyle name="Normal 11 2 75" xfId="4508"/>
    <cellStyle name="Normal 11 2 76" xfId="4509"/>
    <cellStyle name="Normal 11 2 77" xfId="4510"/>
    <cellStyle name="Normal 11 2 78" xfId="4511"/>
    <cellStyle name="Normal 11 2 79" xfId="4512"/>
    <cellStyle name="Normal 11 2 8" xfId="4513"/>
    <cellStyle name="Normal 11 2 80" xfId="4514"/>
    <cellStyle name="Normal 11 2 81" xfId="4515"/>
    <cellStyle name="Normal 11 2 82" xfId="4516"/>
    <cellStyle name="Normal 11 2 83" xfId="4517"/>
    <cellStyle name="Normal 11 2 9" xfId="4518"/>
    <cellStyle name="Normal 11 20" xfId="4519"/>
    <cellStyle name="Normal 11 21" xfId="4520"/>
    <cellStyle name="Normal 11 22" xfId="4521"/>
    <cellStyle name="Normal 11 23" xfId="4522"/>
    <cellStyle name="Normal 11 24" xfId="4523"/>
    <cellStyle name="Normal 11 25" xfId="4524"/>
    <cellStyle name="Normal 11 26" xfId="4525"/>
    <cellStyle name="Normal 11 27" xfId="4526"/>
    <cellStyle name="Normal 11 28" xfId="4527"/>
    <cellStyle name="Normal 11 29" xfId="4528"/>
    <cellStyle name="Normal 11 3" xfId="4529"/>
    <cellStyle name="Normal 11 3 10" xfId="4530"/>
    <cellStyle name="Normal 11 3 11" xfId="4531"/>
    <cellStyle name="Normal 11 3 12" xfId="4532"/>
    <cellStyle name="Normal 11 3 13" xfId="4533"/>
    <cellStyle name="Normal 11 3 14" xfId="4534"/>
    <cellStyle name="Normal 11 3 15" xfId="4535"/>
    <cellStyle name="Normal 11 3 16" xfId="4536"/>
    <cellStyle name="Normal 11 3 17" xfId="4537"/>
    <cellStyle name="Normal 11 3 18" xfId="4538"/>
    <cellStyle name="Normal 11 3 19" xfId="4539"/>
    <cellStyle name="Normal 11 3 2" xfId="4540"/>
    <cellStyle name="Normal 11 3 20" xfId="4541"/>
    <cellStyle name="Normal 11 3 21" xfId="4542"/>
    <cellStyle name="Normal 11 3 22" xfId="4543"/>
    <cellStyle name="Normal 11 3 23" xfId="4544"/>
    <cellStyle name="Normal 11 3 24" xfId="4545"/>
    <cellStyle name="Normal 11 3 25" xfId="4546"/>
    <cellStyle name="Normal 11 3 26" xfId="4547"/>
    <cellStyle name="Normal 11 3 27" xfId="4548"/>
    <cellStyle name="Normal 11 3 28" xfId="4549"/>
    <cellStyle name="Normal 11 3 29" xfId="4550"/>
    <cellStyle name="Normal 11 3 3" xfId="4551"/>
    <cellStyle name="Normal 11 3 30" xfId="4552"/>
    <cellStyle name="Normal 11 3 31" xfId="4553"/>
    <cellStyle name="Normal 11 3 32" xfId="4554"/>
    <cellStyle name="Normal 11 3 33" xfId="4555"/>
    <cellStyle name="Normal 11 3 34" xfId="4556"/>
    <cellStyle name="Normal 11 3 35" xfId="4557"/>
    <cellStyle name="Normal 11 3 36" xfId="4558"/>
    <cellStyle name="Normal 11 3 37" xfId="4559"/>
    <cellStyle name="Normal 11 3 38" xfId="4560"/>
    <cellStyle name="Normal 11 3 39" xfId="4561"/>
    <cellStyle name="Normal 11 3 4" xfId="4562"/>
    <cellStyle name="Normal 11 3 40" xfId="4563"/>
    <cellStyle name="Normal 11 3 41" xfId="4564"/>
    <cellStyle name="Normal 11 3 42" xfId="4565"/>
    <cellStyle name="Normal 11 3 43" xfId="4566"/>
    <cellStyle name="Normal 11 3 44" xfId="4567"/>
    <cellStyle name="Normal 11 3 45" xfId="4568"/>
    <cellStyle name="Normal 11 3 46" xfId="4569"/>
    <cellStyle name="Normal 11 3 47" xfId="4570"/>
    <cellStyle name="Normal 11 3 48" xfId="4571"/>
    <cellStyle name="Normal 11 3 49" xfId="4572"/>
    <cellStyle name="Normal 11 3 5" xfId="4573"/>
    <cellStyle name="Normal 11 3 50" xfId="4574"/>
    <cellStyle name="Normal 11 3 51" xfId="4575"/>
    <cellStyle name="Normal 11 3 52" xfId="4576"/>
    <cellStyle name="Normal 11 3 53" xfId="4577"/>
    <cellStyle name="Normal 11 3 54" xfId="4578"/>
    <cellStyle name="Normal 11 3 55" xfId="4579"/>
    <cellStyle name="Normal 11 3 56" xfId="4580"/>
    <cellStyle name="Normal 11 3 57" xfId="4581"/>
    <cellStyle name="Normal 11 3 58" xfId="4582"/>
    <cellStyle name="Normal 11 3 59" xfId="4583"/>
    <cellStyle name="Normal 11 3 6" xfId="4584"/>
    <cellStyle name="Normal 11 3 60" xfId="4585"/>
    <cellStyle name="Normal 11 3 61" xfId="4586"/>
    <cellStyle name="Normal 11 3 62" xfId="4587"/>
    <cellStyle name="Normal 11 3 63" xfId="4588"/>
    <cellStyle name="Normal 11 3 64" xfId="4589"/>
    <cellStyle name="Normal 11 3 65" xfId="4590"/>
    <cellStyle name="Normal 11 3 66" xfId="4591"/>
    <cellStyle name="Normal 11 3 67" xfId="4592"/>
    <cellStyle name="Normal 11 3 68" xfId="4593"/>
    <cellStyle name="Normal 11 3 69" xfId="4594"/>
    <cellStyle name="Normal 11 3 7" xfId="4595"/>
    <cellStyle name="Normal 11 3 70" xfId="4596"/>
    <cellStyle name="Normal 11 3 71" xfId="4597"/>
    <cellStyle name="Normal 11 3 72" xfId="4598"/>
    <cellStyle name="Normal 11 3 73" xfId="4599"/>
    <cellStyle name="Normal 11 3 74" xfId="4600"/>
    <cellStyle name="Normal 11 3 75" xfId="4601"/>
    <cellStyle name="Normal 11 3 76" xfId="4602"/>
    <cellStyle name="Normal 11 3 77" xfId="4603"/>
    <cellStyle name="Normal 11 3 78" xfId="4604"/>
    <cellStyle name="Normal 11 3 79" xfId="4605"/>
    <cellStyle name="Normal 11 3 8" xfId="4606"/>
    <cellStyle name="Normal 11 3 80" xfId="4607"/>
    <cellStyle name="Normal 11 3 81" xfId="4608"/>
    <cellStyle name="Normal 11 3 82" xfId="4609"/>
    <cellStyle name="Normal 11 3 83" xfId="4610"/>
    <cellStyle name="Normal 11 3 9" xfId="4611"/>
    <cellStyle name="Normal 11 30" xfId="4612"/>
    <cellStyle name="Normal 11 31" xfId="4613"/>
    <cellStyle name="Normal 11 32" xfId="4614"/>
    <cellStyle name="Normal 11 33" xfId="4615"/>
    <cellStyle name="Normal 11 34" xfId="4616"/>
    <cellStyle name="Normal 11 35" xfId="4617"/>
    <cellStyle name="Normal 11 36" xfId="4618"/>
    <cellStyle name="Normal 11 37" xfId="4619"/>
    <cellStyle name="Normal 11 38" xfId="4620"/>
    <cellStyle name="Normal 11 39" xfId="4621"/>
    <cellStyle name="Normal 11 4" xfId="4622"/>
    <cellStyle name="Normal 11 4 10" xfId="4623"/>
    <cellStyle name="Normal 11 4 11" xfId="4624"/>
    <cellStyle name="Normal 11 4 12" xfId="4625"/>
    <cellStyle name="Normal 11 4 13" xfId="4626"/>
    <cellStyle name="Normal 11 4 14" xfId="4627"/>
    <cellStyle name="Normal 11 4 15" xfId="4628"/>
    <cellStyle name="Normal 11 4 16" xfId="4629"/>
    <cellStyle name="Normal 11 4 17" xfId="4630"/>
    <cellStyle name="Normal 11 4 18" xfId="4631"/>
    <cellStyle name="Normal 11 4 19" xfId="4632"/>
    <cellStyle name="Normal 11 4 2" xfId="4633"/>
    <cellStyle name="Normal 11 4 20" xfId="4634"/>
    <cellStyle name="Normal 11 4 21" xfId="4635"/>
    <cellStyle name="Normal 11 4 22" xfId="4636"/>
    <cellStyle name="Normal 11 4 23" xfId="4637"/>
    <cellStyle name="Normal 11 4 24" xfId="4638"/>
    <cellStyle name="Normal 11 4 25" xfId="4639"/>
    <cellStyle name="Normal 11 4 26" xfId="4640"/>
    <cellStyle name="Normal 11 4 27" xfId="4641"/>
    <cellStyle name="Normal 11 4 28" xfId="4642"/>
    <cellStyle name="Normal 11 4 29" xfId="4643"/>
    <cellStyle name="Normal 11 4 3" xfId="4644"/>
    <cellStyle name="Normal 11 4 30" xfId="4645"/>
    <cellStyle name="Normal 11 4 31" xfId="4646"/>
    <cellStyle name="Normal 11 4 32" xfId="4647"/>
    <cellStyle name="Normal 11 4 33" xfId="4648"/>
    <cellStyle name="Normal 11 4 34" xfId="4649"/>
    <cellStyle name="Normal 11 4 35" xfId="4650"/>
    <cellStyle name="Normal 11 4 36" xfId="4651"/>
    <cellStyle name="Normal 11 4 37" xfId="4652"/>
    <cellStyle name="Normal 11 4 38" xfId="4653"/>
    <cellStyle name="Normal 11 4 39" xfId="4654"/>
    <cellStyle name="Normal 11 4 4" xfId="4655"/>
    <cellStyle name="Normal 11 4 40" xfId="4656"/>
    <cellStyle name="Normal 11 4 41" xfId="4657"/>
    <cellStyle name="Normal 11 4 42" xfId="4658"/>
    <cellStyle name="Normal 11 4 43" xfId="4659"/>
    <cellStyle name="Normal 11 4 44" xfId="4660"/>
    <cellStyle name="Normal 11 4 45" xfId="4661"/>
    <cellStyle name="Normal 11 4 46" xfId="4662"/>
    <cellStyle name="Normal 11 4 47" xfId="4663"/>
    <cellStyle name="Normal 11 4 48" xfId="4664"/>
    <cellStyle name="Normal 11 4 49" xfId="4665"/>
    <cellStyle name="Normal 11 4 5" xfId="4666"/>
    <cellStyle name="Normal 11 4 50" xfId="4667"/>
    <cellStyle name="Normal 11 4 51" xfId="4668"/>
    <cellStyle name="Normal 11 4 52" xfId="4669"/>
    <cellStyle name="Normal 11 4 53" xfId="4670"/>
    <cellStyle name="Normal 11 4 54" xfId="4671"/>
    <cellStyle name="Normal 11 4 55" xfId="4672"/>
    <cellStyle name="Normal 11 4 56" xfId="4673"/>
    <cellStyle name="Normal 11 4 57" xfId="4674"/>
    <cellStyle name="Normal 11 4 58" xfId="4675"/>
    <cellStyle name="Normal 11 4 59" xfId="4676"/>
    <cellStyle name="Normal 11 4 6" xfId="4677"/>
    <cellStyle name="Normal 11 4 60" xfId="4678"/>
    <cellStyle name="Normal 11 4 61" xfId="4679"/>
    <cellStyle name="Normal 11 4 62" xfId="4680"/>
    <cellStyle name="Normal 11 4 63" xfId="4681"/>
    <cellStyle name="Normal 11 4 64" xfId="4682"/>
    <cellStyle name="Normal 11 4 65" xfId="4683"/>
    <cellStyle name="Normal 11 4 66" xfId="4684"/>
    <cellStyle name="Normal 11 4 67" xfId="4685"/>
    <cellStyle name="Normal 11 4 68" xfId="4686"/>
    <cellStyle name="Normal 11 4 69" xfId="4687"/>
    <cellStyle name="Normal 11 4 7" xfId="4688"/>
    <cellStyle name="Normal 11 4 70" xfId="4689"/>
    <cellStyle name="Normal 11 4 71" xfId="4690"/>
    <cellStyle name="Normal 11 4 72" xfId="4691"/>
    <cellStyle name="Normal 11 4 73" xfId="4692"/>
    <cellStyle name="Normal 11 4 74" xfId="4693"/>
    <cellStyle name="Normal 11 4 75" xfId="4694"/>
    <cellStyle name="Normal 11 4 76" xfId="4695"/>
    <cellStyle name="Normal 11 4 77" xfId="4696"/>
    <cellStyle name="Normal 11 4 78" xfId="4697"/>
    <cellStyle name="Normal 11 4 79" xfId="4698"/>
    <cellStyle name="Normal 11 4 8" xfId="4699"/>
    <cellStyle name="Normal 11 4 80" xfId="4700"/>
    <cellStyle name="Normal 11 4 81" xfId="4701"/>
    <cellStyle name="Normal 11 4 82" xfId="4702"/>
    <cellStyle name="Normal 11 4 83" xfId="4703"/>
    <cellStyle name="Normal 11 4 9" xfId="4704"/>
    <cellStyle name="Normal 11 40" xfId="4705"/>
    <cellStyle name="Normal 11 41" xfId="4706"/>
    <cellStyle name="Normal 11 42" xfId="4707"/>
    <cellStyle name="Normal 11 43" xfId="4708"/>
    <cellStyle name="Normal 11 44" xfId="4709"/>
    <cellStyle name="Normal 11 45" xfId="4710"/>
    <cellStyle name="Normal 11 46" xfId="4711"/>
    <cellStyle name="Normal 11 47" xfId="4712"/>
    <cellStyle name="Normal 11 48" xfId="4713"/>
    <cellStyle name="Normal 11 49" xfId="4714"/>
    <cellStyle name="Normal 11 5" xfId="4715"/>
    <cellStyle name="Normal 11 50" xfId="4716"/>
    <cellStyle name="Normal 11 51" xfId="4717"/>
    <cellStyle name="Normal 11 52" xfId="4718"/>
    <cellStyle name="Normal 11 53" xfId="4719"/>
    <cellStyle name="Normal 11 54" xfId="4720"/>
    <cellStyle name="Normal 11 55" xfId="4721"/>
    <cellStyle name="Normal 11 56" xfId="4722"/>
    <cellStyle name="Normal 11 57" xfId="4723"/>
    <cellStyle name="Normal 11 58" xfId="4724"/>
    <cellStyle name="Normal 11 59" xfId="4725"/>
    <cellStyle name="Normal 11 6" xfId="4726"/>
    <cellStyle name="Normal 11 60" xfId="4727"/>
    <cellStyle name="Normal 11 61" xfId="4728"/>
    <cellStyle name="Normal 11 62" xfId="4729"/>
    <cellStyle name="Normal 11 63" xfId="4730"/>
    <cellStyle name="Normal 11 64" xfId="4731"/>
    <cellStyle name="Normal 11 65" xfId="4732"/>
    <cellStyle name="Normal 11 66" xfId="4733"/>
    <cellStyle name="Normal 11 67" xfId="4734"/>
    <cellStyle name="Normal 11 68" xfId="4735"/>
    <cellStyle name="Normal 11 69" xfId="4736"/>
    <cellStyle name="Normal 11 7" xfId="4737"/>
    <cellStyle name="Normal 11 70" xfId="4738"/>
    <cellStyle name="Normal 11 71" xfId="4739"/>
    <cellStyle name="Normal 11 72" xfId="4740"/>
    <cellStyle name="Normal 11 73" xfId="4741"/>
    <cellStyle name="Normal 11 74" xfId="4742"/>
    <cellStyle name="Normal 11 75" xfId="4743"/>
    <cellStyle name="Normal 11 76" xfId="4744"/>
    <cellStyle name="Normal 11 77" xfId="4745"/>
    <cellStyle name="Normal 11 78" xfId="4746"/>
    <cellStyle name="Normal 11 79" xfId="4747"/>
    <cellStyle name="Normal 11 8" xfId="4748"/>
    <cellStyle name="Normal 11 80" xfId="4749"/>
    <cellStyle name="Normal 11 81" xfId="4750"/>
    <cellStyle name="Normal 11 82" xfId="4751"/>
    <cellStyle name="Normal 11 83" xfId="4752"/>
    <cellStyle name="Normal 11 84" xfId="4753"/>
    <cellStyle name="Normal 11 85" xfId="4754"/>
    <cellStyle name="Normal 11 86" xfId="4755"/>
    <cellStyle name="Normal 11 9" xfId="4756"/>
    <cellStyle name="Normal 11_Cultura y Tiempo libre 2011 base 2012 PGM - EMV  2013" xfId="4757"/>
    <cellStyle name="Normal 12" xfId="4758"/>
    <cellStyle name="Normal 12 10" xfId="4759"/>
    <cellStyle name="Normal 12 11" xfId="4760"/>
    <cellStyle name="Normal 12 12" xfId="4761"/>
    <cellStyle name="Normal 12 13" xfId="4762"/>
    <cellStyle name="Normal 12 14" xfId="4763"/>
    <cellStyle name="Normal 12 15" xfId="4764"/>
    <cellStyle name="Normal 12 16" xfId="4765"/>
    <cellStyle name="Normal 12 17" xfId="4766"/>
    <cellStyle name="Normal 12 18" xfId="4767"/>
    <cellStyle name="Normal 12 19" xfId="4768"/>
    <cellStyle name="Normal 12 2" xfId="4769"/>
    <cellStyle name="Normal 12 2 10" xfId="4770"/>
    <cellStyle name="Normal 12 2 11" xfId="4771"/>
    <cellStyle name="Normal 12 2 12" xfId="4772"/>
    <cellStyle name="Normal 12 2 13" xfId="4773"/>
    <cellStyle name="Normal 12 2 14" xfId="4774"/>
    <cellStyle name="Normal 12 2 15" xfId="4775"/>
    <cellStyle name="Normal 12 2 16" xfId="4776"/>
    <cellStyle name="Normal 12 2 17" xfId="4777"/>
    <cellStyle name="Normal 12 2 18" xfId="4778"/>
    <cellStyle name="Normal 12 2 19" xfId="4779"/>
    <cellStyle name="Normal 12 2 2" xfId="4780"/>
    <cellStyle name="Normal 12 2 20" xfId="4781"/>
    <cellStyle name="Normal 12 2 21" xfId="4782"/>
    <cellStyle name="Normal 12 2 22" xfId="4783"/>
    <cellStyle name="Normal 12 2 23" xfId="4784"/>
    <cellStyle name="Normal 12 2 24" xfId="4785"/>
    <cellStyle name="Normal 12 2 25" xfId="4786"/>
    <cellStyle name="Normal 12 2 26" xfId="4787"/>
    <cellStyle name="Normal 12 2 27" xfId="4788"/>
    <cellStyle name="Normal 12 2 28" xfId="4789"/>
    <cellStyle name="Normal 12 2 29" xfId="4790"/>
    <cellStyle name="Normal 12 2 3" xfId="4791"/>
    <cellStyle name="Normal 12 2 30" xfId="4792"/>
    <cellStyle name="Normal 12 2 31" xfId="4793"/>
    <cellStyle name="Normal 12 2 32" xfId="4794"/>
    <cellStyle name="Normal 12 2 33" xfId="4795"/>
    <cellStyle name="Normal 12 2 34" xfId="4796"/>
    <cellStyle name="Normal 12 2 35" xfId="4797"/>
    <cellStyle name="Normal 12 2 36" xfId="4798"/>
    <cellStyle name="Normal 12 2 37" xfId="4799"/>
    <cellStyle name="Normal 12 2 38" xfId="4800"/>
    <cellStyle name="Normal 12 2 39" xfId="4801"/>
    <cellStyle name="Normal 12 2 4" xfId="4802"/>
    <cellStyle name="Normal 12 2 40" xfId="4803"/>
    <cellStyle name="Normal 12 2 41" xfId="4804"/>
    <cellStyle name="Normal 12 2 42" xfId="4805"/>
    <cellStyle name="Normal 12 2 43" xfId="4806"/>
    <cellStyle name="Normal 12 2 44" xfId="4807"/>
    <cellStyle name="Normal 12 2 45" xfId="4808"/>
    <cellStyle name="Normal 12 2 46" xfId="4809"/>
    <cellStyle name="Normal 12 2 47" xfId="4810"/>
    <cellStyle name="Normal 12 2 48" xfId="4811"/>
    <cellStyle name="Normal 12 2 49" xfId="4812"/>
    <cellStyle name="Normal 12 2 5" xfId="4813"/>
    <cellStyle name="Normal 12 2 50" xfId="4814"/>
    <cellStyle name="Normal 12 2 51" xfId="4815"/>
    <cellStyle name="Normal 12 2 52" xfId="4816"/>
    <cellStyle name="Normal 12 2 53" xfId="4817"/>
    <cellStyle name="Normal 12 2 54" xfId="4818"/>
    <cellStyle name="Normal 12 2 55" xfId="4819"/>
    <cellStyle name="Normal 12 2 56" xfId="4820"/>
    <cellStyle name="Normal 12 2 57" xfId="4821"/>
    <cellStyle name="Normal 12 2 58" xfId="4822"/>
    <cellStyle name="Normal 12 2 59" xfId="4823"/>
    <cellStyle name="Normal 12 2 6" xfId="4824"/>
    <cellStyle name="Normal 12 2 60" xfId="4825"/>
    <cellStyle name="Normal 12 2 61" xfId="4826"/>
    <cellStyle name="Normal 12 2 62" xfId="4827"/>
    <cellStyle name="Normal 12 2 63" xfId="4828"/>
    <cellStyle name="Normal 12 2 64" xfId="4829"/>
    <cellStyle name="Normal 12 2 65" xfId="4830"/>
    <cellStyle name="Normal 12 2 66" xfId="4831"/>
    <cellStyle name="Normal 12 2 67" xfId="4832"/>
    <cellStyle name="Normal 12 2 68" xfId="4833"/>
    <cellStyle name="Normal 12 2 69" xfId="4834"/>
    <cellStyle name="Normal 12 2 7" xfId="4835"/>
    <cellStyle name="Normal 12 2 70" xfId="4836"/>
    <cellStyle name="Normal 12 2 71" xfId="4837"/>
    <cellStyle name="Normal 12 2 72" xfId="4838"/>
    <cellStyle name="Normal 12 2 73" xfId="4839"/>
    <cellStyle name="Normal 12 2 74" xfId="4840"/>
    <cellStyle name="Normal 12 2 75" xfId="4841"/>
    <cellStyle name="Normal 12 2 76" xfId="4842"/>
    <cellStyle name="Normal 12 2 77" xfId="4843"/>
    <cellStyle name="Normal 12 2 78" xfId="4844"/>
    <cellStyle name="Normal 12 2 79" xfId="4845"/>
    <cellStyle name="Normal 12 2 8" xfId="4846"/>
    <cellStyle name="Normal 12 2 80" xfId="4847"/>
    <cellStyle name="Normal 12 2 81" xfId="4848"/>
    <cellStyle name="Normal 12 2 82" xfId="4849"/>
    <cellStyle name="Normal 12 2 83" xfId="4850"/>
    <cellStyle name="Normal 12 2 9" xfId="4851"/>
    <cellStyle name="Normal 12 20" xfId="4852"/>
    <cellStyle name="Normal 12 21" xfId="4853"/>
    <cellStyle name="Normal 12 22" xfId="4854"/>
    <cellStyle name="Normal 12 23" xfId="4855"/>
    <cellStyle name="Normal 12 24" xfId="4856"/>
    <cellStyle name="Normal 12 25" xfId="4857"/>
    <cellStyle name="Normal 12 26" xfId="4858"/>
    <cellStyle name="Normal 12 27" xfId="4859"/>
    <cellStyle name="Normal 12 28" xfId="4860"/>
    <cellStyle name="Normal 12 29" xfId="4861"/>
    <cellStyle name="Normal 12 3" xfId="4862"/>
    <cellStyle name="Normal 12 30" xfId="4863"/>
    <cellStyle name="Normal 12 31" xfId="4864"/>
    <cellStyle name="Normal 12 32" xfId="4865"/>
    <cellStyle name="Normal 12 33" xfId="4866"/>
    <cellStyle name="Normal 12 34" xfId="4867"/>
    <cellStyle name="Normal 12 35" xfId="4868"/>
    <cellStyle name="Normal 12 36" xfId="4869"/>
    <cellStyle name="Normal 12 37" xfId="4870"/>
    <cellStyle name="Normal 12 38" xfId="4871"/>
    <cellStyle name="Normal 12 39" xfId="4872"/>
    <cellStyle name="Normal 12 4" xfId="4873"/>
    <cellStyle name="Normal 12 40" xfId="4874"/>
    <cellStyle name="Normal 12 41" xfId="4875"/>
    <cellStyle name="Normal 12 42" xfId="4876"/>
    <cellStyle name="Normal 12 43" xfId="4877"/>
    <cellStyle name="Normal 12 44" xfId="4878"/>
    <cellStyle name="Normal 12 45" xfId="4879"/>
    <cellStyle name="Normal 12 46" xfId="4880"/>
    <cellStyle name="Normal 12 47" xfId="4881"/>
    <cellStyle name="Normal 12 48" xfId="4882"/>
    <cellStyle name="Normal 12 49" xfId="4883"/>
    <cellStyle name="Normal 12 5" xfId="4884"/>
    <cellStyle name="Normal 12 50" xfId="4885"/>
    <cellStyle name="Normal 12 51" xfId="4886"/>
    <cellStyle name="Normal 12 52" xfId="4887"/>
    <cellStyle name="Normal 12 53" xfId="4888"/>
    <cellStyle name="Normal 12 54" xfId="4889"/>
    <cellStyle name="Normal 12 55" xfId="4890"/>
    <cellStyle name="Normal 12 56" xfId="4891"/>
    <cellStyle name="Normal 12 57" xfId="4892"/>
    <cellStyle name="Normal 12 58" xfId="4893"/>
    <cellStyle name="Normal 12 59" xfId="4894"/>
    <cellStyle name="Normal 12 6" xfId="4895"/>
    <cellStyle name="Normal 12 60" xfId="4896"/>
    <cellStyle name="Normal 12 61" xfId="4897"/>
    <cellStyle name="Normal 12 62" xfId="4898"/>
    <cellStyle name="Normal 12 63" xfId="4899"/>
    <cellStyle name="Normal 12 64" xfId="4900"/>
    <cellStyle name="Normal 12 65" xfId="4901"/>
    <cellStyle name="Normal 12 66" xfId="4902"/>
    <cellStyle name="Normal 12 67" xfId="4903"/>
    <cellStyle name="Normal 12 68" xfId="4904"/>
    <cellStyle name="Normal 12 69" xfId="4905"/>
    <cellStyle name="Normal 12 7" xfId="4906"/>
    <cellStyle name="Normal 12 70" xfId="4907"/>
    <cellStyle name="Normal 12 71" xfId="4908"/>
    <cellStyle name="Normal 12 72" xfId="4909"/>
    <cellStyle name="Normal 12 73" xfId="4910"/>
    <cellStyle name="Normal 12 74" xfId="4911"/>
    <cellStyle name="Normal 12 75" xfId="4912"/>
    <cellStyle name="Normal 12 76" xfId="4913"/>
    <cellStyle name="Normal 12 77" xfId="4914"/>
    <cellStyle name="Normal 12 78" xfId="4915"/>
    <cellStyle name="Normal 12 79" xfId="4916"/>
    <cellStyle name="Normal 12 8" xfId="4917"/>
    <cellStyle name="Normal 12 80" xfId="4918"/>
    <cellStyle name="Normal 12 81" xfId="4919"/>
    <cellStyle name="Normal 12 82" xfId="4920"/>
    <cellStyle name="Normal 12 83" xfId="4921"/>
    <cellStyle name="Normal 12 84" xfId="4922"/>
    <cellStyle name="Normal 12 9" xfId="4923"/>
    <cellStyle name="Normal 12_Cultura y Tiempo libre 2011 base 2012 PGM - EMV  2013" xfId="4924"/>
    <cellStyle name="Normal 13" xfId="4925"/>
    <cellStyle name="Normal 13 10" xfId="4926"/>
    <cellStyle name="Normal 13 11" xfId="4927"/>
    <cellStyle name="Normal 13 12" xfId="4928"/>
    <cellStyle name="Normal 13 13" xfId="4929"/>
    <cellStyle name="Normal 13 14" xfId="4930"/>
    <cellStyle name="Normal 13 15" xfId="4931"/>
    <cellStyle name="Normal 13 16" xfId="4932"/>
    <cellStyle name="Normal 13 17" xfId="4933"/>
    <cellStyle name="Normal 13 18" xfId="4934"/>
    <cellStyle name="Normal 13 19" xfId="4935"/>
    <cellStyle name="Normal 13 2" xfId="4936"/>
    <cellStyle name="Normal 13 20" xfId="4937"/>
    <cellStyle name="Normal 13 21" xfId="4938"/>
    <cellStyle name="Normal 13 22" xfId="4939"/>
    <cellStyle name="Normal 13 23" xfId="4940"/>
    <cellStyle name="Normal 13 24" xfId="4941"/>
    <cellStyle name="Normal 13 25" xfId="4942"/>
    <cellStyle name="Normal 13 26" xfId="4943"/>
    <cellStyle name="Normal 13 27" xfId="4944"/>
    <cellStyle name="Normal 13 28" xfId="4945"/>
    <cellStyle name="Normal 13 29" xfId="4946"/>
    <cellStyle name="Normal 13 3" xfId="4947"/>
    <cellStyle name="Normal 13 30" xfId="4948"/>
    <cellStyle name="Normal 13 31" xfId="4949"/>
    <cellStyle name="Normal 13 32" xfId="4950"/>
    <cellStyle name="Normal 13 33" xfId="4951"/>
    <cellStyle name="Normal 13 34" xfId="4952"/>
    <cellStyle name="Normal 13 35" xfId="4953"/>
    <cellStyle name="Normal 13 36" xfId="4954"/>
    <cellStyle name="Normal 13 37" xfId="4955"/>
    <cellStyle name="Normal 13 38" xfId="4956"/>
    <cellStyle name="Normal 13 39" xfId="4957"/>
    <cellStyle name="Normal 13 4" xfId="4958"/>
    <cellStyle name="Normal 13 40" xfId="4959"/>
    <cellStyle name="Normal 13 41" xfId="4960"/>
    <cellStyle name="Normal 13 42" xfId="4961"/>
    <cellStyle name="Normal 13 43" xfId="4962"/>
    <cellStyle name="Normal 13 44" xfId="4963"/>
    <cellStyle name="Normal 13 45" xfId="4964"/>
    <cellStyle name="Normal 13 46" xfId="4965"/>
    <cellStyle name="Normal 13 47" xfId="4966"/>
    <cellStyle name="Normal 13 48" xfId="4967"/>
    <cellStyle name="Normal 13 49" xfId="4968"/>
    <cellStyle name="Normal 13 5" xfId="4969"/>
    <cellStyle name="Normal 13 50" xfId="4970"/>
    <cellStyle name="Normal 13 51" xfId="4971"/>
    <cellStyle name="Normal 13 52" xfId="4972"/>
    <cellStyle name="Normal 13 53" xfId="4973"/>
    <cellStyle name="Normal 13 54" xfId="4974"/>
    <cellStyle name="Normal 13 55" xfId="4975"/>
    <cellStyle name="Normal 13 56" xfId="4976"/>
    <cellStyle name="Normal 13 57" xfId="4977"/>
    <cellStyle name="Normal 13 58" xfId="4978"/>
    <cellStyle name="Normal 13 59" xfId="4979"/>
    <cellStyle name="Normal 13 6" xfId="4980"/>
    <cellStyle name="Normal 13 60" xfId="4981"/>
    <cellStyle name="Normal 13 61" xfId="4982"/>
    <cellStyle name="Normal 13 62" xfId="4983"/>
    <cellStyle name="Normal 13 63" xfId="4984"/>
    <cellStyle name="Normal 13 64" xfId="4985"/>
    <cellStyle name="Normal 13 65" xfId="4986"/>
    <cellStyle name="Normal 13 66" xfId="4987"/>
    <cellStyle name="Normal 13 67" xfId="4988"/>
    <cellStyle name="Normal 13 68" xfId="4989"/>
    <cellStyle name="Normal 13 69" xfId="4990"/>
    <cellStyle name="Normal 13 7" xfId="4991"/>
    <cellStyle name="Normal 13 70" xfId="4992"/>
    <cellStyle name="Normal 13 71" xfId="4993"/>
    <cellStyle name="Normal 13 72" xfId="4994"/>
    <cellStyle name="Normal 13 73" xfId="4995"/>
    <cellStyle name="Normal 13 74" xfId="4996"/>
    <cellStyle name="Normal 13 75" xfId="4997"/>
    <cellStyle name="Normal 13 76" xfId="4998"/>
    <cellStyle name="Normal 13 77" xfId="4999"/>
    <cellStyle name="Normal 13 78" xfId="5000"/>
    <cellStyle name="Normal 13 79" xfId="5001"/>
    <cellStyle name="Normal 13 8" xfId="5002"/>
    <cellStyle name="Normal 13 80" xfId="5003"/>
    <cellStyle name="Normal 13 81" xfId="5004"/>
    <cellStyle name="Normal 13 82" xfId="5005"/>
    <cellStyle name="Normal 13 83" xfId="5006"/>
    <cellStyle name="Normal 13 9" xfId="5007"/>
    <cellStyle name="Normal 14" xfId="4"/>
    <cellStyle name="Normal 14 10" xfId="5008"/>
    <cellStyle name="Normal 14 10 10" xfId="5009"/>
    <cellStyle name="Normal 14 10 11" xfId="5010"/>
    <cellStyle name="Normal 14 10 12" xfId="5011"/>
    <cellStyle name="Normal 14 10 13" xfId="5012"/>
    <cellStyle name="Normal 14 10 2" xfId="5013"/>
    <cellStyle name="Normal 14 10 3" xfId="5014"/>
    <cellStyle name="Normal 14 10 4" xfId="5015"/>
    <cellStyle name="Normal 14 10 5" xfId="5016"/>
    <cellStyle name="Normal 14 10 6" xfId="5017"/>
    <cellStyle name="Normal 14 10 7" xfId="5018"/>
    <cellStyle name="Normal 14 10 8" xfId="5019"/>
    <cellStyle name="Normal 14 10 9" xfId="5020"/>
    <cellStyle name="Normal 14 11" xfId="5021"/>
    <cellStyle name="Normal 14 11 10" xfId="5022"/>
    <cellStyle name="Normal 14 11 11" xfId="5023"/>
    <cellStyle name="Normal 14 11 12" xfId="5024"/>
    <cellStyle name="Normal 14 11 13" xfId="5025"/>
    <cellStyle name="Normal 14 11 2" xfId="5026"/>
    <cellStyle name="Normal 14 11 3" xfId="5027"/>
    <cellStyle name="Normal 14 11 4" xfId="5028"/>
    <cellStyle name="Normal 14 11 5" xfId="5029"/>
    <cellStyle name="Normal 14 11 6" xfId="5030"/>
    <cellStyle name="Normal 14 11 7" xfId="5031"/>
    <cellStyle name="Normal 14 11 8" xfId="5032"/>
    <cellStyle name="Normal 14 11 9" xfId="5033"/>
    <cellStyle name="Normal 14 12" xfId="5034"/>
    <cellStyle name="Normal 14 12 10" xfId="5035"/>
    <cellStyle name="Normal 14 12 11" xfId="5036"/>
    <cellStyle name="Normal 14 12 12" xfId="5037"/>
    <cellStyle name="Normal 14 12 13" xfId="5038"/>
    <cellStyle name="Normal 14 12 2" xfId="5039"/>
    <cellStyle name="Normal 14 12 3" xfId="5040"/>
    <cellStyle name="Normal 14 12 4" xfId="5041"/>
    <cellStyle name="Normal 14 12 5" xfId="5042"/>
    <cellStyle name="Normal 14 12 6" xfId="5043"/>
    <cellStyle name="Normal 14 12 7" xfId="5044"/>
    <cellStyle name="Normal 14 12 8" xfId="5045"/>
    <cellStyle name="Normal 14 12 9" xfId="5046"/>
    <cellStyle name="Normal 14 13" xfId="5047"/>
    <cellStyle name="Normal 14 13 10" xfId="5048"/>
    <cellStyle name="Normal 14 13 11" xfId="5049"/>
    <cellStyle name="Normal 14 13 12" xfId="5050"/>
    <cellStyle name="Normal 14 13 13" xfId="5051"/>
    <cellStyle name="Normal 14 13 2" xfId="5052"/>
    <cellStyle name="Normal 14 13 3" xfId="5053"/>
    <cellStyle name="Normal 14 13 4" xfId="5054"/>
    <cellStyle name="Normal 14 13 5" xfId="5055"/>
    <cellStyle name="Normal 14 13 6" xfId="5056"/>
    <cellStyle name="Normal 14 13 7" xfId="5057"/>
    <cellStyle name="Normal 14 13 8" xfId="5058"/>
    <cellStyle name="Normal 14 13 9" xfId="5059"/>
    <cellStyle name="Normal 14 14" xfId="5060"/>
    <cellStyle name="Normal 14 14 10" xfId="5061"/>
    <cellStyle name="Normal 14 14 11" xfId="5062"/>
    <cellStyle name="Normal 14 14 12" xfId="5063"/>
    <cellStyle name="Normal 14 14 13" xfId="5064"/>
    <cellStyle name="Normal 14 14 2" xfId="5065"/>
    <cellStyle name="Normal 14 14 3" xfId="5066"/>
    <cellStyle name="Normal 14 14 4" xfId="5067"/>
    <cellStyle name="Normal 14 14 5" xfId="5068"/>
    <cellStyle name="Normal 14 14 6" xfId="5069"/>
    <cellStyle name="Normal 14 14 7" xfId="5070"/>
    <cellStyle name="Normal 14 14 8" xfId="5071"/>
    <cellStyle name="Normal 14 14 9" xfId="5072"/>
    <cellStyle name="Normal 14 15" xfId="5073"/>
    <cellStyle name="Normal 14 15 10" xfId="5074"/>
    <cellStyle name="Normal 14 15 11" xfId="5075"/>
    <cellStyle name="Normal 14 15 12" xfId="5076"/>
    <cellStyle name="Normal 14 15 13" xfId="5077"/>
    <cellStyle name="Normal 14 15 2" xfId="5078"/>
    <cellStyle name="Normal 14 15 3" xfId="5079"/>
    <cellStyle name="Normal 14 15 4" xfId="5080"/>
    <cellStyle name="Normal 14 15 5" xfId="5081"/>
    <cellStyle name="Normal 14 15 6" xfId="5082"/>
    <cellStyle name="Normal 14 15 7" xfId="5083"/>
    <cellStyle name="Normal 14 15 8" xfId="5084"/>
    <cellStyle name="Normal 14 15 9" xfId="5085"/>
    <cellStyle name="Normal 14 16" xfId="5086"/>
    <cellStyle name="Normal 14 16 10" xfId="5087"/>
    <cellStyle name="Normal 14 16 11" xfId="5088"/>
    <cellStyle name="Normal 14 16 12" xfId="5089"/>
    <cellStyle name="Normal 14 16 13" xfId="5090"/>
    <cellStyle name="Normal 14 16 2" xfId="5091"/>
    <cellStyle name="Normal 14 16 3" xfId="5092"/>
    <cellStyle name="Normal 14 16 4" xfId="5093"/>
    <cellStyle name="Normal 14 16 5" xfId="5094"/>
    <cellStyle name="Normal 14 16 6" xfId="5095"/>
    <cellStyle name="Normal 14 16 7" xfId="5096"/>
    <cellStyle name="Normal 14 16 8" xfId="5097"/>
    <cellStyle name="Normal 14 16 9" xfId="5098"/>
    <cellStyle name="Normal 14 17" xfId="5099"/>
    <cellStyle name="Normal 14 17 10" xfId="5100"/>
    <cellStyle name="Normal 14 17 11" xfId="5101"/>
    <cellStyle name="Normal 14 17 12" xfId="5102"/>
    <cellStyle name="Normal 14 17 13" xfId="5103"/>
    <cellStyle name="Normal 14 17 2" xfId="5104"/>
    <cellStyle name="Normal 14 17 3" xfId="5105"/>
    <cellStyle name="Normal 14 17 4" xfId="5106"/>
    <cellStyle name="Normal 14 17 5" xfId="5107"/>
    <cellStyle name="Normal 14 17 6" xfId="5108"/>
    <cellStyle name="Normal 14 17 7" xfId="5109"/>
    <cellStyle name="Normal 14 17 8" xfId="5110"/>
    <cellStyle name="Normal 14 17 9" xfId="5111"/>
    <cellStyle name="Normal 14 18" xfId="5112"/>
    <cellStyle name="Normal 14 18 10" xfId="5113"/>
    <cellStyle name="Normal 14 18 11" xfId="5114"/>
    <cellStyle name="Normal 14 18 12" xfId="5115"/>
    <cellStyle name="Normal 14 18 13" xfId="5116"/>
    <cellStyle name="Normal 14 18 2" xfId="5117"/>
    <cellStyle name="Normal 14 18 3" xfId="5118"/>
    <cellStyle name="Normal 14 18 4" xfId="5119"/>
    <cellStyle name="Normal 14 18 5" xfId="5120"/>
    <cellStyle name="Normal 14 18 6" xfId="5121"/>
    <cellStyle name="Normal 14 18 7" xfId="5122"/>
    <cellStyle name="Normal 14 18 8" xfId="5123"/>
    <cellStyle name="Normal 14 18 9" xfId="5124"/>
    <cellStyle name="Normal 14 19" xfId="5125"/>
    <cellStyle name="Normal 14 19 10" xfId="5126"/>
    <cellStyle name="Normal 14 19 11" xfId="5127"/>
    <cellStyle name="Normal 14 19 12" xfId="5128"/>
    <cellStyle name="Normal 14 19 13" xfId="5129"/>
    <cellStyle name="Normal 14 19 2" xfId="5130"/>
    <cellStyle name="Normal 14 19 3" xfId="5131"/>
    <cellStyle name="Normal 14 19 4" xfId="5132"/>
    <cellStyle name="Normal 14 19 5" xfId="5133"/>
    <cellStyle name="Normal 14 19 6" xfId="5134"/>
    <cellStyle name="Normal 14 19 7" xfId="5135"/>
    <cellStyle name="Normal 14 19 8" xfId="5136"/>
    <cellStyle name="Normal 14 19 9" xfId="5137"/>
    <cellStyle name="Normal 14 2" xfId="5138"/>
    <cellStyle name="Normal 14 2 10" xfId="5139"/>
    <cellStyle name="Normal 14 2 11" xfId="5140"/>
    <cellStyle name="Normal 14 2 12" xfId="5141"/>
    <cellStyle name="Normal 14 2 13" xfId="5142"/>
    <cellStyle name="Normal 14 2 2" xfId="5143"/>
    <cellStyle name="Normal 14 2 3" xfId="5144"/>
    <cellStyle name="Normal 14 2 4" xfId="5145"/>
    <cellStyle name="Normal 14 2 5" xfId="5146"/>
    <cellStyle name="Normal 14 2 6" xfId="5147"/>
    <cellStyle name="Normal 14 2 7" xfId="5148"/>
    <cellStyle name="Normal 14 2 8" xfId="5149"/>
    <cellStyle name="Normal 14 2 9" xfId="5150"/>
    <cellStyle name="Normal 14 20" xfId="5151"/>
    <cellStyle name="Normal 14 20 10" xfId="5152"/>
    <cellStyle name="Normal 14 20 11" xfId="5153"/>
    <cellStyle name="Normal 14 20 12" xfId="5154"/>
    <cellStyle name="Normal 14 20 13" xfId="5155"/>
    <cellStyle name="Normal 14 20 2" xfId="5156"/>
    <cellStyle name="Normal 14 20 3" xfId="5157"/>
    <cellStyle name="Normal 14 20 4" xfId="5158"/>
    <cellStyle name="Normal 14 20 5" xfId="5159"/>
    <cellStyle name="Normal 14 20 6" xfId="5160"/>
    <cellStyle name="Normal 14 20 7" xfId="5161"/>
    <cellStyle name="Normal 14 20 8" xfId="5162"/>
    <cellStyle name="Normal 14 20 9" xfId="5163"/>
    <cellStyle name="Normal 14 21" xfId="5164"/>
    <cellStyle name="Normal 14 21 10" xfId="5165"/>
    <cellStyle name="Normal 14 21 11" xfId="5166"/>
    <cellStyle name="Normal 14 21 12" xfId="5167"/>
    <cellStyle name="Normal 14 21 13" xfId="5168"/>
    <cellStyle name="Normal 14 21 2" xfId="5169"/>
    <cellStyle name="Normal 14 21 3" xfId="5170"/>
    <cellStyle name="Normal 14 21 4" xfId="5171"/>
    <cellStyle name="Normal 14 21 5" xfId="5172"/>
    <cellStyle name="Normal 14 21 6" xfId="5173"/>
    <cellStyle name="Normal 14 21 7" xfId="5174"/>
    <cellStyle name="Normal 14 21 8" xfId="5175"/>
    <cellStyle name="Normal 14 21 9" xfId="5176"/>
    <cellStyle name="Normal 14 22" xfId="5177"/>
    <cellStyle name="Normal 14 22 10" xfId="5178"/>
    <cellStyle name="Normal 14 22 11" xfId="5179"/>
    <cellStyle name="Normal 14 22 12" xfId="5180"/>
    <cellStyle name="Normal 14 22 13" xfId="5181"/>
    <cellStyle name="Normal 14 22 2" xfId="5182"/>
    <cellStyle name="Normal 14 22 3" xfId="5183"/>
    <cellStyle name="Normal 14 22 4" xfId="5184"/>
    <cellStyle name="Normal 14 22 5" xfId="5185"/>
    <cellStyle name="Normal 14 22 6" xfId="5186"/>
    <cellStyle name="Normal 14 22 7" xfId="5187"/>
    <cellStyle name="Normal 14 22 8" xfId="5188"/>
    <cellStyle name="Normal 14 22 9" xfId="5189"/>
    <cellStyle name="Normal 14 23" xfId="5190"/>
    <cellStyle name="Normal 14 23 10" xfId="5191"/>
    <cellStyle name="Normal 14 23 11" xfId="5192"/>
    <cellStyle name="Normal 14 23 12" xfId="5193"/>
    <cellStyle name="Normal 14 23 13" xfId="5194"/>
    <cellStyle name="Normal 14 23 2" xfId="5195"/>
    <cellStyle name="Normal 14 23 3" xfId="5196"/>
    <cellStyle name="Normal 14 23 4" xfId="5197"/>
    <cellStyle name="Normal 14 23 5" xfId="5198"/>
    <cellStyle name="Normal 14 23 6" xfId="5199"/>
    <cellStyle name="Normal 14 23 7" xfId="5200"/>
    <cellStyle name="Normal 14 23 8" xfId="5201"/>
    <cellStyle name="Normal 14 23 9" xfId="5202"/>
    <cellStyle name="Normal 14 24" xfId="5203"/>
    <cellStyle name="Normal 14 24 10" xfId="5204"/>
    <cellStyle name="Normal 14 24 11" xfId="5205"/>
    <cellStyle name="Normal 14 24 12" xfId="5206"/>
    <cellStyle name="Normal 14 24 13" xfId="5207"/>
    <cellStyle name="Normal 14 24 2" xfId="5208"/>
    <cellStyle name="Normal 14 24 3" xfId="5209"/>
    <cellStyle name="Normal 14 24 4" xfId="5210"/>
    <cellStyle name="Normal 14 24 5" xfId="5211"/>
    <cellStyle name="Normal 14 24 6" xfId="5212"/>
    <cellStyle name="Normal 14 24 7" xfId="5213"/>
    <cellStyle name="Normal 14 24 8" xfId="5214"/>
    <cellStyle name="Normal 14 24 9" xfId="5215"/>
    <cellStyle name="Normal 14 25" xfId="5216"/>
    <cellStyle name="Normal 14 25 10" xfId="5217"/>
    <cellStyle name="Normal 14 25 11" xfId="5218"/>
    <cellStyle name="Normal 14 25 12" xfId="5219"/>
    <cellStyle name="Normal 14 25 13" xfId="5220"/>
    <cellStyle name="Normal 14 25 2" xfId="5221"/>
    <cellStyle name="Normal 14 25 3" xfId="5222"/>
    <cellStyle name="Normal 14 25 4" xfId="5223"/>
    <cellStyle name="Normal 14 25 5" xfId="5224"/>
    <cellStyle name="Normal 14 25 6" xfId="5225"/>
    <cellStyle name="Normal 14 25 7" xfId="5226"/>
    <cellStyle name="Normal 14 25 8" xfId="5227"/>
    <cellStyle name="Normal 14 25 9" xfId="5228"/>
    <cellStyle name="Normal 14 26" xfId="5229"/>
    <cellStyle name="Normal 14 26 10" xfId="5230"/>
    <cellStyle name="Normal 14 26 11" xfId="5231"/>
    <cellStyle name="Normal 14 26 12" xfId="5232"/>
    <cellStyle name="Normal 14 26 13" xfId="5233"/>
    <cellStyle name="Normal 14 26 2" xfId="5234"/>
    <cellStyle name="Normal 14 26 3" xfId="5235"/>
    <cellStyle name="Normal 14 26 4" xfId="5236"/>
    <cellStyle name="Normal 14 26 5" xfId="5237"/>
    <cellStyle name="Normal 14 26 6" xfId="5238"/>
    <cellStyle name="Normal 14 26 7" xfId="5239"/>
    <cellStyle name="Normal 14 26 8" xfId="5240"/>
    <cellStyle name="Normal 14 26 9" xfId="5241"/>
    <cellStyle name="Normal 14 27" xfId="5242"/>
    <cellStyle name="Normal 14 27 10" xfId="5243"/>
    <cellStyle name="Normal 14 27 11" xfId="5244"/>
    <cellStyle name="Normal 14 27 12" xfId="5245"/>
    <cellStyle name="Normal 14 27 13" xfId="5246"/>
    <cellStyle name="Normal 14 27 2" xfId="5247"/>
    <cellStyle name="Normal 14 27 3" xfId="5248"/>
    <cellStyle name="Normal 14 27 4" xfId="5249"/>
    <cellStyle name="Normal 14 27 5" xfId="5250"/>
    <cellStyle name="Normal 14 27 6" xfId="5251"/>
    <cellStyle name="Normal 14 27 7" xfId="5252"/>
    <cellStyle name="Normal 14 27 8" xfId="5253"/>
    <cellStyle name="Normal 14 27 9" xfId="5254"/>
    <cellStyle name="Normal 14 28" xfId="5255"/>
    <cellStyle name="Normal 14 28 10" xfId="5256"/>
    <cellStyle name="Normal 14 28 11" xfId="5257"/>
    <cellStyle name="Normal 14 28 12" xfId="5258"/>
    <cellStyle name="Normal 14 28 13" xfId="5259"/>
    <cellStyle name="Normal 14 28 2" xfId="5260"/>
    <cellStyle name="Normal 14 28 3" xfId="5261"/>
    <cellStyle name="Normal 14 28 4" xfId="5262"/>
    <cellStyle name="Normal 14 28 5" xfId="5263"/>
    <cellStyle name="Normal 14 28 6" xfId="5264"/>
    <cellStyle name="Normal 14 28 7" xfId="5265"/>
    <cellStyle name="Normal 14 28 8" xfId="5266"/>
    <cellStyle name="Normal 14 28 9" xfId="5267"/>
    <cellStyle name="Normal 14 29" xfId="5268"/>
    <cellStyle name="Normal 14 29 10" xfId="5269"/>
    <cellStyle name="Normal 14 29 11" xfId="5270"/>
    <cellStyle name="Normal 14 29 12" xfId="5271"/>
    <cellStyle name="Normal 14 29 13" xfId="5272"/>
    <cellStyle name="Normal 14 29 2" xfId="5273"/>
    <cellStyle name="Normal 14 29 3" xfId="5274"/>
    <cellStyle name="Normal 14 29 4" xfId="5275"/>
    <cellStyle name="Normal 14 29 5" xfId="5276"/>
    <cellStyle name="Normal 14 29 6" xfId="5277"/>
    <cellStyle name="Normal 14 29 7" xfId="5278"/>
    <cellStyle name="Normal 14 29 8" xfId="5279"/>
    <cellStyle name="Normal 14 29 9" xfId="5280"/>
    <cellStyle name="Normal 14 3" xfId="5281"/>
    <cellStyle name="Normal 14 3 10" xfId="5282"/>
    <cellStyle name="Normal 14 3 11" xfId="5283"/>
    <cellStyle name="Normal 14 3 12" xfId="5284"/>
    <cellStyle name="Normal 14 3 13" xfId="5285"/>
    <cellStyle name="Normal 14 3 2" xfId="5286"/>
    <cellStyle name="Normal 14 3 3" xfId="5287"/>
    <cellStyle name="Normal 14 3 4" xfId="5288"/>
    <cellStyle name="Normal 14 3 5" xfId="5289"/>
    <cellStyle name="Normal 14 3 6" xfId="5290"/>
    <cellStyle name="Normal 14 3 7" xfId="5291"/>
    <cellStyle name="Normal 14 3 8" xfId="5292"/>
    <cellStyle name="Normal 14 3 9" xfId="5293"/>
    <cellStyle name="Normal 14 30" xfId="5294"/>
    <cellStyle name="Normal 14 30 10" xfId="5295"/>
    <cellStyle name="Normal 14 30 11" xfId="5296"/>
    <cellStyle name="Normal 14 30 12" xfId="5297"/>
    <cellStyle name="Normal 14 30 13" xfId="5298"/>
    <cellStyle name="Normal 14 30 2" xfId="5299"/>
    <cellStyle name="Normal 14 30 3" xfId="5300"/>
    <cellStyle name="Normal 14 30 4" xfId="5301"/>
    <cellStyle name="Normal 14 30 5" xfId="5302"/>
    <cellStyle name="Normal 14 30 6" xfId="5303"/>
    <cellStyle name="Normal 14 30 7" xfId="5304"/>
    <cellStyle name="Normal 14 30 8" xfId="5305"/>
    <cellStyle name="Normal 14 30 9" xfId="5306"/>
    <cellStyle name="Normal 14 31" xfId="5307"/>
    <cellStyle name="Normal 14 31 10" xfId="5308"/>
    <cellStyle name="Normal 14 31 11" xfId="5309"/>
    <cellStyle name="Normal 14 31 12" xfId="5310"/>
    <cellStyle name="Normal 14 31 13" xfId="5311"/>
    <cellStyle name="Normal 14 31 2" xfId="5312"/>
    <cellStyle name="Normal 14 31 3" xfId="5313"/>
    <cellStyle name="Normal 14 31 4" xfId="5314"/>
    <cellStyle name="Normal 14 31 5" xfId="5315"/>
    <cellStyle name="Normal 14 31 6" xfId="5316"/>
    <cellStyle name="Normal 14 31 7" xfId="5317"/>
    <cellStyle name="Normal 14 31 8" xfId="5318"/>
    <cellStyle name="Normal 14 31 9" xfId="5319"/>
    <cellStyle name="Normal 14 32" xfId="5320"/>
    <cellStyle name="Normal 14 32 10" xfId="5321"/>
    <cellStyle name="Normal 14 32 11" xfId="5322"/>
    <cellStyle name="Normal 14 32 12" xfId="5323"/>
    <cellStyle name="Normal 14 32 13" xfId="5324"/>
    <cellStyle name="Normal 14 32 2" xfId="5325"/>
    <cellStyle name="Normal 14 32 3" xfId="5326"/>
    <cellStyle name="Normal 14 32 4" xfId="5327"/>
    <cellStyle name="Normal 14 32 5" xfId="5328"/>
    <cellStyle name="Normal 14 32 6" xfId="5329"/>
    <cellStyle name="Normal 14 32 7" xfId="5330"/>
    <cellStyle name="Normal 14 32 8" xfId="5331"/>
    <cellStyle name="Normal 14 32 9" xfId="5332"/>
    <cellStyle name="Normal 14 33" xfId="5333"/>
    <cellStyle name="Normal 14 33 10" xfId="5334"/>
    <cellStyle name="Normal 14 33 11" xfId="5335"/>
    <cellStyle name="Normal 14 33 12" xfId="5336"/>
    <cellStyle name="Normal 14 33 13" xfId="5337"/>
    <cellStyle name="Normal 14 33 2" xfId="5338"/>
    <cellStyle name="Normal 14 33 3" xfId="5339"/>
    <cellStyle name="Normal 14 33 4" xfId="5340"/>
    <cellStyle name="Normal 14 33 5" xfId="5341"/>
    <cellStyle name="Normal 14 33 6" xfId="5342"/>
    <cellStyle name="Normal 14 33 7" xfId="5343"/>
    <cellStyle name="Normal 14 33 8" xfId="5344"/>
    <cellStyle name="Normal 14 33 9" xfId="5345"/>
    <cellStyle name="Normal 14 34" xfId="5346"/>
    <cellStyle name="Normal 14 34 10" xfId="5347"/>
    <cellStyle name="Normal 14 34 11" xfId="5348"/>
    <cellStyle name="Normal 14 34 12" xfId="5349"/>
    <cellStyle name="Normal 14 34 13" xfId="5350"/>
    <cellStyle name="Normal 14 34 2" xfId="5351"/>
    <cellStyle name="Normal 14 34 3" xfId="5352"/>
    <cellStyle name="Normal 14 34 4" xfId="5353"/>
    <cellStyle name="Normal 14 34 5" xfId="5354"/>
    <cellStyle name="Normal 14 34 6" xfId="5355"/>
    <cellStyle name="Normal 14 34 7" xfId="5356"/>
    <cellStyle name="Normal 14 34 8" xfId="5357"/>
    <cellStyle name="Normal 14 34 9" xfId="5358"/>
    <cellStyle name="Normal 14 35" xfId="5359"/>
    <cellStyle name="Normal 14 35 10" xfId="5360"/>
    <cellStyle name="Normal 14 35 11" xfId="5361"/>
    <cellStyle name="Normal 14 35 12" xfId="5362"/>
    <cellStyle name="Normal 14 35 13" xfId="5363"/>
    <cellStyle name="Normal 14 35 2" xfId="5364"/>
    <cellStyle name="Normal 14 35 3" xfId="5365"/>
    <cellStyle name="Normal 14 35 4" xfId="5366"/>
    <cellStyle name="Normal 14 35 5" xfId="5367"/>
    <cellStyle name="Normal 14 35 6" xfId="5368"/>
    <cellStyle name="Normal 14 35 7" xfId="5369"/>
    <cellStyle name="Normal 14 35 8" xfId="5370"/>
    <cellStyle name="Normal 14 35 9" xfId="5371"/>
    <cellStyle name="Normal 14 36" xfId="5372"/>
    <cellStyle name="Normal 14 36 10" xfId="5373"/>
    <cellStyle name="Normal 14 36 11" xfId="5374"/>
    <cellStyle name="Normal 14 36 12" xfId="5375"/>
    <cellStyle name="Normal 14 36 13" xfId="5376"/>
    <cellStyle name="Normal 14 36 2" xfId="5377"/>
    <cellStyle name="Normal 14 36 3" xfId="5378"/>
    <cellStyle name="Normal 14 36 4" xfId="5379"/>
    <cellStyle name="Normal 14 36 5" xfId="5380"/>
    <cellStyle name="Normal 14 36 6" xfId="5381"/>
    <cellStyle name="Normal 14 36 7" xfId="5382"/>
    <cellStyle name="Normal 14 36 8" xfId="5383"/>
    <cellStyle name="Normal 14 36 9" xfId="5384"/>
    <cellStyle name="Normal 14 37" xfId="5385"/>
    <cellStyle name="Normal 14 37 10" xfId="5386"/>
    <cellStyle name="Normal 14 37 11" xfId="5387"/>
    <cellStyle name="Normal 14 37 12" xfId="5388"/>
    <cellStyle name="Normal 14 37 13" xfId="5389"/>
    <cellStyle name="Normal 14 37 2" xfId="5390"/>
    <cellStyle name="Normal 14 37 3" xfId="5391"/>
    <cellStyle name="Normal 14 37 4" xfId="5392"/>
    <cellStyle name="Normal 14 37 5" xfId="5393"/>
    <cellStyle name="Normal 14 37 6" xfId="5394"/>
    <cellStyle name="Normal 14 37 7" xfId="5395"/>
    <cellStyle name="Normal 14 37 8" xfId="5396"/>
    <cellStyle name="Normal 14 37 9" xfId="5397"/>
    <cellStyle name="Normal 14 38" xfId="5398"/>
    <cellStyle name="Normal 14 38 10" xfId="5399"/>
    <cellStyle name="Normal 14 38 11" xfId="5400"/>
    <cellStyle name="Normal 14 38 12" xfId="5401"/>
    <cellStyle name="Normal 14 38 13" xfId="5402"/>
    <cellStyle name="Normal 14 38 2" xfId="5403"/>
    <cellStyle name="Normal 14 38 3" xfId="5404"/>
    <cellStyle name="Normal 14 38 4" xfId="5405"/>
    <cellStyle name="Normal 14 38 5" xfId="5406"/>
    <cellStyle name="Normal 14 38 6" xfId="5407"/>
    <cellStyle name="Normal 14 38 7" xfId="5408"/>
    <cellStyle name="Normal 14 38 8" xfId="5409"/>
    <cellStyle name="Normal 14 38 9" xfId="5410"/>
    <cellStyle name="Normal 14 39" xfId="5411"/>
    <cellStyle name="Normal 14 39 10" xfId="5412"/>
    <cellStyle name="Normal 14 39 11" xfId="5413"/>
    <cellStyle name="Normal 14 39 12" xfId="5414"/>
    <cellStyle name="Normal 14 39 13" xfId="5415"/>
    <cellStyle name="Normal 14 39 2" xfId="5416"/>
    <cellStyle name="Normal 14 39 3" xfId="5417"/>
    <cellStyle name="Normal 14 39 4" xfId="5418"/>
    <cellStyle name="Normal 14 39 5" xfId="5419"/>
    <cellStyle name="Normal 14 39 6" xfId="5420"/>
    <cellStyle name="Normal 14 39 7" xfId="5421"/>
    <cellStyle name="Normal 14 39 8" xfId="5422"/>
    <cellStyle name="Normal 14 39 9" xfId="5423"/>
    <cellStyle name="Normal 14 4" xfId="5424"/>
    <cellStyle name="Normal 14 4 10" xfId="5425"/>
    <cellStyle name="Normal 14 4 11" xfId="5426"/>
    <cellStyle name="Normal 14 4 12" xfId="5427"/>
    <cellStyle name="Normal 14 4 13" xfId="5428"/>
    <cellStyle name="Normal 14 4 2" xfId="5429"/>
    <cellStyle name="Normal 14 4 3" xfId="5430"/>
    <cellStyle name="Normal 14 4 4" xfId="5431"/>
    <cellStyle name="Normal 14 4 5" xfId="5432"/>
    <cellStyle name="Normal 14 4 6" xfId="5433"/>
    <cellStyle name="Normal 14 4 7" xfId="5434"/>
    <cellStyle name="Normal 14 4 8" xfId="5435"/>
    <cellStyle name="Normal 14 4 9" xfId="5436"/>
    <cellStyle name="Normal 14 40" xfId="5437"/>
    <cellStyle name="Normal 14 40 10" xfId="5438"/>
    <cellStyle name="Normal 14 40 11" xfId="5439"/>
    <cellStyle name="Normal 14 40 12" xfId="5440"/>
    <cellStyle name="Normal 14 40 13" xfId="5441"/>
    <cellStyle name="Normal 14 40 2" xfId="5442"/>
    <cellStyle name="Normal 14 40 3" xfId="5443"/>
    <cellStyle name="Normal 14 40 4" xfId="5444"/>
    <cellStyle name="Normal 14 40 5" xfId="5445"/>
    <cellStyle name="Normal 14 40 6" xfId="5446"/>
    <cellStyle name="Normal 14 40 7" xfId="5447"/>
    <cellStyle name="Normal 14 40 8" xfId="5448"/>
    <cellStyle name="Normal 14 40 9" xfId="5449"/>
    <cellStyle name="Normal 14 41" xfId="5450"/>
    <cellStyle name="Normal 14 41 10" xfId="5451"/>
    <cellStyle name="Normal 14 41 11" xfId="5452"/>
    <cellStyle name="Normal 14 41 12" xfId="5453"/>
    <cellStyle name="Normal 14 41 13" xfId="5454"/>
    <cellStyle name="Normal 14 41 2" xfId="5455"/>
    <cellStyle name="Normal 14 41 3" xfId="5456"/>
    <cellStyle name="Normal 14 41 4" xfId="5457"/>
    <cellStyle name="Normal 14 41 5" xfId="5458"/>
    <cellStyle name="Normal 14 41 6" xfId="5459"/>
    <cellStyle name="Normal 14 41 7" xfId="5460"/>
    <cellStyle name="Normal 14 41 8" xfId="5461"/>
    <cellStyle name="Normal 14 41 9" xfId="5462"/>
    <cellStyle name="Normal 14 42" xfId="5463"/>
    <cellStyle name="Normal 14 42 10" xfId="5464"/>
    <cellStyle name="Normal 14 42 11" xfId="5465"/>
    <cellStyle name="Normal 14 42 12" xfId="5466"/>
    <cellStyle name="Normal 14 42 13" xfId="5467"/>
    <cellStyle name="Normal 14 42 2" xfId="5468"/>
    <cellStyle name="Normal 14 42 3" xfId="5469"/>
    <cellStyle name="Normal 14 42 4" xfId="5470"/>
    <cellStyle name="Normal 14 42 5" xfId="5471"/>
    <cellStyle name="Normal 14 42 6" xfId="5472"/>
    <cellStyle name="Normal 14 42 7" xfId="5473"/>
    <cellStyle name="Normal 14 42 8" xfId="5474"/>
    <cellStyle name="Normal 14 42 9" xfId="5475"/>
    <cellStyle name="Normal 14 43" xfId="5476"/>
    <cellStyle name="Normal 14 43 10" xfId="5477"/>
    <cellStyle name="Normal 14 43 11" xfId="5478"/>
    <cellStyle name="Normal 14 43 12" xfId="5479"/>
    <cellStyle name="Normal 14 43 13" xfId="5480"/>
    <cellStyle name="Normal 14 43 2" xfId="5481"/>
    <cellStyle name="Normal 14 43 3" xfId="5482"/>
    <cellStyle name="Normal 14 43 4" xfId="5483"/>
    <cellStyle name="Normal 14 43 5" xfId="5484"/>
    <cellStyle name="Normal 14 43 6" xfId="5485"/>
    <cellStyle name="Normal 14 43 7" xfId="5486"/>
    <cellStyle name="Normal 14 43 8" xfId="5487"/>
    <cellStyle name="Normal 14 43 9" xfId="5488"/>
    <cellStyle name="Normal 14 44" xfId="5489"/>
    <cellStyle name="Normal 14 44 10" xfId="5490"/>
    <cellStyle name="Normal 14 44 11" xfId="5491"/>
    <cellStyle name="Normal 14 44 12" xfId="5492"/>
    <cellStyle name="Normal 14 44 13" xfId="5493"/>
    <cellStyle name="Normal 14 44 2" xfId="5494"/>
    <cellStyle name="Normal 14 44 3" xfId="5495"/>
    <cellStyle name="Normal 14 44 4" xfId="5496"/>
    <cellStyle name="Normal 14 44 5" xfId="5497"/>
    <cellStyle name="Normal 14 44 6" xfId="5498"/>
    <cellStyle name="Normal 14 44 7" xfId="5499"/>
    <cellStyle name="Normal 14 44 8" xfId="5500"/>
    <cellStyle name="Normal 14 44 9" xfId="5501"/>
    <cellStyle name="Normal 14 45" xfId="5502"/>
    <cellStyle name="Normal 14 45 10" xfId="5503"/>
    <cellStyle name="Normal 14 45 11" xfId="5504"/>
    <cellStyle name="Normal 14 45 12" xfId="5505"/>
    <cellStyle name="Normal 14 45 13" xfId="5506"/>
    <cellStyle name="Normal 14 45 2" xfId="5507"/>
    <cellStyle name="Normal 14 45 3" xfId="5508"/>
    <cellStyle name="Normal 14 45 4" xfId="5509"/>
    <cellStyle name="Normal 14 45 5" xfId="5510"/>
    <cellStyle name="Normal 14 45 6" xfId="5511"/>
    <cellStyle name="Normal 14 45 7" xfId="5512"/>
    <cellStyle name="Normal 14 45 8" xfId="5513"/>
    <cellStyle name="Normal 14 45 9" xfId="5514"/>
    <cellStyle name="Normal 14 46" xfId="5515"/>
    <cellStyle name="Normal 14 46 10" xfId="5516"/>
    <cellStyle name="Normal 14 46 11" xfId="5517"/>
    <cellStyle name="Normal 14 46 12" xfId="5518"/>
    <cellStyle name="Normal 14 46 13" xfId="5519"/>
    <cellStyle name="Normal 14 46 2" xfId="5520"/>
    <cellStyle name="Normal 14 46 3" xfId="5521"/>
    <cellStyle name="Normal 14 46 4" xfId="5522"/>
    <cellStyle name="Normal 14 46 5" xfId="5523"/>
    <cellStyle name="Normal 14 46 6" xfId="5524"/>
    <cellStyle name="Normal 14 46 7" xfId="5525"/>
    <cellStyle name="Normal 14 46 8" xfId="5526"/>
    <cellStyle name="Normal 14 46 9" xfId="5527"/>
    <cellStyle name="Normal 14 47" xfId="5528"/>
    <cellStyle name="Normal 14 47 10" xfId="5529"/>
    <cellStyle name="Normal 14 47 11" xfId="5530"/>
    <cellStyle name="Normal 14 47 12" xfId="5531"/>
    <cellStyle name="Normal 14 47 13" xfId="5532"/>
    <cellStyle name="Normal 14 47 2" xfId="5533"/>
    <cellStyle name="Normal 14 47 3" xfId="5534"/>
    <cellStyle name="Normal 14 47 4" xfId="5535"/>
    <cellStyle name="Normal 14 47 5" xfId="5536"/>
    <cellStyle name="Normal 14 47 6" xfId="5537"/>
    <cellStyle name="Normal 14 47 7" xfId="5538"/>
    <cellStyle name="Normal 14 47 8" xfId="5539"/>
    <cellStyle name="Normal 14 47 9" xfId="5540"/>
    <cellStyle name="Normal 14 48" xfId="5541"/>
    <cellStyle name="Normal 14 48 10" xfId="5542"/>
    <cellStyle name="Normal 14 48 11" xfId="5543"/>
    <cellStyle name="Normal 14 48 12" xfId="5544"/>
    <cellStyle name="Normal 14 48 13" xfId="5545"/>
    <cellStyle name="Normal 14 48 2" xfId="5546"/>
    <cellStyle name="Normal 14 48 3" xfId="5547"/>
    <cellStyle name="Normal 14 48 4" xfId="5548"/>
    <cellStyle name="Normal 14 48 5" xfId="5549"/>
    <cellStyle name="Normal 14 48 6" xfId="5550"/>
    <cellStyle name="Normal 14 48 7" xfId="5551"/>
    <cellStyle name="Normal 14 48 8" xfId="5552"/>
    <cellStyle name="Normal 14 48 9" xfId="5553"/>
    <cellStyle name="Normal 14 49" xfId="5554"/>
    <cellStyle name="Normal 14 49 10" xfId="5555"/>
    <cellStyle name="Normal 14 49 11" xfId="5556"/>
    <cellStyle name="Normal 14 49 12" xfId="5557"/>
    <cellStyle name="Normal 14 49 13" xfId="5558"/>
    <cellStyle name="Normal 14 49 2" xfId="5559"/>
    <cellStyle name="Normal 14 49 3" xfId="5560"/>
    <cellStyle name="Normal 14 49 4" xfId="5561"/>
    <cellStyle name="Normal 14 49 5" xfId="5562"/>
    <cellStyle name="Normal 14 49 6" xfId="5563"/>
    <cellStyle name="Normal 14 49 7" xfId="5564"/>
    <cellStyle name="Normal 14 49 8" xfId="5565"/>
    <cellStyle name="Normal 14 49 9" xfId="5566"/>
    <cellStyle name="Normal 14 5" xfId="5567"/>
    <cellStyle name="Normal 14 5 10" xfId="5568"/>
    <cellStyle name="Normal 14 5 11" xfId="5569"/>
    <cellStyle name="Normal 14 5 12" xfId="5570"/>
    <cellStyle name="Normal 14 5 13" xfId="5571"/>
    <cellStyle name="Normal 14 5 2" xfId="5572"/>
    <cellStyle name="Normal 14 5 3" xfId="5573"/>
    <cellStyle name="Normal 14 5 4" xfId="5574"/>
    <cellStyle name="Normal 14 5 5" xfId="5575"/>
    <cellStyle name="Normal 14 5 6" xfId="5576"/>
    <cellStyle name="Normal 14 5 7" xfId="5577"/>
    <cellStyle name="Normal 14 5 8" xfId="5578"/>
    <cellStyle name="Normal 14 5 9" xfId="5579"/>
    <cellStyle name="Normal 14 50" xfId="5580"/>
    <cellStyle name="Normal 14 50 10" xfId="5581"/>
    <cellStyle name="Normal 14 50 11" xfId="5582"/>
    <cellStyle name="Normal 14 50 12" xfId="5583"/>
    <cellStyle name="Normal 14 50 13" xfId="5584"/>
    <cellStyle name="Normal 14 50 2" xfId="5585"/>
    <cellStyle name="Normal 14 50 3" xfId="5586"/>
    <cellStyle name="Normal 14 50 4" xfId="5587"/>
    <cellStyle name="Normal 14 50 5" xfId="5588"/>
    <cellStyle name="Normal 14 50 6" xfId="5589"/>
    <cellStyle name="Normal 14 50 7" xfId="5590"/>
    <cellStyle name="Normal 14 50 8" xfId="5591"/>
    <cellStyle name="Normal 14 50 9" xfId="5592"/>
    <cellStyle name="Normal 14 51" xfId="5593"/>
    <cellStyle name="Normal 14 51 10" xfId="5594"/>
    <cellStyle name="Normal 14 51 11" xfId="5595"/>
    <cellStyle name="Normal 14 51 12" xfId="5596"/>
    <cellStyle name="Normal 14 51 13" xfId="5597"/>
    <cellStyle name="Normal 14 51 2" xfId="5598"/>
    <cellStyle name="Normal 14 51 3" xfId="5599"/>
    <cellStyle name="Normal 14 51 4" xfId="5600"/>
    <cellStyle name="Normal 14 51 5" xfId="5601"/>
    <cellStyle name="Normal 14 51 6" xfId="5602"/>
    <cellStyle name="Normal 14 51 7" xfId="5603"/>
    <cellStyle name="Normal 14 51 8" xfId="5604"/>
    <cellStyle name="Normal 14 51 9" xfId="5605"/>
    <cellStyle name="Normal 14 52" xfId="5606"/>
    <cellStyle name="Normal 14 52 10" xfId="5607"/>
    <cellStyle name="Normal 14 52 11" xfId="5608"/>
    <cellStyle name="Normal 14 52 12" xfId="5609"/>
    <cellStyle name="Normal 14 52 13" xfId="5610"/>
    <cellStyle name="Normal 14 52 2" xfId="5611"/>
    <cellStyle name="Normal 14 52 3" xfId="5612"/>
    <cellStyle name="Normal 14 52 4" xfId="5613"/>
    <cellStyle name="Normal 14 52 5" xfId="5614"/>
    <cellStyle name="Normal 14 52 6" xfId="5615"/>
    <cellStyle name="Normal 14 52 7" xfId="5616"/>
    <cellStyle name="Normal 14 52 8" xfId="5617"/>
    <cellStyle name="Normal 14 52 9" xfId="5618"/>
    <cellStyle name="Normal 14 53" xfId="5619"/>
    <cellStyle name="Normal 14 53 10" xfId="5620"/>
    <cellStyle name="Normal 14 53 11" xfId="5621"/>
    <cellStyle name="Normal 14 53 12" xfId="5622"/>
    <cellStyle name="Normal 14 53 13" xfId="5623"/>
    <cellStyle name="Normal 14 53 2" xfId="5624"/>
    <cellStyle name="Normal 14 53 3" xfId="5625"/>
    <cellStyle name="Normal 14 53 4" xfId="5626"/>
    <cellStyle name="Normal 14 53 5" xfId="5627"/>
    <cellStyle name="Normal 14 53 6" xfId="5628"/>
    <cellStyle name="Normal 14 53 7" xfId="5629"/>
    <cellStyle name="Normal 14 53 8" xfId="5630"/>
    <cellStyle name="Normal 14 53 9" xfId="5631"/>
    <cellStyle name="Normal 14 54" xfId="5632"/>
    <cellStyle name="Normal 14 54 10" xfId="5633"/>
    <cellStyle name="Normal 14 54 11" xfId="5634"/>
    <cellStyle name="Normal 14 54 12" xfId="5635"/>
    <cellStyle name="Normal 14 54 13" xfId="5636"/>
    <cellStyle name="Normal 14 54 2" xfId="5637"/>
    <cellStyle name="Normal 14 54 3" xfId="5638"/>
    <cellStyle name="Normal 14 54 4" xfId="5639"/>
    <cellStyle name="Normal 14 54 5" xfId="5640"/>
    <cellStyle name="Normal 14 54 6" xfId="5641"/>
    <cellStyle name="Normal 14 54 7" xfId="5642"/>
    <cellStyle name="Normal 14 54 8" xfId="5643"/>
    <cellStyle name="Normal 14 54 9" xfId="5644"/>
    <cellStyle name="Normal 14 55" xfId="5645"/>
    <cellStyle name="Normal 14 55 10" xfId="5646"/>
    <cellStyle name="Normal 14 55 11" xfId="5647"/>
    <cellStyle name="Normal 14 55 12" xfId="5648"/>
    <cellStyle name="Normal 14 55 13" xfId="5649"/>
    <cellStyle name="Normal 14 55 2" xfId="5650"/>
    <cellStyle name="Normal 14 55 3" xfId="5651"/>
    <cellStyle name="Normal 14 55 4" xfId="5652"/>
    <cellStyle name="Normal 14 55 5" xfId="5653"/>
    <cellStyle name="Normal 14 55 6" xfId="5654"/>
    <cellStyle name="Normal 14 55 7" xfId="5655"/>
    <cellStyle name="Normal 14 55 8" xfId="5656"/>
    <cellStyle name="Normal 14 55 9" xfId="5657"/>
    <cellStyle name="Normal 14 56" xfId="5658"/>
    <cellStyle name="Normal 14 56 10" xfId="5659"/>
    <cellStyle name="Normal 14 56 11" xfId="5660"/>
    <cellStyle name="Normal 14 56 12" xfId="5661"/>
    <cellStyle name="Normal 14 56 13" xfId="5662"/>
    <cellStyle name="Normal 14 56 2" xfId="5663"/>
    <cellStyle name="Normal 14 56 3" xfId="5664"/>
    <cellStyle name="Normal 14 56 4" xfId="5665"/>
    <cellStyle name="Normal 14 56 5" xfId="5666"/>
    <cellStyle name="Normal 14 56 6" xfId="5667"/>
    <cellStyle name="Normal 14 56 7" xfId="5668"/>
    <cellStyle name="Normal 14 56 8" xfId="5669"/>
    <cellStyle name="Normal 14 56 9" xfId="5670"/>
    <cellStyle name="Normal 14 57" xfId="5671"/>
    <cellStyle name="Normal 14 57 10" xfId="5672"/>
    <cellStyle name="Normal 14 57 11" xfId="5673"/>
    <cellStyle name="Normal 14 57 12" xfId="5674"/>
    <cellStyle name="Normal 14 57 13" xfId="5675"/>
    <cellStyle name="Normal 14 57 2" xfId="5676"/>
    <cellStyle name="Normal 14 57 3" xfId="5677"/>
    <cellStyle name="Normal 14 57 4" xfId="5678"/>
    <cellStyle name="Normal 14 57 5" xfId="5679"/>
    <cellStyle name="Normal 14 57 6" xfId="5680"/>
    <cellStyle name="Normal 14 57 7" xfId="5681"/>
    <cellStyle name="Normal 14 57 8" xfId="5682"/>
    <cellStyle name="Normal 14 57 9" xfId="5683"/>
    <cellStyle name="Normal 14 58" xfId="5684"/>
    <cellStyle name="Normal 14 58 10" xfId="5685"/>
    <cellStyle name="Normal 14 58 11" xfId="5686"/>
    <cellStyle name="Normal 14 58 12" xfId="5687"/>
    <cellStyle name="Normal 14 58 13" xfId="5688"/>
    <cellStyle name="Normal 14 58 2" xfId="5689"/>
    <cellStyle name="Normal 14 58 3" xfId="5690"/>
    <cellStyle name="Normal 14 58 4" xfId="5691"/>
    <cellStyle name="Normal 14 58 5" xfId="5692"/>
    <cellStyle name="Normal 14 58 6" xfId="5693"/>
    <cellStyle name="Normal 14 58 7" xfId="5694"/>
    <cellStyle name="Normal 14 58 8" xfId="5695"/>
    <cellStyle name="Normal 14 58 9" xfId="5696"/>
    <cellStyle name="Normal 14 59" xfId="5697"/>
    <cellStyle name="Normal 14 59 10" xfId="5698"/>
    <cellStyle name="Normal 14 59 11" xfId="5699"/>
    <cellStyle name="Normal 14 59 12" xfId="5700"/>
    <cellStyle name="Normal 14 59 13" xfId="5701"/>
    <cellStyle name="Normal 14 59 2" xfId="5702"/>
    <cellStyle name="Normal 14 59 3" xfId="5703"/>
    <cellStyle name="Normal 14 59 4" xfId="5704"/>
    <cellStyle name="Normal 14 59 5" xfId="5705"/>
    <cellStyle name="Normal 14 59 6" xfId="5706"/>
    <cellStyle name="Normal 14 59 7" xfId="5707"/>
    <cellStyle name="Normal 14 59 8" xfId="5708"/>
    <cellStyle name="Normal 14 59 9" xfId="5709"/>
    <cellStyle name="Normal 14 6" xfId="5710"/>
    <cellStyle name="Normal 14 6 10" xfId="5711"/>
    <cellStyle name="Normal 14 6 11" xfId="5712"/>
    <cellStyle name="Normal 14 6 12" xfId="5713"/>
    <cellStyle name="Normal 14 6 13" xfId="5714"/>
    <cellStyle name="Normal 14 6 2" xfId="5715"/>
    <cellStyle name="Normal 14 6 3" xfId="5716"/>
    <cellStyle name="Normal 14 6 4" xfId="5717"/>
    <cellStyle name="Normal 14 6 5" xfId="5718"/>
    <cellStyle name="Normal 14 6 6" xfId="5719"/>
    <cellStyle name="Normal 14 6 7" xfId="5720"/>
    <cellStyle name="Normal 14 6 8" xfId="5721"/>
    <cellStyle name="Normal 14 6 9" xfId="5722"/>
    <cellStyle name="Normal 14 60" xfId="5723"/>
    <cellStyle name="Normal 14 60 10" xfId="5724"/>
    <cellStyle name="Normal 14 60 11" xfId="5725"/>
    <cellStyle name="Normal 14 60 12" xfId="5726"/>
    <cellStyle name="Normal 14 60 13" xfId="5727"/>
    <cellStyle name="Normal 14 60 2" xfId="5728"/>
    <cellStyle name="Normal 14 60 3" xfId="5729"/>
    <cellStyle name="Normal 14 60 4" xfId="5730"/>
    <cellStyle name="Normal 14 60 5" xfId="5731"/>
    <cellStyle name="Normal 14 60 6" xfId="5732"/>
    <cellStyle name="Normal 14 60 7" xfId="5733"/>
    <cellStyle name="Normal 14 60 8" xfId="5734"/>
    <cellStyle name="Normal 14 60 9" xfId="5735"/>
    <cellStyle name="Normal 14 61" xfId="5736"/>
    <cellStyle name="Normal 14 61 10" xfId="5737"/>
    <cellStyle name="Normal 14 61 11" xfId="5738"/>
    <cellStyle name="Normal 14 61 12" xfId="5739"/>
    <cellStyle name="Normal 14 61 13" xfId="5740"/>
    <cellStyle name="Normal 14 61 2" xfId="5741"/>
    <cellStyle name="Normal 14 61 3" xfId="5742"/>
    <cellStyle name="Normal 14 61 4" xfId="5743"/>
    <cellStyle name="Normal 14 61 5" xfId="5744"/>
    <cellStyle name="Normal 14 61 6" xfId="5745"/>
    <cellStyle name="Normal 14 61 7" xfId="5746"/>
    <cellStyle name="Normal 14 61 8" xfId="5747"/>
    <cellStyle name="Normal 14 61 9" xfId="5748"/>
    <cellStyle name="Normal 14 62" xfId="5749"/>
    <cellStyle name="Normal 14 62 10" xfId="5750"/>
    <cellStyle name="Normal 14 62 11" xfId="5751"/>
    <cellStyle name="Normal 14 62 12" xfId="5752"/>
    <cellStyle name="Normal 14 62 13" xfId="5753"/>
    <cellStyle name="Normal 14 62 2" xfId="5754"/>
    <cellStyle name="Normal 14 62 3" xfId="5755"/>
    <cellStyle name="Normal 14 62 4" xfId="5756"/>
    <cellStyle name="Normal 14 62 5" xfId="5757"/>
    <cellStyle name="Normal 14 62 6" xfId="5758"/>
    <cellStyle name="Normal 14 62 7" xfId="5759"/>
    <cellStyle name="Normal 14 62 8" xfId="5760"/>
    <cellStyle name="Normal 14 62 9" xfId="5761"/>
    <cellStyle name="Normal 14 63" xfId="5762"/>
    <cellStyle name="Normal 14 63 10" xfId="5763"/>
    <cellStyle name="Normal 14 63 11" xfId="5764"/>
    <cellStyle name="Normal 14 63 12" xfId="5765"/>
    <cellStyle name="Normal 14 63 13" xfId="5766"/>
    <cellStyle name="Normal 14 63 2" xfId="5767"/>
    <cellStyle name="Normal 14 63 3" xfId="5768"/>
    <cellStyle name="Normal 14 63 4" xfId="5769"/>
    <cellStyle name="Normal 14 63 5" xfId="5770"/>
    <cellStyle name="Normal 14 63 6" xfId="5771"/>
    <cellStyle name="Normal 14 63 7" xfId="5772"/>
    <cellStyle name="Normal 14 63 8" xfId="5773"/>
    <cellStyle name="Normal 14 63 9" xfId="5774"/>
    <cellStyle name="Normal 14 64" xfId="5775"/>
    <cellStyle name="Normal 14 64 10" xfId="5776"/>
    <cellStyle name="Normal 14 64 11" xfId="5777"/>
    <cellStyle name="Normal 14 64 12" xfId="5778"/>
    <cellStyle name="Normal 14 64 13" xfId="5779"/>
    <cellStyle name="Normal 14 64 2" xfId="5780"/>
    <cellStyle name="Normal 14 64 3" xfId="5781"/>
    <cellStyle name="Normal 14 64 4" xfId="5782"/>
    <cellStyle name="Normal 14 64 5" xfId="5783"/>
    <cellStyle name="Normal 14 64 6" xfId="5784"/>
    <cellStyle name="Normal 14 64 7" xfId="5785"/>
    <cellStyle name="Normal 14 64 8" xfId="5786"/>
    <cellStyle name="Normal 14 64 9" xfId="5787"/>
    <cellStyle name="Normal 14 65" xfId="5788"/>
    <cellStyle name="Normal 14 65 10" xfId="5789"/>
    <cellStyle name="Normal 14 65 11" xfId="5790"/>
    <cellStyle name="Normal 14 65 12" xfId="5791"/>
    <cellStyle name="Normal 14 65 13" xfId="5792"/>
    <cellStyle name="Normal 14 65 2" xfId="5793"/>
    <cellStyle name="Normal 14 65 3" xfId="5794"/>
    <cellStyle name="Normal 14 65 4" xfId="5795"/>
    <cellStyle name="Normal 14 65 5" xfId="5796"/>
    <cellStyle name="Normal 14 65 6" xfId="5797"/>
    <cellStyle name="Normal 14 65 7" xfId="5798"/>
    <cellStyle name="Normal 14 65 8" xfId="5799"/>
    <cellStyle name="Normal 14 65 9" xfId="5800"/>
    <cellStyle name="Normal 14 66" xfId="5801"/>
    <cellStyle name="Normal 14 66 10" xfId="5802"/>
    <cellStyle name="Normal 14 66 11" xfId="5803"/>
    <cellStyle name="Normal 14 66 12" xfId="5804"/>
    <cellStyle name="Normal 14 66 13" xfId="5805"/>
    <cellStyle name="Normal 14 66 2" xfId="5806"/>
    <cellStyle name="Normal 14 66 3" xfId="5807"/>
    <cellStyle name="Normal 14 66 4" xfId="5808"/>
    <cellStyle name="Normal 14 66 5" xfId="5809"/>
    <cellStyle name="Normal 14 66 6" xfId="5810"/>
    <cellStyle name="Normal 14 66 7" xfId="5811"/>
    <cellStyle name="Normal 14 66 8" xfId="5812"/>
    <cellStyle name="Normal 14 66 9" xfId="5813"/>
    <cellStyle name="Normal 14 67" xfId="5814"/>
    <cellStyle name="Normal 14 67 10" xfId="5815"/>
    <cellStyle name="Normal 14 67 11" xfId="5816"/>
    <cellStyle name="Normal 14 67 12" xfId="5817"/>
    <cellStyle name="Normal 14 67 13" xfId="5818"/>
    <cellStyle name="Normal 14 67 2" xfId="5819"/>
    <cellStyle name="Normal 14 67 3" xfId="5820"/>
    <cellStyle name="Normal 14 67 4" xfId="5821"/>
    <cellStyle name="Normal 14 67 5" xfId="5822"/>
    <cellStyle name="Normal 14 67 6" xfId="5823"/>
    <cellStyle name="Normal 14 67 7" xfId="5824"/>
    <cellStyle name="Normal 14 67 8" xfId="5825"/>
    <cellStyle name="Normal 14 67 9" xfId="5826"/>
    <cellStyle name="Normal 14 68" xfId="5827"/>
    <cellStyle name="Normal 14 68 10" xfId="5828"/>
    <cellStyle name="Normal 14 68 11" xfId="5829"/>
    <cellStyle name="Normal 14 68 12" xfId="5830"/>
    <cellStyle name="Normal 14 68 13" xfId="5831"/>
    <cellStyle name="Normal 14 68 2" xfId="5832"/>
    <cellStyle name="Normal 14 68 3" xfId="5833"/>
    <cellStyle name="Normal 14 68 4" xfId="5834"/>
    <cellStyle name="Normal 14 68 5" xfId="5835"/>
    <cellStyle name="Normal 14 68 6" xfId="5836"/>
    <cellStyle name="Normal 14 68 7" xfId="5837"/>
    <cellStyle name="Normal 14 68 8" xfId="5838"/>
    <cellStyle name="Normal 14 68 9" xfId="5839"/>
    <cellStyle name="Normal 14 69" xfId="5840"/>
    <cellStyle name="Normal 14 69 10" xfId="5841"/>
    <cellStyle name="Normal 14 69 11" xfId="5842"/>
    <cellStyle name="Normal 14 69 12" xfId="5843"/>
    <cellStyle name="Normal 14 69 13" xfId="5844"/>
    <cellStyle name="Normal 14 69 2" xfId="5845"/>
    <cellStyle name="Normal 14 69 3" xfId="5846"/>
    <cellStyle name="Normal 14 69 4" xfId="5847"/>
    <cellStyle name="Normal 14 69 5" xfId="5848"/>
    <cellStyle name="Normal 14 69 6" xfId="5849"/>
    <cellStyle name="Normal 14 69 7" xfId="5850"/>
    <cellStyle name="Normal 14 69 8" xfId="5851"/>
    <cellStyle name="Normal 14 69 9" xfId="5852"/>
    <cellStyle name="Normal 14 7" xfId="5853"/>
    <cellStyle name="Normal 14 7 10" xfId="5854"/>
    <cellStyle name="Normal 14 7 11" xfId="5855"/>
    <cellStyle name="Normal 14 7 12" xfId="5856"/>
    <cellStyle name="Normal 14 7 13" xfId="5857"/>
    <cellStyle name="Normal 14 7 2" xfId="5858"/>
    <cellStyle name="Normal 14 7 3" xfId="5859"/>
    <cellStyle name="Normal 14 7 4" xfId="5860"/>
    <cellStyle name="Normal 14 7 5" xfId="5861"/>
    <cellStyle name="Normal 14 7 6" xfId="5862"/>
    <cellStyle name="Normal 14 7 7" xfId="5863"/>
    <cellStyle name="Normal 14 7 8" xfId="5864"/>
    <cellStyle name="Normal 14 7 9" xfId="5865"/>
    <cellStyle name="Normal 14 70" xfId="5866"/>
    <cellStyle name="Normal 14 70 10" xfId="5867"/>
    <cellStyle name="Normal 14 70 11" xfId="5868"/>
    <cellStyle name="Normal 14 70 12" xfId="5869"/>
    <cellStyle name="Normal 14 70 13" xfId="5870"/>
    <cellStyle name="Normal 14 70 2" xfId="5871"/>
    <cellStyle name="Normal 14 70 3" xfId="5872"/>
    <cellStyle name="Normal 14 70 4" xfId="5873"/>
    <cellStyle name="Normal 14 70 5" xfId="5874"/>
    <cellStyle name="Normal 14 70 6" xfId="5875"/>
    <cellStyle name="Normal 14 70 7" xfId="5876"/>
    <cellStyle name="Normal 14 70 8" xfId="5877"/>
    <cellStyle name="Normal 14 70 9" xfId="5878"/>
    <cellStyle name="Normal 14 71" xfId="5879"/>
    <cellStyle name="Normal 14 71 10" xfId="5880"/>
    <cellStyle name="Normal 14 71 11" xfId="5881"/>
    <cellStyle name="Normal 14 71 12" xfId="5882"/>
    <cellStyle name="Normal 14 71 13" xfId="5883"/>
    <cellStyle name="Normal 14 71 2" xfId="5884"/>
    <cellStyle name="Normal 14 71 3" xfId="5885"/>
    <cellStyle name="Normal 14 71 4" xfId="5886"/>
    <cellStyle name="Normal 14 71 5" xfId="5887"/>
    <cellStyle name="Normal 14 71 6" xfId="5888"/>
    <cellStyle name="Normal 14 71 7" xfId="5889"/>
    <cellStyle name="Normal 14 71 8" xfId="5890"/>
    <cellStyle name="Normal 14 71 9" xfId="5891"/>
    <cellStyle name="Normal 14 72" xfId="5892"/>
    <cellStyle name="Normal 14 73" xfId="5893"/>
    <cellStyle name="Normal 14 74" xfId="5894"/>
    <cellStyle name="Normal 14 75" xfId="5895"/>
    <cellStyle name="Normal 14 76" xfId="5896"/>
    <cellStyle name="Normal 14 77" xfId="5897"/>
    <cellStyle name="Normal 14 78" xfId="5898"/>
    <cellStyle name="Normal 14 79" xfId="5899"/>
    <cellStyle name="Normal 14 8" xfId="5900"/>
    <cellStyle name="Normal 14 8 10" xfId="5901"/>
    <cellStyle name="Normal 14 8 11" xfId="5902"/>
    <cellStyle name="Normal 14 8 12" xfId="5903"/>
    <cellStyle name="Normal 14 8 13" xfId="5904"/>
    <cellStyle name="Normal 14 8 2" xfId="5905"/>
    <cellStyle name="Normal 14 8 3" xfId="5906"/>
    <cellStyle name="Normal 14 8 4" xfId="5907"/>
    <cellStyle name="Normal 14 8 5" xfId="5908"/>
    <cellStyle name="Normal 14 8 6" xfId="5909"/>
    <cellStyle name="Normal 14 8 7" xfId="5910"/>
    <cellStyle name="Normal 14 8 8" xfId="5911"/>
    <cellStyle name="Normal 14 8 9" xfId="5912"/>
    <cellStyle name="Normal 14 80" xfId="5913"/>
    <cellStyle name="Normal 14 81" xfId="5914"/>
    <cellStyle name="Normal 14 82" xfId="5915"/>
    <cellStyle name="Normal 14 83" xfId="5916"/>
    <cellStyle name="Normal 14 84" xfId="36426"/>
    <cellStyle name="Normal 14 9" xfId="5917"/>
    <cellStyle name="Normal 14 9 10" xfId="5918"/>
    <cellStyle name="Normal 14 9 11" xfId="5919"/>
    <cellStyle name="Normal 14 9 12" xfId="5920"/>
    <cellStyle name="Normal 14 9 13" xfId="5921"/>
    <cellStyle name="Normal 14 9 2" xfId="5922"/>
    <cellStyle name="Normal 14 9 3" xfId="5923"/>
    <cellStyle name="Normal 14 9 4" xfId="5924"/>
    <cellStyle name="Normal 14 9 5" xfId="5925"/>
    <cellStyle name="Normal 14 9 6" xfId="5926"/>
    <cellStyle name="Normal 14 9 7" xfId="5927"/>
    <cellStyle name="Normal 14 9 8" xfId="5928"/>
    <cellStyle name="Normal 14 9 9" xfId="5929"/>
    <cellStyle name="Normal 15" xfId="5930"/>
    <cellStyle name="Normal 15 10" xfId="5931"/>
    <cellStyle name="Normal 15 11" xfId="5932"/>
    <cellStyle name="Normal 15 12" xfId="5933"/>
    <cellStyle name="Normal 15 13" xfId="5934"/>
    <cellStyle name="Normal 15 14" xfId="5935"/>
    <cellStyle name="Normal 15 15" xfId="5936"/>
    <cellStyle name="Normal 15 16" xfId="5937"/>
    <cellStyle name="Normal 15 17" xfId="5938"/>
    <cellStyle name="Normal 15 18" xfId="5939"/>
    <cellStyle name="Normal 15 19" xfId="5940"/>
    <cellStyle name="Normal 15 2" xfId="5941"/>
    <cellStyle name="Normal 15 2 10" xfId="5942"/>
    <cellStyle name="Normal 15 2 11" xfId="5943"/>
    <cellStyle name="Normal 15 2 12" xfId="5944"/>
    <cellStyle name="Normal 15 2 13" xfId="5945"/>
    <cellStyle name="Normal 15 2 14" xfId="5946"/>
    <cellStyle name="Normal 15 2 15" xfId="5947"/>
    <cellStyle name="Normal 15 2 16" xfId="5948"/>
    <cellStyle name="Normal 15 2 17" xfId="5949"/>
    <cellStyle name="Normal 15 2 18" xfId="5950"/>
    <cellStyle name="Normal 15 2 19" xfId="5951"/>
    <cellStyle name="Normal 15 2 2" xfId="5952"/>
    <cellStyle name="Normal 15 2 2 10" xfId="5953"/>
    <cellStyle name="Normal 15 2 2 11" xfId="5954"/>
    <cellStyle name="Normal 15 2 2 12" xfId="5955"/>
    <cellStyle name="Normal 15 2 2 13" xfId="5956"/>
    <cellStyle name="Normal 15 2 2 14" xfId="5957"/>
    <cellStyle name="Normal 15 2 2 15" xfId="5958"/>
    <cellStyle name="Normal 15 2 2 16" xfId="5959"/>
    <cellStyle name="Normal 15 2 2 17" xfId="5960"/>
    <cellStyle name="Normal 15 2 2 18" xfId="5961"/>
    <cellStyle name="Normal 15 2 2 19" xfId="5962"/>
    <cellStyle name="Normal 15 2 2 2" xfId="5963"/>
    <cellStyle name="Normal 15 2 2 2 10" xfId="5964"/>
    <cellStyle name="Normal 15 2 2 2 11" xfId="5965"/>
    <cellStyle name="Normal 15 2 2 2 12" xfId="5966"/>
    <cellStyle name="Normal 15 2 2 2 13" xfId="5967"/>
    <cellStyle name="Normal 15 2 2 2 14" xfId="5968"/>
    <cellStyle name="Normal 15 2 2 2 15" xfId="5969"/>
    <cellStyle name="Normal 15 2 2 2 16" xfId="5970"/>
    <cellStyle name="Normal 15 2 2 2 17" xfId="5971"/>
    <cellStyle name="Normal 15 2 2 2 18" xfId="5972"/>
    <cellStyle name="Normal 15 2 2 2 19" xfId="5973"/>
    <cellStyle name="Normal 15 2 2 2 2" xfId="5974"/>
    <cellStyle name="Normal 15 2 2 2 20" xfId="5975"/>
    <cellStyle name="Normal 15 2 2 2 21" xfId="5976"/>
    <cellStyle name="Normal 15 2 2 2 22" xfId="5977"/>
    <cellStyle name="Normal 15 2 2 2 23" xfId="5978"/>
    <cellStyle name="Normal 15 2 2 2 24" xfId="5979"/>
    <cellStyle name="Normal 15 2 2 2 25" xfId="5980"/>
    <cellStyle name="Normal 15 2 2 2 26" xfId="5981"/>
    <cellStyle name="Normal 15 2 2 2 27" xfId="5982"/>
    <cellStyle name="Normal 15 2 2 2 28" xfId="5983"/>
    <cellStyle name="Normal 15 2 2 2 29" xfId="5984"/>
    <cellStyle name="Normal 15 2 2 2 3" xfId="5985"/>
    <cellStyle name="Normal 15 2 2 2 30" xfId="5986"/>
    <cellStyle name="Normal 15 2 2 2 31" xfId="5987"/>
    <cellStyle name="Normal 15 2 2 2 32" xfId="5988"/>
    <cellStyle name="Normal 15 2 2 2 33" xfId="5989"/>
    <cellStyle name="Normal 15 2 2 2 34" xfId="5990"/>
    <cellStyle name="Normal 15 2 2 2 35" xfId="5991"/>
    <cellStyle name="Normal 15 2 2 2 36" xfId="5992"/>
    <cellStyle name="Normal 15 2 2 2 37" xfId="5993"/>
    <cellStyle name="Normal 15 2 2 2 38" xfId="5994"/>
    <cellStyle name="Normal 15 2 2 2 39" xfId="5995"/>
    <cellStyle name="Normal 15 2 2 2 4" xfId="5996"/>
    <cellStyle name="Normal 15 2 2 2 40" xfId="5997"/>
    <cellStyle name="Normal 15 2 2 2 41" xfId="5998"/>
    <cellStyle name="Normal 15 2 2 2 42" xfId="5999"/>
    <cellStyle name="Normal 15 2 2 2 43" xfId="6000"/>
    <cellStyle name="Normal 15 2 2 2 44" xfId="6001"/>
    <cellStyle name="Normal 15 2 2 2 45" xfId="6002"/>
    <cellStyle name="Normal 15 2 2 2 46" xfId="6003"/>
    <cellStyle name="Normal 15 2 2 2 47" xfId="6004"/>
    <cellStyle name="Normal 15 2 2 2 48" xfId="6005"/>
    <cellStyle name="Normal 15 2 2 2 49" xfId="6006"/>
    <cellStyle name="Normal 15 2 2 2 5" xfId="6007"/>
    <cellStyle name="Normal 15 2 2 2 50" xfId="6008"/>
    <cellStyle name="Normal 15 2 2 2 51" xfId="6009"/>
    <cellStyle name="Normal 15 2 2 2 52" xfId="6010"/>
    <cellStyle name="Normal 15 2 2 2 53" xfId="6011"/>
    <cellStyle name="Normal 15 2 2 2 54" xfId="6012"/>
    <cellStyle name="Normal 15 2 2 2 55" xfId="6013"/>
    <cellStyle name="Normal 15 2 2 2 56" xfId="6014"/>
    <cellStyle name="Normal 15 2 2 2 57" xfId="6015"/>
    <cellStyle name="Normal 15 2 2 2 58" xfId="6016"/>
    <cellStyle name="Normal 15 2 2 2 59" xfId="6017"/>
    <cellStyle name="Normal 15 2 2 2 6" xfId="6018"/>
    <cellStyle name="Normal 15 2 2 2 60" xfId="6019"/>
    <cellStyle name="Normal 15 2 2 2 61" xfId="6020"/>
    <cellStyle name="Normal 15 2 2 2 62" xfId="6021"/>
    <cellStyle name="Normal 15 2 2 2 63" xfId="6022"/>
    <cellStyle name="Normal 15 2 2 2 64" xfId="6023"/>
    <cellStyle name="Normal 15 2 2 2 65" xfId="6024"/>
    <cellStyle name="Normal 15 2 2 2 66" xfId="6025"/>
    <cellStyle name="Normal 15 2 2 2 67" xfId="6026"/>
    <cellStyle name="Normal 15 2 2 2 68" xfId="6027"/>
    <cellStyle name="Normal 15 2 2 2 69" xfId="6028"/>
    <cellStyle name="Normal 15 2 2 2 7" xfId="6029"/>
    <cellStyle name="Normal 15 2 2 2 70" xfId="6030"/>
    <cellStyle name="Normal 15 2 2 2 71" xfId="6031"/>
    <cellStyle name="Normal 15 2 2 2 72" xfId="6032"/>
    <cellStyle name="Normal 15 2 2 2 73" xfId="6033"/>
    <cellStyle name="Normal 15 2 2 2 74" xfId="6034"/>
    <cellStyle name="Normal 15 2 2 2 75" xfId="6035"/>
    <cellStyle name="Normal 15 2 2 2 76" xfId="6036"/>
    <cellStyle name="Normal 15 2 2 2 77" xfId="6037"/>
    <cellStyle name="Normal 15 2 2 2 78" xfId="6038"/>
    <cellStyle name="Normal 15 2 2 2 79" xfId="6039"/>
    <cellStyle name="Normal 15 2 2 2 8" xfId="6040"/>
    <cellStyle name="Normal 15 2 2 2 80" xfId="6041"/>
    <cellStyle name="Normal 15 2 2 2 81" xfId="6042"/>
    <cellStyle name="Normal 15 2 2 2 82" xfId="6043"/>
    <cellStyle name="Normal 15 2 2 2 83" xfId="6044"/>
    <cellStyle name="Normal 15 2 2 2 9" xfId="6045"/>
    <cellStyle name="Normal 15 2 2 20" xfId="6046"/>
    <cellStyle name="Normal 15 2 2 21" xfId="6047"/>
    <cellStyle name="Normal 15 2 2 22" xfId="6048"/>
    <cellStyle name="Normal 15 2 2 23" xfId="6049"/>
    <cellStyle name="Normal 15 2 2 24" xfId="6050"/>
    <cellStyle name="Normal 15 2 2 25" xfId="6051"/>
    <cellStyle name="Normal 15 2 2 26" xfId="6052"/>
    <cellStyle name="Normal 15 2 2 27" xfId="6053"/>
    <cellStyle name="Normal 15 2 2 28" xfId="6054"/>
    <cellStyle name="Normal 15 2 2 29" xfId="6055"/>
    <cellStyle name="Normal 15 2 2 3" xfId="6056"/>
    <cellStyle name="Normal 15 2 2 30" xfId="6057"/>
    <cellStyle name="Normal 15 2 2 31" xfId="6058"/>
    <cellStyle name="Normal 15 2 2 32" xfId="6059"/>
    <cellStyle name="Normal 15 2 2 33" xfId="6060"/>
    <cellStyle name="Normal 15 2 2 34" xfId="6061"/>
    <cellStyle name="Normal 15 2 2 35" xfId="6062"/>
    <cellStyle name="Normal 15 2 2 36" xfId="6063"/>
    <cellStyle name="Normal 15 2 2 37" xfId="6064"/>
    <cellStyle name="Normal 15 2 2 38" xfId="6065"/>
    <cellStyle name="Normal 15 2 2 39" xfId="6066"/>
    <cellStyle name="Normal 15 2 2 4" xfId="6067"/>
    <cellStyle name="Normal 15 2 2 40" xfId="6068"/>
    <cellStyle name="Normal 15 2 2 41" xfId="6069"/>
    <cellStyle name="Normal 15 2 2 42" xfId="6070"/>
    <cellStyle name="Normal 15 2 2 43" xfId="6071"/>
    <cellStyle name="Normal 15 2 2 44" xfId="6072"/>
    <cellStyle name="Normal 15 2 2 45" xfId="6073"/>
    <cellStyle name="Normal 15 2 2 46" xfId="6074"/>
    <cellStyle name="Normal 15 2 2 47" xfId="6075"/>
    <cellStyle name="Normal 15 2 2 48" xfId="6076"/>
    <cellStyle name="Normal 15 2 2 49" xfId="6077"/>
    <cellStyle name="Normal 15 2 2 5" xfId="6078"/>
    <cellStyle name="Normal 15 2 2 50" xfId="6079"/>
    <cellStyle name="Normal 15 2 2 51" xfId="6080"/>
    <cellStyle name="Normal 15 2 2 52" xfId="6081"/>
    <cellStyle name="Normal 15 2 2 53" xfId="6082"/>
    <cellStyle name="Normal 15 2 2 54" xfId="6083"/>
    <cellStyle name="Normal 15 2 2 55" xfId="6084"/>
    <cellStyle name="Normal 15 2 2 56" xfId="6085"/>
    <cellStyle name="Normal 15 2 2 57" xfId="6086"/>
    <cellStyle name="Normal 15 2 2 58" xfId="6087"/>
    <cellStyle name="Normal 15 2 2 59" xfId="6088"/>
    <cellStyle name="Normal 15 2 2 6" xfId="6089"/>
    <cellStyle name="Normal 15 2 2 60" xfId="6090"/>
    <cellStyle name="Normal 15 2 2 61" xfId="6091"/>
    <cellStyle name="Normal 15 2 2 62" xfId="6092"/>
    <cellStyle name="Normal 15 2 2 63" xfId="6093"/>
    <cellStyle name="Normal 15 2 2 64" xfId="6094"/>
    <cellStyle name="Normal 15 2 2 65" xfId="6095"/>
    <cellStyle name="Normal 15 2 2 66" xfId="6096"/>
    <cellStyle name="Normal 15 2 2 67" xfId="6097"/>
    <cellStyle name="Normal 15 2 2 68" xfId="6098"/>
    <cellStyle name="Normal 15 2 2 69" xfId="6099"/>
    <cellStyle name="Normal 15 2 2 7" xfId="6100"/>
    <cellStyle name="Normal 15 2 2 70" xfId="6101"/>
    <cellStyle name="Normal 15 2 2 71" xfId="6102"/>
    <cellStyle name="Normal 15 2 2 72" xfId="6103"/>
    <cellStyle name="Normal 15 2 2 73" xfId="6104"/>
    <cellStyle name="Normal 15 2 2 74" xfId="6105"/>
    <cellStyle name="Normal 15 2 2 75" xfId="6106"/>
    <cellStyle name="Normal 15 2 2 76" xfId="6107"/>
    <cellStyle name="Normal 15 2 2 77" xfId="6108"/>
    <cellStyle name="Normal 15 2 2 78" xfId="6109"/>
    <cellStyle name="Normal 15 2 2 79" xfId="6110"/>
    <cellStyle name="Normal 15 2 2 8" xfId="6111"/>
    <cellStyle name="Normal 15 2 2 80" xfId="6112"/>
    <cellStyle name="Normal 15 2 2 81" xfId="6113"/>
    <cellStyle name="Normal 15 2 2 82" xfId="6114"/>
    <cellStyle name="Normal 15 2 2 83" xfId="6115"/>
    <cellStyle name="Normal 15 2 2 84" xfId="6116"/>
    <cellStyle name="Normal 15 2 2 9" xfId="6117"/>
    <cellStyle name="Normal 15 2 2_Cultura y Tiempo libre 2011 base 2012 PGM - EMV  2013" xfId="6118"/>
    <cellStyle name="Normal 15 2 20" xfId="6119"/>
    <cellStyle name="Normal 15 2 21" xfId="6120"/>
    <cellStyle name="Normal 15 2 22" xfId="6121"/>
    <cellStyle name="Normal 15 2 23" xfId="6122"/>
    <cellStyle name="Normal 15 2 24" xfId="6123"/>
    <cellStyle name="Normal 15 2 25" xfId="6124"/>
    <cellStyle name="Normal 15 2 26" xfId="6125"/>
    <cellStyle name="Normal 15 2 27" xfId="6126"/>
    <cellStyle name="Normal 15 2 28" xfId="6127"/>
    <cellStyle name="Normal 15 2 29" xfId="6128"/>
    <cellStyle name="Normal 15 2 3" xfId="6129"/>
    <cellStyle name="Normal 15 2 3 10" xfId="6130"/>
    <cellStyle name="Normal 15 2 3 11" xfId="6131"/>
    <cellStyle name="Normal 15 2 3 12" xfId="6132"/>
    <cellStyle name="Normal 15 2 3 13" xfId="6133"/>
    <cellStyle name="Normal 15 2 3 14" xfId="6134"/>
    <cellStyle name="Normal 15 2 3 15" xfId="6135"/>
    <cellStyle name="Normal 15 2 3 16" xfId="6136"/>
    <cellStyle name="Normal 15 2 3 17" xfId="6137"/>
    <cellStyle name="Normal 15 2 3 18" xfId="6138"/>
    <cellStyle name="Normal 15 2 3 19" xfId="6139"/>
    <cellStyle name="Normal 15 2 3 2" xfId="6140"/>
    <cellStyle name="Normal 15 2 3 2 10" xfId="6141"/>
    <cellStyle name="Normal 15 2 3 2 11" xfId="6142"/>
    <cellStyle name="Normal 15 2 3 2 12" xfId="6143"/>
    <cellStyle name="Normal 15 2 3 2 13" xfId="6144"/>
    <cellStyle name="Normal 15 2 3 2 14" xfId="6145"/>
    <cellStyle name="Normal 15 2 3 2 15" xfId="6146"/>
    <cellStyle name="Normal 15 2 3 2 16" xfId="6147"/>
    <cellStyle name="Normal 15 2 3 2 17" xfId="6148"/>
    <cellStyle name="Normal 15 2 3 2 18" xfId="6149"/>
    <cellStyle name="Normal 15 2 3 2 19" xfId="6150"/>
    <cellStyle name="Normal 15 2 3 2 2" xfId="6151"/>
    <cellStyle name="Normal 15 2 3 2 20" xfId="6152"/>
    <cellStyle name="Normal 15 2 3 2 21" xfId="6153"/>
    <cellStyle name="Normal 15 2 3 2 22" xfId="6154"/>
    <cellStyle name="Normal 15 2 3 2 23" xfId="6155"/>
    <cellStyle name="Normal 15 2 3 2 24" xfId="6156"/>
    <cellStyle name="Normal 15 2 3 2 25" xfId="6157"/>
    <cellStyle name="Normal 15 2 3 2 26" xfId="6158"/>
    <cellStyle name="Normal 15 2 3 2 27" xfId="6159"/>
    <cellStyle name="Normal 15 2 3 2 28" xfId="6160"/>
    <cellStyle name="Normal 15 2 3 2 29" xfId="6161"/>
    <cellStyle name="Normal 15 2 3 2 3" xfId="6162"/>
    <cellStyle name="Normal 15 2 3 2 30" xfId="6163"/>
    <cellStyle name="Normal 15 2 3 2 31" xfId="6164"/>
    <cellStyle name="Normal 15 2 3 2 32" xfId="6165"/>
    <cellStyle name="Normal 15 2 3 2 33" xfId="6166"/>
    <cellStyle name="Normal 15 2 3 2 34" xfId="6167"/>
    <cellStyle name="Normal 15 2 3 2 35" xfId="6168"/>
    <cellStyle name="Normal 15 2 3 2 36" xfId="6169"/>
    <cellStyle name="Normal 15 2 3 2 37" xfId="6170"/>
    <cellStyle name="Normal 15 2 3 2 38" xfId="6171"/>
    <cellStyle name="Normal 15 2 3 2 39" xfId="6172"/>
    <cellStyle name="Normal 15 2 3 2 4" xfId="6173"/>
    <cellStyle name="Normal 15 2 3 2 40" xfId="6174"/>
    <cellStyle name="Normal 15 2 3 2 41" xfId="6175"/>
    <cellStyle name="Normal 15 2 3 2 42" xfId="6176"/>
    <cellStyle name="Normal 15 2 3 2 43" xfId="6177"/>
    <cellStyle name="Normal 15 2 3 2 44" xfId="6178"/>
    <cellStyle name="Normal 15 2 3 2 45" xfId="6179"/>
    <cellStyle name="Normal 15 2 3 2 46" xfId="6180"/>
    <cellStyle name="Normal 15 2 3 2 47" xfId="6181"/>
    <cellStyle name="Normal 15 2 3 2 48" xfId="6182"/>
    <cellStyle name="Normal 15 2 3 2 49" xfId="6183"/>
    <cellStyle name="Normal 15 2 3 2 5" xfId="6184"/>
    <cellStyle name="Normal 15 2 3 2 50" xfId="6185"/>
    <cellStyle name="Normal 15 2 3 2 51" xfId="6186"/>
    <cellStyle name="Normal 15 2 3 2 52" xfId="6187"/>
    <cellStyle name="Normal 15 2 3 2 53" xfId="6188"/>
    <cellStyle name="Normal 15 2 3 2 54" xfId="6189"/>
    <cellStyle name="Normal 15 2 3 2 55" xfId="6190"/>
    <cellStyle name="Normal 15 2 3 2 56" xfId="6191"/>
    <cellStyle name="Normal 15 2 3 2 57" xfId="6192"/>
    <cellStyle name="Normal 15 2 3 2 58" xfId="6193"/>
    <cellStyle name="Normal 15 2 3 2 59" xfId="6194"/>
    <cellStyle name="Normal 15 2 3 2 6" xfId="6195"/>
    <cellStyle name="Normal 15 2 3 2 60" xfId="6196"/>
    <cellStyle name="Normal 15 2 3 2 61" xfId="6197"/>
    <cellStyle name="Normal 15 2 3 2 62" xfId="6198"/>
    <cellStyle name="Normal 15 2 3 2 63" xfId="6199"/>
    <cellStyle name="Normal 15 2 3 2 64" xfId="6200"/>
    <cellStyle name="Normal 15 2 3 2 65" xfId="6201"/>
    <cellStyle name="Normal 15 2 3 2 66" xfId="6202"/>
    <cellStyle name="Normal 15 2 3 2 67" xfId="6203"/>
    <cellStyle name="Normal 15 2 3 2 68" xfId="6204"/>
    <cellStyle name="Normal 15 2 3 2 69" xfId="6205"/>
    <cellStyle name="Normal 15 2 3 2 7" xfId="6206"/>
    <cellStyle name="Normal 15 2 3 2 70" xfId="6207"/>
    <cellStyle name="Normal 15 2 3 2 71" xfId="6208"/>
    <cellStyle name="Normal 15 2 3 2 72" xfId="6209"/>
    <cellStyle name="Normal 15 2 3 2 73" xfId="6210"/>
    <cellStyle name="Normal 15 2 3 2 74" xfId="6211"/>
    <cellStyle name="Normal 15 2 3 2 75" xfId="6212"/>
    <cellStyle name="Normal 15 2 3 2 76" xfId="6213"/>
    <cellStyle name="Normal 15 2 3 2 77" xfId="6214"/>
    <cellStyle name="Normal 15 2 3 2 78" xfId="6215"/>
    <cellStyle name="Normal 15 2 3 2 79" xfId="6216"/>
    <cellStyle name="Normal 15 2 3 2 8" xfId="6217"/>
    <cellStyle name="Normal 15 2 3 2 80" xfId="6218"/>
    <cellStyle name="Normal 15 2 3 2 81" xfId="6219"/>
    <cellStyle name="Normal 15 2 3 2 82" xfId="6220"/>
    <cellStyle name="Normal 15 2 3 2 83" xfId="6221"/>
    <cellStyle name="Normal 15 2 3 2 9" xfId="6222"/>
    <cellStyle name="Normal 15 2 3 20" xfId="6223"/>
    <cellStyle name="Normal 15 2 3 21" xfId="6224"/>
    <cellStyle name="Normal 15 2 3 22" xfId="6225"/>
    <cellStyle name="Normal 15 2 3 23" xfId="6226"/>
    <cellStyle name="Normal 15 2 3 24" xfId="6227"/>
    <cellStyle name="Normal 15 2 3 25" xfId="6228"/>
    <cellStyle name="Normal 15 2 3 26" xfId="6229"/>
    <cellStyle name="Normal 15 2 3 27" xfId="6230"/>
    <cellStyle name="Normal 15 2 3 28" xfId="6231"/>
    <cellStyle name="Normal 15 2 3 29" xfId="6232"/>
    <cellStyle name="Normal 15 2 3 3" xfId="6233"/>
    <cellStyle name="Normal 15 2 3 3 10" xfId="6234"/>
    <cellStyle name="Normal 15 2 3 3 11" xfId="6235"/>
    <cellStyle name="Normal 15 2 3 3 12" xfId="6236"/>
    <cellStyle name="Normal 15 2 3 3 13" xfId="6237"/>
    <cellStyle name="Normal 15 2 3 3 14" xfId="6238"/>
    <cellStyle name="Normal 15 2 3 3 15" xfId="6239"/>
    <cellStyle name="Normal 15 2 3 3 16" xfId="6240"/>
    <cellStyle name="Normal 15 2 3 3 17" xfId="6241"/>
    <cellStyle name="Normal 15 2 3 3 18" xfId="6242"/>
    <cellStyle name="Normal 15 2 3 3 19" xfId="6243"/>
    <cellStyle name="Normal 15 2 3 3 2" xfId="6244"/>
    <cellStyle name="Normal 15 2 3 3 2 10" xfId="6245"/>
    <cellStyle name="Normal 15 2 3 3 2 11" xfId="6246"/>
    <cellStyle name="Normal 15 2 3 3 2 12" xfId="6247"/>
    <cellStyle name="Normal 15 2 3 3 2 13" xfId="6248"/>
    <cellStyle name="Normal 15 2 3 3 2 14" xfId="6249"/>
    <cellStyle name="Normal 15 2 3 3 2 15" xfId="6250"/>
    <cellStyle name="Normal 15 2 3 3 2 16" xfId="6251"/>
    <cellStyle name="Normal 15 2 3 3 2 17" xfId="6252"/>
    <cellStyle name="Normal 15 2 3 3 2 18" xfId="6253"/>
    <cellStyle name="Normal 15 2 3 3 2 19" xfId="6254"/>
    <cellStyle name="Normal 15 2 3 3 2 2" xfId="6255"/>
    <cellStyle name="Normal 15 2 3 3 2 20" xfId="6256"/>
    <cellStyle name="Normal 15 2 3 3 2 21" xfId="6257"/>
    <cellStyle name="Normal 15 2 3 3 2 22" xfId="6258"/>
    <cellStyle name="Normal 15 2 3 3 2 23" xfId="6259"/>
    <cellStyle name="Normal 15 2 3 3 2 24" xfId="6260"/>
    <cellStyle name="Normal 15 2 3 3 2 25" xfId="6261"/>
    <cellStyle name="Normal 15 2 3 3 2 26" xfId="6262"/>
    <cellStyle name="Normal 15 2 3 3 2 27" xfId="6263"/>
    <cellStyle name="Normal 15 2 3 3 2 28" xfId="6264"/>
    <cellStyle name="Normal 15 2 3 3 2 29" xfId="6265"/>
    <cellStyle name="Normal 15 2 3 3 2 3" xfId="6266"/>
    <cellStyle name="Normal 15 2 3 3 2 30" xfId="6267"/>
    <cellStyle name="Normal 15 2 3 3 2 31" xfId="6268"/>
    <cellStyle name="Normal 15 2 3 3 2 32" xfId="6269"/>
    <cellStyle name="Normal 15 2 3 3 2 33" xfId="6270"/>
    <cellStyle name="Normal 15 2 3 3 2 34" xfId="6271"/>
    <cellStyle name="Normal 15 2 3 3 2 35" xfId="6272"/>
    <cellStyle name="Normal 15 2 3 3 2 36" xfId="6273"/>
    <cellStyle name="Normal 15 2 3 3 2 37" xfId="6274"/>
    <cellStyle name="Normal 15 2 3 3 2 38" xfId="6275"/>
    <cellStyle name="Normal 15 2 3 3 2 39" xfId="6276"/>
    <cellStyle name="Normal 15 2 3 3 2 4" xfId="6277"/>
    <cellStyle name="Normal 15 2 3 3 2 40" xfId="6278"/>
    <cellStyle name="Normal 15 2 3 3 2 41" xfId="6279"/>
    <cellStyle name="Normal 15 2 3 3 2 42" xfId="6280"/>
    <cellStyle name="Normal 15 2 3 3 2 43" xfId="6281"/>
    <cellStyle name="Normal 15 2 3 3 2 44" xfId="6282"/>
    <cellStyle name="Normal 15 2 3 3 2 45" xfId="6283"/>
    <cellStyle name="Normal 15 2 3 3 2 46" xfId="6284"/>
    <cellStyle name="Normal 15 2 3 3 2 47" xfId="6285"/>
    <cellStyle name="Normal 15 2 3 3 2 48" xfId="6286"/>
    <cellStyle name="Normal 15 2 3 3 2 49" xfId="6287"/>
    <cellStyle name="Normal 15 2 3 3 2 5" xfId="6288"/>
    <cellStyle name="Normal 15 2 3 3 2 50" xfId="6289"/>
    <cellStyle name="Normal 15 2 3 3 2 51" xfId="6290"/>
    <cellStyle name="Normal 15 2 3 3 2 52" xfId="6291"/>
    <cellStyle name="Normal 15 2 3 3 2 53" xfId="6292"/>
    <cellStyle name="Normal 15 2 3 3 2 54" xfId="6293"/>
    <cellStyle name="Normal 15 2 3 3 2 55" xfId="6294"/>
    <cellStyle name="Normal 15 2 3 3 2 56" xfId="6295"/>
    <cellStyle name="Normal 15 2 3 3 2 57" xfId="6296"/>
    <cellStyle name="Normal 15 2 3 3 2 58" xfId="6297"/>
    <cellStyle name="Normal 15 2 3 3 2 59" xfId="6298"/>
    <cellStyle name="Normal 15 2 3 3 2 6" xfId="6299"/>
    <cellStyle name="Normal 15 2 3 3 2 60" xfId="6300"/>
    <cellStyle name="Normal 15 2 3 3 2 61" xfId="6301"/>
    <cellStyle name="Normal 15 2 3 3 2 62" xfId="6302"/>
    <cellStyle name="Normal 15 2 3 3 2 63" xfId="6303"/>
    <cellStyle name="Normal 15 2 3 3 2 64" xfId="6304"/>
    <cellStyle name="Normal 15 2 3 3 2 65" xfId="6305"/>
    <cellStyle name="Normal 15 2 3 3 2 66" xfId="6306"/>
    <cellStyle name="Normal 15 2 3 3 2 67" xfId="6307"/>
    <cellStyle name="Normal 15 2 3 3 2 68" xfId="6308"/>
    <cellStyle name="Normal 15 2 3 3 2 69" xfId="6309"/>
    <cellStyle name="Normal 15 2 3 3 2 7" xfId="6310"/>
    <cellStyle name="Normal 15 2 3 3 2 70" xfId="6311"/>
    <cellStyle name="Normal 15 2 3 3 2 71" xfId="6312"/>
    <cellStyle name="Normal 15 2 3 3 2 72" xfId="6313"/>
    <cellStyle name="Normal 15 2 3 3 2 73" xfId="6314"/>
    <cellStyle name="Normal 15 2 3 3 2 74" xfId="6315"/>
    <cellStyle name="Normal 15 2 3 3 2 75" xfId="6316"/>
    <cellStyle name="Normal 15 2 3 3 2 76" xfId="6317"/>
    <cellStyle name="Normal 15 2 3 3 2 77" xfId="6318"/>
    <cellStyle name="Normal 15 2 3 3 2 78" xfId="6319"/>
    <cellStyle name="Normal 15 2 3 3 2 79" xfId="6320"/>
    <cellStyle name="Normal 15 2 3 3 2 8" xfId="6321"/>
    <cellStyle name="Normal 15 2 3 3 2 80" xfId="6322"/>
    <cellStyle name="Normal 15 2 3 3 2 81" xfId="6323"/>
    <cellStyle name="Normal 15 2 3 3 2 82" xfId="6324"/>
    <cellStyle name="Normal 15 2 3 3 2 83" xfId="6325"/>
    <cellStyle name="Normal 15 2 3 3 2 9" xfId="6326"/>
    <cellStyle name="Normal 15 2 3 3 20" xfId="6327"/>
    <cellStyle name="Normal 15 2 3 3 21" xfId="6328"/>
    <cellStyle name="Normal 15 2 3 3 22" xfId="6329"/>
    <cellStyle name="Normal 15 2 3 3 23" xfId="6330"/>
    <cellStyle name="Normal 15 2 3 3 24" xfId="6331"/>
    <cellStyle name="Normal 15 2 3 3 25" xfId="6332"/>
    <cellStyle name="Normal 15 2 3 3 26" xfId="6333"/>
    <cellStyle name="Normal 15 2 3 3 27" xfId="6334"/>
    <cellStyle name="Normal 15 2 3 3 28" xfId="6335"/>
    <cellStyle name="Normal 15 2 3 3 29" xfId="6336"/>
    <cellStyle name="Normal 15 2 3 3 3" xfId="6337"/>
    <cellStyle name="Normal 15 2 3 3 30" xfId="6338"/>
    <cellStyle name="Normal 15 2 3 3 31" xfId="6339"/>
    <cellStyle name="Normal 15 2 3 3 32" xfId="6340"/>
    <cellStyle name="Normal 15 2 3 3 33" xfId="6341"/>
    <cellStyle name="Normal 15 2 3 3 34" xfId="6342"/>
    <cellStyle name="Normal 15 2 3 3 35" xfId="6343"/>
    <cellStyle name="Normal 15 2 3 3 36" xfId="6344"/>
    <cellStyle name="Normal 15 2 3 3 37" xfId="6345"/>
    <cellStyle name="Normal 15 2 3 3 38" xfId="6346"/>
    <cellStyle name="Normal 15 2 3 3 39" xfId="6347"/>
    <cellStyle name="Normal 15 2 3 3 4" xfId="6348"/>
    <cellStyle name="Normal 15 2 3 3 40" xfId="6349"/>
    <cellStyle name="Normal 15 2 3 3 41" xfId="6350"/>
    <cellStyle name="Normal 15 2 3 3 42" xfId="6351"/>
    <cellStyle name="Normal 15 2 3 3 43" xfId="6352"/>
    <cellStyle name="Normal 15 2 3 3 44" xfId="6353"/>
    <cellStyle name="Normal 15 2 3 3 45" xfId="6354"/>
    <cellStyle name="Normal 15 2 3 3 46" xfId="6355"/>
    <cellStyle name="Normal 15 2 3 3 47" xfId="6356"/>
    <cellStyle name="Normal 15 2 3 3 48" xfId="6357"/>
    <cellStyle name="Normal 15 2 3 3 49" xfId="6358"/>
    <cellStyle name="Normal 15 2 3 3 5" xfId="6359"/>
    <cellStyle name="Normal 15 2 3 3 50" xfId="6360"/>
    <cellStyle name="Normal 15 2 3 3 51" xfId="6361"/>
    <cellStyle name="Normal 15 2 3 3 52" xfId="6362"/>
    <cellStyle name="Normal 15 2 3 3 53" xfId="6363"/>
    <cellStyle name="Normal 15 2 3 3 54" xfId="6364"/>
    <cellStyle name="Normal 15 2 3 3 55" xfId="6365"/>
    <cellStyle name="Normal 15 2 3 3 56" xfId="6366"/>
    <cellStyle name="Normal 15 2 3 3 57" xfId="6367"/>
    <cellStyle name="Normal 15 2 3 3 58" xfId="6368"/>
    <cellStyle name="Normal 15 2 3 3 59" xfId="6369"/>
    <cellStyle name="Normal 15 2 3 3 6" xfId="6370"/>
    <cellStyle name="Normal 15 2 3 3 60" xfId="6371"/>
    <cellStyle name="Normal 15 2 3 3 61" xfId="6372"/>
    <cellStyle name="Normal 15 2 3 3 62" xfId="6373"/>
    <cellStyle name="Normal 15 2 3 3 63" xfId="6374"/>
    <cellStyle name="Normal 15 2 3 3 64" xfId="6375"/>
    <cellStyle name="Normal 15 2 3 3 65" xfId="6376"/>
    <cellStyle name="Normal 15 2 3 3 66" xfId="6377"/>
    <cellStyle name="Normal 15 2 3 3 67" xfId="6378"/>
    <cellStyle name="Normal 15 2 3 3 68" xfId="6379"/>
    <cellStyle name="Normal 15 2 3 3 69" xfId="6380"/>
    <cellStyle name="Normal 15 2 3 3 7" xfId="6381"/>
    <cellStyle name="Normal 15 2 3 3 70" xfId="6382"/>
    <cellStyle name="Normal 15 2 3 3 71" xfId="6383"/>
    <cellStyle name="Normal 15 2 3 3 72" xfId="6384"/>
    <cellStyle name="Normal 15 2 3 3 73" xfId="6385"/>
    <cellStyle name="Normal 15 2 3 3 74" xfId="6386"/>
    <cellStyle name="Normal 15 2 3 3 75" xfId="6387"/>
    <cellStyle name="Normal 15 2 3 3 76" xfId="6388"/>
    <cellStyle name="Normal 15 2 3 3 77" xfId="6389"/>
    <cellStyle name="Normal 15 2 3 3 78" xfId="6390"/>
    <cellStyle name="Normal 15 2 3 3 79" xfId="6391"/>
    <cellStyle name="Normal 15 2 3 3 8" xfId="6392"/>
    <cellStyle name="Normal 15 2 3 3 80" xfId="6393"/>
    <cellStyle name="Normal 15 2 3 3 81" xfId="6394"/>
    <cellStyle name="Normal 15 2 3 3 82" xfId="6395"/>
    <cellStyle name="Normal 15 2 3 3 83" xfId="6396"/>
    <cellStyle name="Normal 15 2 3 3 84" xfId="6397"/>
    <cellStyle name="Normal 15 2 3 3 9" xfId="6398"/>
    <cellStyle name="Normal 15 2 3 3_Cultura y Tiempo libre 2011 base 2012 PGM - EMV  2013" xfId="6399"/>
    <cellStyle name="Normal 15 2 3 30" xfId="6400"/>
    <cellStyle name="Normal 15 2 3 31" xfId="6401"/>
    <cellStyle name="Normal 15 2 3 32" xfId="6402"/>
    <cellStyle name="Normal 15 2 3 33" xfId="6403"/>
    <cellStyle name="Normal 15 2 3 34" xfId="6404"/>
    <cellStyle name="Normal 15 2 3 35" xfId="6405"/>
    <cellStyle name="Normal 15 2 3 36" xfId="6406"/>
    <cellStyle name="Normal 15 2 3 37" xfId="6407"/>
    <cellStyle name="Normal 15 2 3 38" xfId="6408"/>
    <cellStyle name="Normal 15 2 3 39" xfId="6409"/>
    <cellStyle name="Normal 15 2 3 4" xfId="6410"/>
    <cellStyle name="Normal 15 2 3 40" xfId="6411"/>
    <cellStyle name="Normal 15 2 3 41" xfId="6412"/>
    <cellStyle name="Normal 15 2 3 42" xfId="6413"/>
    <cellStyle name="Normal 15 2 3 43" xfId="6414"/>
    <cellStyle name="Normal 15 2 3 44" xfId="6415"/>
    <cellStyle name="Normal 15 2 3 45" xfId="6416"/>
    <cellStyle name="Normal 15 2 3 46" xfId="6417"/>
    <cellStyle name="Normal 15 2 3 47" xfId="6418"/>
    <cellStyle name="Normal 15 2 3 48" xfId="6419"/>
    <cellStyle name="Normal 15 2 3 49" xfId="6420"/>
    <cellStyle name="Normal 15 2 3 5" xfId="6421"/>
    <cellStyle name="Normal 15 2 3 50" xfId="6422"/>
    <cellStyle name="Normal 15 2 3 51" xfId="6423"/>
    <cellStyle name="Normal 15 2 3 52" xfId="6424"/>
    <cellStyle name="Normal 15 2 3 53" xfId="6425"/>
    <cellStyle name="Normal 15 2 3 54" xfId="6426"/>
    <cellStyle name="Normal 15 2 3 55" xfId="6427"/>
    <cellStyle name="Normal 15 2 3 56" xfId="6428"/>
    <cellStyle name="Normal 15 2 3 57" xfId="6429"/>
    <cellStyle name="Normal 15 2 3 58" xfId="6430"/>
    <cellStyle name="Normal 15 2 3 59" xfId="6431"/>
    <cellStyle name="Normal 15 2 3 6" xfId="6432"/>
    <cellStyle name="Normal 15 2 3 60" xfId="6433"/>
    <cellStyle name="Normal 15 2 3 61" xfId="6434"/>
    <cellStyle name="Normal 15 2 3 62" xfId="6435"/>
    <cellStyle name="Normal 15 2 3 63" xfId="6436"/>
    <cellStyle name="Normal 15 2 3 64" xfId="6437"/>
    <cellStyle name="Normal 15 2 3 65" xfId="6438"/>
    <cellStyle name="Normal 15 2 3 66" xfId="6439"/>
    <cellStyle name="Normal 15 2 3 67" xfId="6440"/>
    <cellStyle name="Normal 15 2 3 68" xfId="6441"/>
    <cellStyle name="Normal 15 2 3 69" xfId="6442"/>
    <cellStyle name="Normal 15 2 3 7" xfId="6443"/>
    <cellStyle name="Normal 15 2 3 70" xfId="6444"/>
    <cellStyle name="Normal 15 2 3 71" xfId="6445"/>
    <cellStyle name="Normal 15 2 3 72" xfId="6446"/>
    <cellStyle name="Normal 15 2 3 73" xfId="6447"/>
    <cellStyle name="Normal 15 2 3 74" xfId="6448"/>
    <cellStyle name="Normal 15 2 3 75" xfId="6449"/>
    <cellStyle name="Normal 15 2 3 76" xfId="6450"/>
    <cellStyle name="Normal 15 2 3 77" xfId="6451"/>
    <cellStyle name="Normal 15 2 3 78" xfId="6452"/>
    <cellStyle name="Normal 15 2 3 79" xfId="6453"/>
    <cellStyle name="Normal 15 2 3 8" xfId="6454"/>
    <cellStyle name="Normal 15 2 3 80" xfId="6455"/>
    <cellStyle name="Normal 15 2 3 81" xfId="6456"/>
    <cellStyle name="Normal 15 2 3 82" xfId="6457"/>
    <cellStyle name="Normal 15 2 3 83" xfId="6458"/>
    <cellStyle name="Normal 15 2 3 84" xfId="6459"/>
    <cellStyle name="Normal 15 2 3 85" xfId="6460"/>
    <cellStyle name="Normal 15 2 3 9" xfId="6461"/>
    <cellStyle name="Normal 15 2 3_Cultura y Tiempo libre 2011 base 2012 PGM - EMV  2013" xfId="6462"/>
    <cellStyle name="Normal 15 2 30" xfId="6463"/>
    <cellStyle name="Normal 15 2 31" xfId="6464"/>
    <cellStyle name="Normal 15 2 32" xfId="6465"/>
    <cellStyle name="Normal 15 2 33" xfId="6466"/>
    <cellStyle name="Normal 15 2 34" xfId="6467"/>
    <cellStyle name="Normal 15 2 35" xfId="6468"/>
    <cellStyle name="Normal 15 2 36" xfId="6469"/>
    <cellStyle name="Normal 15 2 37" xfId="6470"/>
    <cellStyle name="Normal 15 2 38" xfId="6471"/>
    <cellStyle name="Normal 15 2 39" xfId="6472"/>
    <cellStyle name="Normal 15 2 4" xfId="6473"/>
    <cellStyle name="Normal 15 2 40" xfId="6474"/>
    <cellStyle name="Normal 15 2 41" xfId="6475"/>
    <cellStyle name="Normal 15 2 42" xfId="6476"/>
    <cellStyle name="Normal 15 2 43" xfId="6477"/>
    <cellStyle name="Normal 15 2 44" xfId="6478"/>
    <cellStyle name="Normal 15 2 45" xfId="6479"/>
    <cellStyle name="Normal 15 2 46" xfId="6480"/>
    <cellStyle name="Normal 15 2 47" xfId="6481"/>
    <cellStyle name="Normal 15 2 48" xfId="6482"/>
    <cellStyle name="Normal 15 2 49" xfId="6483"/>
    <cellStyle name="Normal 15 2 5" xfId="6484"/>
    <cellStyle name="Normal 15 2 50" xfId="6485"/>
    <cellStyle name="Normal 15 2 51" xfId="6486"/>
    <cellStyle name="Normal 15 2 52" xfId="6487"/>
    <cellStyle name="Normal 15 2 53" xfId="6488"/>
    <cellStyle name="Normal 15 2 54" xfId="6489"/>
    <cellStyle name="Normal 15 2 55" xfId="6490"/>
    <cellStyle name="Normal 15 2 56" xfId="6491"/>
    <cellStyle name="Normal 15 2 57" xfId="6492"/>
    <cellStyle name="Normal 15 2 58" xfId="6493"/>
    <cellStyle name="Normal 15 2 59" xfId="6494"/>
    <cellStyle name="Normal 15 2 6" xfId="6495"/>
    <cellStyle name="Normal 15 2 60" xfId="6496"/>
    <cellStyle name="Normal 15 2 61" xfId="6497"/>
    <cellStyle name="Normal 15 2 62" xfId="6498"/>
    <cellStyle name="Normal 15 2 63" xfId="6499"/>
    <cellStyle name="Normal 15 2 64" xfId="6500"/>
    <cellStyle name="Normal 15 2 65" xfId="6501"/>
    <cellStyle name="Normal 15 2 66" xfId="6502"/>
    <cellStyle name="Normal 15 2 67" xfId="6503"/>
    <cellStyle name="Normal 15 2 68" xfId="6504"/>
    <cellStyle name="Normal 15 2 69" xfId="6505"/>
    <cellStyle name="Normal 15 2 7" xfId="6506"/>
    <cellStyle name="Normal 15 2 70" xfId="6507"/>
    <cellStyle name="Normal 15 2 71" xfId="6508"/>
    <cellStyle name="Normal 15 2 72" xfId="6509"/>
    <cellStyle name="Normal 15 2 73" xfId="6510"/>
    <cellStyle name="Normal 15 2 74" xfId="6511"/>
    <cellStyle name="Normal 15 2 75" xfId="6512"/>
    <cellStyle name="Normal 15 2 76" xfId="6513"/>
    <cellStyle name="Normal 15 2 77" xfId="6514"/>
    <cellStyle name="Normal 15 2 78" xfId="6515"/>
    <cellStyle name="Normal 15 2 79" xfId="6516"/>
    <cellStyle name="Normal 15 2 8" xfId="6517"/>
    <cellStyle name="Normal 15 2 80" xfId="6518"/>
    <cellStyle name="Normal 15 2 81" xfId="6519"/>
    <cellStyle name="Normal 15 2 82" xfId="6520"/>
    <cellStyle name="Normal 15 2 83" xfId="6521"/>
    <cellStyle name="Normal 15 2 84" xfId="6522"/>
    <cellStyle name="Normal 15 2 85" xfId="6523"/>
    <cellStyle name="Normal 15 2 9" xfId="6524"/>
    <cellStyle name="Normal 15 2_Cultura y Tiempo libre 2011 base 2012 PGM - EMV  2013" xfId="6525"/>
    <cellStyle name="Normal 15 20" xfId="6526"/>
    <cellStyle name="Normal 15 21" xfId="6527"/>
    <cellStyle name="Normal 15 22" xfId="6528"/>
    <cellStyle name="Normal 15 23" xfId="6529"/>
    <cellStyle name="Normal 15 24" xfId="6530"/>
    <cellStyle name="Normal 15 25" xfId="6531"/>
    <cellStyle name="Normal 15 26" xfId="6532"/>
    <cellStyle name="Normal 15 27" xfId="6533"/>
    <cellStyle name="Normal 15 28" xfId="6534"/>
    <cellStyle name="Normal 15 29" xfId="6535"/>
    <cellStyle name="Normal 15 3" xfId="6536"/>
    <cellStyle name="Normal 15 30" xfId="6537"/>
    <cellStyle name="Normal 15 31" xfId="6538"/>
    <cellStyle name="Normal 15 32" xfId="6539"/>
    <cellStyle name="Normal 15 33" xfId="6540"/>
    <cellStyle name="Normal 15 34" xfId="6541"/>
    <cellStyle name="Normal 15 35" xfId="6542"/>
    <cellStyle name="Normal 15 36" xfId="6543"/>
    <cellStyle name="Normal 15 37" xfId="6544"/>
    <cellStyle name="Normal 15 38" xfId="6545"/>
    <cellStyle name="Normal 15 39" xfId="6546"/>
    <cellStyle name="Normal 15 4" xfId="6547"/>
    <cellStyle name="Normal 15 40" xfId="6548"/>
    <cellStyle name="Normal 15 41" xfId="6549"/>
    <cellStyle name="Normal 15 42" xfId="6550"/>
    <cellStyle name="Normal 15 43" xfId="6551"/>
    <cellStyle name="Normal 15 44" xfId="6552"/>
    <cellStyle name="Normal 15 45" xfId="6553"/>
    <cellStyle name="Normal 15 46" xfId="6554"/>
    <cellStyle name="Normal 15 47" xfId="6555"/>
    <cellStyle name="Normal 15 48" xfId="6556"/>
    <cellStyle name="Normal 15 49" xfId="6557"/>
    <cellStyle name="Normal 15 5" xfId="6558"/>
    <cellStyle name="Normal 15 50" xfId="6559"/>
    <cellStyle name="Normal 15 51" xfId="6560"/>
    <cellStyle name="Normal 15 52" xfId="6561"/>
    <cellStyle name="Normal 15 53" xfId="6562"/>
    <cellStyle name="Normal 15 54" xfId="6563"/>
    <cellStyle name="Normal 15 55" xfId="6564"/>
    <cellStyle name="Normal 15 56" xfId="6565"/>
    <cellStyle name="Normal 15 57" xfId="6566"/>
    <cellStyle name="Normal 15 58" xfId="6567"/>
    <cellStyle name="Normal 15 59" xfId="6568"/>
    <cellStyle name="Normal 15 6" xfId="6569"/>
    <cellStyle name="Normal 15 60" xfId="6570"/>
    <cellStyle name="Normal 15 61" xfId="6571"/>
    <cellStyle name="Normal 15 62" xfId="6572"/>
    <cellStyle name="Normal 15 63" xfId="6573"/>
    <cellStyle name="Normal 15 64" xfId="6574"/>
    <cellStyle name="Normal 15 65" xfId="6575"/>
    <cellStyle name="Normal 15 66" xfId="6576"/>
    <cellStyle name="Normal 15 67" xfId="6577"/>
    <cellStyle name="Normal 15 68" xfId="6578"/>
    <cellStyle name="Normal 15 69" xfId="6579"/>
    <cellStyle name="Normal 15 7" xfId="6580"/>
    <cellStyle name="Normal 15 70" xfId="6581"/>
    <cellStyle name="Normal 15 71" xfId="6582"/>
    <cellStyle name="Normal 15 72" xfId="6583"/>
    <cellStyle name="Normal 15 73" xfId="6584"/>
    <cellStyle name="Normal 15 74" xfId="6585"/>
    <cellStyle name="Normal 15 75" xfId="6586"/>
    <cellStyle name="Normal 15 76" xfId="6587"/>
    <cellStyle name="Normal 15 77" xfId="6588"/>
    <cellStyle name="Normal 15 78" xfId="6589"/>
    <cellStyle name="Normal 15 79" xfId="6590"/>
    <cellStyle name="Normal 15 8" xfId="6591"/>
    <cellStyle name="Normal 15 80" xfId="6592"/>
    <cellStyle name="Normal 15 81" xfId="6593"/>
    <cellStyle name="Normal 15 82" xfId="6594"/>
    <cellStyle name="Normal 15 83" xfId="6595"/>
    <cellStyle name="Normal 15 84" xfId="6596"/>
    <cellStyle name="Normal 15 9" xfId="6597"/>
    <cellStyle name="Normal 15_Cultura y Tiempo libre 2011 base 2012 PGM - EMV  2013" xfId="6598"/>
    <cellStyle name="Normal 16" xfId="6599"/>
    <cellStyle name="Normal 16 10" xfId="6600"/>
    <cellStyle name="Normal 16 11" xfId="6601"/>
    <cellStyle name="Normal 16 12" xfId="6602"/>
    <cellStyle name="Normal 16 13" xfId="6603"/>
    <cellStyle name="Normal 16 14" xfId="6604"/>
    <cellStyle name="Normal 16 15" xfId="6605"/>
    <cellStyle name="Normal 16 16" xfId="6606"/>
    <cellStyle name="Normal 16 17" xfId="6607"/>
    <cellStyle name="Normal 16 18" xfId="6608"/>
    <cellStyle name="Normal 16 19" xfId="6609"/>
    <cellStyle name="Normal 16 2" xfId="6610"/>
    <cellStyle name="Normal 16 2 10" xfId="6611"/>
    <cellStyle name="Normal 16 2 11" xfId="6612"/>
    <cellStyle name="Normal 16 2 12" xfId="6613"/>
    <cellStyle name="Normal 16 2 13" xfId="6614"/>
    <cellStyle name="Normal 16 2 14" xfId="6615"/>
    <cellStyle name="Normal 16 2 15" xfId="6616"/>
    <cellStyle name="Normal 16 2 16" xfId="6617"/>
    <cellStyle name="Normal 16 2 17" xfId="6618"/>
    <cellStyle name="Normal 16 2 18" xfId="6619"/>
    <cellStyle name="Normal 16 2 19" xfId="6620"/>
    <cellStyle name="Normal 16 2 2" xfId="6621"/>
    <cellStyle name="Normal 16 2 2 10" xfId="6622"/>
    <cellStyle name="Normal 16 2 2 11" xfId="6623"/>
    <cellStyle name="Normal 16 2 2 12" xfId="6624"/>
    <cellStyle name="Normal 16 2 2 13" xfId="6625"/>
    <cellStyle name="Normal 16 2 2 14" xfId="6626"/>
    <cellStyle name="Normal 16 2 2 15" xfId="6627"/>
    <cellStyle name="Normal 16 2 2 16" xfId="6628"/>
    <cellStyle name="Normal 16 2 2 17" xfId="6629"/>
    <cellStyle name="Normal 16 2 2 18" xfId="6630"/>
    <cellStyle name="Normal 16 2 2 19" xfId="6631"/>
    <cellStyle name="Normal 16 2 2 2" xfId="6632"/>
    <cellStyle name="Normal 16 2 2 2 10" xfId="6633"/>
    <cellStyle name="Normal 16 2 2 2 11" xfId="6634"/>
    <cellStyle name="Normal 16 2 2 2 12" xfId="6635"/>
    <cellStyle name="Normal 16 2 2 2 13" xfId="6636"/>
    <cellStyle name="Normal 16 2 2 2 14" xfId="6637"/>
    <cellStyle name="Normal 16 2 2 2 15" xfId="6638"/>
    <cellStyle name="Normal 16 2 2 2 16" xfId="6639"/>
    <cellStyle name="Normal 16 2 2 2 17" xfId="6640"/>
    <cellStyle name="Normal 16 2 2 2 18" xfId="6641"/>
    <cellStyle name="Normal 16 2 2 2 19" xfId="6642"/>
    <cellStyle name="Normal 16 2 2 2 2" xfId="6643"/>
    <cellStyle name="Normal 16 2 2 2 20" xfId="6644"/>
    <cellStyle name="Normal 16 2 2 2 21" xfId="6645"/>
    <cellStyle name="Normal 16 2 2 2 22" xfId="6646"/>
    <cellStyle name="Normal 16 2 2 2 23" xfId="6647"/>
    <cellStyle name="Normal 16 2 2 2 24" xfId="6648"/>
    <cellStyle name="Normal 16 2 2 2 25" xfId="6649"/>
    <cellStyle name="Normal 16 2 2 2 26" xfId="6650"/>
    <cellStyle name="Normal 16 2 2 2 27" xfId="6651"/>
    <cellStyle name="Normal 16 2 2 2 28" xfId="6652"/>
    <cellStyle name="Normal 16 2 2 2 29" xfId="6653"/>
    <cellStyle name="Normal 16 2 2 2 3" xfId="6654"/>
    <cellStyle name="Normal 16 2 2 2 30" xfId="6655"/>
    <cellStyle name="Normal 16 2 2 2 31" xfId="6656"/>
    <cellStyle name="Normal 16 2 2 2 32" xfId="6657"/>
    <cellStyle name="Normal 16 2 2 2 33" xfId="6658"/>
    <cellStyle name="Normal 16 2 2 2 34" xfId="6659"/>
    <cellStyle name="Normal 16 2 2 2 35" xfId="6660"/>
    <cellStyle name="Normal 16 2 2 2 36" xfId="6661"/>
    <cellStyle name="Normal 16 2 2 2 37" xfId="6662"/>
    <cellStyle name="Normal 16 2 2 2 38" xfId="6663"/>
    <cellStyle name="Normal 16 2 2 2 39" xfId="6664"/>
    <cellStyle name="Normal 16 2 2 2 4" xfId="6665"/>
    <cellStyle name="Normal 16 2 2 2 40" xfId="6666"/>
    <cellStyle name="Normal 16 2 2 2 41" xfId="6667"/>
    <cellStyle name="Normal 16 2 2 2 42" xfId="6668"/>
    <cellStyle name="Normal 16 2 2 2 43" xfId="6669"/>
    <cellStyle name="Normal 16 2 2 2 44" xfId="6670"/>
    <cellStyle name="Normal 16 2 2 2 45" xfId="6671"/>
    <cellStyle name="Normal 16 2 2 2 46" xfId="6672"/>
    <cellStyle name="Normal 16 2 2 2 47" xfId="6673"/>
    <cellStyle name="Normal 16 2 2 2 48" xfId="6674"/>
    <cellStyle name="Normal 16 2 2 2 49" xfId="6675"/>
    <cellStyle name="Normal 16 2 2 2 5" xfId="6676"/>
    <cellStyle name="Normal 16 2 2 2 50" xfId="6677"/>
    <cellStyle name="Normal 16 2 2 2 51" xfId="6678"/>
    <cellStyle name="Normal 16 2 2 2 52" xfId="6679"/>
    <cellStyle name="Normal 16 2 2 2 53" xfId="6680"/>
    <cellStyle name="Normal 16 2 2 2 54" xfId="6681"/>
    <cellStyle name="Normal 16 2 2 2 55" xfId="6682"/>
    <cellStyle name="Normal 16 2 2 2 56" xfId="6683"/>
    <cellStyle name="Normal 16 2 2 2 57" xfId="6684"/>
    <cellStyle name="Normal 16 2 2 2 58" xfId="6685"/>
    <cellStyle name="Normal 16 2 2 2 59" xfId="6686"/>
    <cellStyle name="Normal 16 2 2 2 6" xfId="6687"/>
    <cellStyle name="Normal 16 2 2 2 60" xfId="6688"/>
    <cellStyle name="Normal 16 2 2 2 61" xfId="6689"/>
    <cellStyle name="Normal 16 2 2 2 62" xfId="6690"/>
    <cellStyle name="Normal 16 2 2 2 63" xfId="6691"/>
    <cellStyle name="Normal 16 2 2 2 64" xfId="6692"/>
    <cellStyle name="Normal 16 2 2 2 65" xfId="6693"/>
    <cellStyle name="Normal 16 2 2 2 66" xfId="6694"/>
    <cellStyle name="Normal 16 2 2 2 67" xfId="6695"/>
    <cellStyle name="Normal 16 2 2 2 68" xfId="6696"/>
    <cellStyle name="Normal 16 2 2 2 69" xfId="6697"/>
    <cellStyle name="Normal 16 2 2 2 7" xfId="6698"/>
    <cellStyle name="Normal 16 2 2 2 70" xfId="6699"/>
    <cellStyle name="Normal 16 2 2 2 71" xfId="6700"/>
    <cellStyle name="Normal 16 2 2 2 72" xfId="6701"/>
    <cellStyle name="Normal 16 2 2 2 73" xfId="6702"/>
    <cellStyle name="Normal 16 2 2 2 74" xfId="6703"/>
    <cellStyle name="Normal 16 2 2 2 75" xfId="6704"/>
    <cellStyle name="Normal 16 2 2 2 76" xfId="6705"/>
    <cellStyle name="Normal 16 2 2 2 77" xfId="6706"/>
    <cellStyle name="Normal 16 2 2 2 78" xfId="6707"/>
    <cellStyle name="Normal 16 2 2 2 79" xfId="6708"/>
    <cellStyle name="Normal 16 2 2 2 8" xfId="6709"/>
    <cellStyle name="Normal 16 2 2 2 80" xfId="6710"/>
    <cellStyle name="Normal 16 2 2 2 81" xfId="6711"/>
    <cellStyle name="Normal 16 2 2 2 82" xfId="6712"/>
    <cellStyle name="Normal 16 2 2 2 83" xfId="6713"/>
    <cellStyle name="Normal 16 2 2 2 9" xfId="6714"/>
    <cellStyle name="Normal 16 2 2 20" xfId="6715"/>
    <cellStyle name="Normal 16 2 2 21" xfId="6716"/>
    <cellStyle name="Normal 16 2 2 22" xfId="6717"/>
    <cellStyle name="Normal 16 2 2 23" xfId="6718"/>
    <cellStyle name="Normal 16 2 2 24" xfId="6719"/>
    <cellStyle name="Normal 16 2 2 25" xfId="6720"/>
    <cellStyle name="Normal 16 2 2 26" xfId="6721"/>
    <cellStyle name="Normal 16 2 2 27" xfId="6722"/>
    <cellStyle name="Normal 16 2 2 28" xfId="6723"/>
    <cellStyle name="Normal 16 2 2 29" xfId="6724"/>
    <cellStyle name="Normal 16 2 2 3" xfId="6725"/>
    <cellStyle name="Normal 16 2 2 3 10" xfId="6726"/>
    <cellStyle name="Normal 16 2 2 3 11" xfId="6727"/>
    <cellStyle name="Normal 16 2 2 3 12" xfId="6728"/>
    <cellStyle name="Normal 16 2 2 3 13" xfId="6729"/>
    <cellStyle name="Normal 16 2 2 3 14" xfId="6730"/>
    <cellStyle name="Normal 16 2 2 3 15" xfId="6731"/>
    <cellStyle name="Normal 16 2 2 3 16" xfId="6732"/>
    <cellStyle name="Normal 16 2 2 3 17" xfId="6733"/>
    <cellStyle name="Normal 16 2 2 3 18" xfId="6734"/>
    <cellStyle name="Normal 16 2 2 3 19" xfId="6735"/>
    <cellStyle name="Normal 16 2 2 3 2" xfId="6736"/>
    <cellStyle name="Normal 16 2 2 3 2 10" xfId="6737"/>
    <cellStyle name="Normal 16 2 2 3 2 11" xfId="6738"/>
    <cellStyle name="Normal 16 2 2 3 2 12" xfId="6739"/>
    <cellStyle name="Normal 16 2 2 3 2 13" xfId="6740"/>
    <cellStyle name="Normal 16 2 2 3 2 14" xfId="6741"/>
    <cellStyle name="Normal 16 2 2 3 2 15" xfId="6742"/>
    <cellStyle name="Normal 16 2 2 3 2 16" xfId="6743"/>
    <cellStyle name="Normal 16 2 2 3 2 17" xfId="6744"/>
    <cellStyle name="Normal 16 2 2 3 2 18" xfId="6745"/>
    <cellStyle name="Normal 16 2 2 3 2 19" xfId="6746"/>
    <cellStyle name="Normal 16 2 2 3 2 2" xfId="6747"/>
    <cellStyle name="Normal 16 2 2 3 2 20" xfId="6748"/>
    <cellStyle name="Normal 16 2 2 3 2 21" xfId="6749"/>
    <cellStyle name="Normal 16 2 2 3 2 22" xfId="6750"/>
    <cellStyle name="Normal 16 2 2 3 2 23" xfId="6751"/>
    <cellStyle name="Normal 16 2 2 3 2 24" xfId="6752"/>
    <cellStyle name="Normal 16 2 2 3 2 25" xfId="6753"/>
    <cellStyle name="Normal 16 2 2 3 2 26" xfId="6754"/>
    <cellStyle name="Normal 16 2 2 3 2 27" xfId="6755"/>
    <cellStyle name="Normal 16 2 2 3 2 28" xfId="6756"/>
    <cellStyle name="Normal 16 2 2 3 2 29" xfId="6757"/>
    <cellStyle name="Normal 16 2 2 3 2 3" xfId="6758"/>
    <cellStyle name="Normal 16 2 2 3 2 30" xfId="6759"/>
    <cellStyle name="Normal 16 2 2 3 2 31" xfId="6760"/>
    <cellStyle name="Normal 16 2 2 3 2 32" xfId="6761"/>
    <cellStyle name="Normal 16 2 2 3 2 33" xfId="6762"/>
    <cellStyle name="Normal 16 2 2 3 2 34" xfId="6763"/>
    <cellStyle name="Normal 16 2 2 3 2 35" xfId="6764"/>
    <cellStyle name="Normal 16 2 2 3 2 36" xfId="6765"/>
    <cellStyle name="Normal 16 2 2 3 2 37" xfId="6766"/>
    <cellStyle name="Normal 16 2 2 3 2 38" xfId="6767"/>
    <cellStyle name="Normal 16 2 2 3 2 39" xfId="6768"/>
    <cellStyle name="Normal 16 2 2 3 2 4" xfId="6769"/>
    <cellStyle name="Normal 16 2 2 3 2 40" xfId="6770"/>
    <cellStyle name="Normal 16 2 2 3 2 41" xfId="6771"/>
    <cellStyle name="Normal 16 2 2 3 2 42" xfId="6772"/>
    <cellStyle name="Normal 16 2 2 3 2 43" xfId="6773"/>
    <cellStyle name="Normal 16 2 2 3 2 44" xfId="6774"/>
    <cellStyle name="Normal 16 2 2 3 2 45" xfId="6775"/>
    <cellStyle name="Normal 16 2 2 3 2 46" xfId="6776"/>
    <cellStyle name="Normal 16 2 2 3 2 47" xfId="6777"/>
    <cellStyle name="Normal 16 2 2 3 2 48" xfId="6778"/>
    <cellStyle name="Normal 16 2 2 3 2 49" xfId="6779"/>
    <cellStyle name="Normal 16 2 2 3 2 5" xfId="6780"/>
    <cellStyle name="Normal 16 2 2 3 2 50" xfId="6781"/>
    <cellStyle name="Normal 16 2 2 3 2 51" xfId="6782"/>
    <cellStyle name="Normal 16 2 2 3 2 52" xfId="6783"/>
    <cellStyle name="Normal 16 2 2 3 2 53" xfId="6784"/>
    <cellStyle name="Normal 16 2 2 3 2 54" xfId="6785"/>
    <cellStyle name="Normal 16 2 2 3 2 55" xfId="6786"/>
    <cellStyle name="Normal 16 2 2 3 2 56" xfId="6787"/>
    <cellStyle name="Normal 16 2 2 3 2 57" xfId="6788"/>
    <cellStyle name="Normal 16 2 2 3 2 58" xfId="6789"/>
    <cellStyle name="Normal 16 2 2 3 2 59" xfId="6790"/>
    <cellStyle name="Normal 16 2 2 3 2 6" xfId="6791"/>
    <cellStyle name="Normal 16 2 2 3 2 60" xfId="6792"/>
    <cellStyle name="Normal 16 2 2 3 2 61" xfId="6793"/>
    <cellStyle name="Normal 16 2 2 3 2 62" xfId="6794"/>
    <cellStyle name="Normal 16 2 2 3 2 63" xfId="6795"/>
    <cellStyle name="Normal 16 2 2 3 2 64" xfId="6796"/>
    <cellStyle name="Normal 16 2 2 3 2 65" xfId="6797"/>
    <cellStyle name="Normal 16 2 2 3 2 66" xfId="6798"/>
    <cellStyle name="Normal 16 2 2 3 2 67" xfId="6799"/>
    <cellStyle name="Normal 16 2 2 3 2 68" xfId="6800"/>
    <cellStyle name="Normal 16 2 2 3 2 69" xfId="6801"/>
    <cellStyle name="Normal 16 2 2 3 2 7" xfId="6802"/>
    <cellStyle name="Normal 16 2 2 3 2 70" xfId="6803"/>
    <cellStyle name="Normal 16 2 2 3 2 71" xfId="6804"/>
    <cellStyle name="Normal 16 2 2 3 2 72" xfId="6805"/>
    <cellStyle name="Normal 16 2 2 3 2 73" xfId="6806"/>
    <cellStyle name="Normal 16 2 2 3 2 74" xfId="6807"/>
    <cellStyle name="Normal 16 2 2 3 2 75" xfId="6808"/>
    <cellStyle name="Normal 16 2 2 3 2 76" xfId="6809"/>
    <cellStyle name="Normal 16 2 2 3 2 77" xfId="6810"/>
    <cellStyle name="Normal 16 2 2 3 2 78" xfId="6811"/>
    <cellStyle name="Normal 16 2 2 3 2 79" xfId="6812"/>
    <cellStyle name="Normal 16 2 2 3 2 8" xfId="6813"/>
    <cellStyle name="Normal 16 2 2 3 2 80" xfId="6814"/>
    <cellStyle name="Normal 16 2 2 3 2 81" xfId="6815"/>
    <cellStyle name="Normal 16 2 2 3 2 82" xfId="6816"/>
    <cellStyle name="Normal 16 2 2 3 2 83" xfId="6817"/>
    <cellStyle name="Normal 16 2 2 3 2 9" xfId="6818"/>
    <cellStyle name="Normal 16 2 2 3 20" xfId="6819"/>
    <cellStyle name="Normal 16 2 2 3 21" xfId="6820"/>
    <cellStyle name="Normal 16 2 2 3 22" xfId="6821"/>
    <cellStyle name="Normal 16 2 2 3 23" xfId="6822"/>
    <cellStyle name="Normal 16 2 2 3 24" xfId="6823"/>
    <cellStyle name="Normal 16 2 2 3 25" xfId="6824"/>
    <cellStyle name="Normal 16 2 2 3 26" xfId="6825"/>
    <cellStyle name="Normal 16 2 2 3 27" xfId="6826"/>
    <cellStyle name="Normal 16 2 2 3 28" xfId="6827"/>
    <cellStyle name="Normal 16 2 2 3 29" xfId="6828"/>
    <cellStyle name="Normal 16 2 2 3 3" xfId="6829"/>
    <cellStyle name="Normal 16 2 2 3 30" xfId="6830"/>
    <cellStyle name="Normal 16 2 2 3 31" xfId="6831"/>
    <cellStyle name="Normal 16 2 2 3 32" xfId="6832"/>
    <cellStyle name="Normal 16 2 2 3 33" xfId="6833"/>
    <cellStyle name="Normal 16 2 2 3 34" xfId="6834"/>
    <cellStyle name="Normal 16 2 2 3 35" xfId="6835"/>
    <cellStyle name="Normal 16 2 2 3 36" xfId="6836"/>
    <cellStyle name="Normal 16 2 2 3 37" xfId="6837"/>
    <cellStyle name="Normal 16 2 2 3 38" xfId="6838"/>
    <cellStyle name="Normal 16 2 2 3 39" xfId="6839"/>
    <cellStyle name="Normal 16 2 2 3 4" xfId="6840"/>
    <cellStyle name="Normal 16 2 2 3 40" xfId="6841"/>
    <cellStyle name="Normal 16 2 2 3 41" xfId="6842"/>
    <cellStyle name="Normal 16 2 2 3 42" xfId="6843"/>
    <cellStyle name="Normal 16 2 2 3 43" xfId="6844"/>
    <cellStyle name="Normal 16 2 2 3 44" xfId="6845"/>
    <cellStyle name="Normal 16 2 2 3 45" xfId="6846"/>
    <cellStyle name="Normal 16 2 2 3 46" xfId="6847"/>
    <cellStyle name="Normal 16 2 2 3 47" xfId="6848"/>
    <cellStyle name="Normal 16 2 2 3 48" xfId="6849"/>
    <cellStyle name="Normal 16 2 2 3 49" xfId="6850"/>
    <cellStyle name="Normal 16 2 2 3 5" xfId="6851"/>
    <cellStyle name="Normal 16 2 2 3 50" xfId="6852"/>
    <cellStyle name="Normal 16 2 2 3 51" xfId="6853"/>
    <cellStyle name="Normal 16 2 2 3 52" xfId="6854"/>
    <cellStyle name="Normal 16 2 2 3 53" xfId="6855"/>
    <cellStyle name="Normal 16 2 2 3 54" xfId="6856"/>
    <cellStyle name="Normal 16 2 2 3 55" xfId="6857"/>
    <cellStyle name="Normal 16 2 2 3 56" xfId="6858"/>
    <cellStyle name="Normal 16 2 2 3 57" xfId="6859"/>
    <cellStyle name="Normal 16 2 2 3 58" xfId="6860"/>
    <cellStyle name="Normal 16 2 2 3 59" xfId="6861"/>
    <cellStyle name="Normal 16 2 2 3 6" xfId="6862"/>
    <cellStyle name="Normal 16 2 2 3 60" xfId="6863"/>
    <cellStyle name="Normal 16 2 2 3 61" xfId="6864"/>
    <cellStyle name="Normal 16 2 2 3 62" xfId="6865"/>
    <cellStyle name="Normal 16 2 2 3 63" xfId="6866"/>
    <cellStyle name="Normal 16 2 2 3 64" xfId="6867"/>
    <cellStyle name="Normal 16 2 2 3 65" xfId="6868"/>
    <cellStyle name="Normal 16 2 2 3 66" xfId="6869"/>
    <cellStyle name="Normal 16 2 2 3 67" xfId="6870"/>
    <cellStyle name="Normal 16 2 2 3 68" xfId="6871"/>
    <cellStyle name="Normal 16 2 2 3 69" xfId="6872"/>
    <cellStyle name="Normal 16 2 2 3 7" xfId="6873"/>
    <cellStyle name="Normal 16 2 2 3 70" xfId="6874"/>
    <cellStyle name="Normal 16 2 2 3 71" xfId="6875"/>
    <cellStyle name="Normal 16 2 2 3 72" xfId="6876"/>
    <cellStyle name="Normal 16 2 2 3 73" xfId="6877"/>
    <cellStyle name="Normal 16 2 2 3 74" xfId="6878"/>
    <cellStyle name="Normal 16 2 2 3 75" xfId="6879"/>
    <cellStyle name="Normal 16 2 2 3 76" xfId="6880"/>
    <cellStyle name="Normal 16 2 2 3 77" xfId="6881"/>
    <cellStyle name="Normal 16 2 2 3 78" xfId="6882"/>
    <cellStyle name="Normal 16 2 2 3 79" xfId="6883"/>
    <cellStyle name="Normal 16 2 2 3 8" xfId="6884"/>
    <cellStyle name="Normal 16 2 2 3 80" xfId="6885"/>
    <cellStyle name="Normal 16 2 2 3 81" xfId="6886"/>
    <cellStyle name="Normal 16 2 2 3 82" xfId="6887"/>
    <cellStyle name="Normal 16 2 2 3 83" xfId="6888"/>
    <cellStyle name="Normal 16 2 2 3 84" xfId="6889"/>
    <cellStyle name="Normal 16 2 2 3 9" xfId="6890"/>
    <cellStyle name="Normal 16 2 2 3_Cultura y Tiempo libre 2011 base 2012 PGM - EMV  2013" xfId="6891"/>
    <cellStyle name="Normal 16 2 2 30" xfId="6892"/>
    <cellStyle name="Normal 16 2 2 31" xfId="6893"/>
    <cellStyle name="Normal 16 2 2 32" xfId="6894"/>
    <cellStyle name="Normal 16 2 2 33" xfId="6895"/>
    <cellStyle name="Normal 16 2 2 34" xfId="6896"/>
    <cellStyle name="Normal 16 2 2 35" xfId="6897"/>
    <cellStyle name="Normal 16 2 2 36" xfId="6898"/>
    <cellStyle name="Normal 16 2 2 37" xfId="6899"/>
    <cellStyle name="Normal 16 2 2 38" xfId="6900"/>
    <cellStyle name="Normal 16 2 2 39" xfId="6901"/>
    <cellStyle name="Normal 16 2 2 4" xfId="6902"/>
    <cellStyle name="Normal 16 2 2 40" xfId="6903"/>
    <cellStyle name="Normal 16 2 2 41" xfId="6904"/>
    <cellStyle name="Normal 16 2 2 42" xfId="6905"/>
    <cellStyle name="Normal 16 2 2 43" xfId="6906"/>
    <cellStyle name="Normal 16 2 2 44" xfId="6907"/>
    <cellStyle name="Normal 16 2 2 45" xfId="6908"/>
    <cellStyle name="Normal 16 2 2 46" xfId="6909"/>
    <cellStyle name="Normal 16 2 2 47" xfId="6910"/>
    <cellStyle name="Normal 16 2 2 48" xfId="6911"/>
    <cellStyle name="Normal 16 2 2 49" xfId="6912"/>
    <cellStyle name="Normal 16 2 2 5" xfId="6913"/>
    <cellStyle name="Normal 16 2 2 50" xfId="6914"/>
    <cellStyle name="Normal 16 2 2 51" xfId="6915"/>
    <cellStyle name="Normal 16 2 2 52" xfId="6916"/>
    <cellStyle name="Normal 16 2 2 53" xfId="6917"/>
    <cellStyle name="Normal 16 2 2 54" xfId="6918"/>
    <cellStyle name="Normal 16 2 2 55" xfId="6919"/>
    <cellStyle name="Normal 16 2 2 56" xfId="6920"/>
    <cellStyle name="Normal 16 2 2 57" xfId="6921"/>
    <cellStyle name="Normal 16 2 2 58" xfId="6922"/>
    <cellStyle name="Normal 16 2 2 59" xfId="6923"/>
    <cellStyle name="Normal 16 2 2 6" xfId="6924"/>
    <cellStyle name="Normal 16 2 2 60" xfId="6925"/>
    <cellStyle name="Normal 16 2 2 61" xfId="6926"/>
    <cellStyle name="Normal 16 2 2 62" xfId="6927"/>
    <cellStyle name="Normal 16 2 2 63" xfId="6928"/>
    <cellStyle name="Normal 16 2 2 64" xfId="6929"/>
    <cellStyle name="Normal 16 2 2 65" xfId="6930"/>
    <cellStyle name="Normal 16 2 2 66" xfId="6931"/>
    <cellStyle name="Normal 16 2 2 67" xfId="6932"/>
    <cellStyle name="Normal 16 2 2 68" xfId="6933"/>
    <cellStyle name="Normal 16 2 2 69" xfId="6934"/>
    <cellStyle name="Normal 16 2 2 7" xfId="6935"/>
    <cellStyle name="Normal 16 2 2 70" xfId="6936"/>
    <cellStyle name="Normal 16 2 2 71" xfId="6937"/>
    <cellStyle name="Normal 16 2 2 72" xfId="6938"/>
    <cellStyle name="Normal 16 2 2 73" xfId="6939"/>
    <cellStyle name="Normal 16 2 2 74" xfId="6940"/>
    <cellStyle name="Normal 16 2 2 75" xfId="6941"/>
    <cellStyle name="Normal 16 2 2 76" xfId="6942"/>
    <cellStyle name="Normal 16 2 2 77" xfId="6943"/>
    <cellStyle name="Normal 16 2 2 78" xfId="6944"/>
    <cellStyle name="Normal 16 2 2 79" xfId="6945"/>
    <cellStyle name="Normal 16 2 2 8" xfId="6946"/>
    <cellStyle name="Normal 16 2 2 80" xfId="6947"/>
    <cellStyle name="Normal 16 2 2 81" xfId="6948"/>
    <cellStyle name="Normal 16 2 2 82" xfId="6949"/>
    <cellStyle name="Normal 16 2 2 83" xfId="6950"/>
    <cellStyle name="Normal 16 2 2 84" xfId="6951"/>
    <cellStyle name="Normal 16 2 2 85" xfId="6952"/>
    <cellStyle name="Normal 16 2 2 9" xfId="6953"/>
    <cellStyle name="Normal 16 2 2_Cultura y Tiempo libre 2011 base 2012 PGM - EMV  2013" xfId="6954"/>
    <cellStyle name="Normal 16 2 20" xfId="6955"/>
    <cellStyle name="Normal 16 2 21" xfId="6956"/>
    <cellStyle name="Normal 16 2 22" xfId="6957"/>
    <cellStyle name="Normal 16 2 23" xfId="6958"/>
    <cellStyle name="Normal 16 2 24" xfId="6959"/>
    <cellStyle name="Normal 16 2 25" xfId="6960"/>
    <cellStyle name="Normal 16 2 26" xfId="6961"/>
    <cellStyle name="Normal 16 2 27" xfId="6962"/>
    <cellStyle name="Normal 16 2 28" xfId="6963"/>
    <cellStyle name="Normal 16 2 29" xfId="6964"/>
    <cellStyle name="Normal 16 2 3" xfId="6965"/>
    <cellStyle name="Normal 16 2 3 10" xfId="6966"/>
    <cellStyle name="Normal 16 2 3 11" xfId="6967"/>
    <cellStyle name="Normal 16 2 3 12" xfId="6968"/>
    <cellStyle name="Normal 16 2 3 13" xfId="6969"/>
    <cellStyle name="Normal 16 2 3 14" xfId="6970"/>
    <cellStyle name="Normal 16 2 3 15" xfId="6971"/>
    <cellStyle name="Normal 16 2 3 16" xfId="6972"/>
    <cellStyle name="Normal 16 2 3 17" xfId="6973"/>
    <cellStyle name="Normal 16 2 3 18" xfId="6974"/>
    <cellStyle name="Normal 16 2 3 19" xfId="6975"/>
    <cellStyle name="Normal 16 2 3 2" xfId="6976"/>
    <cellStyle name="Normal 16 2 3 20" xfId="6977"/>
    <cellStyle name="Normal 16 2 3 21" xfId="6978"/>
    <cellStyle name="Normal 16 2 3 22" xfId="6979"/>
    <cellStyle name="Normal 16 2 3 23" xfId="6980"/>
    <cellStyle name="Normal 16 2 3 24" xfId="6981"/>
    <cellStyle name="Normal 16 2 3 25" xfId="6982"/>
    <cellStyle name="Normal 16 2 3 26" xfId="6983"/>
    <cellStyle name="Normal 16 2 3 27" xfId="6984"/>
    <cellStyle name="Normal 16 2 3 28" xfId="6985"/>
    <cellStyle name="Normal 16 2 3 29" xfId="6986"/>
    <cellStyle name="Normal 16 2 3 3" xfId="6987"/>
    <cellStyle name="Normal 16 2 3 30" xfId="6988"/>
    <cellStyle name="Normal 16 2 3 31" xfId="6989"/>
    <cellStyle name="Normal 16 2 3 32" xfId="6990"/>
    <cellStyle name="Normal 16 2 3 33" xfId="6991"/>
    <cellStyle name="Normal 16 2 3 34" xfId="6992"/>
    <cellStyle name="Normal 16 2 3 35" xfId="6993"/>
    <cellStyle name="Normal 16 2 3 36" xfId="6994"/>
    <cellStyle name="Normal 16 2 3 37" xfId="6995"/>
    <cellStyle name="Normal 16 2 3 38" xfId="6996"/>
    <cellStyle name="Normal 16 2 3 39" xfId="6997"/>
    <cellStyle name="Normal 16 2 3 4" xfId="6998"/>
    <cellStyle name="Normal 16 2 3 40" xfId="6999"/>
    <cellStyle name="Normal 16 2 3 41" xfId="7000"/>
    <cellStyle name="Normal 16 2 3 42" xfId="7001"/>
    <cellStyle name="Normal 16 2 3 43" xfId="7002"/>
    <cellStyle name="Normal 16 2 3 44" xfId="7003"/>
    <cellStyle name="Normal 16 2 3 45" xfId="7004"/>
    <cellStyle name="Normal 16 2 3 46" xfId="7005"/>
    <cellStyle name="Normal 16 2 3 47" xfId="7006"/>
    <cellStyle name="Normal 16 2 3 48" xfId="7007"/>
    <cellStyle name="Normal 16 2 3 49" xfId="7008"/>
    <cellStyle name="Normal 16 2 3 5" xfId="7009"/>
    <cellStyle name="Normal 16 2 3 50" xfId="7010"/>
    <cellStyle name="Normal 16 2 3 51" xfId="7011"/>
    <cellStyle name="Normal 16 2 3 52" xfId="7012"/>
    <cellStyle name="Normal 16 2 3 53" xfId="7013"/>
    <cellStyle name="Normal 16 2 3 54" xfId="7014"/>
    <cellStyle name="Normal 16 2 3 55" xfId="7015"/>
    <cellStyle name="Normal 16 2 3 56" xfId="7016"/>
    <cellStyle name="Normal 16 2 3 57" xfId="7017"/>
    <cellStyle name="Normal 16 2 3 58" xfId="7018"/>
    <cellStyle name="Normal 16 2 3 59" xfId="7019"/>
    <cellStyle name="Normal 16 2 3 6" xfId="7020"/>
    <cellStyle name="Normal 16 2 3 60" xfId="7021"/>
    <cellStyle name="Normal 16 2 3 61" xfId="7022"/>
    <cellStyle name="Normal 16 2 3 62" xfId="7023"/>
    <cellStyle name="Normal 16 2 3 63" xfId="7024"/>
    <cellStyle name="Normal 16 2 3 64" xfId="7025"/>
    <cellStyle name="Normal 16 2 3 65" xfId="7026"/>
    <cellStyle name="Normal 16 2 3 66" xfId="7027"/>
    <cellStyle name="Normal 16 2 3 67" xfId="7028"/>
    <cellStyle name="Normal 16 2 3 68" xfId="7029"/>
    <cellStyle name="Normal 16 2 3 69" xfId="7030"/>
    <cellStyle name="Normal 16 2 3 7" xfId="7031"/>
    <cellStyle name="Normal 16 2 3 70" xfId="7032"/>
    <cellStyle name="Normal 16 2 3 71" xfId="7033"/>
    <cellStyle name="Normal 16 2 3 72" xfId="7034"/>
    <cellStyle name="Normal 16 2 3 73" xfId="7035"/>
    <cellStyle name="Normal 16 2 3 74" xfId="7036"/>
    <cellStyle name="Normal 16 2 3 75" xfId="7037"/>
    <cellStyle name="Normal 16 2 3 76" xfId="7038"/>
    <cellStyle name="Normal 16 2 3 77" xfId="7039"/>
    <cellStyle name="Normal 16 2 3 78" xfId="7040"/>
    <cellStyle name="Normal 16 2 3 79" xfId="7041"/>
    <cellStyle name="Normal 16 2 3 8" xfId="7042"/>
    <cellStyle name="Normal 16 2 3 80" xfId="7043"/>
    <cellStyle name="Normal 16 2 3 81" xfId="7044"/>
    <cellStyle name="Normal 16 2 3 82" xfId="7045"/>
    <cellStyle name="Normal 16 2 3 83" xfId="7046"/>
    <cellStyle name="Normal 16 2 3 9" xfId="7047"/>
    <cellStyle name="Normal 16 2 30" xfId="7048"/>
    <cellStyle name="Normal 16 2 31" xfId="7049"/>
    <cellStyle name="Normal 16 2 32" xfId="7050"/>
    <cellStyle name="Normal 16 2 33" xfId="7051"/>
    <cellStyle name="Normal 16 2 34" xfId="7052"/>
    <cellStyle name="Normal 16 2 35" xfId="7053"/>
    <cellStyle name="Normal 16 2 36" xfId="7054"/>
    <cellStyle name="Normal 16 2 37" xfId="7055"/>
    <cellStyle name="Normal 16 2 38" xfId="7056"/>
    <cellStyle name="Normal 16 2 39" xfId="7057"/>
    <cellStyle name="Normal 16 2 4" xfId="7058"/>
    <cellStyle name="Normal 16 2 40" xfId="7059"/>
    <cellStyle name="Normal 16 2 41" xfId="7060"/>
    <cellStyle name="Normal 16 2 42" xfId="7061"/>
    <cellStyle name="Normal 16 2 43" xfId="7062"/>
    <cellStyle name="Normal 16 2 44" xfId="7063"/>
    <cellStyle name="Normal 16 2 45" xfId="7064"/>
    <cellStyle name="Normal 16 2 46" xfId="7065"/>
    <cellStyle name="Normal 16 2 47" xfId="7066"/>
    <cellStyle name="Normal 16 2 48" xfId="7067"/>
    <cellStyle name="Normal 16 2 49" xfId="7068"/>
    <cellStyle name="Normal 16 2 5" xfId="7069"/>
    <cellStyle name="Normal 16 2 50" xfId="7070"/>
    <cellStyle name="Normal 16 2 51" xfId="7071"/>
    <cellStyle name="Normal 16 2 52" xfId="7072"/>
    <cellStyle name="Normal 16 2 53" xfId="7073"/>
    <cellStyle name="Normal 16 2 54" xfId="7074"/>
    <cellStyle name="Normal 16 2 55" xfId="7075"/>
    <cellStyle name="Normal 16 2 56" xfId="7076"/>
    <cellStyle name="Normal 16 2 57" xfId="7077"/>
    <cellStyle name="Normal 16 2 58" xfId="7078"/>
    <cellStyle name="Normal 16 2 59" xfId="7079"/>
    <cellStyle name="Normal 16 2 6" xfId="7080"/>
    <cellStyle name="Normal 16 2 60" xfId="7081"/>
    <cellStyle name="Normal 16 2 61" xfId="7082"/>
    <cellStyle name="Normal 16 2 62" xfId="7083"/>
    <cellStyle name="Normal 16 2 63" xfId="7084"/>
    <cellStyle name="Normal 16 2 64" xfId="7085"/>
    <cellStyle name="Normal 16 2 65" xfId="7086"/>
    <cellStyle name="Normal 16 2 66" xfId="7087"/>
    <cellStyle name="Normal 16 2 67" xfId="7088"/>
    <cellStyle name="Normal 16 2 68" xfId="7089"/>
    <cellStyle name="Normal 16 2 69" xfId="7090"/>
    <cellStyle name="Normal 16 2 7" xfId="7091"/>
    <cellStyle name="Normal 16 2 70" xfId="7092"/>
    <cellStyle name="Normal 16 2 71" xfId="7093"/>
    <cellStyle name="Normal 16 2 72" xfId="7094"/>
    <cellStyle name="Normal 16 2 73" xfId="7095"/>
    <cellStyle name="Normal 16 2 74" xfId="7096"/>
    <cellStyle name="Normal 16 2 75" xfId="7097"/>
    <cellStyle name="Normal 16 2 76" xfId="7098"/>
    <cellStyle name="Normal 16 2 77" xfId="7099"/>
    <cellStyle name="Normal 16 2 78" xfId="7100"/>
    <cellStyle name="Normal 16 2 79" xfId="7101"/>
    <cellStyle name="Normal 16 2 8" xfId="7102"/>
    <cellStyle name="Normal 16 2 80" xfId="7103"/>
    <cellStyle name="Normal 16 2 81" xfId="7104"/>
    <cellStyle name="Normal 16 2 82" xfId="7105"/>
    <cellStyle name="Normal 16 2 83" xfId="7106"/>
    <cellStyle name="Normal 16 2 84" xfId="7107"/>
    <cellStyle name="Normal 16 2 85" xfId="7108"/>
    <cellStyle name="Normal 16 2 9" xfId="7109"/>
    <cellStyle name="Normal 16 2_Cultura y Tiempo libre 2011 base 2012 PGM - EMV  2013" xfId="7110"/>
    <cellStyle name="Normal 16 20" xfId="7111"/>
    <cellStyle name="Normal 16 21" xfId="7112"/>
    <cellStyle name="Normal 16 22" xfId="7113"/>
    <cellStyle name="Normal 16 23" xfId="7114"/>
    <cellStyle name="Normal 16 24" xfId="7115"/>
    <cellStyle name="Normal 16 25" xfId="7116"/>
    <cellStyle name="Normal 16 26" xfId="7117"/>
    <cellStyle name="Normal 16 27" xfId="7118"/>
    <cellStyle name="Normal 16 28" xfId="7119"/>
    <cellStyle name="Normal 16 29" xfId="7120"/>
    <cellStyle name="Normal 16 3" xfId="7121"/>
    <cellStyle name="Normal 16 30" xfId="7122"/>
    <cellStyle name="Normal 16 31" xfId="7123"/>
    <cellStyle name="Normal 16 32" xfId="7124"/>
    <cellStyle name="Normal 16 33" xfId="7125"/>
    <cellStyle name="Normal 16 34" xfId="7126"/>
    <cellStyle name="Normal 16 35" xfId="7127"/>
    <cellStyle name="Normal 16 36" xfId="7128"/>
    <cellStyle name="Normal 16 37" xfId="7129"/>
    <cellStyle name="Normal 16 38" xfId="7130"/>
    <cellStyle name="Normal 16 39" xfId="7131"/>
    <cellStyle name="Normal 16 4" xfId="7132"/>
    <cellStyle name="Normal 16 40" xfId="7133"/>
    <cellStyle name="Normal 16 41" xfId="7134"/>
    <cellStyle name="Normal 16 42" xfId="7135"/>
    <cellStyle name="Normal 16 43" xfId="7136"/>
    <cellStyle name="Normal 16 44" xfId="7137"/>
    <cellStyle name="Normal 16 45" xfId="7138"/>
    <cellStyle name="Normal 16 46" xfId="7139"/>
    <cellStyle name="Normal 16 47" xfId="7140"/>
    <cellStyle name="Normal 16 48" xfId="7141"/>
    <cellStyle name="Normal 16 49" xfId="7142"/>
    <cellStyle name="Normal 16 5" xfId="7143"/>
    <cellStyle name="Normal 16 50" xfId="7144"/>
    <cellStyle name="Normal 16 51" xfId="7145"/>
    <cellStyle name="Normal 16 52" xfId="7146"/>
    <cellStyle name="Normal 16 53" xfId="7147"/>
    <cellStyle name="Normal 16 54" xfId="7148"/>
    <cellStyle name="Normal 16 55" xfId="7149"/>
    <cellStyle name="Normal 16 56" xfId="7150"/>
    <cellStyle name="Normal 16 57" xfId="7151"/>
    <cellStyle name="Normal 16 58" xfId="7152"/>
    <cellStyle name="Normal 16 59" xfId="7153"/>
    <cellStyle name="Normal 16 6" xfId="7154"/>
    <cellStyle name="Normal 16 60" xfId="7155"/>
    <cellStyle name="Normal 16 61" xfId="7156"/>
    <cellStyle name="Normal 16 62" xfId="7157"/>
    <cellStyle name="Normal 16 63" xfId="7158"/>
    <cellStyle name="Normal 16 64" xfId="7159"/>
    <cellStyle name="Normal 16 65" xfId="7160"/>
    <cellStyle name="Normal 16 66" xfId="7161"/>
    <cellStyle name="Normal 16 67" xfId="7162"/>
    <cellStyle name="Normal 16 68" xfId="7163"/>
    <cellStyle name="Normal 16 69" xfId="7164"/>
    <cellStyle name="Normal 16 7" xfId="7165"/>
    <cellStyle name="Normal 16 70" xfId="7166"/>
    <cellStyle name="Normal 16 71" xfId="7167"/>
    <cellStyle name="Normal 16 72" xfId="7168"/>
    <cellStyle name="Normal 16 73" xfId="7169"/>
    <cellStyle name="Normal 16 74" xfId="7170"/>
    <cellStyle name="Normal 16 75" xfId="7171"/>
    <cellStyle name="Normal 16 76" xfId="7172"/>
    <cellStyle name="Normal 16 77" xfId="7173"/>
    <cellStyle name="Normal 16 78" xfId="7174"/>
    <cellStyle name="Normal 16 79" xfId="7175"/>
    <cellStyle name="Normal 16 8" xfId="7176"/>
    <cellStyle name="Normal 16 80" xfId="7177"/>
    <cellStyle name="Normal 16 81" xfId="7178"/>
    <cellStyle name="Normal 16 82" xfId="7179"/>
    <cellStyle name="Normal 16 83" xfId="7180"/>
    <cellStyle name="Normal 16 84" xfId="7181"/>
    <cellStyle name="Normal 16 9" xfId="7182"/>
    <cellStyle name="Normal 16_Cultura y Tiempo libre 2011 base 2012 PGM - EMV  2013" xfId="7183"/>
    <cellStyle name="Normal 17" xfId="7184"/>
    <cellStyle name="Normal 18" xfId="7185"/>
    <cellStyle name="Normal 18 10" xfId="7186"/>
    <cellStyle name="Normal 18 10 10" xfId="7187"/>
    <cellStyle name="Normal 18 10 11" xfId="7188"/>
    <cellStyle name="Normal 18 10 12" xfId="7189"/>
    <cellStyle name="Normal 18 10 13" xfId="7190"/>
    <cellStyle name="Normal 18 10 2" xfId="7191"/>
    <cellStyle name="Normal 18 10 3" xfId="7192"/>
    <cellStyle name="Normal 18 10 4" xfId="7193"/>
    <cellStyle name="Normal 18 10 5" xfId="7194"/>
    <cellStyle name="Normal 18 10 6" xfId="7195"/>
    <cellStyle name="Normal 18 10 7" xfId="7196"/>
    <cellStyle name="Normal 18 10 8" xfId="7197"/>
    <cellStyle name="Normal 18 10 9" xfId="7198"/>
    <cellStyle name="Normal 18 11" xfId="7199"/>
    <cellStyle name="Normal 18 11 10" xfId="7200"/>
    <cellStyle name="Normal 18 11 11" xfId="7201"/>
    <cellStyle name="Normal 18 11 12" xfId="7202"/>
    <cellStyle name="Normal 18 11 13" xfId="7203"/>
    <cellStyle name="Normal 18 11 2" xfId="7204"/>
    <cellStyle name="Normal 18 11 3" xfId="7205"/>
    <cellStyle name="Normal 18 11 4" xfId="7206"/>
    <cellStyle name="Normal 18 11 5" xfId="7207"/>
    <cellStyle name="Normal 18 11 6" xfId="7208"/>
    <cellStyle name="Normal 18 11 7" xfId="7209"/>
    <cellStyle name="Normal 18 11 8" xfId="7210"/>
    <cellStyle name="Normal 18 11 9" xfId="7211"/>
    <cellStyle name="Normal 18 12" xfId="7212"/>
    <cellStyle name="Normal 18 12 10" xfId="7213"/>
    <cellStyle name="Normal 18 12 11" xfId="7214"/>
    <cellStyle name="Normal 18 12 12" xfId="7215"/>
    <cellStyle name="Normal 18 12 13" xfId="7216"/>
    <cellStyle name="Normal 18 12 2" xfId="7217"/>
    <cellStyle name="Normal 18 12 3" xfId="7218"/>
    <cellStyle name="Normal 18 12 4" xfId="7219"/>
    <cellStyle name="Normal 18 12 5" xfId="7220"/>
    <cellStyle name="Normal 18 12 6" xfId="7221"/>
    <cellStyle name="Normal 18 12 7" xfId="7222"/>
    <cellStyle name="Normal 18 12 8" xfId="7223"/>
    <cellStyle name="Normal 18 12 9" xfId="7224"/>
    <cellStyle name="Normal 18 13" xfId="7225"/>
    <cellStyle name="Normal 18 13 10" xfId="7226"/>
    <cellStyle name="Normal 18 13 11" xfId="7227"/>
    <cellStyle name="Normal 18 13 12" xfId="7228"/>
    <cellStyle name="Normal 18 13 13" xfId="7229"/>
    <cellStyle name="Normal 18 13 2" xfId="7230"/>
    <cellStyle name="Normal 18 13 3" xfId="7231"/>
    <cellStyle name="Normal 18 13 4" xfId="7232"/>
    <cellStyle name="Normal 18 13 5" xfId="7233"/>
    <cellStyle name="Normal 18 13 6" xfId="7234"/>
    <cellStyle name="Normal 18 13 7" xfId="7235"/>
    <cellStyle name="Normal 18 13 8" xfId="7236"/>
    <cellStyle name="Normal 18 13 9" xfId="7237"/>
    <cellStyle name="Normal 18 14" xfId="7238"/>
    <cellStyle name="Normal 18 14 10" xfId="7239"/>
    <cellStyle name="Normal 18 14 11" xfId="7240"/>
    <cellStyle name="Normal 18 14 12" xfId="7241"/>
    <cellStyle name="Normal 18 14 13" xfId="7242"/>
    <cellStyle name="Normal 18 14 2" xfId="7243"/>
    <cellStyle name="Normal 18 14 3" xfId="7244"/>
    <cellStyle name="Normal 18 14 4" xfId="7245"/>
    <cellStyle name="Normal 18 14 5" xfId="7246"/>
    <cellStyle name="Normal 18 14 6" xfId="7247"/>
    <cellStyle name="Normal 18 14 7" xfId="7248"/>
    <cellStyle name="Normal 18 14 8" xfId="7249"/>
    <cellStyle name="Normal 18 14 9" xfId="7250"/>
    <cellStyle name="Normal 18 15" xfId="7251"/>
    <cellStyle name="Normal 18 15 10" xfId="7252"/>
    <cellStyle name="Normal 18 15 11" xfId="7253"/>
    <cellStyle name="Normal 18 15 12" xfId="7254"/>
    <cellStyle name="Normal 18 15 13" xfId="7255"/>
    <cellStyle name="Normal 18 15 2" xfId="7256"/>
    <cellStyle name="Normal 18 15 3" xfId="7257"/>
    <cellStyle name="Normal 18 15 4" xfId="7258"/>
    <cellStyle name="Normal 18 15 5" xfId="7259"/>
    <cellStyle name="Normal 18 15 6" xfId="7260"/>
    <cellStyle name="Normal 18 15 7" xfId="7261"/>
    <cellStyle name="Normal 18 15 8" xfId="7262"/>
    <cellStyle name="Normal 18 15 9" xfId="7263"/>
    <cellStyle name="Normal 18 16" xfId="7264"/>
    <cellStyle name="Normal 18 16 10" xfId="7265"/>
    <cellStyle name="Normal 18 16 11" xfId="7266"/>
    <cellStyle name="Normal 18 16 12" xfId="7267"/>
    <cellStyle name="Normal 18 16 13" xfId="7268"/>
    <cellStyle name="Normal 18 16 2" xfId="7269"/>
    <cellStyle name="Normal 18 16 3" xfId="7270"/>
    <cellStyle name="Normal 18 16 4" xfId="7271"/>
    <cellStyle name="Normal 18 16 5" xfId="7272"/>
    <cellStyle name="Normal 18 16 6" xfId="7273"/>
    <cellStyle name="Normal 18 16 7" xfId="7274"/>
    <cellStyle name="Normal 18 16 8" xfId="7275"/>
    <cellStyle name="Normal 18 16 9" xfId="7276"/>
    <cellStyle name="Normal 18 17" xfId="7277"/>
    <cellStyle name="Normal 18 17 10" xfId="7278"/>
    <cellStyle name="Normal 18 17 11" xfId="7279"/>
    <cellStyle name="Normal 18 17 12" xfId="7280"/>
    <cellStyle name="Normal 18 17 13" xfId="7281"/>
    <cellStyle name="Normal 18 17 2" xfId="7282"/>
    <cellStyle name="Normal 18 17 3" xfId="7283"/>
    <cellStyle name="Normal 18 17 4" xfId="7284"/>
    <cellStyle name="Normal 18 17 5" xfId="7285"/>
    <cellStyle name="Normal 18 17 6" xfId="7286"/>
    <cellStyle name="Normal 18 17 7" xfId="7287"/>
    <cellStyle name="Normal 18 17 8" xfId="7288"/>
    <cellStyle name="Normal 18 17 9" xfId="7289"/>
    <cellStyle name="Normal 18 18" xfId="7290"/>
    <cellStyle name="Normal 18 18 10" xfId="7291"/>
    <cellStyle name="Normal 18 18 11" xfId="7292"/>
    <cellStyle name="Normal 18 18 12" xfId="7293"/>
    <cellStyle name="Normal 18 18 13" xfId="7294"/>
    <cellStyle name="Normal 18 18 2" xfId="7295"/>
    <cellStyle name="Normal 18 18 3" xfId="7296"/>
    <cellStyle name="Normal 18 18 4" xfId="7297"/>
    <cellStyle name="Normal 18 18 5" xfId="7298"/>
    <cellStyle name="Normal 18 18 6" xfId="7299"/>
    <cellStyle name="Normal 18 18 7" xfId="7300"/>
    <cellStyle name="Normal 18 18 8" xfId="7301"/>
    <cellStyle name="Normal 18 18 9" xfId="7302"/>
    <cellStyle name="Normal 18 19" xfId="7303"/>
    <cellStyle name="Normal 18 19 10" xfId="7304"/>
    <cellStyle name="Normal 18 19 11" xfId="7305"/>
    <cellStyle name="Normal 18 19 12" xfId="7306"/>
    <cellStyle name="Normal 18 19 13" xfId="7307"/>
    <cellStyle name="Normal 18 19 2" xfId="7308"/>
    <cellStyle name="Normal 18 19 3" xfId="7309"/>
    <cellStyle name="Normal 18 19 4" xfId="7310"/>
    <cellStyle name="Normal 18 19 5" xfId="7311"/>
    <cellStyle name="Normal 18 19 6" xfId="7312"/>
    <cellStyle name="Normal 18 19 7" xfId="7313"/>
    <cellStyle name="Normal 18 19 8" xfId="7314"/>
    <cellStyle name="Normal 18 19 9" xfId="7315"/>
    <cellStyle name="Normal 18 2" xfId="7316"/>
    <cellStyle name="Normal 18 2 10" xfId="7317"/>
    <cellStyle name="Normal 18 2 11" xfId="7318"/>
    <cellStyle name="Normal 18 2 12" xfId="7319"/>
    <cellStyle name="Normal 18 2 13" xfId="7320"/>
    <cellStyle name="Normal 18 2 2" xfId="7321"/>
    <cellStyle name="Normal 18 2 3" xfId="7322"/>
    <cellStyle name="Normal 18 2 4" xfId="7323"/>
    <cellStyle name="Normal 18 2 5" xfId="7324"/>
    <cellStyle name="Normal 18 2 6" xfId="7325"/>
    <cellStyle name="Normal 18 2 7" xfId="7326"/>
    <cellStyle name="Normal 18 2 8" xfId="7327"/>
    <cellStyle name="Normal 18 2 9" xfId="7328"/>
    <cellStyle name="Normal 18 20" xfId="7329"/>
    <cellStyle name="Normal 18 20 10" xfId="7330"/>
    <cellStyle name="Normal 18 20 11" xfId="7331"/>
    <cellStyle name="Normal 18 20 12" xfId="7332"/>
    <cellStyle name="Normal 18 20 13" xfId="7333"/>
    <cellStyle name="Normal 18 20 2" xfId="7334"/>
    <cellStyle name="Normal 18 20 3" xfId="7335"/>
    <cellStyle name="Normal 18 20 4" xfId="7336"/>
    <cellStyle name="Normal 18 20 5" xfId="7337"/>
    <cellStyle name="Normal 18 20 6" xfId="7338"/>
    <cellStyle name="Normal 18 20 7" xfId="7339"/>
    <cellStyle name="Normal 18 20 8" xfId="7340"/>
    <cellStyle name="Normal 18 20 9" xfId="7341"/>
    <cellStyle name="Normal 18 21" xfId="7342"/>
    <cellStyle name="Normal 18 21 10" xfId="7343"/>
    <cellStyle name="Normal 18 21 11" xfId="7344"/>
    <cellStyle name="Normal 18 21 12" xfId="7345"/>
    <cellStyle name="Normal 18 21 13" xfId="7346"/>
    <cellStyle name="Normal 18 21 2" xfId="7347"/>
    <cellStyle name="Normal 18 21 3" xfId="7348"/>
    <cellStyle name="Normal 18 21 4" xfId="7349"/>
    <cellStyle name="Normal 18 21 5" xfId="7350"/>
    <cellStyle name="Normal 18 21 6" xfId="7351"/>
    <cellStyle name="Normal 18 21 7" xfId="7352"/>
    <cellStyle name="Normal 18 21 8" xfId="7353"/>
    <cellStyle name="Normal 18 21 9" xfId="7354"/>
    <cellStyle name="Normal 18 22" xfId="7355"/>
    <cellStyle name="Normal 18 22 10" xfId="7356"/>
    <cellStyle name="Normal 18 22 11" xfId="7357"/>
    <cellStyle name="Normal 18 22 12" xfId="7358"/>
    <cellStyle name="Normal 18 22 13" xfId="7359"/>
    <cellStyle name="Normal 18 22 2" xfId="7360"/>
    <cellStyle name="Normal 18 22 3" xfId="7361"/>
    <cellStyle name="Normal 18 22 4" xfId="7362"/>
    <cellStyle name="Normal 18 22 5" xfId="7363"/>
    <cellStyle name="Normal 18 22 6" xfId="7364"/>
    <cellStyle name="Normal 18 22 7" xfId="7365"/>
    <cellStyle name="Normal 18 22 8" xfId="7366"/>
    <cellStyle name="Normal 18 22 9" xfId="7367"/>
    <cellStyle name="Normal 18 23" xfId="7368"/>
    <cellStyle name="Normal 18 23 10" xfId="7369"/>
    <cellStyle name="Normal 18 23 11" xfId="7370"/>
    <cellStyle name="Normal 18 23 12" xfId="7371"/>
    <cellStyle name="Normal 18 23 13" xfId="7372"/>
    <cellStyle name="Normal 18 23 2" xfId="7373"/>
    <cellStyle name="Normal 18 23 3" xfId="7374"/>
    <cellStyle name="Normal 18 23 4" xfId="7375"/>
    <cellStyle name="Normal 18 23 5" xfId="7376"/>
    <cellStyle name="Normal 18 23 6" xfId="7377"/>
    <cellStyle name="Normal 18 23 7" xfId="7378"/>
    <cellStyle name="Normal 18 23 8" xfId="7379"/>
    <cellStyle name="Normal 18 23 9" xfId="7380"/>
    <cellStyle name="Normal 18 24" xfId="7381"/>
    <cellStyle name="Normal 18 24 10" xfId="7382"/>
    <cellStyle name="Normal 18 24 11" xfId="7383"/>
    <cellStyle name="Normal 18 24 12" xfId="7384"/>
    <cellStyle name="Normal 18 24 13" xfId="7385"/>
    <cellStyle name="Normal 18 24 2" xfId="7386"/>
    <cellStyle name="Normal 18 24 3" xfId="7387"/>
    <cellStyle name="Normal 18 24 4" xfId="7388"/>
    <cellStyle name="Normal 18 24 5" xfId="7389"/>
    <cellStyle name="Normal 18 24 6" xfId="7390"/>
    <cellStyle name="Normal 18 24 7" xfId="7391"/>
    <cellStyle name="Normal 18 24 8" xfId="7392"/>
    <cellStyle name="Normal 18 24 9" xfId="7393"/>
    <cellStyle name="Normal 18 25" xfId="7394"/>
    <cellStyle name="Normal 18 25 10" xfId="7395"/>
    <cellStyle name="Normal 18 25 11" xfId="7396"/>
    <cellStyle name="Normal 18 25 12" xfId="7397"/>
    <cellStyle name="Normal 18 25 13" xfId="7398"/>
    <cellStyle name="Normal 18 25 2" xfId="7399"/>
    <cellStyle name="Normal 18 25 3" xfId="7400"/>
    <cellStyle name="Normal 18 25 4" xfId="7401"/>
    <cellStyle name="Normal 18 25 5" xfId="7402"/>
    <cellStyle name="Normal 18 25 6" xfId="7403"/>
    <cellStyle name="Normal 18 25 7" xfId="7404"/>
    <cellStyle name="Normal 18 25 8" xfId="7405"/>
    <cellStyle name="Normal 18 25 9" xfId="7406"/>
    <cellStyle name="Normal 18 26" xfId="7407"/>
    <cellStyle name="Normal 18 26 10" xfId="7408"/>
    <cellStyle name="Normal 18 26 11" xfId="7409"/>
    <cellStyle name="Normal 18 26 12" xfId="7410"/>
    <cellStyle name="Normal 18 26 13" xfId="7411"/>
    <cellStyle name="Normal 18 26 2" xfId="7412"/>
    <cellStyle name="Normal 18 26 3" xfId="7413"/>
    <cellStyle name="Normal 18 26 4" xfId="7414"/>
    <cellStyle name="Normal 18 26 5" xfId="7415"/>
    <cellStyle name="Normal 18 26 6" xfId="7416"/>
    <cellStyle name="Normal 18 26 7" xfId="7417"/>
    <cellStyle name="Normal 18 26 8" xfId="7418"/>
    <cellStyle name="Normal 18 26 9" xfId="7419"/>
    <cellStyle name="Normal 18 27" xfId="7420"/>
    <cellStyle name="Normal 18 27 10" xfId="7421"/>
    <cellStyle name="Normal 18 27 11" xfId="7422"/>
    <cellStyle name="Normal 18 27 12" xfId="7423"/>
    <cellStyle name="Normal 18 27 13" xfId="7424"/>
    <cellStyle name="Normal 18 27 2" xfId="7425"/>
    <cellStyle name="Normal 18 27 3" xfId="7426"/>
    <cellStyle name="Normal 18 27 4" xfId="7427"/>
    <cellStyle name="Normal 18 27 5" xfId="7428"/>
    <cellStyle name="Normal 18 27 6" xfId="7429"/>
    <cellStyle name="Normal 18 27 7" xfId="7430"/>
    <cellStyle name="Normal 18 27 8" xfId="7431"/>
    <cellStyle name="Normal 18 27 9" xfId="7432"/>
    <cellStyle name="Normal 18 28" xfId="7433"/>
    <cellStyle name="Normal 18 28 10" xfId="7434"/>
    <cellStyle name="Normal 18 28 11" xfId="7435"/>
    <cellStyle name="Normal 18 28 12" xfId="7436"/>
    <cellStyle name="Normal 18 28 13" xfId="7437"/>
    <cellStyle name="Normal 18 28 2" xfId="7438"/>
    <cellStyle name="Normal 18 28 3" xfId="7439"/>
    <cellStyle name="Normal 18 28 4" xfId="7440"/>
    <cellStyle name="Normal 18 28 5" xfId="7441"/>
    <cellStyle name="Normal 18 28 6" xfId="7442"/>
    <cellStyle name="Normal 18 28 7" xfId="7443"/>
    <cellStyle name="Normal 18 28 8" xfId="7444"/>
    <cellStyle name="Normal 18 28 9" xfId="7445"/>
    <cellStyle name="Normal 18 29" xfId="7446"/>
    <cellStyle name="Normal 18 29 10" xfId="7447"/>
    <cellStyle name="Normal 18 29 11" xfId="7448"/>
    <cellStyle name="Normal 18 29 12" xfId="7449"/>
    <cellStyle name="Normal 18 29 13" xfId="7450"/>
    <cellStyle name="Normal 18 29 2" xfId="7451"/>
    <cellStyle name="Normal 18 29 3" xfId="7452"/>
    <cellStyle name="Normal 18 29 4" xfId="7453"/>
    <cellStyle name="Normal 18 29 5" xfId="7454"/>
    <cellStyle name="Normal 18 29 6" xfId="7455"/>
    <cellStyle name="Normal 18 29 7" xfId="7456"/>
    <cellStyle name="Normal 18 29 8" xfId="7457"/>
    <cellStyle name="Normal 18 29 9" xfId="7458"/>
    <cellStyle name="Normal 18 3" xfId="7459"/>
    <cellStyle name="Normal 18 3 10" xfId="7460"/>
    <cellStyle name="Normal 18 3 11" xfId="7461"/>
    <cellStyle name="Normal 18 3 12" xfId="7462"/>
    <cellStyle name="Normal 18 3 13" xfId="7463"/>
    <cellStyle name="Normal 18 3 2" xfId="7464"/>
    <cellStyle name="Normal 18 3 3" xfId="7465"/>
    <cellStyle name="Normal 18 3 4" xfId="7466"/>
    <cellStyle name="Normal 18 3 5" xfId="7467"/>
    <cellStyle name="Normal 18 3 6" xfId="7468"/>
    <cellStyle name="Normal 18 3 7" xfId="7469"/>
    <cellStyle name="Normal 18 3 8" xfId="7470"/>
    <cellStyle name="Normal 18 3 9" xfId="7471"/>
    <cellStyle name="Normal 18 30" xfId="7472"/>
    <cellStyle name="Normal 18 30 10" xfId="7473"/>
    <cellStyle name="Normal 18 30 11" xfId="7474"/>
    <cellStyle name="Normal 18 30 12" xfId="7475"/>
    <cellStyle name="Normal 18 30 13" xfId="7476"/>
    <cellStyle name="Normal 18 30 2" xfId="7477"/>
    <cellStyle name="Normal 18 30 3" xfId="7478"/>
    <cellStyle name="Normal 18 30 4" xfId="7479"/>
    <cellStyle name="Normal 18 30 5" xfId="7480"/>
    <cellStyle name="Normal 18 30 6" xfId="7481"/>
    <cellStyle name="Normal 18 30 7" xfId="7482"/>
    <cellStyle name="Normal 18 30 8" xfId="7483"/>
    <cellStyle name="Normal 18 30 9" xfId="7484"/>
    <cellStyle name="Normal 18 31" xfId="7485"/>
    <cellStyle name="Normal 18 31 10" xfId="7486"/>
    <cellStyle name="Normal 18 31 11" xfId="7487"/>
    <cellStyle name="Normal 18 31 12" xfId="7488"/>
    <cellStyle name="Normal 18 31 13" xfId="7489"/>
    <cellStyle name="Normal 18 31 2" xfId="7490"/>
    <cellStyle name="Normal 18 31 3" xfId="7491"/>
    <cellStyle name="Normal 18 31 4" xfId="7492"/>
    <cellStyle name="Normal 18 31 5" xfId="7493"/>
    <cellStyle name="Normal 18 31 6" xfId="7494"/>
    <cellStyle name="Normal 18 31 7" xfId="7495"/>
    <cellStyle name="Normal 18 31 8" xfId="7496"/>
    <cellStyle name="Normal 18 31 9" xfId="7497"/>
    <cellStyle name="Normal 18 32" xfId="7498"/>
    <cellStyle name="Normal 18 32 10" xfId="7499"/>
    <cellStyle name="Normal 18 32 11" xfId="7500"/>
    <cellStyle name="Normal 18 32 12" xfId="7501"/>
    <cellStyle name="Normal 18 32 13" xfId="7502"/>
    <cellStyle name="Normal 18 32 2" xfId="7503"/>
    <cellStyle name="Normal 18 32 3" xfId="7504"/>
    <cellStyle name="Normal 18 32 4" xfId="7505"/>
    <cellStyle name="Normal 18 32 5" xfId="7506"/>
    <cellStyle name="Normal 18 32 6" xfId="7507"/>
    <cellStyle name="Normal 18 32 7" xfId="7508"/>
    <cellStyle name="Normal 18 32 8" xfId="7509"/>
    <cellStyle name="Normal 18 32 9" xfId="7510"/>
    <cellStyle name="Normal 18 33" xfId="7511"/>
    <cellStyle name="Normal 18 33 10" xfId="7512"/>
    <cellStyle name="Normal 18 33 11" xfId="7513"/>
    <cellStyle name="Normal 18 33 12" xfId="7514"/>
    <cellStyle name="Normal 18 33 13" xfId="7515"/>
    <cellStyle name="Normal 18 33 2" xfId="7516"/>
    <cellStyle name="Normal 18 33 3" xfId="7517"/>
    <cellStyle name="Normal 18 33 4" xfId="7518"/>
    <cellStyle name="Normal 18 33 5" xfId="7519"/>
    <cellStyle name="Normal 18 33 6" xfId="7520"/>
    <cellStyle name="Normal 18 33 7" xfId="7521"/>
    <cellStyle name="Normal 18 33 8" xfId="7522"/>
    <cellStyle name="Normal 18 33 9" xfId="7523"/>
    <cellStyle name="Normal 18 34" xfId="7524"/>
    <cellStyle name="Normal 18 34 10" xfId="7525"/>
    <cellStyle name="Normal 18 34 11" xfId="7526"/>
    <cellStyle name="Normal 18 34 12" xfId="7527"/>
    <cellStyle name="Normal 18 34 13" xfId="7528"/>
    <cellStyle name="Normal 18 34 2" xfId="7529"/>
    <cellStyle name="Normal 18 34 3" xfId="7530"/>
    <cellStyle name="Normal 18 34 4" xfId="7531"/>
    <cellStyle name="Normal 18 34 5" xfId="7532"/>
    <cellStyle name="Normal 18 34 6" xfId="7533"/>
    <cellStyle name="Normal 18 34 7" xfId="7534"/>
    <cellStyle name="Normal 18 34 8" xfId="7535"/>
    <cellStyle name="Normal 18 34 9" xfId="7536"/>
    <cellStyle name="Normal 18 35" xfId="7537"/>
    <cellStyle name="Normal 18 35 10" xfId="7538"/>
    <cellStyle name="Normal 18 35 11" xfId="7539"/>
    <cellStyle name="Normal 18 35 12" xfId="7540"/>
    <cellStyle name="Normal 18 35 13" xfId="7541"/>
    <cellStyle name="Normal 18 35 2" xfId="7542"/>
    <cellStyle name="Normal 18 35 3" xfId="7543"/>
    <cellStyle name="Normal 18 35 4" xfId="7544"/>
    <cellStyle name="Normal 18 35 5" xfId="7545"/>
    <cellStyle name="Normal 18 35 6" xfId="7546"/>
    <cellStyle name="Normal 18 35 7" xfId="7547"/>
    <cellStyle name="Normal 18 35 8" xfId="7548"/>
    <cellStyle name="Normal 18 35 9" xfId="7549"/>
    <cellStyle name="Normal 18 36" xfId="7550"/>
    <cellStyle name="Normal 18 36 10" xfId="7551"/>
    <cellStyle name="Normal 18 36 11" xfId="7552"/>
    <cellStyle name="Normal 18 36 12" xfId="7553"/>
    <cellStyle name="Normal 18 36 13" xfId="7554"/>
    <cellStyle name="Normal 18 36 2" xfId="7555"/>
    <cellStyle name="Normal 18 36 3" xfId="7556"/>
    <cellStyle name="Normal 18 36 4" xfId="7557"/>
    <cellStyle name="Normal 18 36 5" xfId="7558"/>
    <cellStyle name="Normal 18 36 6" xfId="7559"/>
    <cellStyle name="Normal 18 36 7" xfId="7560"/>
    <cellStyle name="Normal 18 36 8" xfId="7561"/>
    <cellStyle name="Normal 18 36 9" xfId="7562"/>
    <cellStyle name="Normal 18 37" xfId="7563"/>
    <cellStyle name="Normal 18 37 10" xfId="7564"/>
    <cellStyle name="Normal 18 37 11" xfId="7565"/>
    <cellStyle name="Normal 18 37 12" xfId="7566"/>
    <cellStyle name="Normal 18 37 13" xfId="7567"/>
    <cellStyle name="Normal 18 37 2" xfId="7568"/>
    <cellStyle name="Normal 18 37 3" xfId="7569"/>
    <cellStyle name="Normal 18 37 4" xfId="7570"/>
    <cellStyle name="Normal 18 37 5" xfId="7571"/>
    <cellStyle name="Normal 18 37 6" xfId="7572"/>
    <cellStyle name="Normal 18 37 7" xfId="7573"/>
    <cellStyle name="Normal 18 37 8" xfId="7574"/>
    <cellStyle name="Normal 18 37 9" xfId="7575"/>
    <cellStyle name="Normal 18 38" xfId="7576"/>
    <cellStyle name="Normal 18 38 10" xfId="7577"/>
    <cellStyle name="Normal 18 38 11" xfId="7578"/>
    <cellStyle name="Normal 18 38 12" xfId="7579"/>
    <cellStyle name="Normal 18 38 13" xfId="7580"/>
    <cellStyle name="Normal 18 38 2" xfId="7581"/>
    <cellStyle name="Normal 18 38 3" xfId="7582"/>
    <cellStyle name="Normal 18 38 4" xfId="7583"/>
    <cellStyle name="Normal 18 38 5" xfId="7584"/>
    <cellStyle name="Normal 18 38 6" xfId="7585"/>
    <cellStyle name="Normal 18 38 7" xfId="7586"/>
    <cellStyle name="Normal 18 38 8" xfId="7587"/>
    <cellStyle name="Normal 18 38 9" xfId="7588"/>
    <cellStyle name="Normal 18 39" xfId="7589"/>
    <cellStyle name="Normal 18 39 10" xfId="7590"/>
    <cellStyle name="Normal 18 39 11" xfId="7591"/>
    <cellStyle name="Normal 18 39 12" xfId="7592"/>
    <cellStyle name="Normal 18 39 13" xfId="7593"/>
    <cellStyle name="Normal 18 39 2" xfId="7594"/>
    <cellStyle name="Normal 18 39 3" xfId="7595"/>
    <cellStyle name="Normal 18 39 4" xfId="7596"/>
    <cellStyle name="Normal 18 39 5" xfId="7597"/>
    <cellStyle name="Normal 18 39 6" xfId="7598"/>
    <cellStyle name="Normal 18 39 7" xfId="7599"/>
    <cellStyle name="Normal 18 39 8" xfId="7600"/>
    <cellStyle name="Normal 18 39 9" xfId="7601"/>
    <cellStyle name="Normal 18 4" xfId="7602"/>
    <cellStyle name="Normal 18 4 10" xfId="7603"/>
    <cellStyle name="Normal 18 4 11" xfId="7604"/>
    <cellStyle name="Normal 18 4 12" xfId="7605"/>
    <cellStyle name="Normal 18 4 13" xfId="7606"/>
    <cellStyle name="Normal 18 4 2" xfId="7607"/>
    <cellStyle name="Normal 18 4 3" xfId="7608"/>
    <cellStyle name="Normal 18 4 4" xfId="7609"/>
    <cellStyle name="Normal 18 4 5" xfId="7610"/>
    <cellStyle name="Normal 18 4 6" xfId="7611"/>
    <cellStyle name="Normal 18 4 7" xfId="7612"/>
    <cellStyle name="Normal 18 4 8" xfId="7613"/>
    <cellStyle name="Normal 18 4 9" xfId="7614"/>
    <cellStyle name="Normal 18 40" xfId="7615"/>
    <cellStyle name="Normal 18 40 10" xfId="7616"/>
    <cellStyle name="Normal 18 40 11" xfId="7617"/>
    <cellStyle name="Normal 18 40 12" xfId="7618"/>
    <cellStyle name="Normal 18 40 13" xfId="7619"/>
    <cellStyle name="Normal 18 40 2" xfId="7620"/>
    <cellStyle name="Normal 18 40 3" xfId="7621"/>
    <cellStyle name="Normal 18 40 4" xfId="7622"/>
    <cellStyle name="Normal 18 40 5" xfId="7623"/>
    <cellStyle name="Normal 18 40 6" xfId="7624"/>
    <cellStyle name="Normal 18 40 7" xfId="7625"/>
    <cellStyle name="Normal 18 40 8" xfId="7626"/>
    <cellStyle name="Normal 18 40 9" xfId="7627"/>
    <cellStyle name="Normal 18 41" xfId="7628"/>
    <cellStyle name="Normal 18 41 10" xfId="7629"/>
    <cellStyle name="Normal 18 41 11" xfId="7630"/>
    <cellStyle name="Normal 18 41 12" xfId="7631"/>
    <cellStyle name="Normal 18 41 13" xfId="7632"/>
    <cellStyle name="Normal 18 41 2" xfId="7633"/>
    <cellStyle name="Normal 18 41 3" xfId="7634"/>
    <cellStyle name="Normal 18 41 4" xfId="7635"/>
    <cellStyle name="Normal 18 41 5" xfId="7636"/>
    <cellStyle name="Normal 18 41 6" xfId="7637"/>
    <cellStyle name="Normal 18 41 7" xfId="7638"/>
    <cellStyle name="Normal 18 41 8" xfId="7639"/>
    <cellStyle name="Normal 18 41 9" xfId="7640"/>
    <cellStyle name="Normal 18 42" xfId="7641"/>
    <cellStyle name="Normal 18 42 10" xfId="7642"/>
    <cellStyle name="Normal 18 42 11" xfId="7643"/>
    <cellStyle name="Normal 18 42 12" xfId="7644"/>
    <cellStyle name="Normal 18 42 13" xfId="7645"/>
    <cellStyle name="Normal 18 42 2" xfId="7646"/>
    <cellStyle name="Normal 18 42 3" xfId="7647"/>
    <cellStyle name="Normal 18 42 4" xfId="7648"/>
    <cellStyle name="Normal 18 42 5" xfId="7649"/>
    <cellStyle name="Normal 18 42 6" xfId="7650"/>
    <cellStyle name="Normal 18 42 7" xfId="7651"/>
    <cellStyle name="Normal 18 42 8" xfId="7652"/>
    <cellStyle name="Normal 18 42 9" xfId="7653"/>
    <cellStyle name="Normal 18 43" xfId="7654"/>
    <cellStyle name="Normal 18 43 10" xfId="7655"/>
    <cellStyle name="Normal 18 43 11" xfId="7656"/>
    <cellStyle name="Normal 18 43 12" xfId="7657"/>
    <cellStyle name="Normal 18 43 13" xfId="7658"/>
    <cellStyle name="Normal 18 43 2" xfId="7659"/>
    <cellStyle name="Normal 18 43 3" xfId="7660"/>
    <cellStyle name="Normal 18 43 4" xfId="7661"/>
    <cellStyle name="Normal 18 43 5" xfId="7662"/>
    <cellStyle name="Normal 18 43 6" xfId="7663"/>
    <cellStyle name="Normal 18 43 7" xfId="7664"/>
    <cellStyle name="Normal 18 43 8" xfId="7665"/>
    <cellStyle name="Normal 18 43 9" xfId="7666"/>
    <cellStyle name="Normal 18 44" xfId="7667"/>
    <cellStyle name="Normal 18 44 10" xfId="7668"/>
    <cellStyle name="Normal 18 44 11" xfId="7669"/>
    <cellStyle name="Normal 18 44 12" xfId="7670"/>
    <cellStyle name="Normal 18 44 13" xfId="7671"/>
    <cellStyle name="Normal 18 44 2" xfId="7672"/>
    <cellStyle name="Normal 18 44 3" xfId="7673"/>
    <cellStyle name="Normal 18 44 4" xfId="7674"/>
    <cellStyle name="Normal 18 44 5" xfId="7675"/>
    <cellStyle name="Normal 18 44 6" xfId="7676"/>
    <cellStyle name="Normal 18 44 7" xfId="7677"/>
    <cellStyle name="Normal 18 44 8" xfId="7678"/>
    <cellStyle name="Normal 18 44 9" xfId="7679"/>
    <cellStyle name="Normal 18 45" xfId="7680"/>
    <cellStyle name="Normal 18 45 10" xfId="7681"/>
    <cellStyle name="Normal 18 45 11" xfId="7682"/>
    <cellStyle name="Normal 18 45 12" xfId="7683"/>
    <cellStyle name="Normal 18 45 13" xfId="7684"/>
    <cellStyle name="Normal 18 45 2" xfId="7685"/>
    <cellStyle name="Normal 18 45 3" xfId="7686"/>
    <cellStyle name="Normal 18 45 4" xfId="7687"/>
    <cellStyle name="Normal 18 45 5" xfId="7688"/>
    <cellStyle name="Normal 18 45 6" xfId="7689"/>
    <cellStyle name="Normal 18 45 7" xfId="7690"/>
    <cellStyle name="Normal 18 45 8" xfId="7691"/>
    <cellStyle name="Normal 18 45 9" xfId="7692"/>
    <cellStyle name="Normal 18 46" xfId="7693"/>
    <cellStyle name="Normal 18 46 10" xfId="7694"/>
    <cellStyle name="Normal 18 46 11" xfId="7695"/>
    <cellStyle name="Normal 18 46 12" xfId="7696"/>
    <cellStyle name="Normal 18 46 13" xfId="7697"/>
    <cellStyle name="Normal 18 46 2" xfId="7698"/>
    <cellStyle name="Normal 18 46 3" xfId="7699"/>
    <cellStyle name="Normal 18 46 4" xfId="7700"/>
    <cellStyle name="Normal 18 46 5" xfId="7701"/>
    <cellStyle name="Normal 18 46 6" xfId="7702"/>
    <cellStyle name="Normal 18 46 7" xfId="7703"/>
    <cellStyle name="Normal 18 46 8" xfId="7704"/>
    <cellStyle name="Normal 18 46 9" xfId="7705"/>
    <cellStyle name="Normal 18 47" xfId="7706"/>
    <cellStyle name="Normal 18 47 10" xfId="7707"/>
    <cellStyle name="Normal 18 47 11" xfId="7708"/>
    <cellStyle name="Normal 18 47 12" xfId="7709"/>
    <cellStyle name="Normal 18 47 13" xfId="7710"/>
    <cellStyle name="Normal 18 47 2" xfId="7711"/>
    <cellStyle name="Normal 18 47 3" xfId="7712"/>
    <cellStyle name="Normal 18 47 4" xfId="7713"/>
    <cellStyle name="Normal 18 47 5" xfId="7714"/>
    <cellStyle name="Normal 18 47 6" xfId="7715"/>
    <cellStyle name="Normal 18 47 7" xfId="7716"/>
    <cellStyle name="Normal 18 47 8" xfId="7717"/>
    <cellStyle name="Normal 18 47 9" xfId="7718"/>
    <cellStyle name="Normal 18 48" xfId="7719"/>
    <cellStyle name="Normal 18 48 10" xfId="7720"/>
    <cellStyle name="Normal 18 48 11" xfId="7721"/>
    <cellStyle name="Normal 18 48 12" xfId="7722"/>
    <cellStyle name="Normal 18 48 13" xfId="7723"/>
    <cellStyle name="Normal 18 48 2" xfId="7724"/>
    <cellStyle name="Normal 18 48 3" xfId="7725"/>
    <cellStyle name="Normal 18 48 4" xfId="7726"/>
    <cellStyle name="Normal 18 48 5" xfId="7727"/>
    <cellStyle name="Normal 18 48 6" xfId="7728"/>
    <cellStyle name="Normal 18 48 7" xfId="7729"/>
    <cellStyle name="Normal 18 48 8" xfId="7730"/>
    <cellStyle name="Normal 18 48 9" xfId="7731"/>
    <cellStyle name="Normal 18 49" xfId="7732"/>
    <cellStyle name="Normal 18 49 10" xfId="7733"/>
    <cellStyle name="Normal 18 49 11" xfId="7734"/>
    <cellStyle name="Normal 18 49 12" xfId="7735"/>
    <cellStyle name="Normal 18 49 13" xfId="7736"/>
    <cellStyle name="Normal 18 49 2" xfId="7737"/>
    <cellStyle name="Normal 18 49 3" xfId="7738"/>
    <cellStyle name="Normal 18 49 4" xfId="7739"/>
    <cellStyle name="Normal 18 49 5" xfId="7740"/>
    <cellStyle name="Normal 18 49 6" xfId="7741"/>
    <cellStyle name="Normal 18 49 7" xfId="7742"/>
    <cellStyle name="Normal 18 49 8" xfId="7743"/>
    <cellStyle name="Normal 18 49 9" xfId="7744"/>
    <cellStyle name="Normal 18 5" xfId="7745"/>
    <cellStyle name="Normal 18 5 10" xfId="7746"/>
    <cellStyle name="Normal 18 5 11" xfId="7747"/>
    <cellStyle name="Normal 18 5 12" xfId="7748"/>
    <cellStyle name="Normal 18 5 13" xfId="7749"/>
    <cellStyle name="Normal 18 5 2" xfId="7750"/>
    <cellStyle name="Normal 18 5 3" xfId="7751"/>
    <cellStyle name="Normal 18 5 4" xfId="7752"/>
    <cellStyle name="Normal 18 5 5" xfId="7753"/>
    <cellStyle name="Normal 18 5 6" xfId="7754"/>
    <cellStyle name="Normal 18 5 7" xfId="7755"/>
    <cellStyle name="Normal 18 5 8" xfId="7756"/>
    <cellStyle name="Normal 18 5 9" xfId="7757"/>
    <cellStyle name="Normal 18 50" xfId="7758"/>
    <cellStyle name="Normal 18 50 10" xfId="7759"/>
    <cellStyle name="Normal 18 50 11" xfId="7760"/>
    <cellStyle name="Normal 18 50 12" xfId="7761"/>
    <cellStyle name="Normal 18 50 13" xfId="7762"/>
    <cellStyle name="Normal 18 50 2" xfId="7763"/>
    <cellStyle name="Normal 18 50 3" xfId="7764"/>
    <cellStyle name="Normal 18 50 4" xfId="7765"/>
    <cellStyle name="Normal 18 50 5" xfId="7766"/>
    <cellStyle name="Normal 18 50 6" xfId="7767"/>
    <cellStyle name="Normal 18 50 7" xfId="7768"/>
    <cellStyle name="Normal 18 50 8" xfId="7769"/>
    <cellStyle name="Normal 18 50 9" xfId="7770"/>
    <cellStyle name="Normal 18 51" xfId="7771"/>
    <cellStyle name="Normal 18 51 10" xfId="7772"/>
    <cellStyle name="Normal 18 51 11" xfId="7773"/>
    <cellStyle name="Normal 18 51 12" xfId="7774"/>
    <cellStyle name="Normal 18 51 13" xfId="7775"/>
    <cellStyle name="Normal 18 51 2" xfId="7776"/>
    <cellStyle name="Normal 18 51 3" xfId="7777"/>
    <cellStyle name="Normal 18 51 4" xfId="7778"/>
    <cellStyle name="Normal 18 51 5" xfId="7779"/>
    <cellStyle name="Normal 18 51 6" xfId="7780"/>
    <cellStyle name="Normal 18 51 7" xfId="7781"/>
    <cellStyle name="Normal 18 51 8" xfId="7782"/>
    <cellStyle name="Normal 18 51 9" xfId="7783"/>
    <cellStyle name="Normal 18 52" xfId="7784"/>
    <cellStyle name="Normal 18 52 10" xfId="7785"/>
    <cellStyle name="Normal 18 52 11" xfId="7786"/>
    <cellStyle name="Normal 18 52 12" xfId="7787"/>
    <cellStyle name="Normal 18 52 13" xfId="7788"/>
    <cellStyle name="Normal 18 52 2" xfId="7789"/>
    <cellStyle name="Normal 18 52 3" xfId="7790"/>
    <cellStyle name="Normal 18 52 4" xfId="7791"/>
    <cellStyle name="Normal 18 52 5" xfId="7792"/>
    <cellStyle name="Normal 18 52 6" xfId="7793"/>
    <cellStyle name="Normal 18 52 7" xfId="7794"/>
    <cellStyle name="Normal 18 52 8" xfId="7795"/>
    <cellStyle name="Normal 18 52 9" xfId="7796"/>
    <cellStyle name="Normal 18 53" xfId="7797"/>
    <cellStyle name="Normal 18 53 10" xfId="7798"/>
    <cellStyle name="Normal 18 53 11" xfId="7799"/>
    <cellStyle name="Normal 18 53 12" xfId="7800"/>
    <cellStyle name="Normal 18 53 13" xfId="7801"/>
    <cellStyle name="Normal 18 53 2" xfId="7802"/>
    <cellStyle name="Normal 18 53 3" xfId="7803"/>
    <cellStyle name="Normal 18 53 4" xfId="7804"/>
    <cellStyle name="Normal 18 53 5" xfId="7805"/>
    <cellStyle name="Normal 18 53 6" xfId="7806"/>
    <cellStyle name="Normal 18 53 7" xfId="7807"/>
    <cellStyle name="Normal 18 53 8" xfId="7808"/>
    <cellStyle name="Normal 18 53 9" xfId="7809"/>
    <cellStyle name="Normal 18 54" xfId="7810"/>
    <cellStyle name="Normal 18 54 10" xfId="7811"/>
    <cellStyle name="Normal 18 54 11" xfId="7812"/>
    <cellStyle name="Normal 18 54 12" xfId="7813"/>
    <cellStyle name="Normal 18 54 13" xfId="7814"/>
    <cellStyle name="Normal 18 54 2" xfId="7815"/>
    <cellStyle name="Normal 18 54 3" xfId="7816"/>
    <cellStyle name="Normal 18 54 4" xfId="7817"/>
    <cellStyle name="Normal 18 54 5" xfId="7818"/>
    <cellStyle name="Normal 18 54 6" xfId="7819"/>
    <cellStyle name="Normal 18 54 7" xfId="7820"/>
    <cellStyle name="Normal 18 54 8" xfId="7821"/>
    <cellStyle name="Normal 18 54 9" xfId="7822"/>
    <cellStyle name="Normal 18 55" xfId="7823"/>
    <cellStyle name="Normal 18 55 10" xfId="7824"/>
    <cellStyle name="Normal 18 55 11" xfId="7825"/>
    <cellStyle name="Normal 18 55 12" xfId="7826"/>
    <cellStyle name="Normal 18 55 13" xfId="7827"/>
    <cellStyle name="Normal 18 55 2" xfId="7828"/>
    <cellStyle name="Normal 18 55 3" xfId="7829"/>
    <cellStyle name="Normal 18 55 4" xfId="7830"/>
    <cellStyle name="Normal 18 55 5" xfId="7831"/>
    <cellStyle name="Normal 18 55 6" xfId="7832"/>
    <cellStyle name="Normal 18 55 7" xfId="7833"/>
    <cellStyle name="Normal 18 55 8" xfId="7834"/>
    <cellStyle name="Normal 18 55 9" xfId="7835"/>
    <cellStyle name="Normal 18 56" xfId="7836"/>
    <cellStyle name="Normal 18 56 10" xfId="7837"/>
    <cellStyle name="Normal 18 56 11" xfId="7838"/>
    <cellStyle name="Normal 18 56 12" xfId="7839"/>
    <cellStyle name="Normal 18 56 13" xfId="7840"/>
    <cellStyle name="Normal 18 56 2" xfId="7841"/>
    <cellStyle name="Normal 18 56 3" xfId="7842"/>
    <cellStyle name="Normal 18 56 4" xfId="7843"/>
    <cellStyle name="Normal 18 56 5" xfId="7844"/>
    <cellStyle name="Normal 18 56 6" xfId="7845"/>
    <cellStyle name="Normal 18 56 7" xfId="7846"/>
    <cellStyle name="Normal 18 56 8" xfId="7847"/>
    <cellStyle name="Normal 18 56 9" xfId="7848"/>
    <cellStyle name="Normal 18 57" xfId="7849"/>
    <cellStyle name="Normal 18 57 10" xfId="7850"/>
    <cellStyle name="Normal 18 57 11" xfId="7851"/>
    <cellStyle name="Normal 18 57 12" xfId="7852"/>
    <cellStyle name="Normal 18 57 13" xfId="7853"/>
    <cellStyle name="Normal 18 57 2" xfId="7854"/>
    <cellStyle name="Normal 18 57 3" xfId="7855"/>
    <cellStyle name="Normal 18 57 4" xfId="7856"/>
    <cellStyle name="Normal 18 57 5" xfId="7857"/>
    <cellStyle name="Normal 18 57 6" xfId="7858"/>
    <cellStyle name="Normal 18 57 7" xfId="7859"/>
    <cellStyle name="Normal 18 57 8" xfId="7860"/>
    <cellStyle name="Normal 18 57 9" xfId="7861"/>
    <cellStyle name="Normal 18 58" xfId="7862"/>
    <cellStyle name="Normal 18 58 10" xfId="7863"/>
    <cellStyle name="Normal 18 58 11" xfId="7864"/>
    <cellStyle name="Normal 18 58 12" xfId="7865"/>
    <cellStyle name="Normal 18 58 13" xfId="7866"/>
    <cellStyle name="Normal 18 58 2" xfId="7867"/>
    <cellStyle name="Normal 18 58 3" xfId="7868"/>
    <cellStyle name="Normal 18 58 4" xfId="7869"/>
    <cellStyle name="Normal 18 58 5" xfId="7870"/>
    <cellStyle name="Normal 18 58 6" xfId="7871"/>
    <cellStyle name="Normal 18 58 7" xfId="7872"/>
    <cellStyle name="Normal 18 58 8" xfId="7873"/>
    <cellStyle name="Normal 18 58 9" xfId="7874"/>
    <cellStyle name="Normal 18 59" xfId="7875"/>
    <cellStyle name="Normal 18 59 10" xfId="7876"/>
    <cellStyle name="Normal 18 59 11" xfId="7877"/>
    <cellStyle name="Normal 18 59 12" xfId="7878"/>
    <cellStyle name="Normal 18 59 13" xfId="7879"/>
    <cellStyle name="Normal 18 59 2" xfId="7880"/>
    <cellStyle name="Normal 18 59 3" xfId="7881"/>
    <cellStyle name="Normal 18 59 4" xfId="7882"/>
    <cellStyle name="Normal 18 59 5" xfId="7883"/>
    <cellStyle name="Normal 18 59 6" xfId="7884"/>
    <cellStyle name="Normal 18 59 7" xfId="7885"/>
    <cellStyle name="Normal 18 59 8" xfId="7886"/>
    <cellStyle name="Normal 18 59 9" xfId="7887"/>
    <cellStyle name="Normal 18 6" xfId="7888"/>
    <cellStyle name="Normal 18 6 10" xfId="7889"/>
    <cellStyle name="Normal 18 6 11" xfId="7890"/>
    <cellStyle name="Normal 18 6 12" xfId="7891"/>
    <cellStyle name="Normal 18 6 13" xfId="7892"/>
    <cellStyle name="Normal 18 6 2" xfId="7893"/>
    <cellStyle name="Normal 18 6 3" xfId="7894"/>
    <cellStyle name="Normal 18 6 4" xfId="7895"/>
    <cellStyle name="Normal 18 6 5" xfId="7896"/>
    <cellStyle name="Normal 18 6 6" xfId="7897"/>
    <cellStyle name="Normal 18 6 7" xfId="7898"/>
    <cellStyle name="Normal 18 6 8" xfId="7899"/>
    <cellStyle name="Normal 18 6 9" xfId="7900"/>
    <cellStyle name="Normal 18 60" xfId="7901"/>
    <cellStyle name="Normal 18 60 10" xfId="7902"/>
    <cellStyle name="Normal 18 60 11" xfId="7903"/>
    <cellStyle name="Normal 18 60 12" xfId="7904"/>
    <cellStyle name="Normal 18 60 13" xfId="7905"/>
    <cellStyle name="Normal 18 60 2" xfId="7906"/>
    <cellStyle name="Normal 18 60 3" xfId="7907"/>
    <cellStyle name="Normal 18 60 4" xfId="7908"/>
    <cellStyle name="Normal 18 60 5" xfId="7909"/>
    <cellStyle name="Normal 18 60 6" xfId="7910"/>
    <cellStyle name="Normal 18 60 7" xfId="7911"/>
    <cellStyle name="Normal 18 60 8" xfId="7912"/>
    <cellStyle name="Normal 18 60 9" xfId="7913"/>
    <cellStyle name="Normal 18 61" xfId="7914"/>
    <cellStyle name="Normal 18 61 10" xfId="7915"/>
    <cellStyle name="Normal 18 61 11" xfId="7916"/>
    <cellStyle name="Normal 18 61 12" xfId="7917"/>
    <cellStyle name="Normal 18 61 13" xfId="7918"/>
    <cellStyle name="Normal 18 61 2" xfId="7919"/>
    <cellStyle name="Normal 18 61 3" xfId="7920"/>
    <cellStyle name="Normal 18 61 4" xfId="7921"/>
    <cellStyle name="Normal 18 61 5" xfId="7922"/>
    <cellStyle name="Normal 18 61 6" xfId="7923"/>
    <cellStyle name="Normal 18 61 7" xfId="7924"/>
    <cellStyle name="Normal 18 61 8" xfId="7925"/>
    <cellStyle name="Normal 18 61 9" xfId="7926"/>
    <cellStyle name="Normal 18 62" xfId="7927"/>
    <cellStyle name="Normal 18 62 10" xfId="7928"/>
    <cellStyle name="Normal 18 62 11" xfId="7929"/>
    <cellStyle name="Normal 18 62 12" xfId="7930"/>
    <cellStyle name="Normal 18 62 13" xfId="7931"/>
    <cellStyle name="Normal 18 62 2" xfId="7932"/>
    <cellStyle name="Normal 18 62 3" xfId="7933"/>
    <cellStyle name="Normal 18 62 4" xfId="7934"/>
    <cellStyle name="Normal 18 62 5" xfId="7935"/>
    <cellStyle name="Normal 18 62 6" xfId="7936"/>
    <cellStyle name="Normal 18 62 7" xfId="7937"/>
    <cellStyle name="Normal 18 62 8" xfId="7938"/>
    <cellStyle name="Normal 18 62 9" xfId="7939"/>
    <cellStyle name="Normal 18 63" xfId="7940"/>
    <cellStyle name="Normal 18 63 10" xfId="7941"/>
    <cellStyle name="Normal 18 63 11" xfId="7942"/>
    <cellStyle name="Normal 18 63 12" xfId="7943"/>
    <cellStyle name="Normal 18 63 13" xfId="7944"/>
    <cellStyle name="Normal 18 63 2" xfId="7945"/>
    <cellStyle name="Normal 18 63 3" xfId="7946"/>
    <cellStyle name="Normal 18 63 4" xfId="7947"/>
    <cellStyle name="Normal 18 63 5" xfId="7948"/>
    <cellStyle name="Normal 18 63 6" xfId="7949"/>
    <cellStyle name="Normal 18 63 7" xfId="7950"/>
    <cellStyle name="Normal 18 63 8" xfId="7951"/>
    <cellStyle name="Normal 18 63 9" xfId="7952"/>
    <cellStyle name="Normal 18 64" xfId="7953"/>
    <cellStyle name="Normal 18 64 10" xfId="7954"/>
    <cellStyle name="Normal 18 64 11" xfId="7955"/>
    <cellStyle name="Normal 18 64 12" xfId="7956"/>
    <cellStyle name="Normal 18 64 13" xfId="7957"/>
    <cellStyle name="Normal 18 64 2" xfId="7958"/>
    <cellStyle name="Normal 18 64 3" xfId="7959"/>
    <cellStyle name="Normal 18 64 4" xfId="7960"/>
    <cellStyle name="Normal 18 64 5" xfId="7961"/>
    <cellStyle name="Normal 18 64 6" xfId="7962"/>
    <cellStyle name="Normal 18 64 7" xfId="7963"/>
    <cellStyle name="Normal 18 64 8" xfId="7964"/>
    <cellStyle name="Normal 18 64 9" xfId="7965"/>
    <cellStyle name="Normal 18 65" xfId="7966"/>
    <cellStyle name="Normal 18 65 10" xfId="7967"/>
    <cellStyle name="Normal 18 65 11" xfId="7968"/>
    <cellStyle name="Normal 18 65 12" xfId="7969"/>
    <cellStyle name="Normal 18 65 13" xfId="7970"/>
    <cellStyle name="Normal 18 65 2" xfId="7971"/>
    <cellStyle name="Normal 18 65 3" xfId="7972"/>
    <cellStyle name="Normal 18 65 4" xfId="7973"/>
    <cellStyle name="Normal 18 65 5" xfId="7974"/>
    <cellStyle name="Normal 18 65 6" xfId="7975"/>
    <cellStyle name="Normal 18 65 7" xfId="7976"/>
    <cellStyle name="Normal 18 65 8" xfId="7977"/>
    <cellStyle name="Normal 18 65 9" xfId="7978"/>
    <cellStyle name="Normal 18 66" xfId="7979"/>
    <cellStyle name="Normal 18 66 10" xfId="7980"/>
    <cellStyle name="Normal 18 66 11" xfId="7981"/>
    <cellStyle name="Normal 18 66 12" xfId="7982"/>
    <cellStyle name="Normal 18 66 13" xfId="7983"/>
    <cellStyle name="Normal 18 66 2" xfId="7984"/>
    <cellStyle name="Normal 18 66 3" xfId="7985"/>
    <cellStyle name="Normal 18 66 4" xfId="7986"/>
    <cellStyle name="Normal 18 66 5" xfId="7987"/>
    <cellStyle name="Normal 18 66 6" xfId="7988"/>
    <cellStyle name="Normal 18 66 7" xfId="7989"/>
    <cellStyle name="Normal 18 66 8" xfId="7990"/>
    <cellStyle name="Normal 18 66 9" xfId="7991"/>
    <cellStyle name="Normal 18 67" xfId="7992"/>
    <cellStyle name="Normal 18 67 10" xfId="7993"/>
    <cellStyle name="Normal 18 67 11" xfId="7994"/>
    <cellStyle name="Normal 18 67 12" xfId="7995"/>
    <cellStyle name="Normal 18 67 13" xfId="7996"/>
    <cellStyle name="Normal 18 67 2" xfId="7997"/>
    <cellStyle name="Normal 18 67 3" xfId="7998"/>
    <cellStyle name="Normal 18 67 4" xfId="7999"/>
    <cellStyle name="Normal 18 67 5" xfId="8000"/>
    <cellStyle name="Normal 18 67 6" xfId="8001"/>
    <cellStyle name="Normal 18 67 7" xfId="8002"/>
    <cellStyle name="Normal 18 67 8" xfId="8003"/>
    <cellStyle name="Normal 18 67 9" xfId="8004"/>
    <cellStyle name="Normal 18 68" xfId="8005"/>
    <cellStyle name="Normal 18 68 10" xfId="8006"/>
    <cellStyle name="Normal 18 68 11" xfId="8007"/>
    <cellStyle name="Normal 18 68 12" xfId="8008"/>
    <cellStyle name="Normal 18 68 13" xfId="8009"/>
    <cellStyle name="Normal 18 68 2" xfId="8010"/>
    <cellStyle name="Normal 18 68 3" xfId="8011"/>
    <cellStyle name="Normal 18 68 4" xfId="8012"/>
    <cellStyle name="Normal 18 68 5" xfId="8013"/>
    <cellStyle name="Normal 18 68 6" xfId="8014"/>
    <cellStyle name="Normal 18 68 7" xfId="8015"/>
    <cellStyle name="Normal 18 68 8" xfId="8016"/>
    <cellStyle name="Normal 18 68 9" xfId="8017"/>
    <cellStyle name="Normal 18 69" xfId="8018"/>
    <cellStyle name="Normal 18 69 10" xfId="8019"/>
    <cellStyle name="Normal 18 69 11" xfId="8020"/>
    <cellStyle name="Normal 18 69 12" xfId="8021"/>
    <cellStyle name="Normal 18 69 13" xfId="8022"/>
    <cellStyle name="Normal 18 69 2" xfId="8023"/>
    <cellStyle name="Normal 18 69 3" xfId="8024"/>
    <cellStyle name="Normal 18 69 4" xfId="8025"/>
    <cellStyle name="Normal 18 69 5" xfId="8026"/>
    <cellStyle name="Normal 18 69 6" xfId="8027"/>
    <cellStyle name="Normal 18 69 7" xfId="8028"/>
    <cellStyle name="Normal 18 69 8" xfId="8029"/>
    <cellStyle name="Normal 18 69 9" xfId="8030"/>
    <cellStyle name="Normal 18 7" xfId="8031"/>
    <cellStyle name="Normal 18 7 10" xfId="8032"/>
    <cellStyle name="Normal 18 7 11" xfId="8033"/>
    <cellStyle name="Normal 18 7 12" xfId="8034"/>
    <cellStyle name="Normal 18 7 13" xfId="8035"/>
    <cellStyle name="Normal 18 7 2" xfId="8036"/>
    <cellStyle name="Normal 18 7 3" xfId="8037"/>
    <cellStyle name="Normal 18 7 4" xfId="8038"/>
    <cellStyle name="Normal 18 7 5" xfId="8039"/>
    <cellStyle name="Normal 18 7 6" xfId="8040"/>
    <cellStyle name="Normal 18 7 7" xfId="8041"/>
    <cellStyle name="Normal 18 7 8" xfId="8042"/>
    <cellStyle name="Normal 18 7 9" xfId="8043"/>
    <cellStyle name="Normal 18 70" xfId="8044"/>
    <cellStyle name="Normal 18 70 10" xfId="8045"/>
    <cellStyle name="Normal 18 70 11" xfId="8046"/>
    <cellStyle name="Normal 18 70 12" xfId="8047"/>
    <cellStyle name="Normal 18 70 13" xfId="8048"/>
    <cellStyle name="Normal 18 70 2" xfId="8049"/>
    <cellStyle name="Normal 18 70 3" xfId="8050"/>
    <cellStyle name="Normal 18 70 4" xfId="8051"/>
    <cellStyle name="Normal 18 70 5" xfId="8052"/>
    <cellStyle name="Normal 18 70 6" xfId="8053"/>
    <cellStyle name="Normal 18 70 7" xfId="8054"/>
    <cellStyle name="Normal 18 70 8" xfId="8055"/>
    <cellStyle name="Normal 18 70 9" xfId="8056"/>
    <cellStyle name="Normal 18 71" xfId="8057"/>
    <cellStyle name="Normal 18 71 10" xfId="8058"/>
    <cellStyle name="Normal 18 71 11" xfId="8059"/>
    <cellStyle name="Normal 18 71 12" xfId="8060"/>
    <cellStyle name="Normal 18 71 13" xfId="8061"/>
    <cellStyle name="Normal 18 71 2" xfId="8062"/>
    <cellStyle name="Normal 18 71 3" xfId="8063"/>
    <cellStyle name="Normal 18 71 4" xfId="8064"/>
    <cellStyle name="Normal 18 71 5" xfId="8065"/>
    <cellStyle name="Normal 18 71 6" xfId="8066"/>
    <cellStyle name="Normal 18 71 7" xfId="8067"/>
    <cellStyle name="Normal 18 71 8" xfId="8068"/>
    <cellStyle name="Normal 18 71 9" xfId="8069"/>
    <cellStyle name="Normal 18 72" xfId="8070"/>
    <cellStyle name="Normal 18 73" xfId="8071"/>
    <cellStyle name="Normal 18 74" xfId="8072"/>
    <cellStyle name="Normal 18 75" xfId="8073"/>
    <cellStyle name="Normal 18 76" xfId="8074"/>
    <cellStyle name="Normal 18 77" xfId="8075"/>
    <cellStyle name="Normal 18 78" xfId="8076"/>
    <cellStyle name="Normal 18 79" xfId="8077"/>
    <cellStyle name="Normal 18 8" xfId="8078"/>
    <cellStyle name="Normal 18 8 10" xfId="8079"/>
    <cellStyle name="Normal 18 8 11" xfId="8080"/>
    <cellStyle name="Normal 18 8 12" xfId="8081"/>
    <cellStyle name="Normal 18 8 13" xfId="8082"/>
    <cellStyle name="Normal 18 8 2" xfId="8083"/>
    <cellStyle name="Normal 18 8 3" xfId="8084"/>
    <cellStyle name="Normal 18 8 4" xfId="8085"/>
    <cellStyle name="Normal 18 8 5" xfId="8086"/>
    <cellStyle name="Normal 18 8 6" xfId="8087"/>
    <cellStyle name="Normal 18 8 7" xfId="8088"/>
    <cellStyle name="Normal 18 8 8" xfId="8089"/>
    <cellStyle name="Normal 18 8 9" xfId="8090"/>
    <cellStyle name="Normal 18 80" xfId="8091"/>
    <cellStyle name="Normal 18 81" xfId="8092"/>
    <cellStyle name="Normal 18 82" xfId="8093"/>
    <cellStyle name="Normal 18 83" xfId="8094"/>
    <cellStyle name="Normal 18 9" xfId="8095"/>
    <cellStyle name="Normal 18 9 10" xfId="8096"/>
    <cellStyle name="Normal 18 9 11" xfId="8097"/>
    <cellStyle name="Normal 18 9 12" xfId="8098"/>
    <cellStyle name="Normal 18 9 13" xfId="8099"/>
    <cellStyle name="Normal 18 9 2" xfId="8100"/>
    <cellStyle name="Normal 18 9 3" xfId="8101"/>
    <cellStyle name="Normal 18 9 4" xfId="8102"/>
    <cellStyle name="Normal 18 9 5" xfId="8103"/>
    <cellStyle name="Normal 18 9 6" xfId="8104"/>
    <cellStyle name="Normal 18 9 7" xfId="8105"/>
    <cellStyle name="Normal 18 9 8" xfId="8106"/>
    <cellStyle name="Normal 18 9 9" xfId="8107"/>
    <cellStyle name="Normal 19" xfId="8108"/>
    <cellStyle name="Normal 19 10" xfId="8109"/>
    <cellStyle name="Normal 19 10 10" xfId="8110"/>
    <cellStyle name="Normal 19 10 11" xfId="8111"/>
    <cellStyle name="Normal 19 10 12" xfId="8112"/>
    <cellStyle name="Normal 19 10 13" xfId="8113"/>
    <cellStyle name="Normal 19 10 2" xfId="8114"/>
    <cellStyle name="Normal 19 10 3" xfId="8115"/>
    <cellStyle name="Normal 19 10 4" xfId="8116"/>
    <cellStyle name="Normal 19 10 5" xfId="8117"/>
    <cellStyle name="Normal 19 10 6" xfId="8118"/>
    <cellStyle name="Normal 19 10 7" xfId="8119"/>
    <cellStyle name="Normal 19 10 8" xfId="8120"/>
    <cellStyle name="Normal 19 10 9" xfId="8121"/>
    <cellStyle name="Normal 19 11" xfId="8122"/>
    <cellStyle name="Normal 19 11 10" xfId="8123"/>
    <cellStyle name="Normal 19 11 11" xfId="8124"/>
    <cellStyle name="Normal 19 11 12" xfId="8125"/>
    <cellStyle name="Normal 19 11 13" xfId="8126"/>
    <cellStyle name="Normal 19 11 2" xfId="8127"/>
    <cellStyle name="Normal 19 11 3" xfId="8128"/>
    <cellStyle name="Normal 19 11 4" xfId="8129"/>
    <cellStyle name="Normal 19 11 5" xfId="8130"/>
    <cellStyle name="Normal 19 11 6" xfId="8131"/>
    <cellStyle name="Normal 19 11 7" xfId="8132"/>
    <cellStyle name="Normal 19 11 8" xfId="8133"/>
    <cellStyle name="Normal 19 11 9" xfId="8134"/>
    <cellStyle name="Normal 19 12" xfId="8135"/>
    <cellStyle name="Normal 19 12 10" xfId="8136"/>
    <cellStyle name="Normal 19 12 11" xfId="8137"/>
    <cellStyle name="Normal 19 12 12" xfId="8138"/>
    <cellStyle name="Normal 19 12 13" xfId="8139"/>
    <cellStyle name="Normal 19 12 2" xfId="8140"/>
    <cellStyle name="Normal 19 12 3" xfId="8141"/>
    <cellStyle name="Normal 19 12 4" xfId="8142"/>
    <cellStyle name="Normal 19 12 5" xfId="8143"/>
    <cellStyle name="Normal 19 12 6" xfId="8144"/>
    <cellStyle name="Normal 19 12 7" xfId="8145"/>
    <cellStyle name="Normal 19 12 8" xfId="8146"/>
    <cellStyle name="Normal 19 12 9" xfId="8147"/>
    <cellStyle name="Normal 19 13" xfId="8148"/>
    <cellStyle name="Normal 19 13 10" xfId="8149"/>
    <cellStyle name="Normal 19 13 11" xfId="8150"/>
    <cellStyle name="Normal 19 13 12" xfId="8151"/>
    <cellStyle name="Normal 19 13 13" xfId="8152"/>
    <cellStyle name="Normal 19 13 2" xfId="8153"/>
    <cellStyle name="Normal 19 13 3" xfId="8154"/>
    <cellStyle name="Normal 19 13 4" xfId="8155"/>
    <cellStyle name="Normal 19 13 5" xfId="8156"/>
    <cellStyle name="Normal 19 13 6" xfId="8157"/>
    <cellStyle name="Normal 19 13 7" xfId="8158"/>
    <cellStyle name="Normal 19 13 8" xfId="8159"/>
    <cellStyle name="Normal 19 13 9" xfId="8160"/>
    <cellStyle name="Normal 19 14" xfId="8161"/>
    <cellStyle name="Normal 19 14 10" xfId="8162"/>
    <cellStyle name="Normal 19 14 11" xfId="8163"/>
    <cellStyle name="Normal 19 14 12" xfId="8164"/>
    <cellStyle name="Normal 19 14 13" xfId="8165"/>
    <cellStyle name="Normal 19 14 2" xfId="8166"/>
    <cellStyle name="Normal 19 14 3" xfId="8167"/>
    <cellStyle name="Normal 19 14 4" xfId="8168"/>
    <cellStyle name="Normal 19 14 5" xfId="8169"/>
    <cellStyle name="Normal 19 14 6" xfId="8170"/>
    <cellStyle name="Normal 19 14 7" xfId="8171"/>
    <cellStyle name="Normal 19 14 8" xfId="8172"/>
    <cellStyle name="Normal 19 14 9" xfId="8173"/>
    <cellStyle name="Normal 19 15" xfId="8174"/>
    <cellStyle name="Normal 19 15 10" xfId="8175"/>
    <cellStyle name="Normal 19 15 11" xfId="8176"/>
    <cellStyle name="Normal 19 15 12" xfId="8177"/>
    <cellStyle name="Normal 19 15 13" xfId="8178"/>
    <cellStyle name="Normal 19 15 2" xfId="8179"/>
    <cellStyle name="Normal 19 15 3" xfId="8180"/>
    <cellStyle name="Normal 19 15 4" xfId="8181"/>
    <cellStyle name="Normal 19 15 5" xfId="8182"/>
    <cellStyle name="Normal 19 15 6" xfId="8183"/>
    <cellStyle name="Normal 19 15 7" xfId="8184"/>
    <cellStyle name="Normal 19 15 8" xfId="8185"/>
    <cellStyle name="Normal 19 15 9" xfId="8186"/>
    <cellStyle name="Normal 19 16" xfId="8187"/>
    <cellStyle name="Normal 19 16 10" xfId="8188"/>
    <cellStyle name="Normal 19 16 11" xfId="8189"/>
    <cellStyle name="Normal 19 16 12" xfId="8190"/>
    <cellStyle name="Normal 19 16 13" xfId="8191"/>
    <cellStyle name="Normal 19 16 2" xfId="8192"/>
    <cellStyle name="Normal 19 16 3" xfId="8193"/>
    <cellStyle name="Normal 19 16 4" xfId="8194"/>
    <cellStyle name="Normal 19 16 5" xfId="8195"/>
    <cellStyle name="Normal 19 16 6" xfId="8196"/>
    <cellStyle name="Normal 19 16 7" xfId="8197"/>
    <cellStyle name="Normal 19 16 8" xfId="8198"/>
    <cellStyle name="Normal 19 16 9" xfId="8199"/>
    <cellStyle name="Normal 19 17" xfId="8200"/>
    <cellStyle name="Normal 19 17 10" xfId="8201"/>
    <cellStyle name="Normal 19 17 11" xfId="8202"/>
    <cellStyle name="Normal 19 17 12" xfId="8203"/>
    <cellStyle name="Normal 19 17 13" xfId="8204"/>
    <cellStyle name="Normal 19 17 2" xfId="8205"/>
    <cellStyle name="Normal 19 17 3" xfId="8206"/>
    <cellStyle name="Normal 19 17 4" xfId="8207"/>
    <cellStyle name="Normal 19 17 5" xfId="8208"/>
    <cellStyle name="Normal 19 17 6" xfId="8209"/>
    <cellStyle name="Normal 19 17 7" xfId="8210"/>
    <cellStyle name="Normal 19 17 8" xfId="8211"/>
    <cellStyle name="Normal 19 17 9" xfId="8212"/>
    <cellStyle name="Normal 19 18" xfId="8213"/>
    <cellStyle name="Normal 19 18 10" xfId="8214"/>
    <cellStyle name="Normal 19 18 11" xfId="8215"/>
    <cellStyle name="Normal 19 18 12" xfId="8216"/>
    <cellStyle name="Normal 19 18 13" xfId="8217"/>
    <cellStyle name="Normal 19 18 2" xfId="8218"/>
    <cellStyle name="Normal 19 18 3" xfId="8219"/>
    <cellStyle name="Normal 19 18 4" xfId="8220"/>
    <cellStyle name="Normal 19 18 5" xfId="8221"/>
    <cellStyle name="Normal 19 18 6" xfId="8222"/>
    <cellStyle name="Normal 19 18 7" xfId="8223"/>
    <cellStyle name="Normal 19 18 8" xfId="8224"/>
    <cellStyle name="Normal 19 18 9" xfId="8225"/>
    <cellStyle name="Normal 19 19" xfId="8226"/>
    <cellStyle name="Normal 19 19 10" xfId="8227"/>
    <cellStyle name="Normal 19 19 11" xfId="8228"/>
    <cellStyle name="Normal 19 19 12" xfId="8229"/>
    <cellStyle name="Normal 19 19 13" xfId="8230"/>
    <cellStyle name="Normal 19 19 2" xfId="8231"/>
    <cellStyle name="Normal 19 19 3" xfId="8232"/>
    <cellStyle name="Normal 19 19 4" xfId="8233"/>
    <cellStyle name="Normal 19 19 5" xfId="8234"/>
    <cellStyle name="Normal 19 19 6" xfId="8235"/>
    <cellStyle name="Normal 19 19 7" xfId="8236"/>
    <cellStyle name="Normal 19 19 8" xfId="8237"/>
    <cellStyle name="Normal 19 19 9" xfId="8238"/>
    <cellStyle name="Normal 19 2" xfId="8239"/>
    <cellStyle name="Normal 19 2 10" xfId="8240"/>
    <cellStyle name="Normal 19 2 11" xfId="8241"/>
    <cellStyle name="Normal 19 2 12" xfId="8242"/>
    <cellStyle name="Normal 19 2 13" xfId="8243"/>
    <cellStyle name="Normal 19 2 2" xfId="8244"/>
    <cellStyle name="Normal 19 2 3" xfId="8245"/>
    <cellStyle name="Normal 19 2 4" xfId="8246"/>
    <cellStyle name="Normal 19 2 5" xfId="8247"/>
    <cellStyle name="Normal 19 2 6" xfId="8248"/>
    <cellStyle name="Normal 19 2 7" xfId="8249"/>
    <cellStyle name="Normal 19 2 8" xfId="8250"/>
    <cellStyle name="Normal 19 2 9" xfId="8251"/>
    <cellStyle name="Normal 19 20" xfId="8252"/>
    <cellStyle name="Normal 19 20 10" xfId="8253"/>
    <cellStyle name="Normal 19 20 11" xfId="8254"/>
    <cellStyle name="Normal 19 20 12" xfId="8255"/>
    <cellStyle name="Normal 19 20 13" xfId="8256"/>
    <cellStyle name="Normal 19 20 2" xfId="8257"/>
    <cellStyle name="Normal 19 20 3" xfId="8258"/>
    <cellStyle name="Normal 19 20 4" xfId="8259"/>
    <cellStyle name="Normal 19 20 5" xfId="8260"/>
    <cellStyle name="Normal 19 20 6" xfId="8261"/>
    <cellStyle name="Normal 19 20 7" xfId="8262"/>
    <cellStyle name="Normal 19 20 8" xfId="8263"/>
    <cellStyle name="Normal 19 20 9" xfId="8264"/>
    <cellStyle name="Normal 19 21" xfId="8265"/>
    <cellStyle name="Normal 19 21 10" xfId="8266"/>
    <cellStyle name="Normal 19 21 11" xfId="8267"/>
    <cellStyle name="Normal 19 21 12" xfId="8268"/>
    <cellStyle name="Normal 19 21 13" xfId="8269"/>
    <cellStyle name="Normal 19 21 2" xfId="8270"/>
    <cellStyle name="Normal 19 21 3" xfId="8271"/>
    <cellStyle name="Normal 19 21 4" xfId="8272"/>
    <cellStyle name="Normal 19 21 5" xfId="8273"/>
    <cellStyle name="Normal 19 21 6" xfId="8274"/>
    <cellStyle name="Normal 19 21 7" xfId="8275"/>
    <cellStyle name="Normal 19 21 8" xfId="8276"/>
    <cellStyle name="Normal 19 21 9" xfId="8277"/>
    <cellStyle name="Normal 19 22" xfId="8278"/>
    <cellStyle name="Normal 19 22 10" xfId="8279"/>
    <cellStyle name="Normal 19 22 11" xfId="8280"/>
    <cellStyle name="Normal 19 22 12" xfId="8281"/>
    <cellStyle name="Normal 19 22 13" xfId="8282"/>
    <cellStyle name="Normal 19 22 2" xfId="8283"/>
    <cellStyle name="Normal 19 22 3" xfId="8284"/>
    <cellStyle name="Normal 19 22 4" xfId="8285"/>
    <cellStyle name="Normal 19 22 5" xfId="8286"/>
    <cellStyle name="Normal 19 22 6" xfId="8287"/>
    <cellStyle name="Normal 19 22 7" xfId="8288"/>
    <cellStyle name="Normal 19 22 8" xfId="8289"/>
    <cellStyle name="Normal 19 22 9" xfId="8290"/>
    <cellStyle name="Normal 19 23" xfId="8291"/>
    <cellStyle name="Normal 19 23 10" xfId="8292"/>
    <cellStyle name="Normal 19 23 11" xfId="8293"/>
    <cellStyle name="Normal 19 23 12" xfId="8294"/>
    <cellStyle name="Normal 19 23 13" xfId="8295"/>
    <cellStyle name="Normal 19 23 2" xfId="8296"/>
    <cellStyle name="Normal 19 23 3" xfId="8297"/>
    <cellStyle name="Normal 19 23 4" xfId="8298"/>
    <cellStyle name="Normal 19 23 5" xfId="8299"/>
    <cellStyle name="Normal 19 23 6" xfId="8300"/>
    <cellStyle name="Normal 19 23 7" xfId="8301"/>
    <cellStyle name="Normal 19 23 8" xfId="8302"/>
    <cellStyle name="Normal 19 23 9" xfId="8303"/>
    <cellStyle name="Normal 19 24" xfId="8304"/>
    <cellStyle name="Normal 19 24 10" xfId="8305"/>
    <cellStyle name="Normal 19 24 11" xfId="8306"/>
    <cellStyle name="Normal 19 24 12" xfId="8307"/>
    <cellStyle name="Normal 19 24 13" xfId="8308"/>
    <cellStyle name="Normal 19 24 2" xfId="8309"/>
    <cellStyle name="Normal 19 24 3" xfId="8310"/>
    <cellStyle name="Normal 19 24 4" xfId="8311"/>
    <cellStyle name="Normal 19 24 5" xfId="8312"/>
    <cellStyle name="Normal 19 24 6" xfId="8313"/>
    <cellStyle name="Normal 19 24 7" xfId="8314"/>
    <cellStyle name="Normal 19 24 8" xfId="8315"/>
    <cellStyle name="Normal 19 24 9" xfId="8316"/>
    <cellStyle name="Normal 19 25" xfId="8317"/>
    <cellStyle name="Normal 19 25 10" xfId="8318"/>
    <cellStyle name="Normal 19 25 11" xfId="8319"/>
    <cellStyle name="Normal 19 25 12" xfId="8320"/>
    <cellStyle name="Normal 19 25 13" xfId="8321"/>
    <cellStyle name="Normal 19 25 2" xfId="8322"/>
    <cellStyle name="Normal 19 25 3" xfId="8323"/>
    <cellStyle name="Normal 19 25 4" xfId="8324"/>
    <cellStyle name="Normal 19 25 5" xfId="8325"/>
    <cellStyle name="Normal 19 25 6" xfId="8326"/>
    <cellStyle name="Normal 19 25 7" xfId="8327"/>
    <cellStyle name="Normal 19 25 8" xfId="8328"/>
    <cellStyle name="Normal 19 25 9" xfId="8329"/>
    <cellStyle name="Normal 19 26" xfId="8330"/>
    <cellStyle name="Normal 19 26 10" xfId="8331"/>
    <cellStyle name="Normal 19 26 11" xfId="8332"/>
    <cellStyle name="Normal 19 26 12" xfId="8333"/>
    <cellStyle name="Normal 19 26 13" xfId="8334"/>
    <cellStyle name="Normal 19 26 2" xfId="8335"/>
    <cellStyle name="Normal 19 26 3" xfId="8336"/>
    <cellStyle name="Normal 19 26 4" xfId="8337"/>
    <cellStyle name="Normal 19 26 5" xfId="8338"/>
    <cellStyle name="Normal 19 26 6" xfId="8339"/>
    <cellStyle name="Normal 19 26 7" xfId="8340"/>
    <cellStyle name="Normal 19 26 8" xfId="8341"/>
    <cellStyle name="Normal 19 26 9" xfId="8342"/>
    <cellStyle name="Normal 19 27" xfId="8343"/>
    <cellStyle name="Normal 19 27 10" xfId="8344"/>
    <cellStyle name="Normal 19 27 11" xfId="8345"/>
    <cellStyle name="Normal 19 27 12" xfId="8346"/>
    <cellStyle name="Normal 19 27 13" xfId="8347"/>
    <cellStyle name="Normal 19 27 2" xfId="8348"/>
    <cellStyle name="Normal 19 27 3" xfId="8349"/>
    <cellStyle name="Normal 19 27 4" xfId="8350"/>
    <cellStyle name="Normal 19 27 5" xfId="8351"/>
    <cellStyle name="Normal 19 27 6" xfId="8352"/>
    <cellStyle name="Normal 19 27 7" xfId="8353"/>
    <cellStyle name="Normal 19 27 8" xfId="8354"/>
    <cellStyle name="Normal 19 27 9" xfId="8355"/>
    <cellStyle name="Normal 19 28" xfId="8356"/>
    <cellStyle name="Normal 19 28 10" xfId="8357"/>
    <cellStyle name="Normal 19 28 11" xfId="8358"/>
    <cellStyle name="Normal 19 28 12" xfId="8359"/>
    <cellStyle name="Normal 19 28 13" xfId="8360"/>
    <cellStyle name="Normal 19 28 2" xfId="8361"/>
    <cellStyle name="Normal 19 28 3" xfId="8362"/>
    <cellStyle name="Normal 19 28 4" xfId="8363"/>
    <cellStyle name="Normal 19 28 5" xfId="8364"/>
    <cellStyle name="Normal 19 28 6" xfId="8365"/>
    <cellStyle name="Normal 19 28 7" xfId="8366"/>
    <cellStyle name="Normal 19 28 8" xfId="8367"/>
    <cellStyle name="Normal 19 28 9" xfId="8368"/>
    <cellStyle name="Normal 19 29" xfId="8369"/>
    <cellStyle name="Normal 19 29 10" xfId="8370"/>
    <cellStyle name="Normal 19 29 11" xfId="8371"/>
    <cellStyle name="Normal 19 29 12" xfId="8372"/>
    <cellStyle name="Normal 19 29 13" xfId="8373"/>
    <cellStyle name="Normal 19 29 2" xfId="8374"/>
    <cellStyle name="Normal 19 29 3" xfId="8375"/>
    <cellStyle name="Normal 19 29 4" xfId="8376"/>
    <cellStyle name="Normal 19 29 5" xfId="8377"/>
    <cellStyle name="Normal 19 29 6" xfId="8378"/>
    <cellStyle name="Normal 19 29 7" xfId="8379"/>
    <cellStyle name="Normal 19 29 8" xfId="8380"/>
    <cellStyle name="Normal 19 29 9" xfId="8381"/>
    <cellStyle name="Normal 19 3" xfId="8382"/>
    <cellStyle name="Normal 19 3 10" xfId="8383"/>
    <cellStyle name="Normal 19 3 11" xfId="8384"/>
    <cellStyle name="Normal 19 3 12" xfId="8385"/>
    <cellStyle name="Normal 19 3 13" xfId="8386"/>
    <cellStyle name="Normal 19 3 2" xfId="8387"/>
    <cellStyle name="Normal 19 3 3" xfId="8388"/>
    <cellStyle name="Normal 19 3 4" xfId="8389"/>
    <cellStyle name="Normal 19 3 5" xfId="8390"/>
    <cellStyle name="Normal 19 3 6" xfId="8391"/>
    <cellStyle name="Normal 19 3 7" xfId="8392"/>
    <cellStyle name="Normal 19 3 8" xfId="8393"/>
    <cellStyle name="Normal 19 3 9" xfId="8394"/>
    <cellStyle name="Normal 19 30" xfId="8395"/>
    <cellStyle name="Normal 19 30 10" xfId="8396"/>
    <cellStyle name="Normal 19 30 11" xfId="8397"/>
    <cellStyle name="Normal 19 30 12" xfId="8398"/>
    <cellStyle name="Normal 19 30 13" xfId="8399"/>
    <cellStyle name="Normal 19 30 2" xfId="8400"/>
    <cellStyle name="Normal 19 30 3" xfId="8401"/>
    <cellStyle name="Normal 19 30 4" xfId="8402"/>
    <cellStyle name="Normal 19 30 5" xfId="8403"/>
    <cellStyle name="Normal 19 30 6" xfId="8404"/>
    <cellStyle name="Normal 19 30 7" xfId="8405"/>
    <cellStyle name="Normal 19 30 8" xfId="8406"/>
    <cellStyle name="Normal 19 30 9" xfId="8407"/>
    <cellStyle name="Normal 19 31" xfId="8408"/>
    <cellStyle name="Normal 19 31 10" xfId="8409"/>
    <cellStyle name="Normal 19 31 11" xfId="8410"/>
    <cellStyle name="Normal 19 31 12" xfId="8411"/>
    <cellStyle name="Normal 19 31 13" xfId="8412"/>
    <cellStyle name="Normal 19 31 2" xfId="8413"/>
    <cellStyle name="Normal 19 31 3" xfId="8414"/>
    <cellStyle name="Normal 19 31 4" xfId="8415"/>
    <cellStyle name="Normal 19 31 5" xfId="8416"/>
    <cellStyle name="Normal 19 31 6" xfId="8417"/>
    <cellStyle name="Normal 19 31 7" xfId="8418"/>
    <cellStyle name="Normal 19 31 8" xfId="8419"/>
    <cellStyle name="Normal 19 31 9" xfId="8420"/>
    <cellStyle name="Normal 19 32" xfId="8421"/>
    <cellStyle name="Normal 19 32 10" xfId="8422"/>
    <cellStyle name="Normal 19 32 11" xfId="8423"/>
    <cellStyle name="Normal 19 32 12" xfId="8424"/>
    <cellStyle name="Normal 19 32 13" xfId="8425"/>
    <cellStyle name="Normal 19 32 2" xfId="8426"/>
    <cellStyle name="Normal 19 32 3" xfId="8427"/>
    <cellStyle name="Normal 19 32 4" xfId="8428"/>
    <cellStyle name="Normal 19 32 5" xfId="8429"/>
    <cellStyle name="Normal 19 32 6" xfId="8430"/>
    <cellStyle name="Normal 19 32 7" xfId="8431"/>
    <cellStyle name="Normal 19 32 8" xfId="8432"/>
    <cellStyle name="Normal 19 32 9" xfId="8433"/>
    <cellStyle name="Normal 19 33" xfId="8434"/>
    <cellStyle name="Normal 19 33 10" xfId="8435"/>
    <cellStyle name="Normal 19 33 11" xfId="8436"/>
    <cellStyle name="Normal 19 33 12" xfId="8437"/>
    <cellStyle name="Normal 19 33 13" xfId="8438"/>
    <cellStyle name="Normal 19 33 2" xfId="8439"/>
    <cellStyle name="Normal 19 33 3" xfId="8440"/>
    <cellStyle name="Normal 19 33 4" xfId="8441"/>
    <cellStyle name="Normal 19 33 5" xfId="8442"/>
    <cellStyle name="Normal 19 33 6" xfId="8443"/>
    <cellStyle name="Normal 19 33 7" xfId="8444"/>
    <cellStyle name="Normal 19 33 8" xfId="8445"/>
    <cellStyle name="Normal 19 33 9" xfId="8446"/>
    <cellStyle name="Normal 19 34" xfId="8447"/>
    <cellStyle name="Normal 19 34 10" xfId="8448"/>
    <cellStyle name="Normal 19 34 11" xfId="8449"/>
    <cellStyle name="Normal 19 34 12" xfId="8450"/>
    <cellStyle name="Normal 19 34 13" xfId="8451"/>
    <cellStyle name="Normal 19 34 2" xfId="8452"/>
    <cellStyle name="Normal 19 34 3" xfId="8453"/>
    <cellStyle name="Normal 19 34 4" xfId="8454"/>
    <cellStyle name="Normal 19 34 5" xfId="8455"/>
    <cellStyle name="Normal 19 34 6" xfId="8456"/>
    <cellStyle name="Normal 19 34 7" xfId="8457"/>
    <cellStyle name="Normal 19 34 8" xfId="8458"/>
    <cellStyle name="Normal 19 34 9" xfId="8459"/>
    <cellStyle name="Normal 19 35" xfId="8460"/>
    <cellStyle name="Normal 19 35 10" xfId="8461"/>
    <cellStyle name="Normal 19 35 11" xfId="8462"/>
    <cellStyle name="Normal 19 35 12" xfId="8463"/>
    <cellStyle name="Normal 19 35 13" xfId="8464"/>
    <cellStyle name="Normal 19 35 2" xfId="8465"/>
    <cellStyle name="Normal 19 35 3" xfId="8466"/>
    <cellStyle name="Normal 19 35 4" xfId="8467"/>
    <cellStyle name="Normal 19 35 5" xfId="8468"/>
    <cellStyle name="Normal 19 35 6" xfId="8469"/>
    <cellStyle name="Normal 19 35 7" xfId="8470"/>
    <cellStyle name="Normal 19 35 8" xfId="8471"/>
    <cellStyle name="Normal 19 35 9" xfId="8472"/>
    <cellStyle name="Normal 19 36" xfId="8473"/>
    <cellStyle name="Normal 19 36 10" xfId="8474"/>
    <cellStyle name="Normal 19 36 11" xfId="8475"/>
    <cellStyle name="Normal 19 36 12" xfId="8476"/>
    <cellStyle name="Normal 19 36 13" xfId="8477"/>
    <cellStyle name="Normal 19 36 2" xfId="8478"/>
    <cellStyle name="Normal 19 36 3" xfId="8479"/>
    <cellStyle name="Normal 19 36 4" xfId="8480"/>
    <cellStyle name="Normal 19 36 5" xfId="8481"/>
    <cellStyle name="Normal 19 36 6" xfId="8482"/>
    <cellStyle name="Normal 19 36 7" xfId="8483"/>
    <cellStyle name="Normal 19 36 8" xfId="8484"/>
    <cellStyle name="Normal 19 36 9" xfId="8485"/>
    <cellStyle name="Normal 19 37" xfId="8486"/>
    <cellStyle name="Normal 19 37 10" xfId="8487"/>
    <cellStyle name="Normal 19 37 11" xfId="8488"/>
    <cellStyle name="Normal 19 37 12" xfId="8489"/>
    <cellStyle name="Normal 19 37 13" xfId="8490"/>
    <cellStyle name="Normal 19 37 2" xfId="8491"/>
    <cellStyle name="Normal 19 37 3" xfId="8492"/>
    <cellStyle name="Normal 19 37 4" xfId="8493"/>
    <cellStyle name="Normal 19 37 5" xfId="8494"/>
    <cellStyle name="Normal 19 37 6" xfId="8495"/>
    <cellStyle name="Normal 19 37 7" xfId="8496"/>
    <cellStyle name="Normal 19 37 8" xfId="8497"/>
    <cellStyle name="Normal 19 37 9" xfId="8498"/>
    <cellStyle name="Normal 19 38" xfId="8499"/>
    <cellStyle name="Normal 19 38 10" xfId="8500"/>
    <cellStyle name="Normal 19 38 11" xfId="8501"/>
    <cellStyle name="Normal 19 38 12" xfId="8502"/>
    <cellStyle name="Normal 19 38 13" xfId="8503"/>
    <cellStyle name="Normal 19 38 2" xfId="8504"/>
    <cellStyle name="Normal 19 38 3" xfId="8505"/>
    <cellStyle name="Normal 19 38 4" xfId="8506"/>
    <cellStyle name="Normal 19 38 5" xfId="8507"/>
    <cellStyle name="Normal 19 38 6" xfId="8508"/>
    <cellStyle name="Normal 19 38 7" xfId="8509"/>
    <cellStyle name="Normal 19 38 8" xfId="8510"/>
    <cellStyle name="Normal 19 38 9" xfId="8511"/>
    <cellStyle name="Normal 19 39" xfId="8512"/>
    <cellStyle name="Normal 19 39 10" xfId="8513"/>
    <cellStyle name="Normal 19 39 11" xfId="8514"/>
    <cellStyle name="Normal 19 39 12" xfId="8515"/>
    <cellStyle name="Normal 19 39 13" xfId="8516"/>
    <cellStyle name="Normal 19 39 2" xfId="8517"/>
    <cellStyle name="Normal 19 39 3" xfId="8518"/>
    <cellStyle name="Normal 19 39 4" xfId="8519"/>
    <cellStyle name="Normal 19 39 5" xfId="8520"/>
    <cellStyle name="Normal 19 39 6" xfId="8521"/>
    <cellStyle name="Normal 19 39 7" xfId="8522"/>
    <cellStyle name="Normal 19 39 8" xfId="8523"/>
    <cellStyle name="Normal 19 39 9" xfId="8524"/>
    <cellStyle name="Normal 19 4" xfId="8525"/>
    <cellStyle name="Normal 19 4 10" xfId="8526"/>
    <cellStyle name="Normal 19 4 11" xfId="8527"/>
    <cellStyle name="Normal 19 4 12" xfId="8528"/>
    <cellStyle name="Normal 19 4 13" xfId="8529"/>
    <cellStyle name="Normal 19 4 2" xfId="8530"/>
    <cellStyle name="Normal 19 4 3" xfId="8531"/>
    <cellStyle name="Normal 19 4 4" xfId="8532"/>
    <cellStyle name="Normal 19 4 5" xfId="8533"/>
    <cellStyle name="Normal 19 4 6" xfId="8534"/>
    <cellStyle name="Normal 19 4 7" xfId="8535"/>
    <cellStyle name="Normal 19 4 8" xfId="8536"/>
    <cellStyle name="Normal 19 4 9" xfId="8537"/>
    <cellStyle name="Normal 19 40" xfId="8538"/>
    <cellStyle name="Normal 19 40 10" xfId="8539"/>
    <cellStyle name="Normal 19 40 11" xfId="8540"/>
    <cellStyle name="Normal 19 40 12" xfId="8541"/>
    <cellStyle name="Normal 19 40 13" xfId="8542"/>
    <cellStyle name="Normal 19 40 2" xfId="8543"/>
    <cellStyle name="Normal 19 40 3" xfId="8544"/>
    <cellStyle name="Normal 19 40 4" xfId="8545"/>
    <cellStyle name="Normal 19 40 5" xfId="8546"/>
    <cellStyle name="Normal 19 40 6" xfId="8547"/>
    <cellStyle name="Normal 19 40 7" xfId="8548"/>
    <cellStyle name="Normal 19 40 8" xfId="8549"/>
    <cellStyle name="Normal 19 40 9" xfId="8550"/>
    <cellStyle name="Normal 19 41" xfId="8551"/>
    <cellStyle name="Normal 19 41 10" xfId="8552"/>
    <cellStyle name="Normal 19 41 11" xfId="8553"/>
    <cellStyle name="Normal 19 41 12" xfId="8554"/>
    <cellStyle name="Normal 19 41 13" xfId="8555"/>
    <cellStyle name="Normal 19 41 2" xfId="8556"/>
    <cellStyle name="Normal 19 41 3" xfId="8557"/>
    <cellStyle name="Normal 19 41 4" xfId="8558"/>
    <cellStyle name="Normal 19 41 5" xfId="8559"/>
    <cellStyle name="Normal 19 41 6" xfId="8560"/>
    <cellStyle name="Normal 19 41 7" xfId="8561"/>
    <cellStyle name="Normal 19 41 8" xfId="8562"/>
    <cellStyle name="Normal 19 41 9" xfId="8563"/>
    <cellStyle name="Normal 19 42" xfId="8564"/>
    <cellStyle name="Normal 19 42 10" xfId="8565"/>
    <cellStyle name="Normal 19 42 11" xfId="8566"/>
    <cellStyle name="Normal 19 42 12" xfId="8567"/>
    <cellStyle name="Normal 19 42 13" xfId="8568"/>
    <cellStyle name="Normal 19 42 2" xfId="8569"/>
    <cellStyle name="Normal 19 42 3" xfId="8570"/>
    <cellStyle name="Normal 19 42 4" xfId="8571"/>
    <cellStyle name="Normal 19 42 5" xfId="8572"/>
    <cellStyle name="Normal 19 42 6" xfId="8573"/>
    <cellStyle name="Normal 19 42 7" xfId="8574"/>
    <cellStyle name="Normal 19 42 8" xfId="8575"/>
    <cellStyle name="Normal 19 42 9" xfId="8576"/>
    <cellStyle name="Normal 19 43" xfId="8577"/>
    <cellStyle name="Normal 19 43 10" xfId="8578"/>
    <cellStyle name="Normal 19 43 11" xfId="8579"/>
    <cellStyle name="Normal 19 43 12" xfId="8580"/>
    <cellStyle name="Normal 19 43 13" xfId="8581"/>
    <cellStyle name="Normal 19 43 2" xfId="8582"/>
    <cellStyle name="Normal 19 43 3" xfId="8583"/>
    <cellStyle name="Normal 19 43 4" xfId="8584"/>
    <cellStyle name="Normal 19 43 5" xfId="8585"/>
    <cellStyle name="Normal 19 43 6" xfId="8586"/>
    <cellStyle name="Normal 19 43 7" xfId="8587"/>
    <cellStyle name="Normal 19 43 8" xfId="8588"/>
    <cellStyle name="Normal 19 43 9" xfId="8589"/>
    <cellStyle name="Normal 19 44" xfId="8590"/>
    <cellStyle name="Normal 19 44 10" xfId="8591"/>
    <cellStyle name="Normal 19 44 11" xfId="8592"/>
    <cellStyle name="Normal 19 44 12" xfId="8593"/>
    <cellStyle name="Normal 19 44 13" xfId="8594"/>
    <cellStyle name="Normal 19 44 2" xfId="8595"/>
    <cellStyle name="Normal 19 44 3" xfId="8596"/>
    <cellStyle name="Normal 19 44 4" xfId="8597"/>
    <cellStyle name="Normal 19 44 5" xfId="8598"/>
    <cellStyle name="Normal 19 44 6" xfId="8599"/>
    <cellStyle name="Normal 19 44 7" xfId="8600"/>
    <cellStyle name="Normal 19 44 8" xfId="8601"/>
    <cellStyle name="Normal 19 44 9" xfId="8602"/>
    <cellStyle name="Normal 19 45" xfId="8603"/>
    <cellStyle name="Normal 19 45 10" xfId="8604"/>
    <cellStyle name="Normal 19 45 11" xfId="8605"/>
    <cellStyle name="Normal 19 45 12" xfId="8606"/>
    <cellStyle name="Normal 19 45 13" xfId="8607"/>
    <cellStyle name="Normal 19 45 2" xfId="8608"/>
    <cellStyle name="Normal 19 45 3" xfId="8609"/>
    <cellStyle name="Normal 19 45 4" xfId="8610"/>
    <cellStyle name="Normal 19 45 5" xfId="8611"/>
    <cellStyle name="Normal 19 45 6" xfId="8612"/>
    <cellStyle name="Normal 19 45 7" xfId="8613"/>
    <cellStyle name="Normal 19 45 8" xfId="8614"/>
    <cellStyle name="Normal 19 45 9" xfId="8615"/>
    <cellStyle name="Normal 19 46" xfId="8616"/>
    <cellStyle name="Normal 19 46 10" xfId="8617"/>
    <cellStyle name="Normal 19 46 11" xfId="8618"/>
    <cellStyle name="Normal 19 46 12" xfId="8619"/>
    <cellStyle name="Normal 19 46 13" xfId="8620"/>
    <cellStyle name="Normal 19 46 2" xfId="8621"/>
    <cellStyle name="Normal 19 46 3" xfId="8622"/>
    <cellStyle name="Normal 19 46 4" xfId="8623"/>
    <cellStyle name="Normal 19 46 5" xfId="8624"/>
    <cellStyle name="Normal 19 46 6" xfId="8625"/>
    <cellStyle name="Normal 19 46 7" xfId="8626"/>
    <cellStyle name="Normal 19 46 8" xfId="8627"/>
    <cellStyle name="Normal 19 46 9" xfId="8628"/>
    <cellStyle name="Normal 19 47" xfId="8629"/>
    <cellStyle name="Normal 19 47 10" xfId="8630"/>
    <cellStyle name="Normal 19 47 11" xfId="8631"/>
    <cellStyle name="Normal 19 47 12" xfId="8632"/>
    <cellStyle name="Normal 19 47 13" xfId="8633"/>
    <cellStyle name="Normal 19 47 2" xfId="8634"/>
    <cellStyle name="Normal 19 47 3" xfId="8635"/>
    <cellStyle name="Normal 19 47 4" xfId="8636"/>
    <cellStyle name="Normal 19 47 5" xfId="8637"/>
    <cellStyle name="Normal 19 47 6" xfId="8638"/>
    <cellStyle name="Normal 19 47 7" xfId="8639"/>
    <cellStyle name="Normal 19 47 8" xfId="8640"/>
    <cellStyle name="Normal 19 47 9" xfId="8641"/>
    <cellStyle name="Normal 19 48" xfId="8642"/>
    <cellStyle name="Normal 19 48 10" xfId="8643"/>
    <cellStyle name="Normal 19 48 11" xfId="8644"/>
    <cellStyle name="Normal 19 48 12" xfId="8645"/>
    <cellStyle name="Normal 19 48 13" xfId="8646"/>
    <cellStyle name="Normal 19 48 2" xfId="8647"/>
    <cellStyle name="Normal 19 48 3" xfId="8648"/>
    <cellStyle name="Normal 19 48 4" xfId="8649"/>
    <cellStyle name="Normal 19 48 5" xfId="8650"/>
    <cellStyle name="Normal 19 48 6" xfId="8651"/>
    <cellStyle name="Normal 19 48 7" xfId="8652"/>
    <cellStyle name="Normal 19 48 8" xfId="8653"/>
    <cellStyle name="Normal 19 48 9" xfId="8654"/>
    <cellStyle name="Normal 19 49" xfId="8655"/>
    <cellStyle name="Normal 19 49 10" xfId="8656"/>
    <cellStyle name="Normal 19 49 11" xfId="8657"/>
    <cellStyle name="Normal 19 49 12" xfId="8658"/>
    <cellStyle name="Normal 19 49 13" xfId="8659"/>
    <cellStyle name="Normal 19 49 2" xfId="8660"/>
    <cellStyle name="Normal 19 49 3" xfId="8661"/>
    <cellStyle name="Normal 19 49 4" xfId="8662"/>
    <cellStyle name="Normal 19 49 5" xfId="8663"/>
    <cellStyle name="Normal 19 49 6" xfId="8664"/>
    <cellStyle name="Normal 19 49 7" xfId="8665"/>
    <cellStyle name="Normal 19 49 8" xfId="8666"/>
    <cellStyle name="Normal 19 49 9" xfId="8667"/>
    <cellStyle name="Normal 19 5" xfId="8668"/>
    <cellStyle name="Normal 19 5 10" xfId="8669"/>
    <cellStyle name="Normal 19 5 11" xfId="8670"/>
    <cellStyle name="Normal 19 5 12" xfId="8671"/>
    <cellStyle name="Normal 19 5 13" xfId="8672"/>
    <cellStyle name="Normal 19 5 2" xfId="8673"/>
    <cellStyle name="Normal 19 5 3" xfId="8674"/>
    <cellStyle name="Normal 19 5 4" xfId="8675"/>
    <cellStyle name="Normal 19 5 5" xfId="8676"/>
    <cellStyle name="Normal 19 5 6" xfId="8677"/>
    <cellStyle name="Normal 19 5 7" xfId="8678"/>
    <cellStyle name="Normal 19 5 8" xfId="8679"/>
    <cellStyle name="Normal 19 5 9" xfId="8680"/>
    <cellStyle name="Normal 19 50" xfId="8681"/>
    <cellStyle name="Normal 19 50 10" xfId="8682"/>
    <cellStyle name="Normal 19 50 11" xfId="8683"/>
    <cellStyle name="Normal 19 50 12" xfId="8684"/>
    <cellStyle name="Normal 19 50 13" xfId="8685"/>
    <cellStyle name="Normal 19 50 2" xfId="8686"/>
    <cellStyle name="Normal 19 50 3" xfId="8687"/>
    <cellStyle name="Normal 19 50 4" xfId="8688"/>
    <cellStyle name="Normal 19 50 5" xfId="8689"/>
    <cellStyle name="Normal 19 50 6" xfId="8690"/>
    <cellStyle name="Normal 19 50 7" xfId="8691"/>
    <cellStyle name="Normal 19 50 8" xfId="8692"/>
    <cellStyle name="Normal 19 50 9" xfId="8693"/>
    <cellStyle name="Normal 19 51" xfId="8694"/>
    <cellStyle name="Normal 19 51 10" xfId="8695"/>
    <cellStyle name="Normal 19 51 11" xfId="8696"/>
    <cellStyle name="Normal 19 51 12" xfId="8697"/>
    <cellStyle name="Normal 19 51 13" xfId="8698"/>
    <cellStyle name="Normal 19 51 2" xfId="8699"/>
    <cellStyle name="Normal 19 51 3" xfId="8700"/>
    <cellStyle name="Normal 19 51 4" xfId="8701"/>
    <cellStyle name="Normal 19 51 5" xfId="8702"/>
    <cellStyle name="Normal 19 51 6" xfId="8703"/>
    <cellStyle name="Normal 19 51 7" xfId="8704"/>
    <cellStyle name="Normal 19 51 8" xfId="8705"/>
    <cellStyle name="Normal 19 51 9" xfId="8706"/>
    <cellStyle name="Normal 19 52" xfId="8707"/>
    <cellStyle name="Normal 19 52 10" xfId="8708"/>
    <cellStyle name="Normal 19 52 11" xfId="8709"/>
    <cellStyle name="Normal 19 52 12" xfId="8710"/>
    <cellStyle name="Normal 19 52 13" xfId="8711"/>
    <cellStyle name="Normal 19 52 2" xfId="8712"/>
    <cellStyle name="Normal 19 52 3" xfId="8713"/>
    <cellStyle name="Normal 19 52 4" xfId="8714"/>
    <cellStyle name="Normal 19 52 5" xfId="8715"/>
    <cellStyle name="Normal 19 52 6" xfId="8716"/>
    <cellStyle name="Normal 19 52 7" xfId="8717"/>
    <cellStyle name="Normal 19 52 8" xfId="8718"/>
    <cellStyle name="Normal 19 52 9" xfId="8719"/>
    <cellStyle name="Normal 19 53" xfId="8720"/>
    <cellStyle name="Normal 19 53 10" xfId="8721"/>
    <cellStyle name="Normal 19 53 11" xfId="8722"/>
    <cellStyle name="Normal 19 53 12" xfId="8723"/>
    <cellStyle name="Normal 19 53 13" xfId="8724"/>
    <cellStyle name="Normal 19 53 2" xfId="8725"/>
    <cellStyle name="Normal 19 53 3" xfId="8726"/>
    <cellStyle name="Normal 19 53 4" xfId="8727"/>
    <cellStyle name="Normal 19 53 5" xfId="8728"/>
    <cellStyle name="Normal 19 53 6" xfId="8729"/>
    <cellStyle name="Normal 19 53 7" xfId="8730"/>
    <cellStyle name="Normal 19 53 8" xfId="8731"/>
    <cellStyle name="Normal 19 53 9" xfId="8732"/>
    <cellStyle name="Normal 19 54" xfId="8733"/>
    <cellStyle name="Normal 19 54 10" xfId="8734"/>
    <cellStyle name="Normal 19 54 11" xfId="8735"/>
    <cellStyle name="Normal 19 54 12" xfId="8736"/>
    <cellStyle name="Normal 19 54 13" xfId="8737"/>
    <cellStyle name="Normal 19 54 2" xfId="8738"/>
    <cellStyle name="Normal 19 54 3" xfId="8739"/>
    <cellStyle name="Normal 19 54 4" xfId="8740"/>
    <cellStyle name="Normal 19 54 5" xfId="8741"/>
    <cellStyle name="Normal 19 54 6" xfId="8742"/>
    <cellStyle name="Normal 19 54 7" xfId="8743"/>
    <cellStyle name="Normal 19 54 8" xfId="8744"/>
    <cellStyle name="Normal 19 54 9" xfId="8745"/>
    <cellStyle name="Normal 19 55" xfId="8746"/>
    <cellStyle name="Normal 19 55 10" xfId="8747"/>
    <cellStyle name="Normal 19 55 11" xfId="8748"/>
    <cellStyle name="Normal 19 55 12" xfId="8749"/>
    <cellStyle name="Normal 19 55 13" xfId="8750"/>
    <cellStyle name="Normal 19 55 2" xfId="8751"/>
    <cellStyle name="Normal 19 55 3" xfId="8752"/>
    <cellStyle name="Normal 19 55 4" xfId="8753"/>
    <cellStyle name="Normal 19 55 5" xfId="8754"/>
    <cellStyle name="Normal 19 55 6" xfId="8755"/>
    <cellStyle name="Normal 19 55 7" xfId="8756"/>
    <cellStyle name="Normal 19 55 8" xfId="8757"/>
    <cellStyle name="Normal 19 55 9" xfId="8758"/>
    <cellStyle name="Normal 19 56" xfId="8759"/>
    <cellStyle name="Normal 19 56 10" xfId="8760"/>
    <cellStyle name="Normal 19 56 11" xfId="8761"/>
    <cellStyle name="Normal 19 56 12" xfId="8762"/>
    <cellStyle name="Normal 19 56 13" xfId="8763"/>
    <cellStyle name="Normal 19 56 2" xfId="8764"/>
    <cellStyle name="Normal 19 56 3" xfId="8765"/>
    <cellStyle name="Normal 19 56 4" xfId="8766"/>
    <cellStyle name="Normal 19 56 5" xfId="8767"/>
    <cellStyle name="Normal 19 56 6" xfId="8768"/>
    <cellStyle name="Normal 19 56 7" xfId="8769"/>
    <cellStyle name="Normal 19 56 8" xfId="8770"/>
    <cellStyle name="Normal 19 56 9" xfId="8771"/>
    <cellStyle name="Normal 19 57" xfId="8772"/>
    <cellStyle name="Normal 19 57 10" xfId="8773"/>
    <cellStyle name="Normal 19 57 11" xfId="8774"/>
    <cellStyle name="Normal 19 57 12" xfId="8775"/>
    <cellStyle name="Normal 19 57 13" xfId="8776"/>
    <cellStyle name="Normal 19 57 2" xfId="8777"/>
    <cellStyle name="Normal 19 57 3" xfId="8778"/>
    <cellStyle name="Normal 19 57 4" xfId="8779"/>
    <cellStyle name="Normal 19 57 5" xfId="8780"/>
    <cellStyle name="Normal 19 57 6" xfId="8781"/>
    <cellStyle name="Normal 19 57 7" xfId="8782"/>
    <cellStyle name="Normal 19 57 8" xfId="8783"/>
    <cellStyle name="Normal 19 57 9" xfId="8784"/>
    <cellStyle name="Normal 19 58" xfId="8785"/>
    <cellStyle name="Normal 19 58 10" xfId="8786"/>
    <cellStyle name="Normal 19 58 11" xfId="8787"/>
    <cellStyle name="Normal 19 58 12" xfId="8788"/>
    <cellStyle name="Normal 19 58 13" xfId="8789"/>
    <cellStyle name="Normal 19 58 2" xfId="8790"/>
    <cellStyle name="Normal 19 58 3" xfId="8791"/>
    <cellStyle name="Normal 19 58 4" xfId="8792"/>
    <cellStyle name="Normal 19 58 5" xfId="8793"/>
    <cellStyle name="Normal 19 58 6" xfId="8794"/>
    <cellStyle name="Normal 19 58 7" xfId="8795"/>
    <cellStyle name="Normal 19 58 8" xfId="8796"/>
    <cellStyle name="Normal 19 58 9" xfId="8797"/>
    <cellStyle name="Normal 19 59" xfId="8798"/>
    <cellStyle name="Normal 19 59 10" xfId="8799"/>
    <cellStyle name="Normal 19 59 11" xfId="8800"/>
    <cellStyle name="Normal 19 59 12" xfId="8801"/>
    <cellStyle name="Normal 19 59 13" xfId="8802"/>
    <cellStyle name="Normal 19 59 2" xfId="8803"/>
    <cellStyle name="Normal 19 59 3" xfId="8804"/>
    <cellStyle name="Normal 19 59 4" xfId="8805"/>
    <cellStyle name="Normal 19 59 5" xfId="8806"/>
    <cellStyle name="Normal 19 59 6" xfId="8807"/>
    <cellStyle name="Normal 19 59 7" xfId="8808"/>
    <cellStyle name="Normal 19 59 8" xfId="8809"/>
    <cellStyle name="Normal 19 59 9" xfId="8810"/>
    <cellStyle name="Normal 19 6" xfId="8811"/>
    <cellStyle name="Normal 19 6 10" xfId="8812"/>
    <cellStyle name="Normal 19 6 11" xfId="8813"/>
    <cellStyle name="Normal 19 6 12" xfId="8814"/>
    <cellStyle name="Normal 19 6 13" xfId="8815"/>
    <cellStyle name="Normal 19 6 2" xfId="8816"/>
    <cellStyle name="Normal 19 6 3" xfId="8817"/>
    <cellStyle name="Normal 19 6 4" xfId="8818"/>
    <cellStyle name="Normal 19 6 5" xfId="8819"/>
    <cellStyle name="Normal 19 6 6" xfId="8820"/>
    <cellStyle name="Normal 19 6 7" xfId="8821"/>
    <cellStyle name="Normal 19 6 8" xfId="8822"/>
    <cellStyle name="Normal 19 6 9" xfId="8823"/>
    <cellStyle name="Normal 19 60" xfId="8824"/>
    <cellStyle name="Normal 19 60 10" xfId="8825"/>
    <cellStyle name="Normal 19 60 11" xfId="8826"/>
    <cellStyle name="Normal 19 60 12" xfId="8827"/>
    <cellStyle name="Normal 19 60 13" xfId="8828"/>
    <cellStyle name="Normal 19 60 2" xfId="8829"/>
    <cellStyle name="Normal 19 60 3" xfId="8830"/>
    <cellStyle name="Normal 19 60 4" xfId="8831"/>
    <cellStyle name="Normal 19 60 5" xfId="8832"/>
    <cellStyle name="Normal 19 60 6" xfId="8833"/>
    <cellStyle name="Normal 19 60 7" xfId="8834"/>
    <cellStyle name="Normal 19 60 8" xfId="8835"/>
    <cellStyle name="Normal 19 60 9" xfId="8836"/>
    <cellStyle name="Normal 19 61" xfId="8837"/>
    <cellStyle name="Normal 19 61 10" xfId="8838"/>
    <cellStyle name="Normal 19 61 11" xfId="8839"/>
    <cellStyle name="Normal 19 61 12" xfId="8840"/>
    <cellStyle name="Normal 19 61 13" xfId="8841"/>
    <cellStyle name="Normal 19 61 2" xfId="8842"/>
    <cellStyle name="Normal 19 61 3" xfId="8843"/>
    <cellStyle name="Normal 19 61 4" xfId="8844"/>
    <cellStyle name="Normal 19 61 5" xfId="8845"/>
    <cellStyle name="Normal 19 61 6" xfId="8846"/>
    <cellStyle name="Normal 19 61 7" xfId="8847"/>
    <cellStyle name="Normal 19 61 8" xfId="8848"/>
    <cellStyle name="Normal 19 61 9" xfId="8849"/>
    <cellStyle name="Normal 19 62" xfId="8850"/>
    <cellStyle name="Normal 19 62 10" xfId="8851"/>
    <cellStyle name="Normal 19 62 11" xfId="8852"/>
    <cellStyle name="Normal 19 62 12" xfId="8853"/>
    <cellStyle name="Normal 19 62 13" xfId="8854"/>
    <cellStyle name="Normal 19 62 2" xfId="8855"/>
    <cellStyle name="Normal 19 62 3" xfId="8856"/>
    <cellStyle name="Normal 19 62 4" xfId="8857"/>
    <cellStyle name="Normal 19 62 5" xfId="8858"/>
    <cellStyle name="Normal 19 62 6" xfId="8859"/>
    <cellStyle name="Normal 19 62 7" xfId="8860"/>
    <cellStyle name="Normal 19 62 8" xfId="8861"/>
    <cellStyle name="Normal 19 62 9" xfId="8862"/>
    <cellStyle name="Normal 19 63" xfId="8863"/>
    <cellStyle name="Normal 19 63 10" xfId="8864"/>
    <cellStyle name="Normal 19 63 11" xfId="8865"/>
    <cellStyle name="Normal 19 63 12" xfId="8866"/>
    <cellStyle name="Normal 19 63 13" xfId="8867"/>
    <cellStyle name="Normal 19 63 2" xfId="8868"/>
    <cellStyle name="Normal 19 63 3" xfId="8869"/>
    <cellStyle name="Normal 19 63 4" xfId="8870"/>
    <cellStyle name="Normal 19 63 5" xfId="8871"/>
    <cellStyle name="Normal 19 63 6" xfId="8872"/>
    <cellStyle name="Normal 19 63 7" xfId="8873"/>
    <cellStyle name="Normal 19 63 8" xfId="8874"/>
    <cellStyle name="Normal 19 63 9" xfId="8875"/>
    <cellStyle name="Normal 19 64" xfId="8876"/>
    <cellStyle name="Normal 19 64 10" xfId="8877"/>
    <cellStyle name="Normal 19 64 11" xfId="8878"/>
    <cellStyle name="Normal 19 64 12" xfId="8879"/>
    <cellStyle name="Normal 19 64 13" xfId="8880"/>
    <cellStyle name="Normal 19 64 2" xfId="8881"/>
    <cellStyle name="Normal 19 64 3" xfId="8882"/>
    <cellStyle name="Normal 19 64 4" xfId="8883"/>
    <cellStyle name="Normal 19 64 5" xfId="8884"/>
    <cellStyle name="Normal 19 64 6" xfId="8885"/>
    <cellStyle name="Normal 19 64 7" xfId="8886"/>
    <cellStyle name="Normal 19 64 8" xfId="8887"/>
    <cellStyle name="Normal 19 64 9" xfId="8888"/>
    <cellStyle name="Normal 19 65" xfId="8889"/>
    <cellStyle name="Normal 19 65 10" xfId="8890"/>
    <cellStyle name="Normal 19 65 11" xfId="8891"/>
    <cellStyle name="Normal 19 65 12" xfId="8892"/>
    <cellStyle name="Normal 19 65 13" xfId="8893"/>
    <cellStyle name="Normal 19 65 2" xfId="8894"/>
    <cellStyle name="Normal 19 65 3" xfId="8895"/>
    <cellStyle name="Normal 19 65 4" xfId="8896"/>
    <cellStyle name="Normal 19 65 5" xfId="8897"/>
    <cellStyle name="Normal 19 65 6" xfId="8898"/>
    <cellStyle name="Normal 19 65 7" xfId="8899"/>
    <cellStyle name="Normal 19 65 8" xfId="8900"/>
    <cellStyle name="Normal 19 65 9" xfId="8901"/>
    <cellStyle name="Normal 19 66" xfId="8902"/>
    <cellStyle name="Normal 19 66 10" xfId="8903"/>
    <cellStyle name="Normal 19 66 11" xfId="8904"/>
    <cellStyle name="Normal 19 66 12" xfId="8905"/>
    <cellStyle name="Normal 19 66 13" xfId="8906"/>
    <cellStyle name="Normal 19 66 2" xfId="8907"/>
    <cellStyle name="Normal 19 66 3" xfId="8908"/>
    <cellStyle name="Normal 19 66 4" xfId="8909"/>
    <cellStyle name="Normal 19 66 5" xfId="8910"/>
    <cellStyle name="Normal 19 66 6" xfId="8911"/>
    <cellStyle name="Normal 19 66 7" xfId="8912"/>
    <cellStyle name="Normal 19 66 8" xfId="8913"/>
    <cellStyle name="Normal 19 66 9" xfId="8914"/>
    <cellStyle name="Normal 19 67" xfId="8915"/>
    <cellStyle name="Normal 19 67 10" xfId="8916"/>
    <cellStyle name="Normal 19 67 11" xfId="8917"/>
    <cellStyle name="Normal 19 67 12" xfId="8918"/>
    <cellStyle name="Normal 19 67 13" xfId="8919"/>
    <cellStyle name="Normal 19 67 2" xfId="8920"/>
    <cellStyle name="Normal 19 67 3" xfId="8921"/>
    <cellStyle name="Normal 19 67 4" xfId="8922"/>
    <cellStyle name="Normal 19 67 5" xfId="8923"/>
    <cellStyle name="Normal 19 67 6" xfId="8924"/>
    <cellStyle name="Normal 19 67 7" xfId="8925"/>
    <cellStyle name="Normal 19 67 8" xfId="8926"/>
    <cellStyle name="Normal 19 67 9" xfId="8927"/>
    <cellStyle name="Normal 19 68" xfId="8928"/>
    <cellStyle name="Normal 19 68 10" xfId="8929"/>
    <cellStyle name="Normal 19 68 11" xfId="8930"/>
    <cellStyle name="Normal 19 68 12" xfId="8931"/>
    <cellStyle name="Normal 19 68 13" xfId="8932"/>
    <cellStyle name="Normal 19 68 2" xfId="8933"/>
    <cellStyle name="Normal 19 68 3" xfId="8934"/>
    <cellStyle name="Normal 19 68 4" xfId="8935"/>
    <cellStyle name="Normal 19 68 5" xfId="8936"/>
    <cellStyle name="Normal 19 68 6" xfId="8937"/>
    <cellStyle name="Normal 19 68 7" xfId="8938"/>
    <cellStyle name="Normal 19 68 8" xfId="8939"/>
    <cellStyle name="Normal 19 68 9" xfId="8940"/>
    <cellStyle name="Normal 19 69" xfId="8941"/>
    <cellStyle name="Normal 19 69 10" xfId="8942"/>
    <cellStyle name="Normal 19 69 11" xfId="8943"/>
    <cellStyle name="Normal 19 69 12" xfId="8944"/>
    <cellStyle name="Normal 19 69 13" xfId="8945"/>
    <cellStyle name="Normal 19 69 2" xfId="8946"/>
    <cellStyle name="Normal 19 69 3" xfId="8947"/>
    <cellStyle name="Normal 19 69 4" xfId="8948"/>
    <cellStyle name="Normal 19 69 5" xfId="8949"/>
    <cellStyle name="Normal 19 69 6" xfId="8950"/>
    <cellStyle name="Normal 19 69 7" xfId="8951"/>
    <cellStyle name="Normal 19 69 8" xfId="8952"/>
    <cellStyle name="Normal 19 69 9" xfId="8953"/>
    <cellStyle name="Normal 19 7" xfId="8954"/>
    <cellStyle name="Normal 19 7 10" xfId="8955"/>
    <cellStyle name="Normal 19 7 11" xfId="8956"/>
    <cellStyle name="Normal 19 7 12" xfId="8957"/>
    <cellStyle name="Normal 19 7 13" xfId="8958"/>
    <cellStyle name="Normal 19 7 2" xfId="8959"/>
    <cellStyle name="Normal 19 7 3" xfId="8960"/>
    <cellStyle name="Normal 19 7 4" xfId="8961"/>
    <cellStyle name="Normal 19 7 5" xfId="8962"/>
    <cellStyle name="Normal 19 7 6" xfId="8963"/>
    <cellStyle name="Normal 19 7 7" xfId="8964"/>
    <cellStyle name="Normal 19 7 8" xfId="8965"/>
    <cellStyle name="Normal 19 7 9" xfId="8966"/>
    <cellStyle name="Normal 19 70" xfId="8967"/>
    <cellStyle name="Normal 19 70 10" xfId="8968"/>
    <cellStyle name="Normal 19 70 11" xfId="8969"/>
    <cellStyle name="Normal 19 70 12" xfId="8970"/>
    <cellStyle name="Normal 19 70 13" xfId="8971"/>
    <cellStyle name="Normal 19 70 2" xfId="8972"/>
    <cellStyle name="Normal 19 70 3" xfId="8973"/>
    <cellStyle name="Normal 19 70 4" xfId="8974"/>
    <cellStyle name="Normal 19 70 5" xfId="8975"/>
    <cellStyle name="Normal 19 70 6" xfId="8976"/>
    <cellStyle name="Normal 19 70 7" xfId="8977"/>
    <cellStyle name="Normal 19 70 8" xfId="8978"/>
    <cellStyle name="Normal 19 70 9" xfId="8979"/>
    <cellStyle name="Normal 19 71" xfId="8980"/>
    <cellStyle name="Normal 19 71 10" xfId="8981"/>
    <cellStyle name="Normal 19 71 11" xfId="8982"/>
    <cellStyle name="Normal 19 71 12" xfId="8983"/>
    <cellStyle name="Normal 19 71 13" xfId="8984"/>
    <cellStyle name="Normal 19 71 2" xfId="8985"/>
    <cellStyle name="Normal 19 71 3" xfId="8986"/>
    <cellStyle name="Normal 19 71 4" xfId="8987"/>
    <cellStyle name="Normal 19 71 5" xfId="8988"/>
    <cellStyle name="Normal 19 71 6" xfId="8989"/>
    <cellStyle name="Normal 19 71 7" xfId="8990"/>
    <cellStyle name="Normal 19 71 8" xfId="8991"/>
    <cellStyle name="Normal 19 71 9" xfId="8992"/>
    <cellStyle name="Normal 19 72" xfId="8993"/>
    <cellStyle name="Normal 19 73" xfId="8994"/>
    <cellStyle name="Normal 19 74" xfId="8995"/>
    <cellStyle name="Normal 19 75" xfId="8996"/>
    <cellStyle name="Normal 19 76" xfId="8997"/>
    <cellStyle name="Normal 19 77" xfId="8998"/>
    <cellStyle name="Normal 19 78" xfId="8999"/>
    <cellStyle name="Normal 19 79" xfId="9000"/>
    <cellStyle name="Normal 19 8" xfId="9001"/>
    <cellStyle name="Normal 19 8 10" xfId="9002"/>
    <cellStyle name="Normal 19 8 11" xfId="9003"/>
    <cellStyle name="Normal 19 8 12" xfId="9004"/>
    <cellStyle name="Normal 19 8 13" xfId="9005"/>
    <cellStyle name="Normal 19 8 2" xfId="9006"/>
    <cellStyle name="Normal 19 8 3" xfId="9007"/>
    <cellStyle name="Normal 19 8 4" xfId="9008"/>
    <cellStyle name="Normal 19 8 5" xfId="9009"/>
    <cellStyle name="Normal 19 8 6" xfId="9010"/>
    <cellStyle name="Normal 19 8 7" xfId="9011"/>
    <cellStyle name="Normal 19 8 8" xfId="9012"/>
    <cellStyle name="Normal 19 8 9" xfId="9013"/>
    <cellStyle name="Normal 19 80" xfId="9014"/>
    <cellStyle name="Normal 19 81" xfId="9015"/>
    <cellStyle name="Normal 19 82" xfId="9016"/>
    <cellStyle name="Normal 19 83" xfId="9017"/>
    <cellStyle name="Normal 19 9" xfId="9018"/>
    <cellStyle name="Normal 19 9 10" xfId="9019"/>
    <cellStyle name="Normal 19 9 11" xfId="9020"/>
    <cellStyle name="Normal 19 9 12" xfId="9021"/>
    <cellStyle name="Normal 19 9 13" xfId="9022"/>
    <cellStyle name="Normal 19 9 2" xfId="9023"/>
    <cellStyle name="Normal 19 9 3" xfId="9024"/>
    <cellStyle name="Normal 19 9 4" xfId="9025"/>
    <cellStyle name="Normal 19 9 5" xfId="9026"/>
    <cellStyle name="Normal 19 9 6" xfId="9027"/>
    <cellStyle name="Normal 19 9 7" xfId="9028"/>
    <cellStyle name="Normal 19 9 8" xfId="9029"/>
    <cellStyle name="Normal 19 9 9" xfId="9030"/>
    <cellStyle name="Normal 2" xfId="5"/>
    <cellStyle name="Normal 2 10" xfId="9031"/>
    <cellStyle name="Normal 2 10 10" xfId="9032"/>
    <cellStyle name="Normal 2 10 11" xfId="9033"/>
    <cellStyle name="Normal 2 10 12" xfId="9034"/>
    <cellStyle name="Normal 2 10 13" xfId="9035"/>
    <cellStyle name="Normal 2 10 14" xfId="9036"/>
    <cellStyle name="Normal 2 10 15" xfId="9037"/>
    <cellStyle name="Normal 2 10 16" xfId="9038"/>
    <cellStyle name="Normal 2 10 17" xfId="9039"/>
    <cellStyle name="Normal 2 10 18" xfId="9040"/>
    <cellStyle name="Normal 2 10 19" xfId="9041"/>
    <cellStyle name="Normal 2 10 2" xfId="9042"/>
    <cellStyle name="Normal 2 10 20" xfId="9043"/>
    <cellStyle name="Normal 2 10 21" xfId="9044"/>
    <cellStyle name="Normal 2 10 22" xfId="9045"/>
    <cellStyle name="Normal 2 10 23" xfId="9046"/>
    <cellStyle name="Normal 2 10 24" xfId="9047"/>
    <cellStyle name="Normal 2 10 25" xfId="9048"/>
    <cellStyle name="Normal 2 10 26" xfId="9049"/>
    <cellStyle name="Normal 2 10 27" xfId="9050"/>
    <cellStyle name="Normal 2 10 28" xfId="9051"/>
    <cellStyle name="Normal 2 10 29" xfId="9052"/>
    <cellStyle name="Normal 2 10 3" xfId="9053"/>
    <cellStyle name="Normal 2 10 30" xfId="9054"/>
    <cellStyle name="Normal 2 10 31" xfId="9055"/>
    <cellStyle name="Normal 2 10 32" xfId="9056"/>
    <cellStyle name="Normal 2 10 33" xfId="9057"/>
    <cellStyle name="Normal 2 10 34" xfId="9058"/>
    <cellStyle name="Normal 2 10 35" xfId="9059"/>
    <cellStyle name="Normal 2 10 36" xfId="9060"/>
    <cellStyle name="Normal 2 10 37" xfId="9061"/>
    <cellStyle name="Normal 2 10 38" xfId="9062"/>
    <cellStyle name="Normal 2 10 39" xfId="9063"/>
    <cellStyle name="Normal 2 10 4" xfId="9064"/>
    <cellStyle name="Normal 2 10 40" xfId="9065"/>
    <cellStyle name="Normal 2 10 41" xfId="9066"/>
    <cellStyle name="Normal 2 10 42" xfId="9067"/>
    <cellStyle name="Normal 2 10 43" xfId="9068"/>
    <cellStyle name="Normal 2 10 44" xfId="9069"/>
    <cellStyle name="Normal 2 10 45" xfId="9070"/>
    <cellStyle name="Normal 2 10 46" xfId="9071"/>
    <cellStyle name="Normal 2 10 47" xfId="9072"/>
    <cellStyle name="Normal 2 10 48" xfId="9073"/>
    <cellStyle name="Normal 2 10 49" xfId="9074"/>
    <cellStyle name="Normal 2 10 5" xfId="9075"/>
    <cellStyle name="Normal 2 10 50" xfId="9076"/>
    <cellStyle name="Normal 2 10 51" xfId="9077"/>
    <cellStyle name="Normal 2 10 52" xfId="9078"/>
    <cellStyle name="Normal 2 10 53" xfId="9079"/>
    <cellStyle name="Normal 2 10 54" xfId="9080"/>
    <cellStyle name="Normal 2 10 55" xfId="9081"/>
    <cellStyle name="Normal 2 10 56" xfId="9082"/>
    <cellStyle name="Normal 2 10 57" xfId="9083"/>
    <cellStyle name="Normal 2 10 58" xfId="9084"/>
    <cellStyle name="Normal 2 10 59" xfId="9085"/>
    <cellStyle name="Normal 2 10 6" xfId="9086"/>
    <cellStyle name="Normal 2 10 60" xfId="9087"/>
    <cellStyle name="Normal 2 10 61" xfId="9088"/>
    <cellStyle name="Normal 2 10 62" xfId="9089"/>
    <cellStyle name="Normal 2 10 63" xfId="9090"/>
    <cellStyle name="Normal 2 10 64" xfId="9091"/>
    <cellStyle name="Normal 2 10 65" xfId="9092"/>
    <cellStyle name="Normal 2 10 66" xfId="9093"/>
    <cellStyle name="Normal 2 10 67" xfId="9094"/>
    <cellStyle name="Normal 2 10 68" xfId="9095"/>
    <cellStyle name="Normal 2 10 69" xfId="9096"/>
    <cellStyle name="Normal 2 10 7" xfId="9097"/>
    <cellStyle name="Normal 2 10 70" xfId="9098"/>
    <cellStyle name="Normal 2 10 71" xfId="9099"/>
    <cellStyle name="Normal 2 10 72" xfId="9100"/>
    <cellStyle name="Normal 2 10 73" xfId="9101"/>
    <cellStyle name="Normal 2 10 74" xfId="9102"/>
    <cellStyle name="Normal 2 10 75" xfId="9103"/>
    <cellStyle name="Normal 2 10 76" xfId="9104"/>
    <cellStyle name="Normal 2 10 77" xfId="9105"/>
    <cellStyle name="Normal 2 10 78" xfId="9106"/>
    <cellStyle name="Normal 2 10 79" xfId="9107"/>
    <cellStyle name="Normal 2 10 8" xfId="9108"/>
    <cellStyle name="Normal 2 10 80" xfId="9109"/>
    <cellStyle name="Normal 2 10 81" xfId="9110"/>
    <cellStyle name="Normal 2 10 82" xfId="9111"/>
    <cellStyle name="Normal 2 10 83" xfId="9112"/>
    <cellStyle name="Normal 2 10 9" xfId="9113"/>
    <cellStyle name="Normal 2 11" xfId="9114"/>
    <cellStyle name="Normal 2 11 10" xfId="9115"/>
    <cellStyle name="Normal 2 11 11" xfId="9116"/>
    <cellStyle name="Normal 2 11 12" xfId="9117"/>
    <cellStyle name="Normal 2 11 13" xfId="9118"/>
    <cellStyle name="Normal 2 11 14" xfId="9119"/>
    <cellStyle name="Normal 2 11 15" xfId="9120"/>
    <cellStyle name="Normal 2 11 16" xfId="9121"/>
    <cellStyle name="Normal 2 11 17" xfId="9122"/>
    <cellStyle name="Normal 2 11 18" xfId="9123"/>
    <cellStyle name="Normal 2 11 19" xfId="9124"/>
    <cellStyle name="Normal 2 11 2" xfId="9125"/>
    <cellStyle name="Normal 2 11 20" xfId="9126"/>
    <cellStyle name="Normal 2 11 21" xfId="9127"/>
    <cellStyle name="Normal 2 11 22" xfId="9128"/>
    <cellStyle name="Normal 2 11 23" xfId="9129"/>
    <cellStyle name="Normal 2 11 24" xfId="9130"/>
    <cellStyle name="Normal 2 11 25" xfId="9131"/>
    <cellStyle name="Normal 2 11 26" xfId="9132"/>
    <cellStyle name="Normal 2 11 27" xfId="9133"/>
    <cellStyle name="Normal 2 11 28" xfId="9134"/>
    <cellStyle name="Normal 2 11 29" xfId="9135"/>
    <cellStyle name="Normal 2 11 3" xfId="9136"/>
    <cellStyle name="Normal 2 11 30" xfId="9137"/>
    <cellStyle name="Normal 2 11 31" xfId="9138"/>
    <cellStyle name="Normal 2 11 32" xfId="9139"/>
    <cellStyle name="Normal 2 11 33" xfId="9140"/>
    <cellStyle name="Normal 2 11 34" xfId="9141"/>
    <cellStyle name="Normal 2 11 35" xfId="9142"/>
    <cellStyle name="Normal 2 11 36" xfId="9143"/>
    <cellStyle name="Normal 2 11 37" xfId="9144"/>
    <cellStyle name="Normal 2 11 38" xfId="9145"/>
    <cellStyle name="Normal 2 11 39" xfId="9146"/>
    <cellStyle name="Normal 2 11 4" xfId="9147"/>
    <cellStyle name="Normal 2 11 40" xfId="9148"/>
    <cellStyle name="Normal 2 11 41" xfId="9149"/>
    <cellStyle name="Normal 2 11 42" xfId="9150"/>
    <cellStyle name="Normal 2 11 43" xfId="9151"/>
    <cellStyle name="Normal 2 11 44" xfId="9152"/>
    <cellStyle name="Normal 2 11 45" xfId="9153"/>
    <cellStyle name="Normal 2 11 46" xfId="9154"/>
    <cellStyle name="Normal 2 11 47" xfId="9155"/>
    <cellStyle name="Normal 2 11 48" xfId="9156"/>
    <cellStyle name="Normal 2 11 49" xfId="9157"/>
    <cellStyle name="Normal 2 11 5" xfId="9158"/>
    <cellStyle name="Normal 2 11 50" xfId="9159"/>
    <cellStyle name="Normal 2 11 51" xfId="9160"/>
    <cellStyle name="Normal 2 11 52" xfId="9161"/>
    <cellStyle name="Normal 2 11 53" xfId="9162"/>
    <cellStyle name="Normal 2 11 54" xfId="9163"/>
    <cellStyle name="Normal 2 11 55" xfId="9164"/>
    <cellStyle name="Normal 2 11 56" xfId="9165"/>
    <cellStyle name="Normal 2 11 57" xfId="9166"/>
    <cellStyle name="Normal 2 11 58" xfId="9167"/>
    <cellStyle name="Normal 2 11 59" xfId="9168"/>
    <cellStyle name="Normal 2 11 6" xfId="9169"/>
    <cellStyle name="Normal 2 11 60" xfId="9170"/>
    <cellStyle name="Normal 2 11 61" xfId="9171"/>
    <cellStyle name="Normal 2 11 62" xfId="9172"/>
    <cellStyle name="Normal 2 11 63" xfId="9173"/>
    <cellStyle name="Normal 2 11 64" xfId="9174"/>
    <cellStyle name="Normal 2 11 65" xfId="9175"/>
    <cellStyle name="Normal 2 11 66" xfId="9176"/>
    <cellStyle name="Normal 2 11 67" xfId="9177"/>
    <cellStyle name="Normal 2 11 68" xfId="9178"/>
    <cellStyle name="Normal 2 11 69" xfId="9179"/>
    <cellStyle name="Normal 2 11 7" xfId="9180"/>
    <cellStyle name="Normal 2 11 70" xfId="9181"/>
    <cellStyle name="Normal 2 11 71" xfId="9182"/>
    <cellStyle name="Normal 2 11 72" xfId="9183"/>
    <cellStyle name="Normal 2 11 73" xfId="9184"/>
    <cellStyle name="Normal 2 11 74" xfId="9185"/>
    <cellStyle name="Normal 2 11 75" xfId="9186"/>
    <cellStyle name="Normal 2 11 76" xfId="9187"/>
    <cellStyle name="Normal 2 11 77" xfId="9188"/>
    <cellStyle name="Normal 2 11 78" xfId="9189"/>
    <cellStyle name="Normal 2 11 79" xfId="9190"/>
    <cellStyle name="Normal 2 11 8" xfId="9191"/>
    <cellStyle name="Normal 2 11 80" xfId="9192"/>
    <cellStyle name="Normal 2 11 81" xfId="9193"/>
    <cellStyle name="Normal 2 11 82" xfId="9194"/>
    <cellStyle name="Normal 2 11 83" xfId="9195"/>
    <cellStyle name="Normal 2 11 9" xfId="9196"/>
    <cellStyle name="Normal 2 12" xfId="12"/>
    <cellStyle name="Normal 2 12 10" xfId="9197"/>
    <cellStyle name="Normal 2 12 11" xfId="9198"/>
    <cellStyle name="Normal 2 12 12" xfId="9199"/>
    <cellStyle name="Normal 2 12 13" xfId="9200"/>
    <cellStyle name="Normal 2 12 14" xfId="9201"/>
    <cellStyle name="Normal 2 12 15" xfId="9202"/>
    <cellStyle name="Normal 2 12 16" xfId="9203"/>
    <cellStyle name="Normal 2 12 17" xfId="9204"/>
    <cellStyle name="Normal 2 12 18" xfId="9205"/>
    <cellStyle name="Normal 2 12 19" xfId="9206"/>
    <cellStyle name="Normal 2 12 2" xfId="9207"/>
    <cellStyle name="Normal 2 12 20" xfId="9208"/>
    <cellStyle name="Normal 2 12 21" xfId="9209"/>
    <cellStyle name="Normal 2 12 22" xfId="9210"/>
    <cellStyle name="Normal 2 12 23" xfId="9211"/>
    <cellStyle name="Normal 2 12 24" xfId="9212"/>
    <cellStyle name="Normal 2 12 25" xfId="9213"/>
    <cellStyle name="Normal 2 12 26" xfId="9214"/>
    <cellStyle name="Normal 2 12 27" xfId="9215"/>
    <cellStyle name="Normal 2 12 28" xfId="9216"/>
    <cellStyle name="Normal 2 12 29" xfId="9217"/>
    <cellStyle name="Normal 2 12 3" xfId="9218"/>
    <cellStyle name="Normal 2 12 30" xfId="9219"/>
    <cellStyle name="Normal 2 12 31" xfId="9220"/>
    <cellStyle name="Normal 2 12 32" xfId="9221"/>
    <cellStyle name="Normal 2 12 33" xfId="9222"/>
    <cellStyle name="Normal 2 12 34" xfId="9223"/>
    <cellStyle name="Normal 2 12 35" xfId="9224"/>
    <cellStyle name="Normal 2 12 36" xfId="9225"/>
    <cellStyle name="Normal 2 12 37" xfId="9226"/>
    <cellStyle name="Normal 2 12 38" xfId="9227"/>
    <cellStyle name="Normal 2 12 39" xfId="9228"/>
    <cellStyle name="Normal 2 12 4" xfId="9229"/>
    <cellStyle name="Normal 2 12 40" xfId="9230"/>
    <cellStyle name="Normal 2 12 41" xfId="9231"/>
    <cellStyle name="Normal 2 12 42" xfId="9232"/>
    <cellStyle name="Normal 2 12 43" xfId="9233"/>
    <cellStyle name="Normal 2 12 44" xfId="9234"/>
    <cellStyle name="Normal 2 12 45" xfId="9235"/>
    <cellStyle name="Normal 2 12 46" xfId="9236"/>
    <cellStyle name="Normal 2 12 47" xfId="9237"/>
    <cellStyle name="Normal 2 12 48" xfId="9238"/>
    <cellStyle name="Normal 2 12 49" xfId="9239"/>
    <cellStyle name="Normal 2 12 5" xfId="9240"/>
    <cellStyle name="Normal 2 12 50" xfId="9241"/>
    <cellStyle name="Normal 2 12 51" xfId="9242"/>
    <cellStyle name="Normal 2 12 52" xfId="9243"/>
    <cellStyle name="Normal 2 12 53" xfId="9244"/>
    <cellStyle name="Normal 2 12 54" xfId="9245"/>
    <cellStyle name="Normal 2 12 55" xfId="9246"/>
    <cellStyle name="Normal 2 12 56" xfId="9247"/>
    <cellStyle name="Normal 2 12 57" xfId="9248"/>
    <cellStyle name="Normal 2 12 58" xfId="9249"/>
    <cellStyle name="Normal 2 12 59" xfId="9250"/>
    <cellStyle name="Normal 2 12 6" xfId="9251"/>
    <cellStyle name="Normal 2 12 60" xfId="9252"/>
    <cellStyle name="Normal 2 12 61" xfId="9253"/>
    <cellStyle name="Normal 2 12 62" xfId="9254"/>
    <cellStyle name="Normal 2 12 63" xfId="9255"/>
    <cellStyle name="Normal 2 12 64" xfId="9256"/>
    <cellStyle name="Normal 2 12 65" xfId="9257"/>
    <cellStyle name="Normal 2 12 66" xfId="9258"/>
    <cellStyle name="Normal 2 12 67" xfId="9259"/>
    <cellStyle name="Normal 2 12 68" xfId="9260"/>
    <cellStyle name="Normal 2 12 69" xfId="9261"/>
    <cellStyle name="Normal 2 12 7" xfId="9262"/>
    <cellStyle name="Normal 2 12 70" xfId="9263"/>
    <cellStyle name="Normal 2 12 71" xfId="9264"/>
    <cellStyle name="Normal 2 12 72" xfId="9265"/>
    <cellStyle name="Normal 2 12 73" xfId="9266"/>
    <cellStyle name="Normal 2 12 74" xfId="9267"/>
    <cellStyle name="Normal 2 12 75" xfId="9268"/>
    <cellStyle name="Normal 2 12 76" xfId="9269"/>
    <cellStyle name="Normal 2 12 77" xfId="9270"/>
    <cellStyle name="Normal 2 12 78" xfId="9271"/>
    <cellStyle name="Normal 2 12 79" xfId="9272"/>
    <cellStyle name="Normal 2 12 8" xfId="9273"/>
    <cellStyle name="Normal 2 12 80" xfId="9274"/>
    <cellStyle name="Normal 2 12 81" xfId="9275"/>
    <cellStyle name="Normal 2 12 82" xfId="9276"/>
    <cellStyle name="Normal 2 12 83" xfId="9277"/>
    <cellStyle name="Normal 2 12 9" xfId="9278"/>
    <cellStyle name="Normal 2 13" xfId="9279"/>
    <cellStyle name="Normal 2 13 10" xfId="9280"/>
    <cellStyle name="Normal 2 13 11" xfId="9281"/>
    <cellStyle name="Normal 2 13 12" xfId="9282"/>
    <cellStyle name="Normal 2 13 13" xfId="9283"/>
    <cellStyle name="Normal 2 13 14" xfId="9284"/>
    <cellStyle name="Normal 2 13 15" xfId="9285"/>
    <cellStyle name="Normal 2 13 16" xfId="9286"/>
    <cellStyle name="Normal 2 13 17" xfId="9287"/>
    <cellStyle name="Normal 2 13 18" xfId="9288"/>
    <cellStyle name="Normal 2 13 19" xfId="9289"/>
    <cellStyle name="Normal 2 13 2" xfId="9290"/>
    <cellStyle name="Normal 2 13 20" xfId="9291"/>
    <cellStyle name="Normal 2 13 21" xfId="9292"/>
    <cellStyle name="Normal 2 13 22" xfId="9293"/>
    <cellStyle name="Normal 2 13 23" xfId="9294"/>
    <cellStyle name="Normal 2 13 24" xfId="9295"/>
    <cellStyle name="Normal 2 13 25" xfId="9296"/>
    <cellStyle name="Normal 2 13 26" xfId="9297"/>
    <cellStyle name="Normal 2 13 27" xfId="9298"/>
    <cellStyle name="Normal 2 13 28" xfId="9299"/>
    <cellStyle name="Normal 2 13 29" xfId="9300"/>
    <cellStyle name="Normal 2 13 3" xfId="9301"/>
    <cellStyle name="Normal 2 13 30" xfId="9302"/>
    <cellStyle name="Normal 2 13 31" xfId="9303"/>
    <cellStyle name="Normal 2 13 32" xfId="9304"/>
    <cellStyle name="Normal 2 13 33" xfId="9305"/>
    <cellStyle name="Normal 2 13 34" xfId="9306"/>
    <cellStyle name="Normal 2 13 35" xfId="9307"/>
    <cellStyle name="Normal 2 13 36" xfId="9308"/>
    <cellStyle name="Normal 2 13 37" xfId="9309"/>
    <cellStyle name="Normal 2 13 38" xfId="9310"/>
    <cellStyle name="Normal 2 13 39" xfId="9311"/>
    <cellStyle name="Normal 2 13 4" xfId="9312"/>
    <cellStyle name="Normal 2 13 40" xfId="9313"/>
    <cellStyle name="Normal 2 13 41" xfId="9314"/>
    <cellStyle name="Normal 2 13 42" xfId="9315"/>
    <cellStyle name="Normal 2 13 43" xfId="9316"/>
    <cellStyle name="Normal 2 13 44" xfId="9317"/>
    <cellStyle name="Normal 2 13 45" xfId="9318"/>
    <cellStyle name="Normal 2 13 46" xfId="9319"/>
    <cellStyle name="Normal 2 13 47" xfId="9320"/>
    <cellStyle name="Normal 2 13 48" xfId="9321"/>
    <cellStyle name="Normal 2 13 49" xfId="9322"/>
    <cellStyle name="Normal 2 13 5" xfId="9323"/>
    <cellStyle name="Normal 2 13 50" xfId="9324"/>
    <cellStyle name="Normal 2 13 51" xfId="9325"/>
    <cellStyle name="Normal 2 13 52" xfId="9326"/>
    <cellStyle name="Normal 2 13 53" xfId="9327"/>
    <cellStyle name="Normal 2 13 54" xfId="9328"/>
    <cellStyle name="Normal 2 13 55" xfId="9329"/>
    <cellStyle name="Normal 2 13 56" xfId="9330"/>
    <cellStyle name="Normal 2 13 57" xfId="9331"/>
    <cellStyle name="Normal 2 13 58" xfId="9332"/>
    <cellStyle name="Normal 2 13 59" xfId="9333"/>
    <cellStyle name="Normal 2 13 6" xfId="9334"/>
    <cellStyle name="Normal 2 13 60" xfId="9335"/>
    <cellStyle name="Normal 2 13 61" xfId="9336"/>
    <cellStyle name="Normal 2 13 62" xfId="9337"/>
    <cellStyle name="Normal 2 13 63" xfId="9338"/>
    <cellStyle name="Normal 2 13 64" xfId="9339"/>
    <cellStyle name="Normal 2 13 65" xfId="9340"/>
    <cellStyle name="Normal 2 13 66" xfId="9341"/>
    <cellStyle name="Normal 2 13 67" xfId="9342"/>
    <cellStyle name="Normal 2 13 68" xfId="9343"/>
    <cellStyle name="Normal 2 13 69" xfId="9344"/>
    <cellStyle name="Normal 2 13 7" xfId="9345"/>
    <cellStyle name="Normal 2 13 70" xfId="9346"/>
    <cellStyle name="Normal 2 13 71" xfId="9347"/>
    <cellStyle name="Normal 2 13 72" xfId="9348"/>
    <cellStyle name="Normal 2 13 73" xfId="9349"/>
    <cellStyle name="Normal 2 13 74" xfId="9350"/>
    <cellStyle name="Normal 2 13 75" xfId="9351"/>
    <cellStyle name="Normal 2 13 76" xfId="9352"/>
    <cellStyle name="Normal 2 13 77" xfId="9353"/>
    <cellStyle name="Normal 2 13 78" xfId="9354"/>
    <cellStyle name="Normal 2 13 79" xfId="9355"/>
    <cellStyle name="Normal 2 13 8" xfId="9356"/>
    <cellStyle name="Normal 2 13 80" xfId="9357"/>
    <cellStyle name="Normal 2 13 81" xfId="9358"/>
    <cellStyle name="Normal 2 13 82" xfId="9359"/>
    <cellStyle name="Normal 2 13 83" xfId="9360"/>
    <cellStyle name="Normal 2 13 9" xfId="9361"/>
    <cellStyle name="Normal 2 14" xfId="9362"/>
    <cellStyle name="Normal 2 14 10" xfId="9363"/>
    <cellStyle name="Normal 2 14 11" xfId="9364"/>
    <cellStyle name="Normal 2 14 12" xfId="9365"/>
    <cellStyle name="Normal 2 14 13" xfId="9366"/>
    <cellStyle name="Normal 2 14 14" xfId="9367"/>
    <cellStyle name="Normal 2 14 15" xfId="9368"/>
    <cellStyle name="Normal 2 14 16" xfId="9369"/>
    <cellStyle name="Normal 2 14 17" xfId="9370"/>
    <cellStyle name="Normal 2 14 18" xfId="9371"/>
    <cellStyle name="Normal 2 14 19" xfId="9372"/>
    <cellStyle name="Normal 2 14 2" xfId="9373"/>
    <cellStyle name="Normal 2 14 20" xfId="9374"/>
    <cellStyle name="Normal 2 14 21" xfId="9375"/>
    <cellStyle name="Normal 2 14 22" xfId="9376"/>
    <cellStyle name="Normal 2 14 23" xfId="9377"/>
    <cellStyle name="Normal 2 14 24" xfId="9378"/>
    <cellStyle name="Normal 2 14 25" xfId="9379"/>
    <cellStyle name="Normal 2 14 26" xfId="9380"/>
    <cellStyle name="Normal 2 14 27" xfId="9381"/>
    <cellStyle name="Normal 2 14 28" xfId="9382"/>
    <cellStyle name="Normal 2 14 29" xfId="9383"/>
    <cellStyle name="Normal 2 14 3" xfId="9384"/>
    <cellStyle name="Normal 2 14 30" xfId="9385"/>
    <cellStyle name="Normal 2 14 31" xfId="9386"/>
    <cellStyle name="Normal 2 14 32" xfId="9387"/>
    <cellStyle name="Normal 2 14 33" xfId="9388"/>
    <cellStyle name="Normal 2 14 34" xfId="9389"/>
    <cellStyle name="Normal 2 14 35" xfId="9390"/>
    <cellStyle name="Normal 2 14 36" xfId="9391"/>
    <cellStyle name="Normal 2 14 37" xfId="9392"/>
    <cellStyle name="Normal 2 14 38" xfId="9393"/>
    <cellStyle name="Normal 2 14 39" xfId="9394"/>
    <cellStyle name="Normal 2 14 4" xfId="9395"/>
    <cellStyle name="Normal 2 14 40" xfId="9396"/>
    <cellStyle name="Normal 2 14 41" xfId="9397"/>
    <cellStyle name="Normal 2 14 42" xfId="9398"/>
    <cellStyle name="Normal 2 14 43" xfId="9399"/>
    <cellStyle name="Normal 2 14 44" xfId="9400"/>
    <cellStyle name="Normal 2 14 45" xfId="9401"/>
    <cellStyle name="Normal 2 14 46" xfId="9402"/>
    <cellStyle name="Normal 2 14 47" xfId="9403"/>
    <cellStyle name="Normal 2 14 48" xfId="9404"/>
    <cellStyle name="Normal 2 14 49" xfId="9405"/>
    <cellStyle name="Normal 2 14 5" xfId="9406"/>
    <cellStyle name="Normal 2 14 50" xfId="9407"/>
    <cellStyle name="Normal 2 14 51" xfId="9408"/>
    <cellStyle name="Normal 2 14 52" xfId="9409"/>
    <cellStyle name="Normal 2 14 53" xfId="9410"/>
    <cellStyle name="Normal 2 14 54" xfId="9411"/>
    <cellStyle name="Normal 2 14 55" xfId="9412"/>
    <cellStyle name="Normal 2 14 56" xfId="9413"/>
    <cellStyle name="Normal 2 14 57" xfId="9414"/>
    <cellStyle name="Normal 2 14 58" xfId="9415"/>
    <cellStyle name="Normal 2 14 59" xfId="9416"/>
    <cellStyle name="Normal 2 14 6" xfId="9417"/>
    <cellStyle name="Normal 2 14 60" xfId="9418"/>
    <cellStyle name="Normal 2 14 61" xfId="9419"/>
    <cellStyle name="Normal 2 14 62" xfId="9420"/>
    <cellStyle name="Normal 2 14 63" xfId="9421"/>
    <cellStyle name="Normal 2 14 64" xfId="9422"/>
    <cellStyle name="Normal 2 14 65" xfId="9423"/>
    <cellStyle name="Normal 2 14 66" xfId="9424"/>
    <cellStyle name="Normal 2 14 67" xfId="9425"/>
    <cellStyle name="Normal 2 14 68" xfId="9426"/>
    <cellStyle name="Normal 2 14 69" xfId="9427"/>
    <cellStyle name="Normal 2 14 7" xfId="9428"/>
    <cellStyle name="Normal 2 14 70" xfId="9429"/>
    <cellStyle name="Normal 2 14 71" xfId="9430"/>
    <cellStyle name="Normal 2 14 72" xfId="9431"/>
    <cellStyle name="Normal 2 14 73" xfId="9432"/>
    <cellStyle name="Normal 2 14 74" xfId="9433"/>
    <cellStyle name="Normal 2 14 75" xfId="9434"/>
    <cellStyle name="Normal 2 14 76" xfId="9435"/>
    <cellStyle name="Normal 2 14 77" xfId="9436"/>
    <cellStyle name="Normal 2 14 78" xfId="9437"/>
    <cellStyle name="Normal 2 14 79" xfId="9438"/>
    <cellStyle name="Normal 2 14 8" xfId="9439"/>
    <cellStyle name="Normal 2 14 80" xfId="9440"/>
    <cellStyle name="Normal 2 14 81" xfId="9441"/>
    <cellStyle name="Normal 2 14 82" xfId="9442"/>
    <cellStyle name="Normal 2 14 83" xfId="9443"/>
    <cellStyle name="Normal 2 14 9" xfId="9444"/>
    <cellStyle name="Normal 2 15" xfId="9445"/>
    <cellStyle name="Normal 2 15 10" xfId="9446"/>
    <cellStyle name="Normal 2 15 11" xfId="9447"/>
    <cellStyle name="Normal 2 15 12" xfId="9448"/>
    <cellStyle name="Normal 2 15 13" xfId="9449"/>
    <cellStyle name="Normal 2 15 14" xfId="9450"/>
    <cellStyle name="Normal 2 15 15" xfId="9451"/>
    <cellStyle name="Normal 2 15 16" xfId="9452"/>
    <cellStyle name="Normal 2 15 17" xfId="9453"/>
    <cellStyle name="Normal 2 15 18" xfId="9454"/>
    <cellStyle name="Normal 2 15 19" xfId="9455"/>
    <cellStyle name="Normal 2 15 2" xfId="9456"/>
    <cellStyle name="Normal 2 15 20" xfId="9457"/>
    <cellStyle name="Normal 2 15 21" xfId="9458"/>
    <cellStyle name="Normal 2 15 22" xfId="9459"/>
    <cellStyle name="Normal 2 15 23" xfId="9460"/>
    <cellStyle name="Normal 2 15 24" xfId="9461"/>
    <cellStyle name="Normal 2 15 25" xfId="9462"/>
    <cellStyle name="Normal 2 15 26" xfId="9463"/>
    <cellStyle name="Normal 2 15 27" xfId="9464"/>
    <cellStyle name="Normal 2 15 28" xfId="9465"/>
    <cellStyle name="Normal 2 15 29" xfId="9466"/>
    <cellStyle name="Normal 2 15 3" xfId="9467"/>
    <cellStyle name="Normal 2 15 30" xfId="9468"/>
    <cellStyle name="Normal 2 15 31" xfId="9469"/>
    <cellStyle name="Normal 2 15 32" xfId="9470"/>
    <cellStyle name="Normal 2 15 33" xfId="9471"/>
    <cellStyle name="Normal 2 15 34" xfId="9472"/>
    <cellStyle name="Normal 2 15 35" xfId="9473"/>
    <cellStyle name="Normal 2 15 36" xfId="9474"/>
    <cellStyle name="Normal 2 15 37" xfId="9475"/>
    <cellStyle name="Normal 2 15 38" xfId="9476"/>
    <cellStyle name="Normal 2 15 39" xfId="9477"/>
    <cellStyle name="Normal 2 15 4" xfId="9478"/>
    <cellStyle name="Normal 2 15 40" xfId="9479"/>
    <cellStyle name="Normal 2 15 41" xfId="9480"/>
    <cellStyle name="Normal 2 15 42" xfId="9481"/>
    <cellStyle name="Normal 2 15 43" xfId="9482"/>
    <cellStyle name="Normal 2 15 44" xfId="9483"/>
    <cellStyle name="Normal 2 15 45" xfId="9484"/>
    <cellStyle name="Normal 2 15 46" xfId="9485"/>
    <cellStyle name="Normal 2 15 47" xfId="9486"/>
    <cellStyle name="Normal 2 15 48" xfId="9487"/>
    <cellStyle name="Normal 2 15 49" xfId="9488"/>
    <cellStyle name="Normal 2 15 5" xfId="9489"/>
    <cellStyle name="Normal 2 15 50" xfId="9490"/>
    <cellStyle name="Normal 2 15 51" xfId="9491"/>
    <cellStyle name="Normal 2 15 52" xfId="9492"/>
    <cellStyle name="Normal 2 15 53" xfId="9493"/>
    <cellStyle name="Normal 2 15 54" xfId="9494"/>
    <cellStyle name="Normal 2 15 55" xfId="9495"/>
    <cellStyle name="Normal 2 15 56" xfId="9496"/>
    <cellStyle name="Normal 2 15 57" xfId="9497"/>
    <cellStyle name="Normal 2 15 58" xfId="9498"/>
    <cellStyle name="Normal 2 15 59" xfId="9499"/>
    <cellStyle name="Normal 2 15 6" xfId="9500"/>
    <cellStyle name="Normal 2 15 60" xfId="9501"/>
    <cellStyle name="Normal 2 15 61" xfId="9502"/>
    <cellStyle name="Normal 2 15 62" xfId="9503"/>
    <cellStyle name="Normal 2 15 63" xfId="9504"/>
    <cellStyle name="Normal 2 15 64" xfId="9505"/>
    <cellStyle name="Normal 2 15 65" xfId="9506"/>
    <cellStyle name="Normal 2 15 66" xfId="9507"/>
    <cellStyle name="Normal 2 15 67" xfId="9508"/>
    <cellStyle name="Normal 2 15 68" xfId="9509"/>
    <cellStyle name="Normal 2 15 69" xfId="9510"/>
    <cellStyle name="Normal 2 15 7" xfId="9511"/>
    <cellStyle name="Normal 2 15 70" xfId="9512"/>
    <cellStyle name="Normal 2 15 71" xfId="9513"/>
    <cellStyle name="Normal 2 15 72" xfId="9514"/>
    <cellStyle name="Normal 2 15 73" xfId="9515"/>
    <cellStyle name="Normal 2 15 74" xfId="9516"/>
    <cellStyle name="Normal 2 15 75" xfId="9517"/>
    <cellStyle name="Normal 2 15 76" xfId="9518"/>
    <cellStyle name="Normal 2 15 77" xfId="9519"/>
    <cellStyle name="Normal 2 15 78" xfId="9520"/>
    <cellStyle name="Normal 2 15 79" xfId="9521"/>
    <cellStyle name="Normal 2 15 8" xfId="9522"/>
    <cellStyle name="Normal 2 15 80" xfId="9523"/>
    <cellStyle name="Normal 2 15 81" xfId="9524"/>
    <cellStyle name="Normal 2 15 82" xfId="9525"/>
    <cellStyle name="Normal 2 15 83" xfId="9526"/>
    <cellStyle name="Normal 2 15 9" xfId="9527"/>
    <cellStyle name="Normal 2 16" xfId="9528"/>
    <cellStyle name="Normal 2 16 10" xfId="9529"/>
    <cellStyle name="Normal 2 16 11" xfId="9530"/>
    <cellStyle name="Normal 2 16 12" xfId="9531"/>
    <cellStyle name="Normal 2 16 13" xfId="9532"/>
    <cellStyle name="Normal 2 16 14" xfId="9533"/>
    <cellStyle name="Normal 2 16 15" xfId="9534"/>
    <cellStyle name="Normal 2 16 16" xfId="9535"/>
    <cellStyle name="Normal 2 16 17" xfId="9536"/>
    <cellStyle name="Normal 2 16 18" xfId="9537"/>
    <cellStyle name="Normal 2 16 19" xfId="9538"/>
    <cellStyle name="Normal 2 16 2" xfId="9539"/>
    <cellStyle name="Normal 2 16 20" xfId="9540"/>
    <cellStyle name="Normal 2 16 21" xfId="9541"/>
    <cellStyle name="Normal 2 16 22" xfId="9542"/>
    <cellStyle name="Normal 2 16 23" xfId="9543"/>
    <cellStyle name="Normal 2 16 24" xfId="9544"/>
    <cellStyle name="Normal 2 16 25" xfId="9545"/>
    <cellStyle name="Normal 2 16 26" xfId="9546"/>
    <cellStyle name="Normal 2 16 27" xfId="9547"/>
    <cellStyle name="Normal 2 16 28" xfId="9548"/>
    <cellStyle name="Normal 2 16 29" xfId="9549"/>
    <cellStyle name="Normal 2 16 3" xfId="9550"/>
    <cellStyle name="Normal 2 16 30" xfId="9551"/>
    <cellStyle name="Normal 2 16 31" xfId="9552"/>
    <cellStyle name="Normal 2 16 32" xfId="9553"/>
    <cellStyle name="Normal 2 16 33" xfId="9554"/>
    <cellStyle name="Normal 2 16 34" xfId="9555"/>
    <cellStyle name="Normal 2 16 35" xfId="9556"/>
    <cellStyle name="Normal 2 16 36" xfId="9557"/>
    <cellStyle name="Normal 2 16 37" xfId="9558"/>
    <cellStyle name="Normal 2 16 38" xfId="9559"/>
    <cellStyle name="Normal 2 16 39" xfId="9560"/>
    <cellStyle name="Normal 2 16 4" xfId="9561"/>
    <cellStyle name="Normal 2 16 40" xfId="9562"/>
    <cellStyle name="Normal 2 16 41" xfId="9563"/>
    <cellStyle name="Normal 2 16 42" xfId="9564"/>
    <cellStyle name="Normal 2 16 43" xfId="9565"/>
    <cellStyle name="Normal 2 16 44" xfId="9566"/>
    <cellStyle name="Normal 2 16 45" xfId="9567"/>
    <cellStyle name="Normal 2 16 46" xfId="9568"/>
    <cellStyle name="Normal 2 16 47" xfId="9569"/>
    <cellStyle name="Normal 2 16 48" xfId="9570"/>
    <cellStyle name="Normal 2 16 49" xfId="9571"/>
    <cellStyle name="Normal 2 16 5" xfId="9572"/>
    <cellStyle name="Normal 2 16 50" xfId="9573"/>
    <cellStyle name="Normal 2 16 51" xfId="9574"/>
    <cellStyle name="Normal 2 16 52" xfId="9575"/>
    <cellStyle name="Normal 2 16 53" xfId="9576"/>
    <cellStyle name="Normal 2 16 54" xfId="9577"/>
    <cellStyle name="Normal 2 16 55" xfId="9578"/>
    <cellStyle name="Normal 2 16 56" xfId="9579"/>
    <cellStyle name="Normal 2 16 57" xfId="9580"/>
    <cellStyle name="Normal 2 16 58" xfId="9581"/>
    <cellStyle name="Normal 2 16 59" xfId="9582"/>
    <cellStyle name="Normal 2 16 6" xfId="9583"/>
    <cellStyle name="Normal 2 16 60" xfId="9584"/>
    <cellStyle name="Normal 2 16 61" xfId="9585"/>
    <cellStyle name="Normal 2 16 62" xfId="9586"/>
    <cellStyle name="Normal 2 16 63" xfId="9587"/>
    <cellStyle name="Normal 2 16 64" xfId="9588"/>
    <cellStyle name="Normal 2 16 65" xfId="9589"/>
    <cellStyle name="Normal 2 16 66" xfId="9590"/>
    <cellStyle name="Normal 2 16 67" xfId="9591"/>
    <cellStyle name="Normal 2 16 68" xfId="9592"/>
    <cellStyle name="Normal 2 16 69" xfId="9593"/>
    <cellStyle name="Normal 2 16 7" xfId="9594"/>
    <cellStyle name="Normal 2 16 70" xfId="9595"/>
    <cellStyle name="Normal 2 16 71" xfId="9596"/>
    <cellStyle name="Normal 2 16 72" xfId="9597"/>
    <cellStyle name="Normal 2 16 73" xfId="9598"/>
    <cellStyle name="Normal 2 16 74" xfId="9599"/>
    <cellStyle name="Normal 2 16 75" xfId="9600"/>
    <cellStyle name="Normal 2 16 76" xfId="9601"/>
    <cellStyle name="Normal 2 16 77" xfId="9602"/>
    <cellStyle name="Normal 2 16 78" xfId="9603"/>
    <cellStyle name="Normal 2 16 79" xfId="9604"/>
    <cellStyle name="Normal 2 16 8" xfId="9605"/>
    <cellStyle name="Normal 2 16 80" xfId="9606"/>
    <cellStyle name="Normal 2 16 81" xfId="9607"/>
    <cellStyle name="Normal 2 16 82" xfId="9608"/>
    <cellStyle name="Normal 2 16 83" xfId="9609"/>
    <cellStyle name="Normal 2 16 9" xfId="9610"/>
    <cellStyle name="Normal 2 17" xfId="9611"/>
    <cellStyle name="Normal 2 17 10" xfId="9612"/>
    <cellStyle name="Normal 2 17 11" xfId="9613"/>
    <cellStyle name="Normal 2 17 12" xfId="9614"/>
    <cellStyle name="Normal 2 17 13" xfId="9615"/>
    <cellStyle name="Normal 2 17 14" xfId="9616"/>
    <cellStyle name="Normal 2 17 15" xfId="9617"/>
    <cellStyle name="Normal 2 17 16" xfId="9618"/>
    <cellStyle name="Normal 2 17 17" xfId="9619"/>
    <cellStyle name="Normal 2 17 18" xfId="9620"/>
    <cellStyle name="Normal 2 17 19" xfId="9621"/>
    <cellStyle name="Normal 2 17 2" xfId="9622"/>
    <cellStyle name="Normal 2 17 20" xfId="9623"/>
    <cellStyle name="Normal 2 17 21" xfId="9624"/>
    <cellStyle name="Normal 2 17 22" xfId="9625"/>
    <cellStyle name="Normal 2 17 23" xfId="9626"/>
    <cellStyle name="Normal 2 17 24" xfId="9627"/>
    <cellStyle name="Normal 2 17 25" xfId="9628"/>
    <cellStyle name="Normal 2 17 26" xfId="9629"/>
    <cellStyle name="Normal 2 17 27" xfId="9630"/>
    <cellStyle name="Normal 2 17 28" xfId="9631"/>
    <cellStyle name="Normal 2 17 29" xfId="9632"/>
    <cellStyle name="Normal 2 17 3" xfId="9633"/>
    <cellStyle name="Normal 2 17 30" xfId="9634"/>
    <cellStyle name="Normal 2 17 31" xfId="9635"/>
    <cellStyle name="Normal 2 17 32" xfId="9636"/>
    <cellStyle name="Normal 2 17 33" xfId="9637"/>
    <cellStyle name="Normal 2 17 34" xfId="9638"/>
    <cellStyle name="Normal 2 17 35" xfId="9639"/>
    <cellStyle name="Normal 2 17 36" xfId="9640"/>
    <cellStyle name="Normal 2 17 37" xfId="9641"/>
    <cellStyle name="Normal 2 17 38" xfId="9642"/>
    <cellStyle name="Normal 2 17 39" xfId="9643"/>
    <cellStyle name="Normal 2 17 4" xfId="9644"/>
    <cellStyle name="Normal 2 17 40" xfId="9645"/>
    <cellStyle name="Normal 2 17 41" xfId="9646"/>
    <cellStyle name="Normal 2 17 42" xfId="9647"/>
    <cellStyle name="Normal 2 17 43" xfId="9648"/>
    <cellStyle name="Normal 2 17 44" xfId="9649"/>
    <cellStyle name="Normal 2 17 45" xfId="9650"/>
    <cellStyle name="Normal 2 17 46" xfId="9651"/>
    <cellStyle name="Normal 2 17 47" xfId="9652"/>
    <cellStyle name="Normal 2 17 48" xfId="9653"/>
    <cellStyle name="Normal 2 17 49" xfId="9654"/>
    <cellStyle name="Normal 2 17 5" xfId="9655"/>
    <cellStyle name="Normal 2 17 50" xfId="9656"/>
    <cellStyle name="Normal 2 17 51" xfId="9657"/>
    <cellStyle name="Normal 2 17 52" xfId="9658"/>
    <cellStyle name="Normal 2 17 53" xfId="9659"/>
    <cellStyle name="Normal 2 17 54" xfId="9660"/>
    <cellStyle name="Normal 2 17 55" xfId="9661"/>
    <cellStyle name="Normal 2 17 56" xfId="9662"/>
    <cellStyle name="Normal 2 17 57" xfId="9663"/>
    <cellStyle name="Normal 2 17 58" xfId="9664"/>
    <cellStyle name="Normal 2 17 59" xfId="9665"/>
    <cellStyle name="Normal 2 17 6" xfId="9666"/>
    <cellStyle name="Normal 2 17 60" xfId="9667"/>
    <cellStyle name="Normal 2 17 61" xfId="9668"/>
    <cellStyle name="Normal 2 17 62" xfId="9669"/>
    <cellStyle name="Normal 2 17 63" xfId="9670"/>
    <cellStyle name="Normal 2 17 64" xfId="9671"/>
    <cellStyle name="Normal 2 17 65" xfId="9672"/>
    <cellStyle name="Normal 2 17 66" xfId="9673"/>
    <cellStyle name="Normal 2 17 67" xfId="9674"/>
    <cellStyle name="Normal 2 17 68" xfId="9675"/>
    <cellStyle name="Normal 2 17 69" xfId="9676"/>
    <cellStyle name="Normal 2 17 7" xfId="9677"/>
    <cellStyle name="Normal 2 17 70" xfId="9678"/>
    <cellStyle name="Normal 2 17 71" xfId="9679"/>
    <cellStyle name="Normal 2 17 72" xfId="9680"/>
    <cellStyle name="Normal 2 17 73" xfId="9681"/>
    <cellStyle name="Normal 2 17 74" xfId="9682"/>
    <cellStyle name="Normal 2 17 75" xfId="9683"/>
    <cellStyle name="Normal 2 17 76" xfId="9684"/>
    <cellStyle name="Normal 2 17 77" xfId="9685"/>
    <cellStyle name="Normal 2 17 78" xfId="9686"/>
    <cellStyle name="Normal 2 17 79" xfId="9687"/>
    <cellStyle name="Normal 2 17 8" xfId="9688"/>
    <cellStyle name="Normal 2 17 80" xfId="9689"/>
    <cellStyle name="Normal 2 17 81" xfId="9690"/>
    <cellStyle name="Normal 2 17 82" xfId="9691"/>
    <cellStyle name="Normal 2 17 83" xfId="9692"/>
    <cellStyle name="Normal 2 17 9" xfId="9693"/>
    <cellStyle name="Normal 2 18" xfId="10"/>
    <cellStyle name="Normal 2 18 10" xfId="9694"/>
    <cellStyle name="Normal 2 18 11" xfId="9695"/>
    <cellStyle name="Normal 2 18 12" xfId="9696"/>
    <cellStyle name="Normal 2 18 13" xfId="9697"/>
    <cellStyle name="Normal 2 18 14" xfId="9698"/>
    <cellStyle name="Normal 2 18 15" xfId="9699"/>
    <cellStyle name="Normal 2 18 16" xfId="9700"/>
    <cellStyle name="Normal 2 18 17" xfId="9701"/>
    <cellStyle name="Normal 2 18 18" xfId="9702"/>
    <cellStyle name="Normal 2 18 19" xfId="9703"/>
    <cellStyle name="Normal 2 18 2" xfId="9704"/>
    <cellStyle name="Normal 2 18 20" xfId="9705"/>
    <cellStyle name="Normal 2 18 21" xfId="9706"/>
    <cellStyle name="Normal 2 18 22" xfId="9707"/>
    <cellStyle name="Normal 2 18 23" xfId="9708"/>
    <cellStyle name="Normal 2 18 24" xfId="9709"/>
    <cellStyle name="Normal 2 18 25" xfId="9710"/>
    <cellStyle name="Normal 2 18 26" xfId="9711"/>
    <cellStyle name="Normal 2 18 27" xfId="9712"/>
    <cellStyle name="Normal 2 18 28" xfId="9713"/>
    <cellStyle name="Normal 2 18 29" xfId="9714"/>
    <cellStyle name="Normal 2 18 3" xfId="9715"/>
    <cellStyle name="Normal 2 18 30" xfId="9716"/>
    <cellStyle name="Normal 2 18 31" xfId="9717"/>
    <cellStyle name="Normal 2 18 32" xfId="9718"/>
    <cellStyle name="Normal 2 18 33" xfId="9719"/>
    <cellStyle name="Normal 2 18 34" xfId="9720"/>
    <cellStyle name="Normal 2 18 35" xfId="9721"/>
    <cellStyle name="Normal 2 18 36" xfId="9722"/>
    <cellStyle name="Normal 2 18 37" xfId="9723"/>
    <cellStyle name="Normal 2 18 38" xfId="9724"/>
    <cellStyle name="Normal 2 18 39" xfId="9725"/>
    <cellStyle name="Normal 2 18 4" xfId="9726"/>
    <cellStyle name="Normal 2 18 40" xfId="9727"/>
    <cellStyle name="Normal 2 18 41" xfId="9728"/>
    <cellStyle name="Normal 2 18 42" xfId="9729"/>
    <cellStyle name="Normal 2 18 43" xfId="9730"/>
    <cellStyle name="Normal 2 18 44" xfId="9731"/>
    <cellStyle name="Normal 2 18 45" xfId="9732"/>
    <cellStyle name="Normal 2 18 46" xfId="9733"/>
    <cellStyle name="Normal 2 18 47" xfId="9734"/>
    <cellStyle name="Normal 2 18 48" xfId="9735"/>
    <cellStyle name="Normal 2 18 49" xfId="9736"/>
    <cellStyle name="Normal 2 18 5" xfId="9737"/>
    <cellStyle name="Normal 2 18 50" xfId="9738"/>
    <cellStyle name="Normal 2 18 51" xfId="9739"/>
    <cellStyle name="Normal 2 18 52" xfId="9740"/>
    <cellStyle name="Normal 2 18 53" xfId="9741"/>
    <cellStyle name="Normal 2 18 54" xfId="9742"/>
    <cellStyle name="Normal 2 18 55" xfId="9743"/>
    <cellStyle name="Normal 2 18 56" xfId="9744"/>
    <cellStyle name="Normal 2 18 57" xfId="9745"/>
    <cellStyle name="Normal 2 18 58" xfId="9746"/>
    <cellStyle name="Normal 2 18 59" xfId="9747"/>
    <cellStyle name="Normal 2 18 6" xfId="9748"/>
    <cellStyle name="Normal 2 18 60" xfId="9749"/>
    <cellStyle name="Normal 2 18 61" xfId="9750"/>
    <cellStyle name="Normal 2 18 62" xfId="9751"/>
    <cellStyle name="Normal 2 18 63" xfId="9752"/>
    <cellStyle name="Normal 2 18 64" xfId="9753"/>
    <cellStyle name="Normal 2 18 65" xfId="9754"/>
    <cellStyle name="Normal 2 18 66" xfId="9755"/>
    <cellStyle name="Normal 2 18 67" xfId="9756"/>
    <cellStyle name="Normal 2 18 68" xfId="9757"/>
    <cellStyle name="Normal 2 18 69" xfId="9758"/>
    <cellStyle name="Normal 2 18 7" xfId="9759"/>
    <cellStyle name="Normal 2 18 70" xfId="9760"/>
    <cellStyle name="Normal 2 18 71" xfId="9761"/>
    <cellStyle name="Normal 2 18 72" xfId="9762"/>
    <cellStyle name="Normal 2 18 73" xfId="9763"/>
    <cellStyle name="Normal 2 18 74" xfId="9764"/>
    <cellStyle name="Normal 2 18 75" xfId="9765"/>
    <cellStyle name="Normal 2 18 76" xfId="9766"/>
    <cellStyle name="Normal 2 18 77" xfId="9767"/>
    <cellStyle name="Normal 2 18 78" xfId="9768"/>
    <cellStyle name="Normal 2 18 79" xfId="9769"/>
    <cellStyle name="Normal 2 18 8" xfId="9770"/>
    <cellStyle name="Normal 2 18 80" xfId="9771"/>
    <cellStyle name="Normal 2 18 81" xfId="9772"/>
    <cellStyle name="Normal 2 18 82" xfId="9773"/>
    <cellStyle name="Normal 2 18 83" xfId="9774"/>
    <cellStyle name="Normal 2 18 9" xfId="9775"/>
    <cellStyle name="Normal 2 19" xfId="9776"/>
    <cellStyle name="Normal 2 19 10" xfId="9777"/>
    <cellStyle name="Normal 2 19 11" xfId="9778"/>
    <cellStyle name="Normal 2 19 12" xfId="9779"/>
    <cellStyle name="Normal 2 19 13" xfId="9780"/>
    <cellStyle name="Normal 2 19 2" xfId="9781"/>
    <cellStyle name="Normal 2 19 3" xfId="9782"/>
    <cellStyle name="Normal 2 19 4" xfId="9783"/>
    <cellStyle name="Normal 2 19 5" xfId="9784"/>
    <cellStyle name="Normal 2 19 6" xfId="9785"/>
    <cellStyle name="Normal 2 19 7" xfId="9786"/>
    <cellStyle name="Normal 2 19 8" xfId="9787"/>
    <cellStyle name="Normal 2 19 9" xfId="9788"/>
    <cellStyle name="Normal 2 2" xfId="18"/>
    <cellStyle name="Normal 2 2 10" xfId="9789"/>
    <cellStyle name="Normal 2 2 11" xfId="9790"/>
    <cellStyle name="Normal 2 2 12" xfId="9791"/>
    <cellStyle name="Normal 2 2 13" xfId="9792"/>
    <cellStyle name="Normal 2 2 14" xfId="9793"/>
    <cellStyle name="Normal 2 2 15" xfId="9794"/>
    <cellStyle name="Normal 2 2 16" xfId="9795"/>
    <cellStyle name="Normal 2 2 17" xfId="9796"/>
    <cellStyle name="Normal 2 2 18" xfId="9797"/>
    <cellStyle name="Normal 2 2 19" xfId="9798"/>
    <cellStyle name="Normal 2 2 2" xfId="9799"/>
    <cellStyle name="Normal 2 2 2 10" xfId="9800"/>
    <cellStyle name="Normal 2 2 2 11" xfId="9801"/>
    <cellStyle name="Normal 2 2 2 12" xfId="9802"/>
    <cellStyle name="Normal 2 2 2 13" xfId="9803"/>
    <cellStyle name="Normal 2 2 2 14" xfId="9804"/>
    <cellStyle name="Normal 2 2 2 15" xfId="9805"/>
    <cellStyle name="Normal 2 2 2 16" xfId="9806"/>
    <cellStyle name="Normal 2 2 2 17" xfId="9807"/>
    <cellStyle name="Normal 2 2 2 18" xfId="9808"/>
    <cellStyle name="Normal 2 2 2 19" xfId="9809"/>
    <cellStyle name="Normal 2 2 2 2" xfId="9810"/>
    <cellStyle name="Normal 2 2 2 2 10" xfId="9811"/>
    <cellStyle name="Normal 2 2 2 2 11" xfId="9812"/>
    <cellStyle name="Normal 2 2 2 2 12" xfId="9813"/>
    <cellStyle name="Normal 2 2 2 2 13" xfId="9814"/>
    <cellStyle name="Normal 2 2 2 2 14" xfId="9815"/>
    <cellStyle name="Normal 2 2 2 2 15" xfId="9816"/>
    <cellStyle name="Normal 2 2 2 2 16" xfId="9817"/>
    <cellStyle name="Normal 2 2 2 2 17" xfId="9818"/>
    <cellStyle name="Normal 2 2 2 2 18" xfId="9819"/>
    <cellStyle name="Normal 2 2 2 2 19" xfId="9820"/>
    <cellStyle name="Normal 2 2 2 2 2" xfId="9821"/>
    <cellStyle name="Normal 2 2 2 2 20" xfId="9822"/>
    <cellStyle name="Normal 2 2 2 2 21" xfId="9823"/>
    <cellStyle name="Normal 2 2 2 2 22" xfId="9824"/>
    <cellStyle name="Normal 2 2 2 2 23" xfId="9825"/>
    <cellStyle name="Normal 2 2 2 2 24" xfId="9826"/>
    <cellStyle name="Normal 2 2 2 2 25" xfId="9827"/>
    <cellStyle name="Normal 2 2 2 2 26" xfId="9828"/>
    <cellStyle name="Normal 2 2 2 2 27" xfId="9829"/>
    <cellStyle name="Normal 2 2 2 2 28" xfId="9830"/>
    <cellStyle name="Normal 2 2 2 2 29" xfId="9831"/>
    <cellStyle name="Normal 2 2 2 2 3" xfId="9832"/>
    <cellStyle name="Normal 2 2 2 2 30" xfId="9833"/>
    <cellStyle name="Normal 2 2 2 2 31" xfId="9834"/>
    <cellStyle name="Normal 2 2 2 2 32" xfId="9835"/>
    <cellStyle name="Normal 2 2 2 2 33" xfId="9836"/>
    <cellStyle name="Normal 2 2 2 2 34" xfId="9837"/>
    <cellStyle name="Normal 2 2 2 2 35" xfId="9838"/>
    <cellStyle name="Normal 2 2 2 2 36" xfId="9839"/>
    <cellStyle name="Normal 2 2 2 2 37" xfId="9840"/>
    <cellStyle name="Normal 2 2 2 2 38" xfId="9841"/>
    <cellStyle name="Normal 2 2 2 2 39" xfId="9842"/>
    <cellStyle name="Normal 2 2 2 2 4" xfId="9843"/>
    <cellStyle name="Normal 2 2 2 2 40" xfId="9844"/>
    <cellStyle name="Normal 2 2 2 2 41" xfId="9845"/>
    <cellStyle name="Normal 2 2 2 2 42" xfId="9846"/>
    <cellStyle name="Normal 2 2 2 2 43" xfId="9847"/>
    <cellStyle name="Normal 2 2 2 2 44" xfId="9848"/>
    <cellStyle name="Normal 2 2 2 2 45" xfId="9849"/>
    <cellStyle name="Normal 2 2 2 2 46" xfId="9850"/>
    <cellStyle name="Normal 2 2 2 2 47" xfId="9851"/>
    <cellStyle name="Normal 2 2 2 2 48" xfId="9852"/>
    <cellStyle name="Normal 2 2 2 2 49" xfId="9853"/>
    <cellStyle name="Normal 2 2 2 2 5" xfId="9854"/>
    <cellStyle name="Normal 2 2 2 2 50" xfId="9855"/>
    <cellStyle name="Normal 2 2 2 2 51" xfId="9856"/>
    <cellStyle name="Normal 2 2 2 2 52" xfId="9857"/>
    <cellStyle name="Normal 2 2 2 2 53" xfId="9858"/>
    <cellStyle name="Normal 2 2 2 2 54" xfId="9859"/>
    <cellStyle name="Normal 2 2 2 2 55" xfId="9860"/>
    <cellStyle name="Normal 2 2 2 2 56" xfId="9861"/>
    <cellStyle name="Normal 2 2 2 2 57" xfId="9862"/>
    <cellStyle name="Normal 2 2 2 2 58" xfId="9863"/>
    <cellStyle name="Normal 2 2 2 2 59" xfId="9864"/>
    <cellStyle name="Normal 2 2 2 2 6" xfId="9865"/>
    <cellStyle name="Normal 2 2 2 2 60" xfId="9866"/>
    <cellStyle name="Normal 2 2 2 2 61" xfId="9867"/>
    <cellStyle name="Normal 2 2 2 2 62" xfId="9868"/>
    <cellStyle name="Normal 2 2 2 2 63" xfId="9869"/>
    <cellStyle name="Normal 2 2 2 2 64" xfId="9870"/>
    <cellStyle name="Normal 2 2 2 2 65" xfId="9871"/>
    <cellStyle name="Normal 2 2 2 2 66" xfId="9872"/>
    <cellStyle name="Normal 2 2 2 2 67" xfId="9873"/>
    <cellStyle name="Normal 2 2 2 2 68" xfId="9874"/>
    <cellStyle name="Normal 2 2 2 2 69" xfId="9875"/>
    <cellStyle name="Normal 2 2 2 2 7" xfId="9876"/>
    <cellStyle name="Normal 2 2 2 2 70" xfId="9877"/>
    <cellStyle name="Normal 2 2 2 2 71" xfId="9878"/>
    <cellStyle name="Normal 2 2 2 2 72" xfId="9879"/>
    <cellStyle name="Normal 2 2 2 2 73" xfId="9880"/>
    <cellStyle name="Normal 2 2 2 2 74" xfId="9881"/>
    <cellStyle name="Normal 2 2 2 2 75" xfId="9882"/>
    <cellStyle name="Normal 2 2 2 2 76" xfId="9883"/>
    <cellStyle name="Normal 2 2 2 2 77" xfId="9884"/>
    <cellStyle name="Normal 2 2 2 2 78" xfId="9885"/>
    <cellStyle name="Normal 2 2 2 2 79" xfId="9886"/>
    <cellStyle name="Normal 2 2 2 2 8" xfId="9887"/>
    <cellStyle name="Normal 2 2 2 2 80" xfId="9888"/>
    <cellStyle name="Normal 2 2 2 2 81" xfId="9889"/>
    <cellStyle name="Normal 2 2 2 2 82" xfId="9890"/>
    <cellStyle name="Normal 2 2 2 2 83" xfId="9891"/>
    <cellStyle name="Normal 2 2 2 2 9" xfId="9892"/>
    <cellStyle name="Normal 2 2 2 20" xfId="9893"/>
    <cellStyle name="Normal 2 2 2 21" xfId="9894"/>
    <cellStyle name="Normal 2 2 2 22" xfId="9895"/>
    <cellStyle name="Normal 2 2 2 23" xfId="9896"/>
    <cellStyle name="Normal 2 2 2 24" xfId="9897"/>
    <cellStyle name="Normal 2 2 2 25" xfId="9898"/>
    <cellStyle name="Normal 2 2 2 26" xfId="9899"/>
    <cellStyle name="Normal 2 2 2 27" xfId="9900"/>
    <cellStyle name="Normal 2 2 2 28" xfId="9901"/>
    <cellStyle name="Normal 2 2 2 29" xfId="9902"/>
    <cellStyle name="Normal 2 2 2 3" xfId="9903"/>
    <cellStyle name="Normal 2 2 2 30" xfId="9904"/>
    <cellStyle name="Normal 2 2 2 31" xfId="9905"/>
    <cellStyle name="Normal 2 2 2 32" xfId="9906"/>
    <cellStyle name="Normal 2 2 2 33" xfId="9907"/>
    <cellStyle name="Normal 2 2 2 34" xfId="9908"/>
    <cellStyle name="Normal 2 2 2 35" xfId="9909"/>
    <cellStyle name="Normal 2 2 2 36" xfId="9910"/>
    <cellStyle name="Normal 2 2 2 37" xfId="9911"/>
    <cellStyle name="Normal 2 2 2 38" xfId="9912"/>
    <cellStyle name="Normal 2 2 2 39" xfId="9913"/>
    <cellStyle name="Normal 2 2 2 4" xfId="9914"/>
    <cellStyle name="Normal 2 2 2 40" xfId="9915"/>
    <cellStyle name="Normal 2 2 2 41" xfId="9916"/>
    <cellStyle name="Normal 2 2 2 42" xfId="9917"/>
    <cellStyle name="Normal 2 2 2 43" xfId="9918"/>
    <cellStyle name="Normal 2 2 2 44" xfId="9919"/>
    <cellStyle name="Normal 2 2 2 45" xfId="9920"/>
    <cellStyle name="Normal 2 2 2 46" xfId="9921"/>
    <cellStyle name="Normal 2 2 2 47" xfId="9922"/>
    <cellStyle name="Normal 2 2 2 48" xfId="9923"/>
    <cellStyle name="Normal 2 2 2 49" xfId="9924"/>
    <cellStyle name="Normal 2 2 2 5" xfId="9925"/>
    <cellStyle name="Normal 2 2 2 50" xfId="9926"/>
    <cellStyle name="Normal 2 2 2 51" xfId="9927"/>
    <cellStyle name="Normal 2 2 2 52" xfId="9928"/>
    <cellStyle name="Normal 2 2 2 53" xfId="9929"/>
    <cellStyle name="Normal 2 2 2 54" xfId="9930"/>
    <cellStyle name="Normal 2 2 2 55" xfId="9931"/>
    <cellStyle name="Normal 2 2 2 56" xfId="9932"/>
    <cellStyle name="Normal 2 2 2 57" xfId="9933"/>
    <cellStyle name="Normal 2 2 2 58" xfId="9934"/>
    <cellStyle name="Normal 2 2 2 59" xfId="9935"/>
    <cellStyle name="Normal 2 2 2 6" xfId="9936"/>
    <cellStyle name="Normal 2 2 2 60" xfId="9937"/>
    <cellStyle name="Normal 2 2 2 61" xfId="9938"/>
    <cellStyle name="Normal 2 2 2 62" xfId="9939"/>
    <cellStyle name="Normal 2 2 2 63" xfId="9940"/>
    <cellStyle name="Normal 2 2 2 64" xfId="9941"/>
    <cellStyle name="Normal 2 2 2 65" xfId="9942"/>
    <cellStyle name="Normal 2 2 2 66" xfId="9943"/>
    <cellStyle name="Normal 2 2 2 67" xfId="9944"/>
    <cellStyle name="Normal 2 2 2 68" xfId="9945"/>
    <cellStyle name="Normal 2 2 2 69" xfId="9946"/>
    <cellStyle name="Normal 2 2 2 7" xfId="9947"/>
    <cellStyle name="Normal 2 2 2 70" xfId="9948"/>
    <cellStyle name="Normal 2 2 2 71" xfId="9949"/>
    <cellStyle name="Normal 2 2 2 72" xfId="9950"/>
    <cellStyle name="Normal 2 2 2 73" xfId="9951"/>
    <cellStyle name="Normal 2 2 2 74" xfId="9952"/>
    <cellStyle name="Normal 2 2 2 75" xfId="9953"/>
    <cellStyle name="Normal 2 2 2 76" xfId="9954"/>
    <cellStyle name="Normal 2 2 2 77" xfId="9955"/>
    <cellStyle name="Normal 2 2 2 78" xfId="9956"/>
    <cellStyle name="Normal 2 2 2 79" xfId="9957"/>
    <cellStyle name="Normal 2 2 2 8" xfId="9958"/>
    <cellStyle name="Normal 2 2 2 80" xfId="9959"/>
    <cellStyle name="Normal 2 2 2 81" xfId="9960"/>
    <cellStyle name="Normal 2 2 2 82" xfId="9961"/>
    <cellStyle name="Normal 2 2 2 83" xfId="9962"/>
    <cellStyle name="Normal 2 2 2 84" xfId="9963"/>
    <cellStyle name="Normal 2 2 2 9" xfId="9964"/>
    <cellStyle name="Normal 2 2 2_Cultura y Tiempo libre 2011 base 2012 PGM - EMV  2013" xfId="9965"/>
    <cellStyle name="Normal 2 2 20" xfId="9966"/>
    <cellStyle name="Normal 2 2 21" xfId="9967"/>
    <cellStyle name="Normal 2 2 22" xfId="9968"/>
    <cellStyle name="Normal 2 2 23" xfId="9969"/>
    <cellStyle name="Normal 2 2 24" xfId="9970"/>
    <cellStyle name="Normal 2 2 25" xfId="9971"/>
    <cellStyle name="Normal 2 2 26" xfId="9972"/>
    <cellStyle name="Normal 2 2 27" xfId="9973"/>
    <cellStyle name="Normal 2 2 28" xfId="9974"/>
    <cellStyle name="Normal 2 2 29" xfId="9975"/>
    <cellStyle name="Normal 2 2 3" xfId="9976"/>
    <cellStyle name="Normal 2 2 3 10" xfId="9977"/>
    <cellStyle name="Normal 2 2 3 11" xfId="9978"/>
    <cellStyle name="Normal 2 2 3 12" xfId="9979"/>
    <cellStyle name="Normal 2 2 3 13" xfId="9980"/>
    <cellStyle name="Normal 2 2 3 14" xfId="9981"/>
    <cellStyle name="Normal 2 2 3 15" xfId="9982"/>
    <cellStyle name="Normal 2 2 3 16" xfId="9983"/>
    <cellStyle name="Normal 2 2 3 17" xfId="9984"/>
    <cellStyle name="Normal 2 2 3 18" xfId="9985"/>
    <cellStyle name="Normal 2 2 3 19" xfId="9986"/>
    <cellStyle name="Normal 2 2 3 2" xfId="9987"/>
    <cellStyle name="Normal 2 2 3 2 10" xfId="9988"/>
    <cellStyle name="Normal 2 2 3 2 11" xfId="9989"/>
    <cellStyle name="Normal 2 2 3 2 12" xfId="9990"/>
    <cellStyle name="Normal 2 2 3 2 13" xfId="9991"/>
    <cellStyle name="Normal 2 2 3 2 14" xfId="9992"/>
    <cellStyle name="Normal 2 2 3 2 15" xfId="9993"/>
    <cellStyle name="Normal 2 2 3 2 16" xfId="9994"/>
    <cellStyle name="Normal 2 2 3 2 17" xfId="9995"/>
    <cellStyle name="Normal 2 2 3 2 18" xfId="9996"/>
    <cellStyle name="Normal 2 2 3 2 19" xfId="9997"/>
    <cellStyle name="Normal 2 2 3 2 2" xfId="9998"/>
    <cellStyle name="Normal 2 2 3 2 20" xfId="9999"/>
    <cellStyle name="Normal 2 2 3 2 21" xfId="10000"/>
    <cellStyle name="Normal 2 2 3 2 22" xfId="10001"/>
    <cellStyle name="Normal 2 2 3 2 23" xfId="10002"/>
    <cellStyle name="Normal 2 2 3 2 24" xfId="10003"/>
    <cellStyle name="Normal 2 2 3 2 25" xfId="10004"/>
    <cellStyle name="Normal 2 2 3 2 26" xfId="10005"/>
    <cellStyle name="Normal 2 2 3 2 27" xfId="10006"/>
    <cellStyle name="Normal 2 2 3 2 28" xfId="10007"/>
    <cellStyle name="Normal 2 2 3 2 29" xfId="10008"/>
    <cellStyle name="Normal 2 2 3 2 3" xfId="10009"/>
    <cellStyle name="Normal 2 2 3 2 30" xfId="10010"/>
    <cellStyle name="Normal 2 2 3 2 31" xfId="10011"/>
    <cellStyle name="Normal 2 2 3 2 32" xfId="10012"/>
    <cellStyle name="Normal 2 2 3 2 33" xfId="10013"/>
    <cellStyle name="Normal 2 2 3 2 34" xfId="10014"/>
    <cellStyle name="Normal 2 2 3 2 35" xfId="10015"/>
    <cellStyle name="Normal 2 2 3 2 36" xfId="10016"/>
    <cellStyle name="Normal 2 2 3 2 37" xfId="10017"/>
    <cellStyle name="Normal 2 2 3 2 38" xfId="10018"/>
    <cellStyle name="Normal 2 2 3 2 39" xfId="10019"/>
    <cellStyle name="Normal 2 2 3 2 4" xfId="10020"/>
    <cellStyle name="Normal 2 2 3 2 40" xfId="10021"/>
    <cellStyle name="Normal 2 2 3 2 41" xfId="10022"/>
    <cellStyle name="Normal 2 2 3 2 42" xfId="10023"/>
    <cellStyle name="Normal 2 2 3 2 43" xfId="10024"/>
    <cellStyle name="Normal 2 2 3 2 44" xfId="10025"/>
    <cellStyle name="Normal 2 2 3 2 45" xfId="10026"/>
    <cellStyle name="Normal 2 2 3 2 46" xfId="10027"/>
    <cellStyle name="Normal 2 2 3 2 47" xfId="10028"/>
    <cellStyle name="Normal 2 2 3 2 48" xfId="10029"/>
    <cellStyle name="Normal 2 2 3 2 49" xfId="10030"/>
    <cellStyle name="Normal 2 2 3 2 5" xfId="10031"/>
    <cellStyle name="Normal 2 2 3 2 50" xfId="10032"/>
    <cellStyle name="Normal 2 2 3 2 51" xfId="10033"/>
    <cellStyle name="Normal 2 2 3 2 52" xfId="10034"/>
    <cellStyle name="Normal 2 2 3 2 53" xfId="10035"/>
    <cellStyle name="Normal 2 2 3 2 54" xfId="10036"/>
    <cellStyle name="Normal 2 2 3 2 55" xfId="10037"/>
    <cellStyle name="Normal 2 2 3 2 56" xfId="10038"/>
    <cellStyle name="Normal 2 2 3 2 57" xfId="10039"/>
    <cellStyle name="Normal 2 2 3 2 58" xfId="10040"/>
    <cellStyle name="Normal 2 2 3 2 59" xfId="10041"/>
    <cellStyle name="Normal 2 2 3 2 6" xfId="10042"/>
    <cellStyle name="Normal 2 2 3 2 60" xfId="10043"/>
    <cellStyle name="Normal 2 2 3 2 61" xfId="10044"/>
    <cellStyle name="Normal 2 2 3 2 62" xfId="10045"/>
    <cellStyle name="Normal 2 2 3 2 63" xfId="10046"/>
    <cellStyle name="Normal 2 2 3 2 64" xfId="10047"/>
    <cellStyle name="Normal 2 2 3 2 65" xfId="10048"/>
    <cellStyle name="Normal 2 2 3 2 66" xfId="10049"/>
    <cellStyle name="Normal 2 2 3 2 67" xfId="10050"/>
    <cellStyle name="Normal 2 2 3 2 68" xfId="10051"/>
    <cellStyle name="Normal 2 2 3 2 69" xfId="10052"/>
    <cellStyle name="Normal 2 2 3 2 7" xfId="10053"/>
    <cellStyle name="Normal 2 2 3 2 70" xfId="10054"/>
    <cellStyle name="Normal 2 2 3 2 71" xfId="10055"/>
    <cellStyle name="Normal 2 2 3 2 72" xfId="10056"/>
    <cellStyle name="Normal 2 2 3 2 73" xfId="10057"/>
    <cellStyle name="Normal 2 2 3 2 74" xfId="10058"/>
    <cellStyle name="Normal 2 2 3 2 75" xfId="10059"/>
    <cellStyle name="Normal 2 2 3 2 76" xfId="10060"/>
    <cellStyle name="Normal 2 2 3 2 77" xfId="10061"/>
    <cellStyle name="Normal 2 2 3 2 78" xfId="10062"/>
    <cellStyle name="Normal 2 2 3 2 79" xfId="10063"/>
    <cellStyle name="Normal 2 2 3 2 8" xfId="10064"/>
    <cellStyle name="Normal 2 2 3 2 80" xfId="10065"/>
    <cellStyle name="Normal 2 2 3 2 81" xfId="10066"/>
    <cellStyle name="Normal 2 2 3 2 82" xfId="10067"/>
    <cellStyle name="Normal 2 2 3 2 83" xfId="10068"/>
    <cellStyle name="Normal 2 2 3 2 9" xfId="10069"/>
    <cellStyle name="Normal 2 2 3 20" xfId="10070"/>
    <cellStyle name="Normal 2 2 3 21" xfId="10071"/>
    <cellStyle name="Normal 2 2 3 22" xfId="10072"/>
    <cellStyle name="Normal 2 2 3 23" xfId="10073"/>
    <cellStyle name="Normal 2 2 3 24" xfId="10074"/>
    <cellStyle name="Normal 2 2 3 25" xfId="10075"/>
    <cellStyle name="Normal 2 2 3 26" xfId="10076"/>
    <cellStyle name="Normal 2 2 3 27" xfId="10077"/>
    <cellStyle name="Normal 2 2 3 28" xfId="10078"/>
    <cellStyle name="Normal 2 2 3 29" xfId="10079"/>
    <cellStyle name="Normal 2 2 3 3" xfId="10080"/>
    <cellStyle name="Normal 2 2 3 30" xfId="10081"/>
    <cellStyle name="Normal 2 2 3 31" xfId="10082"/>
    <cellStyle name="Normal 2 2 3 32" xfId="10083"/>
    <cellStyle name="Normal 2 2 3 33" xfId="10084"/>
    <cellStyle name="Normal 2 2 3 34" xfId="10085"/>
    <cellStyle name="Normal 2 2 3 35" xfId="10086"/>
    <cellStyle name="Normal 2 2 3 36" xfId="10087"/>
    <cellStyle name="Normal 2 2 3 37" xfId="10088"/>
    <cellStyle name="Normal 2 2 3 38" xfId="10089"/>
    <cellStyle name="Normal 2 2 3 39" xfId="10090"/>
    <cellStyle name="Normal 2 2 3 4" xfId="10091"/>
    <cellStyle name="Normal 2 2 3 40" xfId="10092"/>
    <cellStyle name="Normal 2 2 3 41" xfId="10093"/>
    <cellStyle name="Normal 2 2 3 42" xfId="10094"/>
    <cellStyle name="Normal 2 2 3 43" xfId="10095"/>
    <cellStyle name="Normal 2 2 3 44" xfId="10096"/>
    <cellStyle name="Normal 2 2 3 45" xfId="10097"/>
    <cellStyle name="Normal 2 2 3 46" xfId="10098"/>
    <cellStyle name="Normal 2 2 3 47" xfId="10099"/>
    <cellStyle name="Normal 2 2 3 48" xfId="10100"/>
    <cellStyle name="Normal 2 2 3 49" xfId="10101"/>
    <cellStyle name="Normal 2 2 3 5" xfId="10102"/>
    <cellStyle name="Normal 2 2 3 50" xfId="10103"/>
    <cellStyle name="Normal 2 2 3 51" xfId="10104"/>
    <cellStyle name="Normal 2 2 3 52" xfId="10105"/>
    <cellStyle name="Normal 2 2 3 53" xfId="10106"/>
    <cellStyle name="Normal 2 2 3 54" xfId="10107"/>
    <cellStyle name="Normal 2 2 3 55" xfId="10108"/>
    <cellStyle name="Normal 2 2 3 56" xfId="10109"/>
    <cellStyle name="Normal 2 2 3 57" xfId="10110"/>
    <cellStyle name="Normal 2 2 3 58" xfId="10111"/>
    <cellStyle name="Normal 2 2 3 59" xfId="10112"/>
    <cellStyle name="Normal 2 2 3 6" xfId="10113"/>
    <cellStyle name="Normal 2 2 3 60" xfId="10114"/>
    <cellStyle name="Normal 2 2 3 61" xfId="10115"/>
    <cellStyle name="Normal 2 2 3 62" xfId="10116"/>
    <cellStyle name="Normal 2 2 3 63" xfId="10117"/>
    <cellStyle name="Normal 2 2 3 64" xfId="10118"/>
    <cellStyle name="Normal 2 2 3 65" xfId="10119"/>
    <cellStyle name="Normal 2 2 3 66" xfId="10120"/>
    <cellStyle name="Normal 2 2 3 67" xfId="10121"/>
    <cellStyle name="Normal 2 2 3 68" xfId="10122"/>
    <cellStyle name="Normal 2 2 3 69" xfId="10123"/>
    <cellStyle name="Normal 2 2 3 7" xfId="10124"/>
    <cellStyle name="Normal 2 2 3 70" xfId="10125"/>
    <cellStyle name="Normal 2 2 3 71" xfId="10126"/>
    <cellStyle name="Normal 2 2 3 72" xfId="10127"/>
    <cellStyle name="Normal 2 2 3 73" xfId="10128"/>
    <cellStyle name="Normal 2 2 3 74" xfId="10129"/>
    <cellStyle name="Normal 2 2 3 75" xfId="10130"/>
    <cellStyle name="Normal 2 2 3 76" xfId="10131"/>
    <cellStyle name="Normal 2 2 3 77" xfId="10132"/>
    <cellStyle name="Normal 2 2 3 78" xfId="10133"/>
    <cellStyle name="Normal 2 2 3 79" xfId="10134"/>
    <cellStyle name="Normal 2 2 3 8" xfId="10135"/>
    <cellStyle name="Normal 2 2 3 80" xfId="10136"/>
    <cellStyle name="Normal 2 2 3 81" xfId="10137"/>
    <cellStyle name="Normal 2 2 3 82" xfId="10138"/>
    <cellStyle name="Normal 2 2 3 83" xfId="10139"/>
    <cellStyle name="Normal 2 2 3 84" xfId="10140"/>
    <cellStyle name="Normal 2 2 3 9" xfId="10141"/>
    <cellStyle name="Normal 2 2 3_Cultura y Tiempo libre 2011 base 2012 PGM - EMV  2013" xfId="10142"/>
    <cellStyle name="Normal 2 2 30" xfId="10143"/>
    <cellStyle name="Normal 2 2 31" xfId="10144"/>
    <cellStyle name="Normal 2 2 32" xfId="10145"/>
    <cellStyle name="Normal 2 2 33" xfId="10146"/>
    <cellStyle name="Normal 2 2 34" xfId="10147"/>
    <cellStyle name="Normal 2 2 35" xfId="10148"/>
    <cellStyle name="Normal 2 2 36" xfId="10149"/>
    <cellStyle name="Normal 2 2 37" xfId="10150"/>
    <cellStyle name="Normal 2 2 38" xfId="10151"/>
    <cellStyle name="Normal 2 2 39" xfId="10152"/>
    <cellStyle name="Normal 2 2 4" xfId="10153"/>
    <cellStyle name="Normal 2 2 4 10" xfId="10154"/>
    <cellStyle name="Normal 2 2 4 11" xfId="10155"/>
    <cellStyle name="Normal 2 2 4 12" xfId="10156"/>
    <cellStyle name="Normal 2 2 4 13" xfId="10157"/>
    <cellStyle name="Normal 2 2 4 14" xfId="10158"/>
    <cellStyle name="Normal 2 2 4 15" xfId="10159"/>
    <cellStyle name="Normal 2 2 4 16" xfId="10160"/>
    <cellStyle name="Normal 2 2 4 17" xfId="10161"/>
    <cellStyle name="Normal 2 2 4 18" xfId="10162"/>
    <cellStyle name="Normal 2 2 4 19" xfId="10163"/>
    <cellStyle name="Normal 2 2 4 2" xfId="10164"/>
    <cellStyle name="Normal 2 2 4 20" xfId="10165"/>
    <cellStyle name="Normal 2 2 4 21" xfId="10166"/>
    <cellStyle name="Normal 2 2 4 22" xfId="10167"/>
    <cellStyle name="Normal 2 2 4 23" xfId="10168"/>
    <cellStyle name="Normal 2 2 4 24" xfId="10169"/>
    <cellStyle name="Normal 2 2 4 25" xfId="10170"/>
    <cellStyle name="Normal 2 2 4 26" xfId="10171"/>
    <cellStyle name="Normal 2 2 4 27" xfId="10172"/>
    <cellStyle name="Normal 2 2 4 28" xfId="10173"/>
    <cellStyle name="Normal 2 2 4 29" xfId="10174"/>
    <cellStyle name="Normal 2 2 4 3" xfId="10175"/>
    <cellStyle name="Normal 2 2 4 30" xfId="10176"/>
    <cellStyle name="Normal 2 2 4 31" xfId="10177"/>
    <cellStyle name="Normal 2 2 4 32" xfId="10178"/>
    <cellStyle name="Normal 2 2 4 33" xfId="10179"/>
    <cellStyle name="Normal 2 2 4 34" xfId="10180"/>
    <cellStyle name="Normal 2 2 4 35" xfId="10181"/>
    <cellStyle name="Normal 2 2 4 36" xfId="10182"/>
    <cellStyle name="Normal 2 2 4 37" xfId="10183"/>
    <cellStyle name="Normal 2 2 4 38" xfId="10184"/>
    <cellStyle name="Normal 2 2 4 39" xfId="10185"/>
    <cellStyle name="Normal 2 2 4 4" xfId="10186"/>
    <cellStyle name="Normal 2 2 4 40" xfId="10187"/>
    <cellStyle name="Normal 2 2 4 41" xfId="10188"/>
    <cellStyle name="Normal 2 2 4 42" xfId="10189"/>
    <cellStyle name="Normal 2 2 4 43" xfId="10190"/>
    <cellStyle name="Normal 2 2 4 44" xfId="10191"/>
    <cellStyle name="Normal 2 2 4 45" xfId="10192"/>
    <cellStyle name="Normal 2 2 4 46" xfId="10193"/>
    <cellStyle name="Normal 2 2 4 47" xfId="10194"/>
    <cellStyle name="Normal 2 2 4 48" xfId="10195"/>
    <cellStyle name="Normal 2 2 4 49" xfId="10196"/>
    <cellStyle name="Normal 2 2 4 5" xfId="10197"/>
    <cellStyle name="Normal 2 2 4 50" xfId="10198"/>
    <cellStyle name="Normal 2 2 4 51" xfId="10199"/>
    <cellStyle name="Normal 2 2 4 52" xfId="10200"/>
    <cellStyle name="Normal 2 2 4 53" xfId="10201"/>
    <cellStyle name="Normal 2 2 4 54" xfId="10202"/>
    <cellStyle name="Normal 2 2 4 55" xfId="10203"/>
    <cellStyle name="Normal 2 2 4 56" xfId="10204"/>
    <cellStyle name="Normal 2 2 4 57" xfId="10205"/>
    <cellStyle name="Normal 2 2 4 58" xfId="10206"/>
    <cellStyle name="Normal 2 2 4 59" xfId="10207"/>
    <cellStyle name="Normal 2 2 4 6" xfId="10208"/>
    <cellStyle name="Normal 2 2 4 60" xfId="10209"/>
    <cellStyle name="Normal 2 2 4 61" xfId="10210"/>
    <cellStyle name="Normal 2 2 4 62" xfId="10211"/>
    <cellStyle name="Normal 2 2 4 63" xfId="10212"/>
    <cellStyle name="Normal 2 2 4 64" xfId="10213"/>
    <cellStyle name="Normal 2 2 4 65" xfId="10214"/>
    <cellStyle name="Normal 2 2 4 66" xfId="10215"/>
    <cellStyle name="Normal 2 2 4 67" xfId="10216"/>
    <cellStyle name="Normal 2 2 4 68" xfId="10217"/>
    <cellStyle name="Normal 2 2 4 69" xfId="10218"/>
    <cellStyle name="Normal 2 2 4 7" xfId="10219"/>
    <cellStyle name="Normal 2 2 4 70" xfId="10220"/>
    <cellStyle name="Normal 2 2 4 71" xfId="10221"/>
    <cellStyle name="Normal 2 2 4 72" xfId="10222"/>
    <cellStyle name="Normal 2 2 4 73" xfId="10223"/>
    <cellStyle name="Normal 2 2 4 74" xfId="10224"/>
    <cellStyle name="Normal 2 2 4 75" xfId="10225"/>
    <cellStyle name="Normal 2 2 4 76" xfId="10226"/>
    <cellStyle name="Normal 2 2 4 77" xfId="10227"/>
    <cellStyle name="Normal 2 2 4 78" xfId="10228"/>
    <cellStyle name="Normal 2 2 4 79" xfId="10229"/>
    <cellStyle name="Normal 2 2 4 8" xfId="10230"/>
    <cellStyle name="Normal 2 2 4 80" xfId="10231"/>
    <cellStyle name="Normal 2 2 4 81" xfId="10232"/>
    <cellStyle name="Normal 2 2 4 82" xfId="10233"/>
    <cellStyle name="Normal 2 2 4 83" xfId="10234"/>
    <cellStyle name="Normal 2 2 4 9" xfId="10235"/>
    <cellStyle name="Normal 2 2 40" xfId="10236"/>
    <cellStyle name="Normal 2 2 41" xfId="10237"/>
    <cellStyle name="Normal 2 2 42" xfId="10238"/>
    <cellStyle name="Normal 2 2 43" xfId="10239"/>
    <cellStyle name="Normal 2 2 44" xfId="10240"/>
    <cellStyle name="Normal 2 2 45" xfId="10241"/>
    <cellStyle name="Normal 2 2 46" xfId="10242"/>
    <cellStyle name="Normal 2 2 47" xfId="10243"/>
    <cellStyle name="Normal 2 2 48" xfId="10244"/>
    <cellStyle name="Normal 2 2 49" xfId="10245"/>
    <cellStyle name="Normal 2 2 5" xfId="10246"/>
    <cellStyle name="Normal 2 2 5 10" xfId="10247"/>
    <cellStyle name="Normal 2 2 5 11" xfId="10248"/>
    <cellStyle name="Normal 2 2 5 12" xfId="10249"/>
    <cellStyle name="Normal 2 2 5 13" xfId="10250"/>
    <cellStyle name="Normal 2 2 5 14" xfId="10251"/>
    <cellStyle name="Normal 2 2 5 15" xfId="10252"/>
    <cellStyle name="Normal 2 2 5 16" xfId="10253"/>
    <cellStyle name="Normal 2 2 5 17" xfId="10254"/>
    <cellStyle name="Normal 2 2 5 18" xfId="10255"/>
    <cellStyle name="Normal 2 2 5 19" xfId="10256"/>
    <cellStyle name="Normal 2 2 5 2" xfId="10257"/>
    <cellStyle name="Normal 2 2 5 20" xfId="10258"/>
    <cellStyle name="Normal 2 2 5 21" xfId="10259"/>
    <cellStyle name="Normal 2 2 5 22" xfId="10260"/>
    <cellStyle name="Normal 2 2 5 23" xfId="10261"/>
    <cellStyle name="Normal 2 2 5 24" xfId="10262"/>
    <cellStyle name="Normal 2 2 5 25" xfId="10263"/>
    <cellStyle name="Normal 2 2 5 26" xfId="10264"/>
    <cellStyle name="Normal 2 2 5 27" xfId="10265"/>
    <cellStyle name="Normal 2 2 5 28" xfId="10266"/>
    <cellStyle name="Normal 2 2 5 29" xfId="10267"/>
    <cellStyle name="Normal 2 2 5 3" xfId="10268"/>
    <cellStyle name="Normal 2 2 5 30" xfId="10269"/>
    <cellStyle name="Normal 2 2 5 31" xfId="10270"/>
    <cellStyle name="Normal 2 2 5 32" xfId="10271"/>
    <cellStyle name="Normal 2 2 5 33" xfId="10272"/>
    <cellStyle name="Normal 2 2 5 34" xfId="10273"/>
    <cellStyle name="Normal 2 2 5 35" xfId="10274"/>
    <cellStyle name="Normal 2 2 5 36" xfId="10275"/>
    <cellStyle name="Normal 2 2 5 37" xfId="10276"/>
    <cellStyle name="Normal 2 2 5 38" xfId="10277"/>
    <cellStyle name="Normal 2 2 5 39" xfId="10278"/>
    <cellStyle name="Normal 2 2 5 4" xfId="10279"/>
    <cellStyle name="Normal 2 2 5 40" xfId="10280"/>
    <cellStyle name="Normal 2 2 5 41" xfId="10281"/>
    <cellStyle name="Normal 2 2 5 42" xfId="10282"/>
    <cellStyle name="Normal 2 2 5 43" xfId="10283"/>
    <cellStyle name="Normal 2 2 5 44" xfId="10284"/>
    <cellStyle name="Normal 2 2 5 45" xfId="10285"/>
    <cellStyle name="Normal 2 2 5 46" xfId="10286"/>
    <cellStyle name="Normal 2 2 5 47" xfId="10287"/>
    <cellStyle name="Normal 2 2 5 48" xfId="10288"/>
    <cellStyle name="Normal 2 2 5 49" xfId="10289"/>
    <cellStyle name="Normal 2 2 5 5" xfId="10290"/>
    <cellStyle name="Normal 2 2 5 50" xfId="10291"/>
    <cellStyle name="Normal 2 2 5 51" xfId="10292"/>
    <cellStyle name="Normal 2 2 5 52" xfId="10293"/>
    <cellStyle name="Normal 2 2 5 53" xfId="10294"/>
    <cellStyle name="Normal 2 2 5 54" xfId="10295"/>
    <cellStyle name="Normal 2 2 5 55" xfId="10296"/>
    <cellStyle name="Normal 2 2 5 56" xfId="10297"/>
    <cellStyle name="Normal 2 2 5 57" xfId="10298"/>
    <cellStyle name="Normal 2 2 5 58" xfId="10299"/>
    <cellStyle name="Normal 2 2 5 59" xfId="10300"/>
    <cellStyle name="Normal 2 2 5 6" xfId="10301"/>
    <cellStyle name="Normal 2 2 5 60" xfId="10302"/>
    <cellStyle name="Normal 2 2 5 61" xfId="10303"/>
    <cellStyle name="Normal 2 2 5 62" xfId="10304"/>
    <cellStyle name="Normal 2 2 5 63" xfId="10305"/>
    <cellStyle name="Normal 2 2 5 64" xfId="10306"/>
    <cellStyle name="Normal 2 2 5 65" xfId="10307"/>
    <cellStyle name="Normal 2 2 5 66" xfId="10308"/>
    <cellStyle name="Normal 2 2 5 67" xfId="10309"/>
    <cellStyle name="Normal 2 2 5 68" xfId="10310"/>
    <cellStyle name="Normal 2 2 5 69" xfId="10311"/>
    <cellStyle name="Normal 2 2 5 7" xfId="10312"/>
    <cellStyle name="Normal 2 2 5 70" xfId="10313"/>
    <cellStyle name="Normal 2 2 5 71" xfId="10314"/>
    <cellStyle name="Normal 2 2 5 72" xfId="10315"/>
    <cellStyle name="Normal 2 2 5 73" xfId="10316"/>
    <cellStyle name="Normal 2 2 5 74" xfId="10317"/>
    <cellStyle name="Normal 2 2 5 75" xfId="10318"/>
    <cellStyle name="Normal 2 2 5 76" xfId="10319"/>
    <cellStyle name="Normal 2 2 5 77" xfId="10320"/>
    <cellStyle name="Normal 2 2 5 78" xfId="10321"/>
    <cellStyle name="Normal 2 2 5 79" xfId="10322"/>
    <cellStyle name="Normal 2 2 5 8" xfId="10323"/>
    <cellStyle name="Normal 2 2 5 80" xfId="10324"/>
    <cellStyle name="Normal 2 2 5 81" xfId="10325"/>
    <cellStyle name="Normal 2 2 5 82" xfId="10326"/>
    <cellStyle name="Normal 2 2 5 83" xfId="10327"/>
    <cellStyle name="Normal 2 2 5 9" xfId="10328"/>
    <cellStyle name="Normal 2 2 50" xfId="10329"/>
    <cellStyle name="Normal 2 2 51" xfId="10330"/>
    <cellStyle name="Normal 2 2 52" xfId="10331"/>
    <cellStyle name="Normal 2 2 53" xfId="10332"/>
    <cellStyle name="Normal 2 2 54" xfId="10333"/>
    <cellStyle name="Normal 2 2 55" xfId="10334"/>
    <cellStyle name="Normal 2 2 56" xfId="10335"/>
    <cellStyle name="Normal 2 2 57" xfId="10336"/>
    <cellStyle name="Normal 2 2 58" xfId="10337"/>
    <cellStyle name="Normal 2 2 59" xfId="10338"/>
    <cellStyle name="Normal 2 2 6" xfId="10339"/>
    <cellStyle name="Normal 2 2 6 10" xfId="10340"/>
    <cellStyle name="Normal 2 2 6 11" xfId="10341"/>
    <cellStyle name="Normal 2 2 6 12" xfId="10342"/>
    <cellStyle name="Normal 2 2 6 13" xfId="10343"/>
    <cellStyle name="Normal 2 2 6 14" xfId="10344"/>
    <cellStyle name="Normal 2 2 6 15" xfId="10345"/>
    <cellStyle name="Normal 2 2 6 16" xfId="10346"/>
    <cellStyle name="Normal 2 2 6 17" xfId="10347"/>
    <cellStyle name="Normal 2 2 6 18" xfId="10348"/>
    <cellStyle name="Normal 2 2 6 19" xfId="10349"/>
    <cellStyle name="Normal 2 2 6 2" xfId="10350"/>
    <cellStyle name="Normal 2 2 6 20" xfId="10351"/>
    <cellStyle name="Normal 2 2 6 21" xfId="10352"/>
    <cellStyle name="Normal 2 2 6 22" xfId="10353"/>
    <cellStyle name="Normal 2 2 6 23" xfId="10354"/>
    <cellStyle name="Normal 2 2 6 24" xfId="10355"/>
    <cellStyle name="Normal 2 2 6 25" xfId="10356"/>
    <cellStyle name="Normal 2 2 6 26" xfId="10357"/>
    <cellStyle name="Normal 2 2 6 27" xfId="10358"/>
    <cellStyle name="Normal 2 2 6 28" xfId="10359"/>
    <cellStyle name="Normal 2 2 6 29" xfId="10360"/>
    <cellStyle name="Normal 2 2 6 3" xfId="10361"/>
    <cellStyle name="Normal 2 2 6 30" xfId="10362"/>
    <cellStyle name="Normal 2 2 6 31" xfId="10363"/>
    <cellStyle name="Normal 2 2 6 32" xfId="10364"/>
    <cellStyle name="Normal 2 2 6 33" xfId="10365"/>
    <cellStyle name="Normal 2 2 6 34" xfId="10366"/>
    <cellStyle name="Normal 2 2 6 35" xfId="10367"/>
    <cellStyle name="Normal 2 2 6 36" xfId="10368"/>
    <cellStyle name="Normal 2 2 6 37" xfId="10369"/>
    <cellStyle name="Normal 2 2 6 38" xfId="10370"/>
    <cellStyle name="Normal 2 2 6 39" xfId="10371"/>
    <cellStyle name="Normal 2 2 6 4" xfId="10372"/>
    <cellStyle name="Normal 2 2 6 40" xfId="10373"/>
    <cellStyle name="Normal 2 2 6 41" xfId="10374"/>
    <cellStyle name="Normal 2 2 6 42" xfId="10375"/>
    <cellStyle name="Normal 2 2 6 43" xfId="10376"/>
    <cellStyle name="Normal 2 2 6 44" xfId="10377"/>
    <cellStyle name="Normal 2 2 6 45" xfId="10378"/>
    <cellStyle name="Normal 2 2 6 46" xfId="10379"/>
    <cellStyle name="Normal 2 2 6 47" xfId="10380"/>
    <cellStyle name="Normal 2 2 6 48" xfId="10381"/>
    <cellStyle name="Normal 2 2 6 49" xfId="10382"/>
    <cellStyle name="Normal 2 2 6 5" xfId="10383"/>
    <cellStyle name="Normal 2 2 6 50" xfId="10384"/>
    <cellStyle name="Normal 2 2 6 51" xfId="10385"/>
    <cellStyle name="Normal 2 2 6 52" xfId="10386"/>
    <cellStyle name="Normal 2 2 6 53" xfId="10387"/>
    <cellStyle name="Normal 2 2 6 54" xfId="10388"/>
    <cellStyle name="Normal 2 2 6 55" xfId="10389"/>
    <cellStyle name="Normal 2 2 6 56" xfId="10390"/>
    <cellStyle name="Normal 2 2 6 57" xfId="10391"/>
    <cellStyle name="Normal 2 2 6 58" xfId="10392"/>
    <cellStyle name="Normal 2 2 6 59" xfId="10393"/>
    <cellStyle name="Normal 2 2 6 6" xfId="10394"/>
    <cellStyle name="Normal 2 2 6 60" xfId="10395"/>
    <cellStyle name="Normal 2 2 6 61" xfId="10396"/>
    <cellStyle name="Normal 2 2 6 62" xfId="10397"/>
    <cellStyle name="Normal 2 2 6 63" xfId="10398"/>
    <cellStyle name="Normal 2 2 6 64" xfId="10399"/>
    <cellStyle name="Normal 2 2 6 65" xfId="10400"/>
    <cellStyle name="Normal 2 2 6 66" xfId="10401"/>
    <cellStyle name="Normal 2 2 6 67" xfId="10402"/>
    <cellStyle name="Normal 2 2 6 68" xfId="10403"/>
    <cellStyle name="Normal 2 2 6 69" xfId="10404"/>
    <cellStyle name="Normal 2 2 6 7" xfId="10405"/>
    <cellStyle name="Normal 2 2 6 70" xfId="10406"/>
    <cellStyle name="Normal 2 2 6 71" xfId="10407"/>
    <cellStyle name="Normal 2 2 6 8" xfId="10408"/>
    <cellStyle name="Normal 2 2 6 9" xfId="10409"/>
    <cellStyle name="Normal 2 2 60" xfId="10410"/>
    <cellStyle name="Normal 2 2 61" xfId="10411"/>
    <cellStyle name="Normal 2 2 62" xfId="10412"/>
    <cellStyle name="Normal 2 2 63" xfId="10413"/>
    <cellStyle name="Normal 2 2 64" xfId="10414"/>
    <cellStyle name="Normal 2 2 65" xfId="10415"/>
    <cellStyle name="Normal 2 2 66" xfId="10416"/>
    <cellStyle name="Normal 2 2 67" xfId="10417"/>
    <cellStyle name="Normal 2 2 68" xfId="10418"/>
    <cellStyle name="Normal 2 2 69" xfId="10419"/>
    <cellStyle name="Normal 2 2 7" xfId="10420"/>
    <cellStyle name="Normal 2 2 70" xfId="10421"/>
    <cellStyle name="Normal 2 2 71" xfId="10422"/>
    <cellStyle name="Normal 2 2 72" xfId="10423"/>
    <cellStyle name="Normal 2 2 73" xfId="10424"/>
    <cellStyle name="Normal 2 2 74" xfId="10425"/>
    <cellStyle name="Normal 2 2 75" xfId="10426"/>
    <cellStyle name="Normal 2 2 76" xfId="10427"/>
    <cellStyle name="Normal 2 2 77" xfId="10428"/>
    <cellStyle name="Normal 2 2 78" xfId="10429"/>
    <cellStyle name="Normal 2 2 79" xfId="10430"/>
    <cellStyle name="Normal 2 2 8" xfId="10431"/>
    <cellStyle name="Normal 2 2 80" xfId="10432"/>
    <cellStyle name="Normal 2 2 81" xfId="10433"/>
    <cellStyle name="Normal 2 2 82" xfId="10434"/>
    <cellStyle name="Normal 2 2 83" xfId="10435"/>
    <cellStyle name="Normal 2 2 84" xfId="10436"/>
    <cellStyle name="Normal 2 2 85" xfId="10437"/>
    <cellStyle name="Normal 2 2 86" xfId="10438"/>
    <cellStyle name="Normal 2 2 87" xfId="10439"/>
    <cellStyle name="Normal 2 2 9" xfId="10440"/>
    <cellStyle name="Normal 2 2_Cultura y Tiempo libre 2011 base 2012 PGM - EMV  2013" xfId="10441"/>
    <cellStyle name="Normal 2 20" xfId="10442"/>
    <cellStyle name="Normal 2 20 10" xfId="10443"/>
    <cellStyle name="Normal 2 20 11" xfId="10444"/>
    <cellStyle name="Normal 2 20 12" xfId="10445"/>
    <cellStyle name="Normal 2 20 13" xfId="10446"/>
    <cellStyle name="Normal 2 20 2" xfId="10447"/>
    <cellStyle name="Normal 2 20 3" xfId="10448"/>
    <cellStyle name="Normal 2 20 4" xfId="10449"/>
    <cellStyle name="Normal 2 20 5" xfId="10450"/>
    <cellStyle name="Normal 2 20 6" xfId="10451"/>
    <cellStyle name="Normal 2 20 7" xfId="10452"/>
    <cellStyle name="Normal 2 20 8" xfId="10453"/>
    <cellStyle name="Normal 2 20 9" xfId="10454"/>
    <cellStyle name="Normal 2 21" xfId="10455"/>
    <cellStyle name="Normal 2 21 10" xfId="10456"/>
    <cellStyle name="Normal 2 21 11" xfId="10457"/>
    <cellStyle name="Normal 2 21 12" xfId="10458"/>
    <cellStyle name="Normal 2 21 13" xfId="10459"/>
    <cellStyle name="Normal 2 21 2" xfId="10460"/>
    <cellStyle name="Normal 2 21 3" xfId="10461"/>
    <cellStyle name="Normal 2 21 4" xfId="10462"/>
    <cellStyle name="Normal 2 21 5" xfId="10463"/>
    <cellStyle name="Normal 2 21 6" xfId="10464"/>
    <cellStyle name="Normal 2 21 7" xfId="10465"/>
    <cellStyle name="Normal 2 21 8" xfId="10466"/>
    <cellStyle name="Normal 2 21 9" xfId="10467"/>
    <cellStyle name="Normal 2 22" xfId="10468"/>
    <cellStyle name="Normal 2 22 10" xfId="10469"/>
    <cellStyle name="Normal 2 22 11" xfId="10470"/>
    <cellStyle name="Normal 2 22 12" xfId="10471"/>
    <cellStyle name="Normal 2 22 13" xfId="10472"/>
    <cellStyle name="Normal 2 22 2" xfId="10473"/>
    <cellStyle name="Normal 2 22 3" xfId="10474"/>
    <cellStyle name="Normal 2 22 4" xfId="10475"/>
    <cellStyle name="Normal 2 22 5" xfId="10476"/>
    <cellStyle name="Normal 2 22 6" xfId="10477"/>
    <cellStyle name="Normal 2 22 7" xfId="10478"/>
    <cellStyle name="Normal 2 22 8" xfId="10479"/>
    <cellStyle name="Normal 2 22 9" xfId="10480"/>
    <cellStyle name="Normal 2 23" xfId="10481"/>
    <cellStyle name="Normal 2 23 10" xfId="10482"/>
    <cellStyle name="Normal 2 23 11" xfId="10483"/>
    <cellStyle name="Normal 2 23 12" xfId="10484"/>
    <cellStyle name="Normal 2 23 13" xfId="10485"/>
    <cellStyle name="Normal 2 23 2" xfId="10486"/>
    <cellStyle name="Normal 2 23 3" xfId="10487"/>
    <cellStyle name="Normal 2 23 4" xfId="10488"/>
    <cellStyle name="Normal 2 23 5" xfId="10489"/>
    <cellStyle name="Normal 2 23 6" xfId="10490"/>
    <cellStyle name="Normal 2 23 7" xfId="10491"/>
    <cellStyle name="Normal 2 23 8" xfId="10492"/>
    <cellStyle name="Normal 2 23 9" xfId="10493"/>
    <cellStyle name="Normal 2 24" xfId="10494"/>
    <cellStyle name="Normal 2 24 10" xfId="10495"/>
    <cellStyle name="Normal 2 24 11" xfId="10496"/>
    <cellStyle name="Normal 2 24 12" xfId="10497"/>
    <cellStyle name="Normal 2 24 13" xfId="10498"/>
    <cellStyle name="Normal 2 24 2" xfId="10499"/>
    <cellStyle name="Normal 2 24 3" xfId="10500"/>
    <cellStyle name="Normal 2 24 4" xfId="10501"/>
    <cellStyle name="Normal 2 24 5" xfId="10502"/>
    <cellStyle name="Normal 2 24 6" xfId="10503"/>
    <cellStyle name="Normal 2 24 7" xfId="10504"/>
    <cellStyle name="Normal 2 24 8" xfId="10505"/>
    <cellStyle name="Normal 2 24 9" xfId="10506"/>
    <cellStyle name="Normal 2 25" xfId="10507"/>
    <cellStyle name="Normal 2 25 10" xfId="10508"/>
    <cellStyle name="Normal 2 25 11" xfId="10509"/>
    <cellStyle name="Normal 2 25 12" xfId="10510"/>
    <cellStyle name="Normal 2 25 13" xfId="10511"/>
    <cellStyle name="Normal 2 25 2" xfId="10512"/>
    <cellStyle name="Normal 2 25 3" xfId="10513"/>
    <cellStyle name="Normal 2 25 4" xfId="10514"/>
    <cellStyle name="Normal 2 25 5" xfId="10515"/>
    <cellStyle name="Normal 2 25 6" xfId="10516"/>
    <cellStyle name="Normal 2 25 7" xfId="10517"/>
    <cellStyle name="Normal 2 25 8" xfId="10518"/>
    <cellStyle name="Normal 2 25 9" xfId="10519"/>
    <cellStyle name="Normal 2 26" xfId="10520"/>
    <cellStyle name="Normal 2 26 10" xfId="10521"/>
    <cellStyle name="Normal 2 26 11" xfId="10522"/>
    <cellStyle name="Normal 2 26 12" xfId="10523"/>
    <cellStyle name="Normal 2 26 13" xfId="10524"/>
    <cellStyle name="Normal 2 26 2" xfId="10525"/>
    <cellStyle name="Normal 2 26 3" xfId="10526"/>
    <cellStyle name="Normal 2 26 4" xfId="10527"/>
    <cellStyle name="Normal 2 26 5" xfId="10528"/>
    <cellStyle name="Normal 2 26 6" xfId="10529"/>
    <cellStyle name="Normal 2 26 7" xfId="10530"/>
    <cellStyle name="Normal 2 26 8" xfId="10531"/>
    <cellStyle name="Normal 2 26 9" xfId="10532"/>
    <cellStyle name="Normal 2 27" xfId="10533"/>
    <cellStyle name="Normal 2 27 10" xfId="10534"/>
    <cellStyle name="Normal 2 27 11" xfId="10535"/>
    <cellStyle name="Normal 2 27 12" xfId="10536"/>
    <cellStyle name="Normal 2 27 13" xfId="10537"/>
    <cellStyle name="Normal 2 27 2" xfId="10538"/>
    <cellStyle name="Normal 2 27 3" xfId="10539"/>
    <cellStyle name="Normal 2 27 4" xfId="10540"/>
    <cellStyle name="Normal 2 27 5" xfId="10541"/>
    <cellStyle name="Normal 2 27 6" xfId="10542"/>
    <cellStyle name="Normal 2 27 7" xfId="10543"/>
    <cellStyle name="Normal 2 27 8" xfId="10544"/>
    <cellStyle name="Normal 2 27 9" xfId="10545"/>
    <cellStyle name="Normal 2 28" xfId="10546"/>
    <cellStyle name="Normal 2 28 10" xfId="10547"/>
    <cellStyle name="Normal 2 28 11" xfId="10548"/>
    <cellStyle name="Normal 2 28 12" xfId="10549"/>
    <cellStyle name="Normal 2 28 13" xfId="10550"/>
    <cellStyle name="Normal 2 28 2" xfId="10551"/>
    <cellStyle name="Normal 2 28 3" xfId="10552"/>
    <cellStyle name="Normal 2 28 4" xfId="10553"/>
    <cellStyle name="Normal 2 28 5" xfId="10554"/>
    <cellStyle name="Normal 2 28 6" xfId="10555"/>
    <cellStyle name="Normal 2 28 7" xfId="10556"/>
    <cellStyle name="Normal 2 28 8" xfId="10557"/>
    <cellStyle name="Normal 2 28 9" xfId="10558"/>
    <cellStyle name="Normal 2 29" xfId="10559"/>
    <cellStyle name="Normal 2 29 10" xfId="10560"/>
    <cellStyle name="Normal 2 29 11" xfId="10561"/>
    <cellStyle name="Normal 2 29 12" xfId="10562"/>
    <cellStyle name="Normal 2 29 13" xfId="10563"/>
    <cellStyle name="Normal 2 29 2" xfId="10564"/>
    <cellStyle name="Normal 2 29 3" xfId="10565"/>
    <cellStyle name="Normal 2 29 4" xfId="10566"/>
    <cellStyle name="Normal 2 29 5" xfId="10567"/>
    <cellStyle name="Normal 2 29 6" xfId="10568"/>
    <cellStyle name="Normal 2 29 7" xfId="10569"/>
    <cellStyle name="Normal 2 29 8" xfId="10570"/>
    <cellStyle name="Normal 2 29 9" xfId="10571"/>
    <cellStyle name="Normal 2 3" xfId="15"/>
    <cellStyle name="Normal 2 3 10" xfId="10572"/>
    <cellStyle name="Normal 2 3 11" xfId="10573"/>
    <cellStyle name="Normal 2 3 12" xfId="10574"/>
    <cellStyle name="Normal 2 3 13" xfId="10575"/>
    <cellStyle name="Normal 2 3 14" xfId="10576"/>
    <cellStyle name="Normal 2 3 15" xfId="10577"/>
    <cellStyle name="Normal 2 3 16" xfId="10578"/>
    <cellStyle name="Normal 2 3 17" xfId="10579"/>
    <cellStyle name="Normal 2 3 18" xfId="10580"/>
    <cellStyle name="Normal 2 3 19" xfId="10581"/>
    <cellStyle name="Normal 2 3 2" xfId="10582"/>
    <cellStyle name="Normal 2 3 2 10" xfId="10583"/>
    <cellStyle name="Normal 2 3 2 11" xfId="10584"/>
    <cellStyle name="Normal 2 3 2 12" xfId="10585"/>
    <cellStyle name="Normal 2 3 2 13" xfId="10586"/>
    <cellStyle name="Normal 2 3 2 14" xfId="10587"/>
    <cellStyle name="Normal 2 3 2 15" xfId="10588"/>
    <cellStyle name="Normal 2 3 2 16" xfId="10589"/>
    <cellStyle name="Normal 2 3 2 17" xfId="10590"/>
    <cellStyle name="Normal 2 3 2 18" xfId="10591"/>
    <cellStyle name="Normal 2 3 2 19" xfId="10592"/>
    <cellStyle name="Normal 2 3 2 2" xfId="10593"/>
    <cellStyle name="Normal 2 3 2 20" xfId="10594"/>
    <cellStyle name="Normal 2 3 2 21" xfId="10595"/>
    <cellStyle name="Normal 2 3 2 22" xfId="10596"/>
    <cellStyle name="Normal 2 3 2 23" xfId="10597"/>
    <cellStyle name="Normal 2 3 2 24" xfId="10598"/>
    <cellStyle name="Normal 2 3 2 25" xfId="10599"/>
    <cellStyle name="Normal 2 3 2 26" xfId="10600"/>
    <cellStyle name="Normal 2 3 2 27" xfId="10601"/>
    <cellStyle name="Normal 2 3 2 28" xfId="10602"/>
    <cellStyle name="Normal 2 3 2 29" xfId="10603"/>
    <cellStyle name="Normal 2 3 2 3" xfId="10604"/>
    <cellStyle name="Normal 2 3 2 30" xfId="10605"/>
    <cellStyle name="Normal 2 3 2 31" xfId="10606"/>
    <cellStyle name="Normal 2 3 2 32" xfId="10607"/>
    <cellStyle name="Normal 2 3 2 33" xfId="10608"/>
    <cellStyle name="Normal 2 3 2 34" xfId="10609"/>
    <cellStyle name="Normal 2 3 2 35" xfId="10610"/>
    <cellStyle name="Normal 2 3 2 36" xfId="10611"/>
    <cellStyle name="Normal 2 3 2 37" xfId="10612"/>
    <cellStyle name="Normal 2 3 2 38" xfId="10613"/>
    <cellStyle name="Normal 2 3 2 39" xfId="10614"/>
    <cellStyle name="Normal 2 3 2 4" xfId="10615"/>
    <cellStyle name="Normal 2 3 2 40" xfId="10616"/>
    <cellStyle name="Normal 2 3 2 41" xfId="10617"/>
    <cellStyle name="Normal 2 3 2 42" xfId="10618"/>
    <cellStyle name="Normal 2 3 2 43" xfId="10619"/>
    <cellStyle name="Normal 2 3 2 44" xfId="10620"/>
    <cellStyle name="Normal 2 3 2 45" xfId="10621"/>
    <cellStyle name="Normal 2 3 2 46" xfId="10622"/>
    <cellStyle name="Normal 2 3 2 47" xfId="10623"/>
    <cellStyle name="Normal 2 3 2 48" xfId="10624"/>
    <cellStyle name="Normal 2 3 2 49" xfId="10625"/>
    <cellStyle name="Normal 2 3 2 5" xfId="10626"/>
    <cellStyle name="Normal 2 3 2 50" xfId="10627"/>
    <cellStyle name="Normal 2 3 2 51" xfId="10628"/>
    <cellStyle name="Normal 2 3 2 52" xfId="10629"/>
    <cellStyle name="Normal 2 3 2 53" xfId="10630"/>
    <cellStyle name="Normal 2 3 2 54" xfId="10631"/>
    <cellStyle name="Normal 2 3 2 55" xfId="10632"/>
    <cellStyle name="Normal 2 3 2 56" xfId="10633"/>
    <cellStyle name="Normal 2 3 2 57" xfId="10634"/>
    <cellStyle name="Normal 2 3 2 58" xfId="10635"/>
    <cellStyle name="Normal 2 3 2 59" xfId="10636"/>
    <cellStyle name="Normal 2 3 2 6" xfId="10637"/>
    <cellStyle name="Normal 2 3 2 60" xfId="10638"/>
    <cellStyle name="Normal 2 3 2 61" xfId="10639"/>
    <cellStyle name="Normal 2 3 2 62" xfId="10640"/>
    <cellStyle name="Normal 2 3 2 63" xfId="10641"/>
    <cellStyle name="Normal 2 3 2 64" xfId="10642"/>
    <cellStyle name="Normal 2 3 2 65" xfId="10643"/>
    <cellStyle name="Normal 2 3 2 66" xfId="10644"/>
    <cellStyle name="Normal 2 3 2 67" xfId="10645"/>
    <cellStyle name="Normal 2 3 2 68" xfId="10646"/>
    <cellStyle name="Normal 2 3 2 69" xfId="10647"/>
    <cellStyle name="Normal 2 3 2 7" xfId="10648"/>
    <cellStyle name="Normal 2 3 2 70" xfId="10649"/>
    <cellStyle name="Normal 2 3 2 71" xfId="10650"/>
    <cellStyle name="Normal 2 3 2 72" xfId="10651"/>
    <cellStyle name="Normal 2 3 2 73" xfId="10652"/>
    <cellStyle name="Normal 2 3 2 74" xfId="10653"/>
    <cellStyle name="Normal 2 3 2 75" xfId="10654"/>
    <cellStyle name="Normal 2 3 2 76" xfId="10655"/>
    <cellStyle name="Normal 2 3 2 77" xfId="10656"/>
    <cellStyle name="Normal 2 3 2 78" xfId="10657"/>
    <cellStyle name="Normal 2 3 2 79" xfId="10658"/>
    <cellStyle name="Normal 2 3 2 8" xfId="10659"/>
    <cellStyle name="Normal 2 3 2 80" xfId="10660"/>
    <cellStyle name="Normal 2 3 2 81" xfId="10661"/>
    <cellStyle name="Normal 2 3 2 82" xfId="10662"/>
    <cellStyle name="Normal 2 3 2 83" xfId="10663"/>
    <cellStyle name="Normal 2 3 2 9" xfId="10664"/>
    <cellStyle name="Normal 2 3 20" xfId="10665"/>
    <cellStyle name="Normal 2 3 21" xfId="10666"/>
    <cellStyle name="Normal 2 3 22" xfId="10667"/>
    <cellStyle name="Normal 2 3 23" xfId="10668"/>
    <cellStyle name="Normal 2 3 24" xfId="10669"/>
    <cellStyle name="Normal 2 3 25" xfId="10670"/>
    <cellStyle name="Normal 2 3 26" xfId="10671"/>
    <cellStyle name="Normal 2 3 27" xfId="10672"/>
    <cellStyle name="Normal 2 3 28" xfId="10673"/>
    <cellStyle name="Normal 2 3 29" xfId="10674"/>
    <cellStyle name="Normal 2 3 3" xfId="10675"/>
    <cellStyle name="Normal 2 3 3 10" xfId="10676"/>
    <cellStyle name="Normal 2 3 3 11" xfId="10677"/>
    <cellStyle name="Normal 2 3 3 12" xfId="10678"/>
    <cellStyle name="Normal 2 3 3 13" xfId="10679"/>
    <cellStyle name="Normal 2 3 3 14" xfId="10680"/>
    <cellStyle name="Normal 2 3 3 15" xfId="10681"/>
    <cellStyle name="Normal 2 3 3 16" xfId="10682"/>
    <cellStyle name="Normal 2 3 3 17" xfId="10683"/>
    <cellStyle name="Normal 2 3 3 18" xfId="10684"/>
    <cellStyle name="Normal 2 3 3 19" xfId="10685"/>
    <cellStyle name="Normal 2 3 3 2" xfId="10686"/>
    <cellStyle name="Normal 2 3 3 20" xfId="10687"/>
    <cellStyle name="Normal 2 3 3 21" xfId="10688"/>
    <cellStyle name="Normal 2 3 3 22" xfId="10689"/>
    <cellStyle name="Normal 2 3 3 23" xfId="10690"/>
    <cellStyle name="Normal 2 3 3 24" xfId="10691"/>
    <cellStyle name="Normal 2 3 3 25" xfId="10692"/>
    <cellStyle name="Normal 2 3 3 26" xfId="10693"/>
    <cellStyle name="Normal 2 3 3 27" xfId="10694"/>
    <cellStyle name="Normal 2 3 3 28" xfId="10695"/>
    <cellStyle name="Normal 2 3 3 29" xfId="10696"/>
    <cellStyle name="Normal 2 3 3 3" xfId="10697"/>
    <cellStyle name="Normal 2 3 3 30" xfId="10698"/>
    <cellStyle name="Normal 2 3 3 31" xfId="10699"/>
    <cellStyle name="Normal 2 3 3 32" xfId="10700"/>
    <cellStyle name="Normal 2 3 3 33" xfId="10701"/>
    <cellStyle name="Normal 2 3 3 34" xfId="10702"/>
    <cellStyle name="Normal 2 3 3 35" xfId="10703"/>
    <cellStyle name="Normal 2 3 3 36" xfId="10704"/>
    <cellStyle name="Normal 2 3 3 37" xfId="10705"/>
    <cellStyle name="Normal 2 3 3 38" xfId="10706"/>
    <cellStyle name="Normal 2 3 3 39" xfId="10707"/>
    <cellStyle name="Normal 2 3 3 4" xfId="10708"/>
    <cellStyle name="Normal 2 3 3 40" xfId="10709"/>
    <cellStyle name="Normal 2 3 3 41" xfId="10710"/>
    <cellStyle name="Normal 2 3 3 42" xfId="10711"/>
    <cellStyle name="Normal 2 3 3 43" xfId="10712"/>
    <cellStyle name="Normal 2 3 3 44" xfId="10713"/>
    <cellStyle name="Normal 2 3 3 45" xfId="10714"/>
    <cellStyle name="Normal 2 3 3 46" xfId="10715"/>
    <cellStyle name="Normal 2 3 3 47" xfId="10716"/>
    <cellStyle name="Normal 2 3 3 48" xfId="10717"/>
    <cellStyle name="Normal 2 3 3 49" xfId="10718"/>
    <cellStyle name="Normal 2 3 3 5" xfId="10719"/>
    <cellStyle name="Normal 2 3 3 50" xfId="10720"/>
    <cellStyle name="Normal 2 3 3 51" xfId="10721"/>
    <cellStyle name="Normal 2 3 3 52" xfId="10722"/>
    <cellStyle name="Normal 2 3 3 53" xfId="10723"/>
    <cellStyle name="Normal 2 3 3 54" xfId="10724"/>
    <cellStyle name="Normal 2 3 3 55" xfId="10725"/>
    <cellStyle name="Normal 2 3 3 56" xfId="10726"/>
    <cellStyle name="Normal 2 3 3 57" xfId="10727"/>
    <cellStyle name="Normal 2 3 3 58" xfId="10728"/>
    <cellStyle name="Normal 2 3 3 59" xfId="10729"/>
    <cellStyle name="Normal 2 3 3 6" xfId="10730"/>
    <cellStyle name="Normal 2 3 3 60" xfId="10731"/>
    <cellStyle name="Normal 2 3 3 61" xfId="10732"/>
    <cellStyle name="Normal 2 3 3 62" xfId="10733"/>
    <cellStyle name="Normal 2 3 3 63" xfId="10734"/>
    <cellStyle name="Normal 2 3 3 64" xfId="10735"/>
    <cellStyle name="Normal 2 3 3 65" xfId="10736"/>
    <cellStyle name="Normal 2 3 3 66" xfId="10737"/>
    <cellStyle name="Normal 2 3 3 67" xfId="10738"/>
    <cellStyle name="Normal 2 3 3 68" xfId="10739"/>
    <cellStyle name="Normal 2 3 3 69" xfId="10740"/>
    <cellStyle name="Normal 2 3 3 7" xfId="10741"/>
    <cellStyle name="Normal 2 3 3 70" xfId="10742"/>
    <cellStyle name="Normal 2 3 3 71" xfId="10743"/>
    <cellStyle name="Normal 2 3 3 72" xfId="10744"/>
    <cellStyle name="Normal 2 3 3 73" xfId="10745"/>
    <cellStyle name="Normal 2 3 3 74" xfId="10746"/>
    <cellStyle name="Normal 2 3 3 75" xfId="10747"/>
    <cellStyle name="Normal 2 3 3 76" xfId="10748"/>
    <cellStyle name="Normal 2 3 3 77" xfId="10749"/>
    <cellStyle name="Normal 2 3 3 78" xfId="10750"/>
    <cellStyle name="Normal 2 3 3 79" xfId="10751"/>
    <cellStyle name="Normal 2 3 3 8" xfId="10752"/>
    <cellStyle name="Normal 2 3 3 80" xfId="10753"/>
    <cellStyle name="Normal 2 3 3 81" xfId="10754"/>
    <cellStyle name="Normal 2 3 3 82" xfId="10755"/>
    <cellStyle name="Normal 2 3 3 83" xfId="10756"/>
    <cellStyle name="Normal 2 3 3 9" xfId="10757"/>
    <cellStyle name="Normal 2 3 30" xfId="10758"/>
    <cellStyle name="Normal 2 3 31" xfId="10759"/>
    <cellStyle name="Normal 2 3 32" xfId="10760"/>
    <cellStyle name="Normal 2 3 33" xfId="10761"/>
    <cellStyle name="Normal 2 3 34" xfId="10762"/>
    <cellStyle name="Normal 2 3 35" xfId="10763"/>
    <cellStyle name="Normal 2 3 36" xfId="10764"/>
    <cellStyle name="Normal 2 3 37" xfId="10765"/>
    <cellStyle name="Normal 2 3 38" xfId="10766"/>
    <cellStyle name="Normal 2 3 39" xfId="10767"/>
    <cellStyle name="Normal 2 3 4" xfId="10768"/>
    <cellStyle name="Normal 2 3 4 10" xfId="10769"/>
    <cellStyle name="Normal 2 3 4 11" xfId="10770"/>
    <cellStyle name="Normal 2 3 4 12" xfId="10771"/>
    <cellStyle name="Normal 2 3 4 13" xfId="10772"/>
    <cellStyle name="Normal 2 3 4 14" xfId="10773"/>
    <cellStyle name="Normal 2 3 4 15" xfId="10774"/>
    <cellStyle name="Normal 2 3 4 16" xfId="10775"/>
    <cellStyle name="Normal 2 3 4 17" xfId="10776"/>
    <cellStyle name="Normal 2 3 4 18" xfId="10777"/>
    <cellStyle name="Normal 2 3 4 19" xfId="10778"/>
    <cellStyle name="Normal 2 3 4 2" xfId="10779"/>
    <cellStyle name="Normal 2 3 4 20" xfId="10780"/>
    <cellStyle name="Normal 2 3 4 21" xfId="10781"/>
    <cellStyle name="Normal 2 3 4 22" xfId="10782"/>
    <cellStyle name="Normal 2 3 4 23" xfId="10783"/>
    <cellStyle name="Normal 2 3 4 24" xfId="10784"/>
    <cellStyle name="Normal 2 3 4 25" xfId="10785"/>
    <cellStyle name="Normal 2 3 4 26" xfId="10786"/>
    <cellStyle name="Normal 2 3 4 27" xfId="10787"/>
    <cellStyle name="Normal 2 3 4 28" xfId="10788"/>
    <cellStyle name="Normal 2 3 4 29" xfId="10789"/>
    <cellStyle name="Normal 2 3 4 3" xfId="10790"/>
    <cellStyle name="Normal 2 3 4 30" xfId="10791"/>
    <cellStyle name="Normal 2 3 4 31" xfId="10792"/>
    <cellStyle name="Normal 2 3 4 32" xfId="10793"/>
    <cellStyle name="Normal 2 3 4 33" xfId="10794"/>
    <cellStyle name="Normal 2 3 4 34" xfId="10795"/>
    <cellStyle name="Normal 2 3 4 35" xfId="10796"/>
    <cellStyle name="Normal 2 3 4 36" xfId="10797"/>
    <cellStyle name="Normal 2 3 4 37" xfId="10798"/>
    <cellStyle name="Normal 2 3 4 38" xfId="10799"/>
    <cellStyle name="Normal 2 3 4 39" xfId="10800"/>
    <cellStyle name="Normal 2 3 4 4" xfId="10801"/>
    <cellStyle name="Normal 2 3 4 40" xfId="10802"/>
    <cellStyle name="Normal 2 3 4 41" xfId="10803"/>
    <cellStyle name="Normal 2 3 4 42" xfId="10804"/>
    <cellStyle name="Normal 2 3 4 43" xfId="10805"/>
    <cellStyle name="Normal 2 3 4 44" xfId="10806"/>
    <cellStyle name="Normal 2 3 4 45" xfId="10807"/>
    <cellStyle name="Normal 2 3 4 46" xfId="10808"/>
    <cellStyle name="Normal 2 3 4 47" xfId="10809"/>
    <cellStyle name="Normal 2 3 4 48" xfId="10810"/>
    <cellStyle name="Normal 2 3 4 49" xfId="10811"/>
    <cellStyle name="Normal 2 3 4 5" xfId="10812"/>
    <cellStyle name="Normal 2 3 4 50" xfId="10813"/>
    <cellStyle name="Normal 2 3 4 51" xfId="10814"/>
    <cellStyle name="Normal 2 3 4 52" xfId="10815"/>
    <cellStyle name="Normal 2 3 4 53" xfId="10816"/>
    <cellStyle name="Normal 2 3 4 54" xfId="10817"/>
    <cellStyle name="Normal 2 3 4 55" xfId="10818"/>
    <cellStyle name="Normal 2 3 4 56" xfId="10819"/>
    <cellStyle name="Normal 2 3 4 57" xfId="10820"/>
    <cellStyle name="Normal 2 3 4 58" xfId="10821"/>
    <cellStyle name="Normal 2 3 4 59" xfId="10822"/>
    <cellStyle name="Normal 2 3 4 6" xfId="10823"/>
    <cellStyle name="Normal 2 3 4 60" xfId="10824"/>
    <cellStyle name="Normal 2 3 4 61" xfId="10825"/>
    <cellStyle name="Normal 2 3 4 62" xfId="10826"/>
    <cellStyle name="Normal 2 3 4 63" xfId="10827"/>
    <cellStyle name="Normal 2 3 4 64" xfId="10828"/>
    <cellStyle name="Normal 2 3 4 65" xfId="10829"/>
    <cellStyle name="Normal 2 3 4 66" xfId="10830"/>
    <cellStyle name="Normal 2 3 4 67" xfId="10831"/>
    <cellStyle name="Normal 2 3 4 68" xfId="10832"/>
    <cellStyle name="Normal 2 3 4 69" xfId="10833"/>
    <cellStyle name="Normal 2 3 4 7" xfId="10834"/>
    <cellStyle name="Normal 2 3 4 70" xfId="10835"/>
    <cellStyle name="Normal 2 3 4 71" xfId="10836"/>
    <cellStyle name="Normal 2 3 4 72" xfId="10837"/>
    <cellStyle name="Normal 2 3 4 73" xfId="10838"/>
    <cellStyle name="Normal 2 3 4 74" xfId="10839"/>
    <cellStyle name="Normal 2 3 4 75" xfId="10840"/>
    <cellStyle name="Normal 2 3 4 76" xfId="10841"/>
    <cellStyle name="Normal 2 3 4 77" xfId="10842"/>
    <cellStyle name="Normal 2 3 4 78" xfId="10843"/>
    <cellStyle name="Normal 2 3 4 79" xfId="10844"/>
    <cellStyle name="Normal 2 3 4 8" xfId="10845"/>
    <cellStyle name="Normal 2 3 4 80" xfId="10846"/>
    <cellStyle name="Normal 2 3 4 81" xfId="10847"/>
    <cellStyle name="Normal 2 3 4 82" xfId="10848"/>
    <cellStyle name="Normal 2 3 4 83" xfId="10849"/>
    <cellStyle name="Normal 2 3 4 9" xfId="10850"/>
    <cellStyle name="Normal 2 3 40" xfId="10851"/>
    <cellStyle name="Normal 2 3 41" xfId="10852"/>
    <cellStyle name="Normal 2 3 42" xfId="10853"/>
    <cellStyle name="Normal 2 3 43" xfId="10854"/>
    <cellStyle name="Normal 2 3 44" xfId="10855"/>
    <cellStyle name="Normal 2 3 45" xfId="10856"/>
    <cellStyle name="Normal 2 3 46" xfId="10857"/>
    <cellStyle name="Normal 2 3 47" xfId="10858"/>
    <cellStyle name="Normal 2 3 48" xfId="10859"/>
    <cellStyle name="Normal 2 3 49" xfId="10860"/>
    <cellStyle name="Normal 2 3 5" xfId="10861"/>
    <cellStyle name="Normal 2 3 5 10" xfId="10862"/>
    <cellStyle name="Normal 2 3 5 11" xfId="10863"/>
    <cellStyle name="Normal 2 3 5 12" xfId="10864"/>
    <cellStyle name="Normal 2 3 5 13" xfId="10865"/>
    <cellStyle name="Normal 2 3 5 14" xfId="10866"/>
    <cellStyle name="Normal 2 3 5 15" xfId="10867"/>
    <cellStyle name="Normal 2 3 5 16" xfId="10868"/>
    <cellStyle name="Normal 2 3 5 17" xfId="10869"/>
    <cellStyle name="Normal 2 3 5 18" xfId="10870"/>
    <cellStyle name="Normal 2 3 5 19" xfId="10871"/>
    <cellStyle name="Normal 2 3 5 2" xfId="10872"/>
    <cellStyle name="Normal 2 3 5 20" xfId="10873"/>
    <cellStyle name="Normal 2 3 5 21" xfId="10874"/>
    <cellStyle name="Normal 2 3 5 22" xfId="10875"/>
    <cellStyle name="Normal 2 3 5 23" xfId="10876"/>
    <cellStyle name="Normal 2 3 5 24" xfId="10877"/>
    <cellStyle name="Normal 2 3 5 25" xfId="10878"/>
    <cellStyle name="Normal 2 3 5 26" xfId="10879"/>
    <cellStyle name="Normal 2 3 5 27" xfId="10880"/>
    <cellStyle name="Normal 2 3 5 28" xfId="10881"/>
    <cellStyle name="Normal 2 3 5 29" xfId="10882"/>
    <cellStyle name="Normal 2 3 5 3" xfId="10883"/>
    <cellStyle name="Normal 2 3 5 30" xfId="10884"/>
    <cellStyle name="Normal 2 3 5 31" xfId="10885"/>
    <cellStyle name="Normal 2 3 5 32" xfId="10886"/>
    <cellStyle name="Normal 2 3 5 33" xfId="10887"/>
    <cellStyle name="Normal 2 3 5 34" xfId="10888"/>
    <cellStyle name="Normal 2 3 5 35" xfId="10889"/>
    <cellStyle name="Normal 2 3 5 36" xfId="10890"/>
    <cellStyle name="Normal 2 3 5 37" xfId="10891"/>
    <cellStyle name="Normal 2 3 5 38" xfId="10892"/>
    <cellStyle name="Normal 2 3 5 39" xfId="10893"/>
    <cellStyle name="Normal 2 3 5 4" xfId="10894"/>
    <cellStyle name="Normal 2 3 5 40" xfId="10895"/>
    <cellStyle name="Normal 2 3 5 41" xfId="10896"/>
    <cellStyle name="Normal 2 3 5 42" xfId="10897"/>
    <cellStyle name="Normal 2 3 5 43" xfId="10898"/>
    <cellStyle name="Normal 2 3 5 44" xfId="10899"/>
    <cellStyle name="Normal 2 3 5 45" xfId="10900"/>
    <cellStyle name="Normal 2 3 5 46" xfId="10901"/>
    <cellStyle name="Normal 2 3 5 47" xfId="10902"/>
    <cellStyle name="Normal 2 3 5 48" xfId="10903"/>
    <cellStyle name="Normal 2 3 5 49" xfId="10904"/>
    <cellStyle name="Normal 2 3 5 5" xfId="10905"/>
    <cellStyle name="Normal 2 3 5 50" xfId="10906"/>
    <cellStyle name="Normal 2 3 5 51" xfId="10907"/>
    <cellStyle name="Normal 2 3 5 52" xfId="10908"/>
    <cellStyle name="Normal 2 3 5 53" xfId="10909"/>
    <cellStyle name="Normal 2 3 5 54" xfId="10910"/>
    <cellStyle name="Normal 2 3 5 55" xfId="10911"/>
    <cellStyle name="Normal 2 3 5 56" xfId="10912"/>
    <cellStyle name="Normal 2 3 5 57" xfId="10913"/>
    <cellStyle name="Normal 2 3 5 58" xfId="10914"/>
    <cellStyle name="Normal 2 3 5 59" xfId="10915"/>
    <cellStyle name="Normal 2 3 5 6" xfId="10916"/>
    <cellStyle name="Normal 2 3 5 60" xfId="10917"/>
    <cellStyle name="Normal 2 3 5 61" xfId="10918"/>
    <cellStyle name="Normal 2 3 5 62" xfId="10919"/>
    <cellStyle name="Normal 2 3 5 63" xfId="10920"/>
    <cellStyle name="Normal 2 3 5 64" xfId="10921"/>
    <cellStyle name="Normal 2 3 5 65" xfId="10922"/>
    <cellStyle name="Normal 2 3 5 66" xfId="10923"/>
    <cellStyle name="Normal 2 3 5 67" xfId="10924"/>
    <cellStyle name="Normal 2 3 5 68" xfId="10925"/>
    <cellStyle name="Normal 2 3 5 69" xfId="10926"/>
    <cellStyle name="Normal 2 3 5 7" xfId="10927"/>
    <cellStyle name="Normal 2 3 5 70" xfId="10928"/>
    <cellStyle name="Normal 2 3 5 71" xfId="10929"/>
    <cellStyle name="Normal 2 3 5 72" xfId="10930"/>
    <cellStyle name="Normal 2 3 5 73" xfId="10931"/>
    <cellStyle name="Normal 2 3 5 74" xfId="10932"/>
    <cellStyle name="Normal 2 3 5 75" xfId="10933"/>
    <cellStyle name="Normal 2 3 5 76" xfId="10934"/>
    <cellStyle name="Normal 2 3 5 77" xfId="10935"/>
    <cellStyle name="Normal 2 3 5 78" xfId="10936"/>
    <cellStyle name="Normal 2 3 5 79" xfId="10937"/>
    <cellStyle name="Normal 2 3 5 8" xfId="10938"/>
    <cellStyle name="Normal 2 3 5 80" xfId="10939"/>
    <cellStyle name="Normal 2 3 5 81" xfId="10940"/>
    <cellStyle name="Normal 2 3 5 82" xfId="10941"/>
    <cellStyle name="Normal 2 3 5 83" xfId="10942"/>
    <cellStyle name="Normal 2 3 5 9" xfId="10943"/>
    <cellStyle name="Normal 2 3 50" xfId="10944"/>
    <cellStyle name="Normal 2 3 51" xfId="10945"/>
    <cellStyle name="Normal 2 3 52" xfId="10946"/>
    <cellStyle name="Normal 2 3 53" xfId="10947"/>
    <cellStyle name="Normal 2 3 54" xfId="10948"/>
    <cellStyle name="Normal 2 3 55" xfId="10949"/>
    <cellStyle name="Normal 2 3 56" xfId="10950"/>
    <cellStyle name="Normal 2 3 57" xfId="10951"/>
    <cellStyle name="Normal 2 3 58" xfId="10952"/>
    <cellStyle name="Normal 2 3 59" xfId="10953"/>
    <cellStyle name="Normal 2 3 6" xfId="10954"/>
    <cellStyle name="Normal 2 3 60" xfId="10955"/>
    <cellStyle name="Normal 2 3 61" xfId="10956"/>
    <cellStyle name="Normal 2 3 62" xfId="10957"/>
    <cellStyle name="Normal 2 3 63" xfId="10958"/>
    <cellStyle name="Normal 2 3 64" xfId="10959"/>
    <cellStyle name="Normal 2 3 65" xfId="10960"/>
    <cellStyle name="Normal 2 3 66" xfId="10961"/>
    <cellStyle name="Normal 2 3 67" xfId="10962"/>
    <cellStyle name="Normal 2 3 68" xfId="10963"/>
    <cellStyle name="Normal 2 3 69" xfId="10964"/>
    <cellStyle name="Normal 2 3 7" xfId="10965"/>
    <cellStyle name="Normal 2 3 70" xfId="10966"/>
    <cellStyle name="Normal 2 3 71" xfId="10967"/>
    <cellStyle name="Normal 2 3 72" xfId="10968"/>
    <cellStyle name="Normal 2 3 73" xfId="10969"/>
    <cellStyle name="Normal 2 3 74" xfId="10970"/>
    <cellStyle name="Normal 2 3 75" xfId="10971"/>
    <cellStyle name="Normal 2 3 76" xfId="10972"/>
    <cellStyle name="Normal 2 3 77" xfId="10973"/>
    <cellStyle name="Normal 2 3 78" xfId="10974"/>
    <cellStyle name="Normal 2 3 79" xfId="10975"/>
    <cellStyle name="Normal 2 3 8" xfId="10976"/>
    <cellStyle name="Normal 2 3 80" xfId="10977"/>
    <cellStyle name="Normal 2 3 81" xfId="10978"/>
    <cellStyle name="Normal 2 3 82" xfId="10979"/>
    <cellStyle name="Normal 2 3 83" xfId="10980"/>
    <cellStyle name="Normal 2 3 84" xfId="10981"/>
    <cellStyle name="Normal 2 3 85" xfId="10982"/>
    <cellStyle name="Normal 2 3 86" xfId="10983"/>
    <cellStyle name="Normal 2 3 87" xfId="10984"/>
    <cellStyle name="Normal 2 3 9" xfId="10985"/>
    <cellStyle name="Normal 2 3_Cultura y Tiempo libre 2011 base 2012 PGM - EMV  2013" xfId="10986"/>
    <cellStyle name="Normal 2 30" xfId="10987"/>
    <cellStyle name="Normal 2 30 10" xfId="10988"/>
    <cellStyle name="Normal 2 30 11" xfId="10989"/>
    <cellStyle name="Normal 2 30 12" xfId="10990"/>
    <cellStyle name="Normal 2 30 13" xfId="10991"/>
    <cellStyle name="Normal 2 30 2" xfId="10992"/>
    <cellStyle name="Normal 2 30 3" xfId="10993"/>
    <cellStyle name="Normal 2 30 4" xfId="10994"/>
    <cellStyle name="Normal 2 30 5" xfId="10995"/>
    <cellStyle name="Normal 2 30 6" xfId="10996"/>
    <cellStyle name="Normal 2 30 7" xfId="10997"/>
    <cellStyle name="Normal 2 30 8" xfId="10998"/>
    <cellStyle name="Normal 2 30 9" xfId="10999"/>
    <cellStyle name="Normal 2 31" xfId="11000"/>
    <cellStyle name="Normal 2 31 10" xfId="11001"/>
    <cellStyle name="Normal 2 31 11" xfId="11002"/>
    <cellStyle name="Normal 2 31 12" xfId="11003"/>
    <cellStyle name="Normal 2 31 13" xfId="11004"/>
    <cellStyle name="Normal 2 31 2" xfId="11005"/>
    <cellStyle name="Normal 2 31 3" xfId="11006"/>
    <cellStyle name="Normal 2 31 4" xfId="11007"/>
    <cellStyle name="Normal 2 31 5" xfId="11008"/>
    <cellStyle name="Normal 2 31 6" xfId="11009"/>
    <cellStyle name="Normal 2 31 7" xfId="11010"/>
    <cellStyle name="Normal 2 31 8" xfId="11011"/>
    <cellStyle name="Normal 2 31 9" xfId="11012"/>
    <cellStyle name="Normal 2 32" xfId="11013"/>
    <cellStyle name="Normal 2 32 10" xfId="11014"/>
    <cellStyle name="Normal 2 32 11" xfId="11015"/>
    <cellStyle name="Normal 2 32 12" xfId="11016"/>
    <cellStyle name="Normal 2 32 13" xfId="11017"/>
    <cellStyle name="Normal 2 32 2" xfId="11018"/>
    <cellStyle name="Normal 2 32 3" xfId="11019"/>
    <cellStyle name="Normal 2 32 4" xfId="11020"/>
    <cellStyle name="Normal 2 32 5" xfId="11021"/>
    <cellStyle name="Normal 2 32 6" xfId="11022"/>
    <cellStyle name="Normal 2 32 7" xfId="11023"/>
    <cellStyle name="Normal 2 32 8" xfId="11024"/>
    <cellStyle name="Normal 2 32 9" xfId="11025"/>
    <cellStyle name="Normal 2 33" xfId="11026"/>
    <cellStyle name="Normal 2 34" xfId="11027"/>
    <cellStyle name="Normal 2 35" xfId="11028"/>
    <cellStyle name="Normal 2 36" xfId="11029"/>
    <cellStyle name="Normal 2 37" xfId="11030"/>
    <cellStyle name="Normal 2 38" xfId="11031"/>
    <cellStyle name="Normal 2 39" xfId="11032"/>
    <cellStyle name="Normal 2 4" xfId="11033"/>
    <cellStyle name="Normal 2 4 10" xfId="11034"/>
    <cellStyle name="Normal 2 4 11" xfId="11035"/>
    <cellStyle name="Normal 2 4 12" xfId="11036"/>
    <cellStyle name="Normal 2 4 13" xfId="11037"/>
    <cellStyle name="Normal 2 4 14" xfId="11038"/>
    <cellStyle name="Normal 2 4 15" xfId="11039"/>
    <cellStyle name="Normal 2 4 16" xfId="11040"/>
    <cellStyle name="Normal 2 4 17" xfId="11041"/>
    <cellStyle name="Normal 2 4 18" xfId="11042"/>
    <cellStyle name="Normal 2 4 19" xfId="11043"/>
    <cellStyle name="Normal 2 4 2" xfId="11044"/>
    <cellStyle name="Normal 2 4 2 10" xfId="11045"/>
    <cellStyle name="Normal 2 4 2 11" xfId="11046"/>
    <cellStyle name="Normal 2 4 2 12" xfId="11047"/>
    <cellStyle name="Normal 2 4 2 13" xfId="11048"/>
    <cellStyle name="Normal 2 4 2 14" xfId="11049"/>
    <cellStyle name="Normal 2 4 2 15" xfId="11050"/>
    <cellStyle name="Normal 2 4 2 16" xfId="11051"/>
    <cellStyle name="Normal 2 4 2 17" xfId="11052"/>
    <cellStyle name="Normal 2 4 2 18" xfId="11053"/>
    <cellStyle name="Normal 2 4 2 19" xfId="11054"/>
    <cellStyle name="Normal 2 4 2 2" xfId="11055"/>
    <cellStyle name="Normal 2 4 2 20" xfId="11056"/>
    <cellStyle name="Normal 2 4 2 21" xfId="11057"/>
    <cellStyle name="Normal 2 4 2 22" xfId="11058"/>
    <cellStyle name="Normal 2 4 2 23" xfId="11059"/>
    <cellStyle name="Normal 2 4 2 24" xfId="11060"/>
    <cellStyle name="Normal 2 4 2 25" xfId="11061"/>
    <cellStyle name="Normal 2 4 2 26" xfId="11062"/>
    <cellStyle name="Normal 2 4 2 27" xfId="11063"/>
    <cellStyle name="Normal 2 4 2 28" xfId="11064"/>
    <cellStyle name="Normal 2 4 2 29" xfId="11065"/>
    <cellStyle name="Normal 2 4 2 3" xfId="11066"/>
    <cellStyle name="Normal 2 4 2 30" xfId="11067"/>
    <cellStyle name="Normal 2 4 2 31" xfId="11068"/>
    <cellStyle name="Normal 2 4 2 32" xfId="11069"/>
    <cellStyle name="Normal 2 4 2 33" xfId="11070"/>
    <cellStyle name="Normal 2 4 2 34" xfId="11071"/>
    <cellStyle name="Normal 2 4 2 35" xfId="11072"/>
    <cellStyle name="Normal 2 4 2 36" xfId="11073"/>
    <cellStyle name="Normal 2 4 2 37" xfId="11074"/>
    <cellStyle name="Normal 2 4 2 38" xfId="11075"/>
    <cellStyle name="Normal 2 4 2 39" xfId="11076"/>
    <cellStyle name="Normal 2 4 2 4" xfId="11077"/>
    <cellStyle name="Normal 2 4 2 40" xfId="11078"/>
    <cellStyle name="Normal 2 4 2 41" xfId="11079"/>
    <cellStyle name="Normal 2 4 2 42" xfId="11080"/>
    <cellStyle name="Normal 2 4 2 43" xfId="11081"/>
    <cellStyle name="Normal 2 4 2 44" xfId="11082"/>
    <cellStyle name="Normal 2 4 2 45" xfId="11083"/>
    <cellStyle name="Normal 2 4 2 46" xfId="11084"/>
    <cellStyle name="Normal 2 4 2 47" xfId="11085"/>
    <cellStyle name="Normal 2 4 2 48" xfId="11086"/>
    <cellStyle name="Normal 2 4 2 49" xfId="11087"/>
    <cellStyle name="Normal 2 4 2 5" xfId="11088"/>
    <cellStyle name="Normal 2 4 2 50" xfId="11089"/>
    <cellStyle name="Normal 2 4 2 51" xfId="11090"/>
    <cellStyle name="Normal 2 4 2 52" xfId="11091"/>
    <cellStyle name="Normal 2 4 2 53" xfId="11092"/>
    <cellStyle name="Normal 2 4 2 54" xfId="11093"/>
    <cellStyle name="Normal 2 4 2 55" xfId="11094"/>
    <cellStyle name="Normal 2 4 2 56" xfId="11095"/>
    <cellStyle name="Normal 2 4 2 57" xfId="11096"/>
    <cellStyle name="Normal 2 4 2 58" xfId="11097"/>
    <cellStyle name="Normal 2 4 2 59" xfId="11098"/>
    <cellStyle name="Normal 2 4 2 6" xfId="11099"/>
    <cellStyle name="Normal 2 4 2 60" xfId="11100"/>
    <cellStyle name="Normal 2 4 2 61" xfId="11101"/>
    <cellStyle name="Normal 2 4 2 62" xfId="11102"/>
    <cellStyle name="Normal 2 4 2 63" xfId="11103"/>
    <cellStyle name="Normal 2 4 2 64" xfId="11104"/>
    <cellStyle name="Normal 2 4 2 65" xfId="11105"/>
    <cellStyle name="Normal 2 4 2 66" xfId="11106"/>
    <cellStyle name="Normal 2 4 2 67" xfId="11107"/>
    <cellStyle name="Normal 2 4 2 68" xfId="11108"/>
    <cellStyle name="Normal 2 4 2 69" xfId="11109"/>
    <cellStyle name="Normal 2 4 2 7" xfId="11110"/>
    <cellStyle name="Normal 2 4 2 70" xfId="11111"/>
    <cellStyle name="Normal 2 4 2 71" xfId="11112"/>
    <cellStyle name="Normal 2 4 2 72" xfId="11113"/>
    <cellStyle name="Normal 2 4 2 73" xfId="11114"/>
    <cellStyle name="Normal 2 4 2 74" xfId="11115"/>
    <cellStyle name="Normal 2 4 2 75" xfId="11116"/>
    <cellStyle name="Normal 2 4 2 76" xfId="11117"/>
    <cellStyle name="Normal 2 4 2 77" xfId="11118"/>
    <cellStyle name="Normal 2 4 2 78" xfId="11119"/>
    <cellStyle name="Normal 2 4 2 79" xfId="11120"/>
    <cellStyle name="Normal 2 4 2 8" xfId="11121"/>
    <cellStyle name="Normal 2 4 2 80" xfId="11122"/>
    <cellStyle name="Normal 2 4 2 81" xfId="11123"/>
    <cellStyle name="Normal 2 4 2 82" xfId="11124"/>
    <cellStyle name="Normal 2 4 2 83" xfId="11125"/>
    <cellStyle name="Normal 2 4 2 9" xfId="11126"/>
    <cellStyle name="Normal 2 4 20" xfId="11127"/>
    <cellStyle name="Normal 2 4 21" xfId="11128"/>
    <cellStyle name="Normal 2 4 22" xfId="11129"/>
    <cellStyle name="Normal 2 4 23" xfId="11130"/>
    <cellStyle name="Normal 2 4 24" xfId="11131"/>
    <cellStyle name="Normal 2 4 25" xfId="11132"/>
    <cellStyle name="Normal 2 4 26" xfId="11133"/>
    <cellStyle name="Normal 2 4 27" xfId="11134"/>
    <cellStyle name="Normal 2 4 28" xfId="11135"/>
    <cellStyle name="Normal 2 4 29" xfId="11136"/>
    <cellStyle name="Normal 2 4 3" xfId="11137"/>
    <cellStyle name="Normal 2 4 30" xfId="11138"/>
    <cellStyle name="Normal 2 4 31" xfId="11139"/>
    <cellStyle name="Normal 2 4 32" xfId="11140"/>
    <cellStyle name="Normal 2 4 33" xfId="11141"/>
    <cellStyle name="Normal 2 4 34" xfId="11142"/>
    <cellStyle name="Normal 2 4 35" xfId="11143"/>
    <cellStyle name="Normal 2 4 36" xfId="11144"/>
    <cellStyle name="Normal 2 4 37" xfId="11145"/>
    <cellStyle name="Normal 2 4 38" xfId="11146"/>
    <cellStyle name="Normal 2 4 39" xfId="11147"/>
    <cellStyle name="Normal 2 4 4" xfId="11148"/>
    <cellStyle name="Normal 2 4 40" xfId="11149"/>
    <cellStyle name="Normal 2 4 41" xfId="11150"/>
    <cellStyle name="Normal 2 4 42" xfId="11151"/>
    <cellStyle name="Normal 2 4 43" xfId="11152"/>
    <cellStyle name="Normal 2 4 44" xfId="11153"/>
    <cellStyle name="Normal 2 4 45" xfId="11154"/>
    <cellStyle name="Normal 2 4 46" xfId="11155"/>
    <cellStyle name="Normal 2 4 47" xfId="11156"/>
    <cellStyle name="Normal 2 4 48" xfId="11157"/>
    <cellStyle name="Normal 2 4 49" xfId="11158"/>
    <cellStyle name="Normal 2 4 5" xfId="11159"/>
    <cellStyle name="Normal 2 4 50" xfId="11160"/>
    <cellStyle name="Normal 2 4 51" xfId="11161"/>
    <cellStyle name="Normal 2 4 52" xfId="11162"/>
    <cellStyle name="Normal 2 4 53" xfId="11163"/>
    <cellStyle name="Normal 2 4 54" xfId="11164"/>
    <cellStyle name="Normal 2 4 55" xfId="11165"/>
    <cellStyle name="Normal 2 4 56" xfId="11166"/>
    <cellStyle name="Normal 2 4 57" xfId="11167"/>
    <cellStyle name="Normal 2 4 58" xfId="11168"/>
    <cellStyle name="Normal 2 4 59" xfId="11169"/>
    <cellStyle name="Normal 2 4 6" xfId="11170"/>
    <cellStyle name="Normal 2 4 60" xfId="11171"/>
    <cellStyle name="Normal 2 4 61" xfId="11172"/>
    <cellStyle name="Normal 2 4 62" xfId="11173"/>
    <cellStyle name="Normal 2 4 63" xfId="11174"/>
    <cellStyle name="Normal 2 4 64" xfId="11175"/>
    <cellStyle name="Normal 2 4 65" xfId="11176"/>
    <cellStyle name="Normal 2 4 66" xfId="11177"/>
    <cellStyle name="Normal 2 4 67" xfId="11178"/>
    <cellStyle name="Normal 2 4 68" xfId="11179"/>
    <cellStyle name="Normal 2 4 69" xfId="11180"/>
    <cellStyle name="Normal 2 4 7" xfId="11181"/>
    <cellStyle name="Normal 2 4 70" xfId="11182"/>
    <cellStyle name="Normal 2 4 71" xfId="11183"/>
    <cellStyle name="Normal 2 4 72" xfId="11184"/>
    <cellStyle name="Normal 2 4 73" xfId="11185"/>
    <cellStyle name="Normal 2 4 74" xfId="11186"/>
    <cellStyle name="Normal 2 4 75" xfId="11187"/>
    <cellStyle name="Normal 2 4 76" xfId="11188"/>
    <cellStyle name="Normal 2 4 77" xfId="11189"/>
    <cellStyle name="Normal 2 4 78" xfId="11190"/>
    <cellStyle name="Normal 2 4 79" xfId="11191"/>
    <cellStyle name="Normal 2 4 8" xfId="11192"/>
    <cellStyle name="Normal 2 4 80" xfId="11193"/>
    <cellStyle name="Normal 2 4 81" xfId="11194"/>
    <cellStyle name="Normal 2 4 82" xfId="11195"/>
    <cellStyle name="Normal 2 4 83" xfId="11196"/>
    <cellStyle name="Normal 2 4 84" xfId="11197"/>
    <cellStyle name="Normal 2 4 9" xfId="11198"/>
    <cellStyle name="Normal 2 4_Cultura y Tiempo libre 2011 base 2012 PGM - EMV  2013" xfId="11199"/>
    <cellStyle name="Normal 2 40" xfId="11200"/>
    <cellStyle name="Normal 2 41" xfId="11201"/>
    <cellStyle name="Normal 2 42" xfId="11202"/>
    <cellStyle name="Normal 2 43" xfId="11203"/>
    <cellStyle name="Normal 2 44" xfId="11204"/>
    <cellStyle name="Normal 2 45" xfId="11205"/>
    <cellStyle name="Normal 2 46" xfId="11206"/>
    <cellStyle name="Normal 2 47" xfId="11207"/>
    <cellStyle name="Normal 2 48" xfId="11208"/>
    <cellStyle name="Normal 2 49" xfId="11209"/>
    <cellStyle name="Normal 2 5" xfId="11210"/>
    <cellStyle name="Normal 2 5 10" xfId="11211"/>
    <cellStyle name="Normal 2 5 11" xfId="11212"/>
    <cellStyle name="Normal 2 5 12" xfId="11213"/>
    <cellStyle name="Normal 2 5 13" xfId="11214"/>
    <cellStyle name="Normal 2 5 14" xfId="11215"/>
    <cellStyle name="Normal 2 5 15" xfId="11216"/>
    <cellStyle name="Normal 2 5 16" xfId="11217"/>
    <cellStyle name="Normal 2 5 17" xfId="11218"/>
    <cellStyle name="Normal 2 5 18" xfId="11219"/>
    <cellStyle name="Normal 2 5 19" xfId="11220"/>
    <cellStyle name="Normal 2 5 2" xfId="11221"/>
    <cellStyle name="Normal 2 5 2 10" xfId="11222"/>
    <cellStyle name="Normal 2 5 2 11" xfId="11223"/>
    <cellStyle name="Normal 2 5 2 12" xfId="11224"/>
    <cellStyle name="Normal 2 5 2 13" xfId="11225"/>
    <cellStyle name="Normal 2 5 2 14" xfId="11226"/>
    <cellStyle name="Normal 2 5 2 15" xfId="11227"/>
    <cellStyle name="Normal 2 5 2 16" xfId="11228"/>
    <cellStyle name="Normal 2 5 2 17" xfId="11229"/>
    <cellStyle name="Normal 2 5 2 18" xfId="11230"/>
    <cellStyle name="Normal 2 5 2 19" xfId="11231"/>
    <cellStyle name="Normal 2 5 2 2" xfId="11232"/>
    <cellStyle name="Normal 2 5 2 20" xfId="11233"/>
    <cellStyle name="Normal 2 5 2 21" xfId="11234"/>
    <cellStyle name="Normal 2 5 2 22" xfId="11235"/>
    <cellStyle name="Normal 2 5 2 23" xfId="11236"/>
    <cellStyle name="Normal 2 5 2 24" xfId="11237"/>
    <cellStyle name="Normal 2 5 2 25" xfId="11238"/>
    <cellStyle name="Normal 2 5 2 26" xfId="11239"/>
    <cellStyle name="Normal 2 5 2 27" xfId="11240"/>
    <cellStyle name="Normal 2 5 2 28" xfId="11241"/>
    <cellStyle name="Normal 2 5 2 29" xfId="11242"/>
    <cellStyle name="Normal 2 5 2 3" xfId="11243"/>
    <cellStyle name="Normal 2 5 2 30" xfId="11244"/>
    <cellStyle name="Normal 2 5 2 31" xfId="11245"/>
    <cellStyle name="Normal 2 5 2 32" xfId="11246"/>
    <cellStyle name="Normal 2 5 2 33" xfId="11247"/>
    <cellStyle name="Normal 2 5 2 34" xfId="11248"/>
    <cellStyle name="Normal 2 5 2 35" xfId="11249"/>
    <cellStyle name="Normal 2 5 2 36" xfId="11250"/>
    <cellStyle name="Normal 2 5 2 37" xfId="11251"/>
    <cellStyle name="Normal 2 5 2 38" xfId="11252"/>
    <cellStyle name="Normal 2 5 2 39" xfId="11253"/>
    <cellStyle name="Normal 2 5 2 4" xfId="11254"/>
    <cellStyle name="Normal 2 5 2 40" xfId="11255"/>
    <cellStyle name="Normal 2 5 2 41" xfId="11256"/>
    <cellStyle name="Normal 2 5 2 42" xfId="11257"/>
    <cellStyle name="Normal 2 5 2 43" xfId="11258"/>
    <cellStyle name="Normal 2 5 2 44" xfId="11259"/>
    <cellStyle name="Normal 2 5 2 45" xfId="11260"/>
    <cellStyle name="Normal 2 5 2 46" xfId="11261"/>
    <cellStyle name="Normal 2 5 2 47" xfId="11262"/>
    <cellStyle name="Normal 2 5 2 48" xfId="11263"/>
    <cellStyle name="Normal 2 5 2 49" xfId="11264"/>
    <cellStyle name="Normal 2 5 2 5" xfId="11265"/>
    <cellStyle name="Normal 2 5 2 50" xfId="11266"/>
    <cellStyle name="Normal 2 5 2 51" xfId="11267"/>
    <cellStyle name="Normal 2 5 2 52" xfId="11268"/>
    <cellStyle name="Normal 2 5 2 53" xfId="11269"/>
    <cellStyle name="Normal 2 5 2 54" xfId="11270"/>
    <cellStyle name="Normal 2 5 2 55" xfId="11271"/>
    <cellStyle name="Normal 2 5 2 56" xfId="11272"/>
    <cellStyle name="Normal 2 5 2 57" xfId="11273"/>
    <cellStyle name="Normal 2 5 2 58" xfId="11274"/>
    <cellStyle name="Normal 2 5 2 59" xfId="11275"/>
    <cellStyle name="Normal 2 5 2 6" xfId="11276"/>
    <cellStyle name="Normal 2 5 2 60" xfId="11277"/>
    <cellStyle name="Normal 2 5 2 61" xfId="11278"/>
    <cellStyle name="Normal 2 5 2 62" xfId="11279"/>
    <cellStyle name="Normal 2 5 2 63" xfId="11280"/>
    <cellStyle name="Normal 2 5 2 64" xfId="11281"/>
    <cellStyle name="Normal 2 5 2 65" xfId="11282"/>
    <cellStyle name="Normal 2 5 2 66" xfId="11283"/>
    <cellStyle name="Normal 2 5 2 67" xfId="11284"/>
    <cellStyle name="Normal 2 5 2 68" xfId="11285"/>
    <cellStyle name="Normal 2 5 2 69" xfId="11286"/>
    <cellStyle name="Normal 2 5 2 7" xfId="11287"/>
    <cellStyle name="Normal 2 5 2 70" xfId="11288"/>
    <cellStyle name="Normal 2 5 2 71" xfId="11289"/>
    <cellStyle name="Normal 2 5 2 72" xfId="11290"/>
    <cellStyle name="Normal 2 5 2 73" xfId="11291"/>
    <cellStyle name="Normal 2 5 2 74" xfId="11292"/>
    <cellStyle name="Normal 2 5 2 75" xfId="11293"/>
    <cellStyle name="Normal 2 5 2 76" xfId="11294"/>
    <cellStyle name="Normal 2 5 2 77" xfId="11295"/>
    <cellStyle name="Normal 2 5 2 78" xfId="11296"/>
    <cellStyle name="Normal 2 5 2 79" xfId="11297"/>
    <cellStyle name="Normal 2 5 2 8" xfId="11298"/>
    <cellStyle name="Normal 2 5 2 80" xfId="11299"/>
    <cellStyle name="Normal 2 5 2 81" xfId="11300"/>
    <cellStyle name="Normal 2 5 2 82" xfId="11301"/>
    <cellStyle name="Normal 2 5 2 83" xfId="11302"/>
    <cellStyle name="Normal 2 5 2 9" xfId="11303"/>
    <cellStyle name="Normal 2 5 20" xfId="11304"/>
    <cellStyle name="Normal 2 5 21" xfId="11305"/>
    <cellStyle name="Normal 2 5 22" xfId="11306"/>
    <cellStyle name="Normal 2 5 23" xfId="11307"/>
    <cellStyle name="Normal 2 5 24" xfId="11308"/>
    <cellStyle name="Normal 2 5 25" xfId="11309"/>
    <cellStyle name="Normal 2 5 26" xfId="11310"/>
    <cellStyle name="Normal 2 5 27" xfId="11311"/>
    <cellStyle name="Normal 2 5 28" xfId="11312"/>
    <cellStyle name="Normal 2 5 29" xfId="11313"/>
    <cellStyle name="Normal 2 5 3" xfId="11314"/>
    <cellStyle name="Normal 2 5 30" xfId="11315"/>
    <cellStyle name="Normal 2 5 31" xfId="11316"/>
    <cellStyle name="Normal 2 5 32" xfId="11317"/>
    <cellStyle name="Normal 2 5 33" xfId="11318"/>
    <cellStyle name="Normal 2 5 34" xfId="11319"/>
    <cellStyle name="Normal 2 5 35" xfId="11320"/>
    <cellStyle name="Normal 2 5 36" xfId="11321"/>
    <cellStyle name="Normal 2 5 37" xfId="11322"/>
    <cellStyle name="Normal 2 5 38" xfId="11323"/>
    <cellStyle name="Normal 2 5 39" xfId="11324"/>
    <cellStyle name="Normal 2 5 4" xfId="11325"/>
    <cellStyle name="Normal 2 5 40" xfId="11326"/>
    <cellStyle name="Normal 2 5 41" xfId="11327"/>
    <cellStyle name="Normal 2 5 42" xfId="11328"/>
    <cellStyle name="Normal 2 5 43" xfId="11329"/>
    <cellStyle name="Normal 2 5 44" xfId="11330"/>
    <cellStyle name="Normal 2 5 45" xfId="11331"/>
    <cellStyle name="Normal 2 5 46" xfId="11332"/>
    <cellStyle name="Normal 2 5 47" xfId="11333"/>
    <cellStyle name="Normal 2 5 48" xfId="11334"/>
    <cellStyle name="Normal 2 5 49" xfId="11335"/>
    <cellStyle name="Normal 2 5 5" xfId="11336"/>
    <cellStyle name="Normal 2 5 50" xfId="11337"/>
    <cellStyle name="Normal 2 5 51" xfId="11338"/>
    <cellStyle name="Normal 2 5 52" xfId="11339"/>
    <cellStyle name="Normal 2 5 53" xfId="11340"/>
    <cellStyle name="Normal 2 5 54" xfId="11341"/>
    <cellStyle name="Normal 2 5 55" xfId="11342"/>
    <cellStyle name="Normal 2 5 56" xfId="11343"/>
    <cellStyle name="Normal 2 5 57" xfId="11344"/>
    <cellStyle name="Normal 2 5 58" xfId="11345"/>
    <cellStyle name="Normal 2 5 59" xfId="11346"/>
    <cellStyle name="Normal 2 5 6" xfId="11347"/>
    <cellStyle name="Normal 2 5 60" xfId="11348"/>
    <cellStyle name="Normal 2 5 61" xfId="11349"/>
    <cellStyle name="Normal 2 5 62" xfId="11350"/>
    <cellStyle name="Normal 2 5 63" xfId="11351"/>
    <cellStyle name="Normal 2 5 64" xfId="11352"/>
    <cellStyle name="Normal 2 5 65" xfId="11353"/>
    <cellStyle name="Normal 2 5 66" xfId="11354"/>
    <cellStyle name="Normal 2 5 67" xfId="11355"/>
    <cellStyle name="Normal 2 5 68" xfId="11356"/>
    <cellStyle name="Normal 2 5 69" xfId="11357"/>
    <cellStyle name="Normal 2 5 7" xfId="11358"/>
    <cellStyle name="Normal 2 5 70" xfId="11359"/>
    <cellStyle name="Normal 2 5 71" xfId="11360"/>
    <cellStyle name="Normal 2 5 72" xfId="11361"/>
    <cellStyle name="Normal 2 5 73" xfId="11362"/>
    <cellStyle name="Normal 2 5 74" xfId="11363"/>
    <cellStyle name="Normal 2 5 75" xfId="11364"/>
    <cellStyle name="Normal 2 5 76" xfId="11365"/>
    <cellStyle name="Normal 2 5 77" xfId="11366"/>
    <cellStyle name="Normal 2 5 78" xfId="11367"/>
    <cellStyle name="Normal 2 5 79" xfId="11368"/>
    <cellStyle name="Normal 2 5 8" xfId="11369"/>
    <cellStyle name="Normal 2 5 80" xfId="11370"/>
    <cellStyle name="Normal 2 5 81" xfId="11371"/>
    <cellStyle name="Normal 2 5 82" xfId="11372"/>
    <cellStyle name="Normal 2 5 83" xfId="11373"/>
    <cellStyle name="Normal 2 5 84" xfId="11374"/>
    <cellStyle name="Normal 2 5 9" xfId="11375"/>
    <cellStyle name="Normal 2 5_Cultura y Tiempo libre 2011 base 2012 PGM - EMV  2013" xfId="11376"/>
    <cellStyle name="Normal 2 50" xfId="11377"/>
    <cellStyle name="Normal 2 51" xfId="11378"/>
    <cellStyle name="Normal 2 52" xfId="11379"/>
    <cellStyle name="Normal 2 53" xfId="11380"/>
    <cellStyle name="Normal 2 54" xfId="11381"/>
    <cellStyle name="Normal 2 55" xfId="11382"/>
    <cellStyle name="Normal 2 56" xfId="11383"/>
    <cellStyle name="Normal 2 57" xfId="11384"/>
    <cellStyle name="Normal 2 58" xfId="11385"/>
    <cellStyle name="Normal 2 59" xfId="11386"/>
    <cellStyle name="Normal 2 6" xfId="11387"/>
    <cellStyle name="Normal 2 6 10" xfId="11388"/>
    <cellStyle name="Normal 2 6 11" xfId="11389"/>
    <cellStyle name="Normal 2 6 12" xfId="11390"/>
    <cellStyle name="Normal 2 6 13" xfId="11391"/>
    <cellStyle name="Normal 2 6 14" xfId="11392"/>
    <cellStyle name="Normal 2 6 15" xfId="11393"/>
    <cellStyle name="Normal 2 6 16" xfId="11394"/>
    <cellStyle name="Normal 2 6 17" xfId="11395"/>
    <cellStyle name="Normal 2 6 18" xfId="11396"/>
    <cellStyle name="Normal 2 6 19" xfId="11397"/>
    <cellStyle name="Normal 2 6 2" xfId="11398"/>
    <cellStyle name="Normal 2 6 2 10" xfId="11399"/>
    <cellStyle name="Normal 2 6 2 11" xfId="11400"/>
    <cellStyle name="Normal 2 6 2 12" xfId="11401"/>
    <cellStyle name="Normal 2 6 2 13" xfId="11402"/>
    <cellStyle name="Normal 2 6 2 14" xfId="11403"/>
    <cellStyle name="Normal 2 6 2 15" xfId="11404"/>
    <cellStyle name="Normal 2 6 2 16" xfId="11405"/>
    <cellStyle name="Normal 2 6 2 17" xfId="11406"/>
    <cellStyle name="Normal 2 6 2 18" xfId="11407"/>
    <cellStyle name="Normal 2 6 2 19" xfId="11408"/>
    <cellStyle name="Normal 2 6 2 2" xfId="11409"/>
    <cellStyle name="Normal 2 6 2 20" xfId="11410"/>
    <cellStyle name="Normal 2 6 2 21" xfId="11411"/>
    <cellStyle name="Normal 2 6 2 22" xfId="11412"/>
    <cellStyle name="Normal 2 6 2 23" xfId="11413"/>
    <cellStyle name="Normal 2 6 2 24" xfId="11414"/>
    <cellStyle name="Normal 2 6 2 25" xfId="11415"/>
    <cellStyle name="Normal 2 6 2 26" xfId="11416"/>
    <cellStyle name="Normal 2 6 2 27" xfId="11417"/>
    <cellStyle name="Normal 2 6 2 28" xfId="11418"/>
    <cellStyle name="Normal 2 6 2 29" xfId="11419"/>
    <cellStyle name="Normal 2 6 2 3" xfId="11420"/>
    <cellStyle name="Normal 2 6 2 30" xfId="11421"/>
    <cellStyle name="Normal 2 6 2 31" xfId="11422"/>
    <cellStyle name="Normal 2 6 2 32" xfId="11423"/>
    <cellStyle name="Normal 2 6 2 33" xfId="11424"/>
    <cellStyle name="Normal 2 6 2 34" xfId="11425"/>
    <cellStyle name="Normal 2 6 2 35" xfId="11426"/>
    <cellStyle name="Normal 2 6 2 36" xfId="11427"/>
    <cellStyle name="Normal 2 6 2 37" xfId="11428"/>
    <cellStyle name="Normal 2 6 2 38" xfId="11429"/>
    <cellStyle name="Normal 2 6 2 39" xfId="11430"/>
    <cellStyle name="Normal 2 6 2 4" xfId="11431"/>
    <cellStyle name="Normal 2 6 2 40" xfId="11432"/>
    <cellStyle name="Normal 2 6 2 41" xfId="11433"/>
    <cellStyle name="Normal 2 6 2 42" xfId="11434"/>
    <cellStyle name="Normal 2 6 2 43" xfId="11435"/>
    <cellStyle name="Normal 2 6 2 44" xfId="11436"/>
    <cellStyle name="Normal 2 6 2 45" xfId="11437"/>
    <cellStyle name="Normal 2 6 2 46" xfId="11438"/>
    <cellStyle name="Normal 2 6 2 47" xfId="11439"/>
    <cellStyle name="Normal 2 6 2 48" xfId="11440"/>
    <cellStyle name="Normal 2 6 2 49" xfId="11441"/>
    <cellStyle name="Normal 2 6 2 5" xfId="11442"/>
    <cellStyle name="Normal 2 6 2 50" xfId="11443"/>
    <cellStyle name="Normal 2 6 2 51" xfId="11444"/>
    <cellStyle name="Normal 2 6 2 52" xfId="11445"/>
    <cellStyle name="Normal 2 6 2 53" xfId="11446"/>
    <cellStyle name="Normal 2 6 2 54" xfId="11447"/>
    <cellStyle name="Normal 2 6 2 55" xfId="11448"/>
    <cellStyle name="Normal 2 6 2 56" xfId="11449"/>
    <cellStyle name="Normal 2 6 2 57" xfId="11450"/>
    <cellStyle name="Normal 2 6 2 58" xfId="11451"/>
    <cellStyle name="Normal 2 6 2 59" xfId="11452"/>
    <cellStyle name="Normal 2 6 2 6" xfId="11453"/>
    <cellStyle name="Normal 2 6 2 60" xfId="11454"/>
    <cellStyle name="Normal 2 6 2 61" xfId="11455"/>
    <cellStyle name="Normal 2 6 2 62" xfId="11456"/>
    <cellStyle name="Normal 2 6 2 63" xfId="11457"/>
    <cellStyle name="Normal 2 6 2 64" xfId="11458"/>
    <cellStyle name="Normal 2 6 2 65" xfId="11459"/>
    <cellStyle name="Normal 2 6 2 66" xfId="11460"/>
    <cellStyle name="Normal 2 6 2 67" xfId="11461"/>
    <cellStyle name="Normal 2 6 2 68" xfId="11462"/>
    <cellStyle name="Normal 2 6 2 69" xfId="11463"/>
    <cellStyle name="Normal 2 6 2 7" xfId="11464"/>
    <cellStyle name="Normal 2 6 2 70" xfId="11465"/>
    <cellStyle name="Normal 2 6 2 71" xfId="11466"/>
    <cellStyle name="Normal 2 6 2 72" xfId="11467"/>
    <cellStyle name="Normal 2 6 2 73" xfId="11468"/>
    <cellStyle name="Normal 2 6 2 74" xfId="11469"/>
    <cellStyle name="Normal 2 6 2 75" xfId="11470"/>
    <cellStyle name="Normal 2 6 2 76" xfId="11471"/>
    <cellStyle name="Normal 2 6 2 77" xfId="11472"/>
    <cellStyle name="Normal 2 6 2 78" xfId="11473"/>
    <cellStyle name="Normal 2 6 2 79" xfId="11474"/>
    <cellStyle name="Normal 2 6 2 8" xfId="11475"/>
    <cellStyle name="Normal 2 6 2 80" xfId="11476"/>
    <cellStyle name="Normal 2 6 2 81" xfId="11477"/>
    <cellStyle name="Normal 2 6 2 82" xfId="11478"/>
    <cellStyle name="Normal 2 6 2 83" xfId="11479"/>
    <cellStyle name="Normal 2 6 2 9" xfId="11480"/>
    <cellStyle name="Normal 2 6 20" xfId="11481"/>
    <cellStyle name="Normal 2 6 21" xfId="11482"/>
    <cellStyle name="Normal 2 6 22" xfId="11483"/>
    <cellStyle name="Normal 2 6 23" xfId="11484"/>
    <cellStyle name="Normal 2 6 24" xfId="11485"/>
    <cellStyle name="Normal 2 6 25" xfId="11486"/>
    <cellStyle name="Normal 2 6 26" xfId="11487"/>
    <cellStyle name="Normal 2 6 27" xfId="11488"/>
    <cellStyle name="Normal 2 6 28" xfId="11489"/>
    <cellStyle name="Normal 2 6 29" xfId="11490"/>
    <cellStyle name="Normal 2 6 3" xfId="11491"/>
    <cellStyle name="Normal 2 6 30" xfId="11492"/>
    <cellStyle name="Normal 2 6 31" xfId="11493"/>
    <cellStyle name="Normal 2 6 32" xfId="11494"/>
    <cellStyle name="Normal 2 6 33" xfId="11495"/>
    <cellStyle name="Normal 2 6 34" xfId="11496"/>
    <cellStyle name="Normal 2 6 35" xfId="11497"/>
    <cellStyle name="Normal 2 6 36" xfId="11498"/>
    <cellStyle name="Normal 2 6 37" xfId="11499"/>
    <cellStyle name="Normal 2 6 38" xfId="11500"/>
    <cellStyle name="Normal 2 6 39" xfId="11501"/>
    <cellStyle name="Normal 2 6 4" xfId="11502"/>
    <cellStyle name="Normal 2 6 40" xfId="11503"/>
    <cellStyle name="Normal 2 6 41" xfId="11504"/>
    <cellStyle name="Normal 2 6 42" xfId="11505"/>
    <cellStyle name="Normal 2 6 43" xfId="11506"/>
    <cellStyle name="Normal 2 6 44" xfId="11507"/>
    <cellStyle name="Normal 2 6 45" xfId="11508"/>
    <cellStyle name="Normal 2 6 46" xfId="11509"/>
    <cellStyle name="Normal 2 6 47" xfId="11510"/>
    <cellStyle name="Normal 2 6 48" xfId="11511"/>
    <cellStyle name="Normal 2 6 49" xfId="11512"/>
    <cellStyle name="Normal 2 6 5" xfId="11513"/>
    <cellStyle name="Normal 2 6 50" xfId="11514"/>
    <cellStyle name="Normal 2 6 51" xfId="11515"/>
    <cellStyle name="Normal 2 6 52" xfId="11516"/>
    <cellStyle name="Normal 2 6 53" xfId="11517"/>
    <cellStyle name="Normal 2 6 54" xfId="11518"/>
    <cellStyle name="Normal 2 6 55" xfId="11519"/>
    <cellStyle name="Normal 2 6 56" xfId="11520"/>
    <cellStyle name="Normal 2 6 57" xfId="11521"/>
    <cellStyle name="Normal 2 6 58" xfId="11522"/>
    <cellStyle name="Normal 2 6 59" xfId="11523"/>
    <cellStyle name="Normal 2 6 6" xfId="11524"/>
    <cellStyle name="Normal 2 6 60" xfId="11525"/>
    <cellStyle name="Normal 2 6 61" xfId="11526"/>
    <cellStyle name="Normal 2 6 62" xfId="11527"/>
    <cellStyle name="Normal 2 6 63" xfId="11528"/>
    <cellStyle name="Normal 2 6 64" xfId="11529"/>
    <cellStyle name="Normal 2 6 65" xfId="11530"/>
    <cellStyle name="Normal 2 6 66" xfId="11531"/>
    <cellStyle name="Normal 2 6 67" xfId="11532"/>
    <cellStyle name="Normal 2 6 68" xfId="11533"/>
    <cellStyle name="Normal 2 6 69" xfId="11534"/>
    <cellStyle name="Normal 2 6 7" xfId="11535"/>
    <cellStyle name="Normal 2 6 70" xfId="11536"/>
    <cellStyle name="Normal 2 6 71" xfId="11537"/>
    <cellStyle name="Normal 2 6 72" xfId="11538"/>
    <cellStyle name="Normal 2 6 73" xfId="11539"/>
    <cellStyle name="Normal 2 6 74" xfId="11540"/>
    <cellStyle name="Normal 2 6 75" xfId="11541"/>
    <cellStyle name="Normal 2 6 76" xfId="11542"/>
    <cellStyle name="Normal 2 6 77" xfId="11543"/>
    <cellStyle name="Normal 2 6 78" xfId="11544"/>
    <cellStyle name="Normal 2 6 79" xfId="11545"/>
    <cellStyle name="Normal 2 6 8" xfId="11546"/>
    <cellStyle name="Normal 2 6 80" xfId="11547"/>
    <cellStyle name="Normal 2 6 81" xfId="11548"/>
    <cellStyle name="Normal 2 6 82" xfId="11549"/>
    <cellStyle name="Normal 2 6 83" xfId="11550"/>
    <cellStyle name="Normal 2 6 84" xfId="11551"/>
    <cellStyle name="Normal 2 6 9" xfId="11552"/>
    <cellStyle name="Normal 2 6_Cultura y Tiempo libre 2011 base 2012 PGM - EMV  2013" xfId="11553"/>
    <cellStyle name="Normal 2 60" xfId="11554"/>
    <cellStyle name="Normal 2 61" xfId="11555"/>
    <cellStyle name="Normal 2 62" xfId="11556"/>
    <cellStyle name="Normal 2 63" xfId="11557"/>
    <cellStyle name="Normal 2 64" xfId="11558"/>
    <cellStyle name="Normal 2 65" xfId="11559"/>
    <cellStyle name="Normal 2 66" xfId="11560"/>
    <cellStyle name="Normal 2 67" xfId="11561"/>
    <cellStyle name="Normal 2 68" xfId="11562"/>
    <cellStyle name="Normal 2 69" xfId="11563"/>
    <cellStyle name="Normal 2 7" xfId="11564"/>
    <cellStyle name="Normal 2 7 10" xfId="11565"/>
    <cellStyle name="Normal 2 7 11" xfId="11566"/>
    <cellStyle name="Normal 2 7 12" xfId="11567"/>
    <cellStyle name="Normal 2 7 13" xfId="11568"/>
    <cellStyle name="Normal 2 7 14" xfId="11569"/>
    <cellStyle name="Normal 2 7 15" xfId="11570"/>
    <cellStyle name="Normal 2 7 16" xfId="11571"/>
    <cellStyle name="Normal 2 7 17" xfId="11572"/>
    <cellStyle name="Normal 2 7 18" xfId="11573"/>
    <cellStyle name="Normal 2 7 19" xfId="11574"/>
    <cellStyle name="Normal 2 7 2" xfId="11575"/>
    <cellStyle name="Normal 2 7 20" xfId="11576"/>
    <cellStyle name="Normal 2 7 21" xfId="11577"/>
    <cellStyle name="Normal 2 7 22" xfId="11578"/>
    <cellStyle name="Normal 2 7 23" xfId="11579"/>
    <cellStyle name="Normal 2 7 24" xfId="11580"/>
    <cellStyle name="Normal 2 7 25" xfId="11581"/>
    <cellStyle name="Normal 2 7 26" xfId="11582"/>
    <cellStyle name="Normal 2 7 27" xfId="11583"/>
    <cellStyle name="Normal 2 7 28" xfId="11584"/>
    <cellStyle name="Normal 2 7 29" xfId="11585"/>
    <cellStyle name="Normal 2 7 3" xfId="11586"/>
    <cellStyle name="Normal 2 7 30" xfId="11587"/>
    <cellStyle name="Normal 2 7 31" xfId="11588"/>
    <cellStyle name="Normal 2 7 32" xfId="11589"/>
    <cellStyle name="Normal 2 7 33" xfId="11590"/>
    <cellStyle name="Normal 2 7 34" xfId="11591"/>
    <cellStyle name="Normal 2 7 35" xfId="11592"/>
    <cellStyle name="Normal 2 7 36" xfId="11593"/>
    <cellStyle name="Normal 2 7 37" xfId="11594"/>
    <cellStyle name="Normal 2 7 38" xfId="11595"/>
    <cellStyle name="Normal 2 7 39" xfId="11596"/>
    <cellStyle name="Normal 2 7 4" xfId="11597"/>
    <cellStyle name="Normal 2 7 40" xfId="11598"/>
    <cellStyle name="Normal 2 7 41" xfId="11599"/>
    <cellStyle name="Normal 2 7 42" xfId="11600"/>
    <cellStyle name="Normal 2 7 43" xfId="11601"/>
    <cellStyle name="Normal 2 7 44" xfId="11602"/>
    <cellStyle name="Normal 2 7 45" xfId="11603"/>
    <cellStyle name="Normal 2 7 46" xfId="11604"/>
    <cellStyle name="Normal 2 7 47" xfId="11605"/>
    <cellStyle name="Normal 2 7 48" xfId="11606"/>
    <cellStyle name="Normal 2 7 49" xfId="11607"/>
    <cellStyle name="Normal 2 7 5" xfId="11608"/>
    <cellStyle name="Normal 2 7 50" xfId="11609"/>
    <cellStyle name="Normal 2 7 51" xfId="11610"/>
    <cellStyle name="Normal 2 7 52" xfId="11611"/>
    <cellStyle name="Normal 2 7 53" xfId="11612"/>
    <cellStyle name="Normal 2 7 54" xfId="11613"/>
    <cellStyle name="Normal 2 7 55" xfId="11614"/>
    <cellStyle name="Normal 2 7 56" xfId="11615"/>
    <cellStyle name="Normal 2 7 57" xfId="11616"/>
    <cellStyle name="Normal 2 7 58" xfId="11617"/>
    <cellStyle name="Normal 2 7 59" xfId="11618"/>
    <cellStyle name="Normal 2 7 6" xfId="11619"/>
    <cellStyle name="Normal 2 7 60" xfId="11620"/>
    <cellStyle name="Normal 2 7 61" xfId="11621"/>
    <cellStyle name="Normal 2 7 62" xfId="11622"/>
    <cellStyle name="Normal 2 7 63" xfId="11623"/>
    <cellStyle name="Normal 2 7 64" xfId="11624"/>
    <cellStyle name="Normal 2 7 65" xfId="11625"/>
    <cellStyle name="Normal 2 7 66" xfId="11626"/>
    <cellStyle name="Normal 2 7 67" xfId="11627"/>
    <cellStyle name="Normal 2 7 68" xfId="11628"/>
    <cellStyle name="Normal 2 7 69" xfId="11629"/>
    <cellStyle name="Normal 2 7 7" xfId="11630"/>
    <cellStyle name="Normal 2 7 70" xfId="11631"/>
    <cellStyle name="Normal 2 7 71" xfId="11632"/>
    <cellStyle name="Normal 2 7 72" xfId="11633"/>
    <cellStyle name="Normal 2 7 73" xfId="11634"/>
    <cellStyle name="Normal 2 7 74" xfId="11635"/>
    <cellStyle name="Normal 2 7 75" xfId="11636"/>
    <cellStyle name="Normal 2 7 76" xfId="11637"/>
    <cellStyle name="Normal 2 7 77" xfId="11638"/>
    <cellStyle name="Normal 2 7 78" xfId="11639"/>
    <cellStyle name="Normal 2 7 79" xfId="11640"/>
    <cellStyle name="Normal 2 7 8" xfId="11641"/>
    <cellStyle name="Normal 2 7 80" xfId="11642"/>
    <cellStyle name="Normal 2 7 81" xfId="11643"/>
    <cellStyle name="Normal 2 7 82" xfId="11644"/>
    <cellStyle name="Normal 2 7 83" xfId="11645"/>
    <cellStyle name="Normal 2 7 9" xfId="11646"/>
    <cellStyle name="Normal 2 70" xfId="11647"/>
    <cellStyle name="Normal 2 71" xfId="11648"/>
    <cellStyle name="Normal 2 72" xfId="11649"/>
    <cellStyle name="Normal 2 73" xfId="11650"/>
    <cellStyle name="Normal 2 74" xfId="11651"/>
    <cellStyle name="Normal 2 75" xfId="11652"/>
    <cellStyle name="Normal 2 76" xfId="11653"/>
    <cellStyle name="Normal 2 77" xfId="11654"/>
    <cellStyle name="Normal 2 78" xfId="11655"/>
    <cellStyle name="Normal 2 79" xfId="11656"/>
    <cellStyle name="Normal 2 8" xfId="11657"/>
    <cellStyle name="Normal 2 8 10" xfId="11658"/>
    <cellStyle name="Normal 2 8 11" xfId="11659"/>
    <cellStyle name="Normal 2 8 12" xfId="11660"/>
    <cellStyle name="Normal 2 8 13" xfId="11661"/>
    <cellStyle name="Normal 2 8 14" xfId="11662"/>
    <cellStyle name="Normal 2 8 15" xfId="11663"/>
    <cellStyle name="Normal 2 8 16" xfId="11664"/>
    <cellStyle name="Normal 2 8 17" xfId="11665"/>
    <cellStyle name="Normal 2 8 18" xfId="11666"/>
    <cellStyle name="Normal 2 8 19" xfId="11667"/>
    <cellStyle name="Normal 2 8 2" xfId="11668"/>
    <cellStyle name="Normal 2 8 20" xfId="11669"/>
    <cellStyle name="Normal 2 8 21" xfId="11670"/>
    <cellStyle name="Normal 2 8 22" xfId="11671"/>
    <cellStyle name="Normal 2 8 23" xfId="11672"/>
    <cellStyle name="Normal 2 8 24" xfId="11673"/>
    <cellStyle name="Normal 2 8 25" xfId="11674"/>
    <cellStyle name="Normal 2 8 26" xfId="11675"/>
    <cellStyle name="Normal 2 8 27" xfId="11676"/>
    <cellStyle name="Normal 2 8 28" xfId="11677"/>
    <cellStyle name="Normal 2 8 29" xfId="11678"/>
    <cellStyle name="Normal 2 8 3" xfId="11679"/>
    <cellStyle name="Normal 2 8 30" xfId="11680"/>
    <cellStyle name="Normal 2 8 31" xfId="11681"/>
    <cellStyle name="Normal 2 8 32" xfId="11682"/>
    <cellStyle name="Normal 2 8 33" xfId="11683"/>
    <cellStyle name="Normal 2 8 34" xfId="11684"/>
    <cellStyle name="Normal 2 8 35" xfId="11685"/>
    <cellStyle name="Normal 2 8 36" xfId="11686"/>
    <cellStyle name="Normal 2 8 37" xfId="11687"/>
    <cellStyle name="Normal 2 8 38" xfId="11688"/>
    <cellStyle name="Normal 2 8 39" xfId="11689"/>
    <cellStyle name="Normal 2 8 4" xfId="11690"/>
    <cellStyle name="Normal 2 8 40" xfId="11691"/>
    <cellStyle name="Normal 2 8 41" xfId="11692"/>
    <cellStyle name="Normal 2 8 42" xfId="11693"/>
    <cellStyle name="Normal 2 8 43" xfId="11694"/>
    <cellStyle name="Normal 2 8 44" xfId="11695"/>
    <cellStyle name="Normal 2 8 45" xfId="11696"/>
    <cellStyle name="Normal 2 8 46" xfId="11697"/>
    <cellStyle name="Normal 2 8 47" xfId="11698"/>
    <cellStyle name="Normal 2 8 48" xfId="11699"/>
    <cellStyle name="Normal 2 8 49" xfId="11700"/>
    <cellStyle name="Normal 2 8 5" xfId="11701"/>
    <cellStyle name="Normal 2 8 50" xfId="11702"/>
    <cellStyle name="Normal 2 8 51" xfId="11703"/>
    <cellStyle name="Normal 2 8 52" xfId="11704"/>
    <cellStyle name="Normal 2 8 53" xfId="11705"/>
    <cellStyle name="Normal 2 8 54" xfId="11706"/>
    <cellStyle name="Normal 2 8 55" xfId="11707"/>
    <cellStyle name="Normal 2 8 56" xfId="11708"/>
    <cellStyle name="Normal 2 8 57" xfId="11709"/>
    <cellStyle name="Normal 2 8 58" xfId="11710"/>
    <cellStyle name="Normal 2 8 59" xfId="11711"/>
    <cellStyle name="Normal 2 8 6" xfId="11712"/>
    <cellStyle name="Normal 2 8 60" xfId="11713"/>
    <cellStyle name="Normal 2 8 61" xfId="11714"/>
    <cellStyle name="Normal 2 8 62" xfId="11715"/>
    <cellStyle name="Normal 2 8 63" xfId="11716"/>
    <cellStyle name="Normal 2 8 64" xfId="11717"/>
    <cellStyle name="Normal 2 8 65" xfId="11718"/>
    <cellStyle name="Normal 2 8 66" xfId="11719"/>
    <cellStyle name="Normal 2 8 67" xfId="11720"/>
    <cellStyle name="Normal 2 8 68" xfId="11721"/>
    <cellStyle name="Normal 2 8 69" xfId="11722"/>
    <cellStyle name="Normal 2 8 7" xfId="11723"/>
    <cellStyle name="Normal 2 8 70" xfId="11724"/>
    <cellStyle name="Normal 2 8 71" xfId="11725"/>
    <cellStyle name="Normal 2 8 72" xfId="11726"/>
    <cellStyle name="Normal 2 8 73" xfId="11727"/>
    <cellStyle name="Normal 2 8 74" xfId="11728"/>
    <cellStyle name="Normal 2 8 75" xfId="11729"/>
    <cellStyle name="Normal 2 8 76" xfId="11730"/>
    <cellStyle name="Normal 2 8 77" xfId="11731"/>
    <cellStyle name="Normal 2 8 78" xfId="11732"/>
    <cellStyle name="Normal 2 8 79" xfId="11733"/>
    <cellStyle name="Normal 2 8 8" xfId="11734"/>
    <cellStyle name="Normal 2 8 80" xfId="11735"/>
    <cellStyle name="Normal 2 8 81" xfId="11736"/>
    <cellStyle name="Normal 2 8 82" xfId="11737"/>
    <cellStyle name="Normal 2 8 83" xfId="11738"/>
    <cellStyle name="Normal 2 8 9" xfId="11739"/>
    <cellStyle name="Normal 2 80" xfId="11740"/>
    <cellStyle name="Normal 2 81" xfId="11741"/>
    <cellStyle name="Normal 2 82" xfId="11742"/>
    <cellStyle name="Normal 2 83" xfId="11743"/>
    <cellStyle name="Normal 2 84" xfId="11744"/>
    <cellStyle name="Normal 2 85" xfId="11745"/>
    <cellStyle name="Normal 2 86" xfId="11746"/>
    <cellStyle name="Normal 2 87" xfId="11747"/>
    <cellStyle name="Normal 2 88" xfId="36433"/>
    <cellStyle name="Normal 2 9" xfId="11748"/>
    <cellStyle name="Normal 2 9 10" xfId="11749"/>
    <cellStyle name="Normal 2 9 11" xfId="11750"/>
    <cellStyle name="Normal 2 9 12" xfId="11751"/>
    <cellStyle name="Normal 2 9 13" xfId="11752"/>
    <cellStyle name="Normal 2 9 14" xfId="11753"/>
    <cellStyle name="Normal 2 9 15" xfId="11754"/>
    <cellStyle name="Normal 2 9 16" xfId="11755"/>
    <cellStyle name="Normal 2 9 17" xfId="11756"/>
    <cellStyle name="Normal 2 9 18" xfId="11757"/>
    <cellStyle name="Normal 2 9 19" xfId="11758"/>
    <cellStyle name="Normal 2 9 2" xfId="11759"/>
    <cellStyle name="Normal 2 9 20" xfId="11760"/>
    <cellStyle name="Normal 2 9 21" xfId="11761"/>
    <cellStyle name="Normal 2 9 22" xfId="11762"/>
    <cellStyle name="Normal 2 9 23" xfId="11763"/>
    <cellStyle name="Normal 2 9 24" xfId="11764"/>
    <cellStyle name="Normal 2 9 25" xfId="11765"/>
    <cellStyle name="Normal 2 9 26" xfId="11766"/>
    <cellStyle name="Normal 2 9 27" xfId="11767"/>
    <cellStyle name="Normal 2 9 28" xfId="11768"/>
    <cellStyle name="Normal 2 9 29" xfId="11769"/>
    <cellStyle name="Normal 2 9 3" xfId="11770"/>
    <cellStyle name="Normal 2 9 30" xfId="11771"/>
    <cellStyle name="Normal 2 9 31" xfId="11772"/>
    <cellStyle name="Normal 2 9 32" xfId="11773"/>
    <cellStyle name="Normal 2 9 33" xfId="11774"/>
    <cellStyle name="Normal 2 9 34" xfId="11775"/>
    <cellStyle name="Normal 2 9 35" xfId="11776"/>
    <cellStyle name="Normal 2 9 36" xfId="11777"/>
    <cellStyle name="Normal 2 9 37" xfId="11778"/>
    <cellStyle name="Normal 2 9 38" xfId="11779"/>
    <cellStyle name="Normal 2 9 39" xfId="11780"/>
    <cellStyle name="Normal 2 9 4" xfId="11781"/>
    <cellStyle name="Normal 2 9 40" xfId="11782"/>
    <cellStyle name="Normal 2 9 41" xfId="11783"/>
    <cellStyle name="Normal 2 9 42" xfId="11784"/>
    <cellStyle name="Normal 2 9 43" xfId="11785"/>
    <cellStyle name="Normal 2 9 44" xfId="11786"/>
    <cellStyle name="Normal 2 9 45" xfId="11787"/>
    <cellStyle name="Normal 2 9 46" xfId="11788"/>
    <cellStyle name="Normal 2 9 47" xfId="11789"/>
    <cellStyle name="Normal 2 9 48" xfId="11790"/>
    <cellStyle name="Normal 2 9 49" xfId="11791"/>
    <cellStyle name="Normal 2 9 5" xfId="11792"/>
    <cellStyle name="Normal 2 9 50" xfId="11793"/>
    <cellStyle name="Normal 2 9 51" xfId="11794"/>
    <cellStyle name="Normal 2 9 52" xfId="11795"/>
    <cellStyle name="Normal 2 9 53" xfId="11796"/>
    <cellStyle name="Normal 2 9 54" xfId="11797"/>
    <cellStyle name="Normal 2 9 55" xfId="11798"/>
    <cellStyle name="Normal 2 9 56" xfId="11799"/>
    <cellStyle name="Normal 2 9 57" xfId="11800"/>
    <cellStyle name="Normal 2 9 58" xfId="11801"/>
    <cellStyle name="Normal 2 9 59" xfId="11802"/>
    <cellStyle name="Normal 2 9 6" xfId="11803"/>
    <cellStyle name="Normal 2 9 60" xfId="11804"/>
    <cellStyle name="Normal 2 9 61" xfId="11805"/>
    <cellStyle name="Normal 2 9 62" xfId="11806"/>
    <cellStyle name="Normal 2 9 63" xfId="11807"/>
    <cellStyle name="Normal 2 9 64" xfId="11808"/>
    <cellStyle name="Normal 2 9 65" xfId="11809"/>
    <cellStyle name="Normal 2 9 66" xfId="11810"/>
    <cellStyle name="Normal 2 9 67" xfId="11811"/>
    <cellStyle name="Normal 2 9 68" xfId="11812"/>
    <cellStyle name="Normal 2 9 69" xfId="11813"/>
    <cellStyle name="Normal 2 9 7" xfId="11814"/>
    <cellStyle name="Normal 2 9 70" xfId="11815"/>
    <cellStyle name="Normal 2 9 71" xfId="11816"/>
    <cellStyle name="Normal 2 9 72" xfId="11817"/>
    <cellStyle name="Normal 2 9 73" xfId="11818"/>
    <cellStyle name="Normal 2 9 74" xfId="11819"/>
    <cellStyle name="Normal 2 9 75" xfId="11820"/>
    <cellStyle name="Normal 2 9 76" xfId="11821"/>
    <cellStyle name="Normal 2 9 77" xfId="11822"/>
    <cellStyle name="Normal 2 9 78" xfId="11823"/>
    <cellStyle name="Normal 2 9 79" xfId="11824"/>
    <cellStyle name="Normal 2 9 8" xfId="11825"/>
    <cellStyle name="Normal 2 9 80" xfId="11826"/>
    <cellStyle name="Normal 2 9 81" xfId="11827"/>
    <cellStyle name="Normal 2 9 82" xfId="11828"/>
    <cellStyle name="Normal 2 9 83" xfId="11829"/>
    <cellStyle name="Normal 2 9 9" xfId="11830"/>
    <cellStyle name="Normal 2_Cultura y Tiempo libre 2011 base 2012 PGM - EMV  2013" xfId="11831"/>
    <cellStyle name="Normal 20" xfId="11832"/>
    <cellStyle name="Normal 20 10" xfId="11833"/>
    <cellStyle name="Normal 20 10 10" xfId="11834"/>
    <cellStyle name="Normal 20 10 11" xfId="11835"/>
    <cellStyle name="Normal 20 10 12" xfId="11836"/>
    <cellStyle name="Normal 20 10 13" xfId="11837"/>
    <cellStyle name="Normal 20 10 2" xfId="11838"/>
    <cellStyle name="Normal 20 10 3" xfId="11839"/>
    <cellStyle name="Normal 20 10 4" xfId="11840"/>
    <cellStyle name="Normal 20 10 5" xfId="11841"/>
    <cellStyle name="Normal 20 10 6" xfId="11842"/>
    <cellStyle name="Normal 20 10 7" xfId="11843"/>
    <cellStyle name="Normal 20 10 8" xfId="11844"/>
    <cellStyle name="Normal 20 10 9" xfId="11845"/>
    <cellStyle name="Normal 20 11" xfId="11846"/>
    <cellStyle name="Normal 20 11 10" xfId="11847"/>
    <cellStyle name="Normal 20 11 11" xfId="11848"/>
    <cellStyle name="Normal 20 11 12" xfId="11849"/>
    <cellStyle name="Normal 20 11 13" xfId="11850"/>
    <cellStyle name="Normal 20 11 2" xfId="11851"/>
    <cellStyle name="Normal 20 11 3" xfId="11852"/>
    <cellStyle name="Normal 20 11 4" xfId="11853"/>
    <cellStyle name="Normal 20 11 5" xfId="11854"/>
    <cellStyle name="Normal 20 11 6" xfId="11855"/>
    <cellStyle name="Normal 20 11 7" xfId="11856"/>
    <cellStyle name="Normal 20 11 8" xfId="11857"/>
    <cellStyle name="Normal 20 11 9" xfId="11858"/>
    <cellStyle name="Normal 20 12" xfId="11859"/>
    <cellStyle name="Normal 20 12 10" xfId="11860"/>
    <cellStyle name="Normal 20 12 11" xfId="11861"/>
    <cellStyle name="Normal 20 12 12" xfId="11862"/>
    <cellStyle name="Normal 20 12 13" xfId="11863"/>
    <cellStyle name="Normal 20 12 2" xfId="11864"/>
    <cellStyle name="Normal 20 12 3" xfId="11865"/>
    <cellStyle name="Normal 20 12 4" xfId="11866"/>
    <cellStyle name="Normal 20 12 5" xfId="11867"/>
    <cellStyle name="Normal 20 12 6" xfId="11868"/>
    <cellStyle name="Normal 20 12 7" xfId="11869"/>
    <cellStyle name="Normal 20 12 8" xfId="11870"/>
    <cellStyle name="Normal 20 12 9" xfId="11871"/>
    <cellStyle name="Normal 20 13" xfId="11872"/>
    <cellStyle name="Normal 20 13 10" xfId="11873"/>
    <cellStyle name="Normal 20 13 11" xfId="11874"/>
    <cellStyle name="Normal 20 13 12" xfId="11875"/>
    <cellStyle name="Normal 20 13 13" xfId="11876"/>
    <cellStyle name="Normal 20 13 2" xfId="11877"/>
    <cellStyle name="Normal 20 13 3" xfId="11878"/>
    <cellStyle name="Normal 20 13 4" xfId="11879"/>
    <cellStyle name="Normal 20 13 5" xfId="11880"/>
    <cellStyle name="Normal 20 13 6" xfId="11881"/>
    <cellStyle name="Normal 20 13 7" xfId="11882"/>
    <cellStyle name="Normal 20 13 8" xfId="11883"/>
    <cellStyle name="Normal 20 13 9" xfId="11884"/>
    <cellStyle name="Normal 20 14" xfId="11885"/>
    <cellStyle name="Normal 20 14 10" xfId="11886"/>
    <cellStyle name="Normal 20 14 11" xfId="11887"/>
    <cellStyle name="Normal 20 14 12" xfId="11888"/>
    <cellStyle name="Normal 20 14 13" xfId="11889"/>
    <cellStyle name="Normal 20 14 2" xfId="11890"/>
    <cellStyle name="Normal 20 14 3" xfId="11891"/>
    <cellStyle name="Normal 20 14 4" xfId="11892"/>
    <cellStyle name="Normal 20 14 5" xfId="11893"/>
    <cellStyle name="Normal 20 14 6" xfId="11894"/>
    <cellStyle name="Normal 20 14 7" xfId="11895"/>
    <cellStyle name="Normal 20 14 8" xfId="11896"/>
    <cellStyle name="Normal 20 14 9" xfId="11897"/>
    <cellStyle name="Normal 20 15" xfId="11898"/>
    <cellStyle name="Normal 20 15 10" xfId="11899"/>
    <cellStyle name="Normal 20 15 11" xfId="11900"/>
    <cellStyle name="Normal 20 15 12" xfId="11901"/>
    <cellStyle name="Normal 20 15 13" xfId="11902"/>
    <cellStyle name="Normal 20 15 2" xfId="11903"/>
    <cellStyle name="Normal 20 15 3" xfId="11904"/>
    <cellStyle name="Normal 20 15 4" xfId="11905"/>
    <cellStyle name="Normal 20 15 5" xfId="11906"/>
    <cellStyle name="Normal 20 15 6" xfId="11907"/>
    <cellStyle name="Normal 20 15 7" xfId="11908"/>
    <cellStyle name="Normal 20 15 8" xfId="11909"/>
    <cellStyle name="Normal 20 15 9" xfId="11910"/>
    <cellStyle name="Normal 20 16" xfId="11911"/>
    <cellStyle name="Normal 20 16 10" xfId="11912"/>
    <cellStyle name="Normal 20 16 11" xfId="11913"/>
    <cellStyle name="Normal 20 16 12" xfId="11914"/>
    <cellStyle name="Normal 20 16 13" xfId="11915"/>
    <cellStyle name="Normal 20 16 2" xfId="11916"/>
    <cellStyle name="Normal 20 16 3" xfId="11917"/>
    <cellStyle name="Normal 20 16 4" xfId="11918"/>
    <cellStyle name="Normal 20 16 5" xfId="11919"/>
    <cellStyle name="Normal 20 16 6" xfId="11920"/>
    <cellStyle name="Normal 20 16 7" xfId="11921"/>
    <cellStyle name="Normal 20 16 8" xfId="11922"/>
    <cellStyle name="Normal 20 16 9" xfId="11923"/>
    <cellStyle name="Normal 20 17" xfId="11924"/>
    <cellStyle name="Normal 20 17 10" xfId="11925"/>
    <cellStyle name="Normal 20 17 11" xfId="11926"/>
    <cellStyle name="Normal 20 17 12" xfId="11927"/>
    <cellStyle name="Normal 20 17 13" xfId="11928"/>
    <cellStyle name="Normal 20 17 2" xfId="11929"/>
    <cellStyle name="Normal 20 17 3" xfId="11930"/>
    <cellStyle name="Normal 20 17 4" xfId="11931"/>
    <cellStyle name="Normal 20 17 5" xfId="11932"/>
    <cellStyle name="Normal 20 17 6" xfId="11933"/>
    <cellStyle name="Normal 20 17 7" xfId="11934"/>
    <cellStyle name="Normal 20 17 8" xfId="11935"/>
    <cellStyle name="Normal 20 17 9" xfId="11936"/>
    <cellStyle name="Normal 20 18" xfId="11937"/>
    <cellStyle name="Normal 20 18 10" xfId="11938"/>
    <cellStyle name="Normal 20 18 11" xfId="11939"/>
    <cellStyle name="Normal 20 18 12" xfId="11940"/>
    <cellStyle name="Normal 20 18 13" xfId="11941"/>
    <cellStyle name="Normal 20 18 2" xfId="11942"/>
    <cellStyle name="Normal 20 18 3" xfId="11943"/>
    <cellStyle name="Normal 20 18 4" xfId="11944"/>
    <cellStyle name="Normal 20 18 5" xfId="11945"/>
    <cellStyle name="Normal 20 18 6" xfId="11946"/>
    <cellStyle name="Normal 20 18 7" xfId="11947"/>
    <cellStyle name="Normal 20 18 8" xfId="11948"/>
    <cellStyle name="Normal 20 18 9" xfId="11949"/>
    <cellStyle name="Normal 20 19" xfId="11950"/>
    <cellStyle name="Normal 20 19 10" xfId="11951"/>
    <cellStyle name="Normal 20 19 11" xfId="11952"/>
    <cellStyle name="Normal 20 19 12" xfId="11953"/>
    <cellStyle name="Normal 20 19 13" xfId="11954"/>
    <cellStyle name="Normal 20 19 2" xfId="11955"/>
    <cellStyle name="Normal 20 19 3" xfId="11956"/>
    <cellStyle name="Normal 20 19 4" xfId="11957"/>
    <cellStyle name="Normal 20 19 5" xfId="11958"/>
    <cellStyle name="Normal 20 19 6" xfId="11959"/>
    <cellStyle name="Normal 20 19 7" xfId="11960"/>
    <cellStyle name="Normal 20 19 8" xfId="11961"/>
    <cellStyle name="Normal 20 19 9" xfId="11962"/>
    <cellStyle name="Normal 20 2" xfId="11963"/>
    <cellStyle name="Normal 20 2 10" xfId="11964"/>
    <cellStyle name="Normal 20 2 11" xfId="11965"/>
    <cellStyle name="Normal 20 2 12" xfId="11966"/>
    <cellStyle name="Normal 20 2 13" xfId="11967"/>
    <cellStyle name="Normal 20 2 2" xfId="11968"/>
    <cellStyle name="Normal 20 2 3" xfId="11969"/>
    <cellStyle name="Normal 20 2 4" xfId="11970"/>
    <cellStyle name="Normal 20 2 5" xfId="11971"/>
    <cellStyle name="Normal 20 2 6" xfId="11972"/>
    <cellStyle name="Normal 20 2 7" xfId="11973"/>
    <cellStyle name="Normal 20 2 8" xfId="11974"/>
    <cellStyle name="Normal 20 2 9" xfId="11975"/>
    <cellStyle name="Normal 20 20" xfId="11976"/>
    <cellStyle name="Normal 20 20 10" xfId="11977"/>
    <cellStyle name="Normal 20 20 11" xfId="11978"/>
    <cellStyle name="Normal 20 20 12" xfId="11979"/>
    <cellStyle name="Normal 20 20 13" xfId="11980"/>
    <cellStyle name="Normal 20 20 2" xfId="11981"/>
    <cellStyle name="Normal 20 20 3" xfId="11982"/>
    <cellStyle name="Normal 20 20 4" xfId="11983"/>
    <cellStyle name="Normal 20 20 5" xfId="11984"/>
    <cellStyle name="Normal 20 20 6" xfId="11985"/>
    <cellStyle name="Normal 20 20 7" xfId="11986"/>
    <cellStyle name="Normal 20 20 8" xfId="11987"/>
    <cellStyle name="Normal 20 20 9" xfId="11988"/>
    <cellStyle name="Normal 20 21" xfId="11989"/>
    <cellStyle name="Normal 20 21 10" xfId="11990"/>
    <cellStyle name="Normal 20 21 11" xfId="11991"/>
    <cellStyle name="Normal 20 21 12" xfId="11992"/>
    <cellStyle name="Normal 20 21 13" xfId="11993"/>
    <cellStyle name="Normal 20 21 2" xfId="11994"/>
    <cellStyle name="Normal 20 21 3" xfId="11995"/>
    <cellStyle name="Normal 20 21 4" xfId="11996"/>
    <cellStyle name="Normal 20 21 5" xfId="11997"/>
    <cellStyle name="Normal 20 21 6" xfId="11998"/>
    <cellStyle name="Normal 20 21 7" xfId="11999"/>
    <cellStyle name="Normal 20 21 8" xfId="12000"/>
    <cellStyle name="Normal 20 21 9" xfId="12001"/>
    <cellStyle name="Normal 20 22" xfId="12002"/>
    <cellStyle name="Normal 20 22 10" xfId="12003"/>
    <cellStyle name="Normal 20 22 11" xfId="12004"/>
    <cellStyle name="Normal 20 22 12" xfId="12005"/>
    <cellStyle name="Normal 20 22 13" xfId="12006"/>
    <cellStyle name="Normal 20 22 2" xfId="12007"/>
    <cellStyle name="Normal 20 22 3" xfId="12008"/>
    <cellStyle name="Normal 20 22 4" xfId="12009"/>
    <cellStyle name="Normal 20 22 5" xfId="12010"/>
    <cellStyle name="Normal 20 22 6" xfId="12011"/>
    <cellStyle name="Normal 20 22 7" xfId="12012"/>
    <cellStyle name="Normal 20 22 8" xfId="12013"/>
    <cellStyle name="Normal 20 22 9" xfId="12014"/>
    <cellStyle name="Normal 20 23" xfId="12015"/>
    <cellStyle name="Normal 20 23 10" xfId="12016"/>
    <cellStyle name="Normal 20 23 11" xfId="12017"/>
    <cellStyle name="Normal 20 23 12" xfId="12018"/>
    <cellStyle name="Normal 20 23 13" xfId="12019"/>
    <cellStyle name="Normal 20 23 2" xfId="12020"/>
    <cellStyle name="Normal 20 23 3" xfId="12021"/>
    <cellStyle name="Normal 20 23 4" xfId="12022"/>
    <cellStyle name="Normal 20 23 5" xfId="12023"/>
    <cellStyle name="Normal 20 23 6" xfId="12024"/>
    <cellStyle name="Normal 20 23 7" xfId="12025"/>
    <cellStyle name="Normal 20 23 8" xfId="12026"/>
    <cellStyle name="Normal 20 23 9" xfId="12027"/>
    <cellStyle name="Normal 20 24" xfId="12028"/>
    <cellStyle name="Normal 20 24 10" xfId="12029"/>
    <cellStyle name="Normal 20 24 11" xfId="12030"/>
    <cellStyle name="Normal 20 24 12" xfId="12031"/>
    <cellStyle name="Normal 20 24 13" xfId="12032"/>
    <cellStyle name="Normal 20 24 2" xfId="12033"/>
    <cellStyle name="Normal 20 24 3" xfId="12034"/>
    <cellStyle name="Normal 20 24 4" xfId="12035"/>
    <cellStyle name="Normal 20 24 5" xfId="12036"/>
    <cellStyle name="Normal 20 24 6" xfId="12037"/>
    <cellStyle name="Normal 20 24 7" xfId="12038"/>
    <cellStyle name="Normal 20 24 8" xfId="12039"/>
    <cellStyle name="Normal 20 24 9" xfId="12040"/>
    <cellStyle name="Normal 20 25" xfId="12041"/>
    <cellStyle name="Normal 20 25 10" xfId="12042"/>
    <cellStyle name="Normal 20 25 11" xfId="12043"/>
    <cellStyle name="Normal 20 25 12" xfId="12044"/>
    <cellStyle name="Normal 20 25 13" xfId="12045"/>
    <cellStyle name="Normal 20 25 2" xfId="12046"/>
    <cellStyle name="Normal 20 25 3" xfId="12047"/>
    <cellStyle name="Normal 20 25 4" xfId="12048"/>
    <cellStyle name="Normal 20 25 5" xfId="12049"/>
    <cellStyle name="Normal 20 25 6" xfId="12050"/>
    <cellStyle name="Normal 20 25 7" xfId="12051"/>
    <cellStyle name="Normal 20 25 8" xfId="12052"/>
    <cellStyle name="Normal 20 25 9" xfId="12053"/>
    <cellStyle name="Normal 20 26" xfId="12054"/>
    <cellStyle name="Normal 20 26 10" xfId="12055"/>
    <cellStyle name="Normal 20 26 11" xfId="12056"/>
    <cellStyle name="Normal 20 26 12" xfId="12057"/>
    <cellStyle name="Normal 20 26 13" xfId="12058"/>
    <cellStyle name="Normal 20 26 2" xfId="12059"/>
    <cellStyle name="Normal 20 26 3" xfId="12060"/>
    <cellStyle name="Normal 20 26 4" xfId="12061"/>
    <cellStyle name="Normal 20 26 5" xfId="12062"/>
    <cellStyle name="Normal 20 26 6" xfId="12063"/>
    <cellStyle name="Normal 20 26 7" xfId="12064"/>
    <cellStyle name="Normal 20 26 8" xfId="12065"/>
    <cellStyle name="Normal 20 26 9" xfId="12066"/>
    <cellStyle name="Normal 20 27" xfId="12067"/>
    <cellStyle name="Normal 20 27 10" xfId="12068"/>
    <cellStyle name="Normal 20 27 11" xfId="12069"/>
    <cellStyle name="Normal 20 27 12" xfId="12070"/>
    <cellStyle name="Normal 20 27 13" xfId="12071"/>
    <cellStyle name="Normal 20 27 2" xfId="12072"/>
    <cellStyle name="Normal 20 27 3" xfId="12073"/>
    <cellStyle name="Normal 20 27 4" xfId="12074"/>
    <cellStyle name="Normal 20 27 5" xfId="12075"/>
    <cellStyle name="Normal 20 27 6" xfId="12076"/>
    <cellStyle name="Normal 20 27 7" xfId="12077"/>
    <cellStyle name="Normal 20 27 8" xfId="12078"/>
    <cellStyle name="Normal 20 27 9" xfId="12079"/>
    <cellStyle name="Normal 20 28" xfId="12080"/>
    <cellStyle name="Normal 20 28 10" xfId="12081"/>
    <cellStyle name="Normal 20 28 11" xfId="12082"/>
    <cellStyle name="Normal 20 28 12" xfId="12083"/>
    <cellStyle name="Normal 20 28 13" xfId="12084"/>
    <cellStyle name="Normal 20 28 2" xfId="12085"/>
    <cellStyle name="Normal 20 28 3" xfId="12086"/>
    <cellStyle name="Normal 20 28 4" xfId="12087"/>
    <cellStyle name="Normal 20 28 5" xfId="12088"/>
    <cellStyle name="Normal 20 28 6" xfId="12089"/>
    <cellStyle name="Normal 20 28 7" xfId="12090"/>
    <cellStyle name="Normal 20 28 8" xfId="12091"/>
    <cellStyle name="Normal 20 28 9" xfId="12092"/>
    <cellStyle name="Normal 20 29" xfId="12093"/>
    <cellStyle name="Normal 20 29 10" xfId="12094"/>
    <cellStyle name="Normal 20 29 11" xfId="12095"/>
    <cellStyle name="Normal 20 29 12" xfId="12096"/>
    <cellStyle name="Normal 20 29 13" xfId="12097"/>
    <cellStyle name="Normal 20 29 2" xfId="12098"/>
    <cellStyle name="Normal 20 29 3" xfId="12099"/>
    <cellStyle name="Normal 20 29 4" xfId="12100"/>
    <cellStyle name="Normal 20 29 5" xfId="12101"/>
    <cellStyle name="Normal 20 29 6" xfId="12102"/>
    <cellStyle name="Normal 20 29 7" xfId="12103"/>
    <cellStyle name="Normal 20 29 8" xfId="12104"/>
    <cellStyle name="Normal 20 29 9" xfId="12105"/>
    <cellStyle name="Normal 20 3" xfId="12106"/>
    <cellStyle name="Normal 20 3 10" xfId="12107"/>
    <cellStyle name="Normal 20 3 11" xfId="12108"/>
    <cellStyle name="Normal 20 3 12" xfId="12109"/>
    <cellStyle name="Normal 20 3 13" xfId="12110"/>
    <cellStyle name="Normal 20 3 2" xfId="12111"/>
    <cellStyle name="Normal 20 3 3" xfId="12112"/>
    <cellStyle name="Normal 20 3 4" xfId="12113"/>
    <cellStyle name="Normal 20 3 5" xfId="12114"/>
    <cellStyle name="Normal 20 3 6" xfId="12115"/>
    <cellStyle name="Normal 20 3 7" xfId="12116"/>
    <cellStyle name="Normal 20 3 8" xfId="12117"/>
    <cellStyle name="Normal 20 3 9" xfId="12118"/>
    <cellStyle name="Normal 20 30" xfId="12119"/>
    <cellStyle name="Normal 20 30 10" xfId="12120"/>
    <cellStyle name="Normal 20 30 11" xfId="12121"/>
    <cellStyle name="Normal 20 30 12" xfId="12122"/>
    <cellStyle name="Normal 20 30 13" xfId="12123"/>
    <cellStyle name="Normal 20 30 2" xfId="12124"/>
    <cellStyle name="Normal 20 30 3" xfId="12125"/>
    <cellStyle name="Normal 20 30 4" xfId="12126"/>
    <cellStyle name="Normal 20 30 5" xfId="12127"/>
    <cellStyle name="Normal 20 30 6" xfId="12128"/>
    <cellStyle name="Normal 20 30 7" xfId="12129"/>
    <cellStyle name="Normal 20 30 8" xfId="12130"/>
    <cellStyle name="Normal 20 30 9" xfId="12131"/>
    <cellStyle name="Normal 20 31" xfId="12132"/>
    <cellStyle name="Normal 20 31 10" xfId="12133"/>
    <cellStyle name="Normal 20 31 11" xfId="12134"/>
    <cellStyle name="Normal 20 31 12" xfId="12135"/>
    <cellStyle name="Normal 20 31 13" xfId="12136"/>
    <cellStyle name="Normal 20 31 2" xfId="12137"/>
    <cellStyle name="Normal 20 31 3" xfId="12138"/>
    <cellStyle name="Normal 20 31 4" xfId="12139"/>
    <cellStyle name="Normal 20 31 5" xfId="12140"/>
    <cellStyle name="Normal 20 31 6" xfId="12141"/>
    <cellStyle name="Normal 20 31 7" xfId="12142"/>
    <cellStyle name="Normal 20 31 8" xfId="12143"/>
    <cellStyle name="Normal 20 31 9" xfId="12144"/>
    <cellStyle name="Normal 20 32" xfId="12145"/>
    <cellStyle name="Normal 20 32 10" xfId="12146"/>
    <cellStyle name="Normal 20 32 11" xfId="12147"/>
    <cellStyle name="Normal 20 32 12" xfId="12148"/>
    <cellStyle name="Normal 20 32 13" xfId="12149"/>
    <cellStyle name="Normal 20 32 2" xfId="12150"/>
    <cellStyle name="Normal 20 32 3" xfId="12151"/>
    <cellStyle name="Normal 20 32 4" xfId="12152"/>
    <cellStyle name="Normal 20 32 5" xfId="12153"/>
    <cellStyle name="Normal 20 32 6" xfId="12154"/>
    <cellStyle name="Normal 20 32 7" xfId="12155"/>
    <cellStyle name="Normal 20 32 8" xfId="12156"/>
    <cellStyle name="Normal 20 32 9" xfId="12157"/>
    <cellStyle name="Normal 20 33" xfId="12158"/>
    <cellStyle name="Normal 20 33 10" xfId="12159"/>
    <cellStyle name="Normal 20 33 11" xfId="12160"/>
    <cellStyle name="Normal 20 33 12" xfId="12161"/>
    <cellStyle name="Normal 20 33 13" xfId="12162"/>
    <cellStyle name="Normal 20 33 2" xfId="12163"/>
    <cellStyle name="Normal 20 33 3" xfId="12164"/>
    <cellStyle name="Normal 20 33 4" xfId="12165"/>
    <cellStyle name="Normal 20 33 5" xfId="12166"/>
    <cellStyle name="Normal 20 33 6" xfId="12167"/>
    <cellStyle name="Normal 20 33 7" xfId="12168"/>
    <cellStyle name="Normal 20 33 8" xfId="12169"/>
    <cellStyle name="Normal 20 33 9" xfId="12170"/>
    <cellStyle name="Normal 20 34" xfId="12171"/>
    <cellStyle name="Normal 20 34 10" xfId="12172"/>
    <cellStyle name="Normal 20 34 11" xfId="12173"/>
    <cellStyle name="Normal 20 34 12" xfId="12174"/>
    <cellStyle name="Normal 20 34 13" xfId="12175"/>
    <cellStyle name="Normal 20 34 2" xfId="12176"/>
    <cellStyle name="Normal 20 34 3" xfId="12177"/>
    <cellStyle name="Normal 20 34 4" xfId="12178"/>
    <cellStyle name="Normal 20 34 5" xfId="12179"/>
    <cellStyle name="Normal 20 34 6" xfId="12180"/>
    <cellStyle name="Normal 20 34 7" xfId="12181"/>
    <cellStyle name="Normal 20 34 8" xfId="12182"/>
    <cellStyle name="Normal 20 34 9" xfId="12183"/>
    <cellStyle name="Normal 20 35" xfId="12184"/>
    <cellStyle name="Normal 20 35 10" xfId="12185"/>
    <cellStyle name="Normal 20 35 11" xfId="12186"/>
    <cellStyle name="Normal 20 35 12" xfId="12187"/>
    <cellStyle name="Normal 20 35 13" xfId="12188"/>
    <cellStyle name="Normal 20 35 2" xfId="12189"/>
    <cellStyle name="Normal 20 35 3" xfId="12190"/>
    <cellStyle name="Normal 20 35 4" xfId="12191"/>
    <cellStyle name="Normal 20 35 5" xfId="12192"/>
    <cellStyle name="Normal 20 35 6" xfId="12193"/>
    <cellStyle name="Normal 20 35 7" xfId="12194"/>
    <cellStyle name="Normal 20 35 8" xfId="12195"/>
    <cellStyle name="Normal 20 35 9" xfId="12196"/>
    <cellStyle name="Normal 20 36" xfId="12197"/>
    <cellStyle name="Normal 20 36 10" xfId="12198"/>
    <cellStyle name="Normal 20 36 11" xfId="12199"/>
    <cellStyle name="Normal 20 36 12" xfId="12200"/>
    <cellStyle name="Normal 20 36 13" xfId="12201"/>
    <cellStyle name="Normal 20 36 2" xfId="12202"/>
    <cellStyle name="Normal 20 36 3" xfId="12203"/>
    <cellStyle name="Normal 20 36 4" xfId="12204"/>
    <cellStyle name="Normal 20 36 5" xfId="12205"/>
    <cellStyle name="Normal 20 36 6" xfId="12206"/>
    <cellStyle name="Normal 20 36 7" xfId="12207"/>
    <cellStyle name="Normal 20 36 8" xfId="12208"/>
    <cellStyle name="Normal 20 36 9" xfId="12209"/>
    <cellStyle name="Normal 20 37" xfId="12210"/>
    <cellStyle name="Normal 20 37 10" xfId="12211"/>
    <cellStyle name="Normal 20 37 11" xfId="12212"/>
    <cellStyle name="Normal 20 37 12" xfId="12213"/>
    <cellStyle name="Normal 20 37 13" xfId="12214"/>
    <cellStyle name="Normal 20 37 2" xfId="12215"/>
    <cellStyle name="Normal 20 37 3" xfId="12216"/>
    <cellStyle name="Normal 20 37 4" xfId="12217"/>
    <cellStyle name="Normal 20 37 5" xfId="12218"/>
    <cellStyle name="Normal 20 37 6" xfId="12219"/>
    <cellStyle name="Normal 20 37 7" xfId="12220"/>
    <cellStyle name="Normal 20 37 8" xfId="12221"/>
    <cellStyle name="Normal 20 37 9" xfId="12222"/>
    <cellStyle name="Normal 20 38" xfId="12223"/>
    <cellStyle name="Normal 20 38 10" xfId="12224"/>
    <cellStyle name="Normal 20 38 11" xfId="12225"/>
    <cellStyle name="Normal 20 38 12" xfId="12226"/>
    <cellStyle name="Normal 20 38 13" xfId="12227"/>
    <cellStyle name="Normal 20 38 2" xfId="12228"/>
    <cellStyle name="Normal 20 38 3" xfId="12229"/>
    <cellStyle name="Normal 20 38 4" xfId="12230"/>
    <cellStyle name="Normal 20 38 5" xfId="12231"/>
    <cellStyle name="Normal 20 38 6" xfId="12232"/>
    <cellStyle name="Normal 20 38 7" xfId="12233"/>
    <cellStyle name="Normal 20 38 8" xfId="12234"/>
    <cellStyle name="Normal 20 38 9" xfId="12235"/>
    <cellStyle name="Normal 20 39" xfId="12236"/>
    <cellStyle name="Normal 20 39 10" xfId="12237"/>
    <cellStyle name="Normal 20 39 11" xfId="12238"/>
    <cellStyle name="Normal 20 39 12" xfId="12239"/>
    <cellStyle name="Normal 20 39 13" xfId="12240"/>
    <cellStyle name="Normal 20 39 2" xfId="12241"/>
    <cellStyle name="Normal 20 39 3" xfId="12242"/>
    <cellStyle name="Normal 20 39 4" xfId="12243"/>
    <cellStyle name="Normal 20 39 5" xfId="12244"/>
    <cellStyle name="Normal 20 39 6" xfId="12245"/>
    <cellStyle name="Normal 20 39 7" xfId="12246"/>
    <cellStyle name="Normal 20 39 8" xfId="12247"/>
    <cellStyle name="Normal 20 39 9" xfId="12248"/>
    <cellStyle name="Normal 20 4" xfId="12249"/>
    <cellStyle name="Normal 20 4 10" xfId="12250"/>
    <cellStyle name="Normal 20 4 11" xfId="12251"/>
    <cellStyle name="Normal 20 4 12" xfId="12252"/>
    <cellStyle name="Normal 20 4 13" xfId="12253"/>
    <cellStyle name="Normal 20 4 2" xfId="12254"/>
    <cellStyle name="Normal 20 4 3" xfId="12255"/>
    <cellStyle name="Normal 20 4 4" xfId="12256"/>
    <cellStyle name="Normal 20 4 5" xfId="12257"/>
    <cellStyle name="Normal 20 4 6" xfId="12258"/>
    <cellStyle name="Normal 20 4 7" xfId="12259"/>
    <cellStyle name="Normal 20 4 8" xfId="12260"/>
    <cellStyle name="Normal 20 4 9" xfId="12261"/>
    <cellStyle name="Normal 20 40" xfId="12262"/>
    <cellStyle name="Normal 20 40 10" xfId="12263"/>
    <cellStyle name="Normal 20 40 11" xfId="12264"/>
    <cellStyle name="Normal 20 40 12" xfId="12265"/>
    <cellStyle name="Normal 20 40 13" xfId="12266"/>
    <cellStyle name="Normal 20 40 2" xfId="12267"/>
    <cellStyle name="Normal 20 40 3" xfId="12268"/>
    <cellStyle name="Normal 20 40 4" xfId="12269"/>
    <cellStyle name="Normal 20 40 5" xfId="12270"/>
    <cellStyle name="Normal 20 40 6" xfId="12271"/>
    <cellStyle name="Normal 20 40 7" xfId="12272"/>
    <cellStyle name="Normal 20 40 8" xfId="12273"/>
    <cellStyle name="Normal 20 40 9" xfId="12274"/>
    <cellStyle name="Normal 20 41" xfId="12275"/>
    <cellStyle name="Normal 20 41 10" xfId="12276"/>
    <cellStyle name="Normal 20 41 11" xfId="12277"/>
    <cellStyle name="Normal 20 41 12" xfId="12278"/>
    <cellStyle name="Normal 20 41 13" xfId="12279"/>
    <cellStyle name="Normal 20 41 2" xfId="12280"/>
    <cellStyle name="Normal 20 41 3" xfId="12281"/>
    <cellStyle name="Normal 20 41 4" xfId="12282"/>
    <cellStyle name="Normal 20 41 5" xfId="12283"/>
    <cellStyle name="Normal 20 41 6" xfId="12284"/>
    <cellStyle name="Normal 20 41 7" xfId="12285"/>
    <cellStyle name="Normal 20 41 8" xfId="12286"/>
    <cellStyle name="Normal 20 41 9" xfId="12287"/>
    <cellStyle name="Normal 20 42" xfId="12288"/>
    <cellStyle name="Normal 20 42 10" xfId="12289"/>
    <cellStyle name="Normal 20 42 11" xfId="12290"/>
    <cellStyle name="Normal 20 42 12" xfId="12291"/>
    <cellStyle name="Normal 20 42 13" xfId="12292"/>
    <cellStyle name="Normal 20 42 2" xfId="12293"/>
    <cellStyle name="Normal 20 42 3" xfId="12294"/>
    <cellStyle name="Normal 20 42 4" xfId="12295"/>
    <cellStyle name="Normal 20 42 5" xfId="12296"/>
    <cellStyle name="Normal 20 42 6" xfId="12297"/>
    <cellStyle name="Normal 20 42 7" xfId="12298"/>
    <cellStyle name="Normal 20 42 8" xfId="12299"/>
    <cellStyle name="Normal 20 42 9" xfId="12300"/>
    <cellStyle name="Normal 20 43" xfId="12301"/>
    <cellStyle name="Normal 20 43 10" xfId="12302"/>
    <cellStyle name="Normal 20 43 11" xfId="12303"/>
    <cellStyle name="Normal 20 43 12" xfId="12304"/>
    <cellStyle name="Normal 20 43 13" xfId="12305"/>
    <cellStyle name="Normal 20 43 2" xfId="12306"/>
    <cellStyle name="Normal 20 43 3" xfId="12307"/>
    <cellStyle name="Normal 20 43 4" xfId="12308"/>
    <cellStyle name="Normal 20 43 5" xfId="12309"/>
    <cellStyle name="Normal 20 43 6" xfId="12310"/>
    <cellStyle name="Normal 20 43 7" xfId="12311"/>
    <cellStyle name="Normal 20 43 8" xfId="12312"/>
    <cellStyle name="Normal 20 43 9" xfId="12313"/>
    <cellStyle name="Normal 20 44" xfId="12314"/>
    <cellStyle name="Normal 20 44 10" xfId="12315"/>
    <cellStyle name="Normal 20 44 11" xfId="12316"/>
    <cellStyle name="Normal 20 44 12" xfId="12317"/>
    <cellStyle name="Normal 20 44 13" xfId="12318"/>
    <cellStyle name="Normal 20 44 2" xfId="12319"/>
    <cellStyle name="Normal 20 44 3" xfId="12320"/>
    <cellStyle name="Normal 20 44 4" xfId="12321"/>
    <cellStyle name="Normal 20 44 5" xfId="12322"/>
    <cellStyle name="Normal 20 44 6" xfId="12323"/>
    <cellStyle name="Normal 20 44 7" xfId="12324"/>
    <cellStyle name="Normal 20 44 8" xfId="12325"/>
    <cellStyle name="Normal 20 44 9" xfId="12326"/>
    <cellStyle name="Normal 20 45" xfId="12327"/>
    <cellStyle name="Normal 20 45 10" xfId="12328"/>
    <cellStyle name="Normal 20 45 11" xfId="12329"/>
    <cellStyle name="Normal 20 45 12" xfId="12330"/>
    <cellStyle name="Normal 20 45 13" xfId="12331"/>
    <cellStyle name="Normal 20 45 2" xfId="12332"/>
    <cellStyle name="Normal 20 45 3" xfId="12333"/>
    <cellStyle name="Normal 20 45 4" xfId="12334"/>
    <cellStyle name="Normal 20 45 5" xfId="12335"/>
    <cellStyle name="Normal 20 45 6" xfId="12336"/>
    <cellStyle name="Normal 20 45 7" xfId="12337"/>
    <cellStyle name="Normal 20 45 8" xfId="12338"/>
    <cellStyle name="Normal 20 45 9" xfId="12339"/>
    <cellStyle name="Normal 20 46" xfId="12340"/>
    <cellStyle name="Normal 20 46 10" xfId="12341"/>
    <cellStyle name="Normal 20 46 11" xfId="12342"/>
    <cellStyle name="Normal 20 46 12" xfId="12343"/>
    <cellStyle name="Normal 20 46 13" xfId="12344"/>
    <cellStyle name="Normal 20 46 2" xfId="12345"/>
    <cellStyle name="Normal 20 46 3" xfId="12346"/>
    <cellStyle name="Normal 20 46 4" xfId="12347"/>
    <cellStyle name="Normal 20 46 5" xfId="12348"/>
    <cellStyle name="Normal 20 46 6" xfId="12349"/>
    <cellStyle name="Normal 20 46 7" xfId="12350"/>
    <cellStyle name="Normal 20 46 8" xfId="12351"/>
    <cellStyle name="Normal 20 46 9" xfId="12352"/>
    <cellStyle name="Normal 20 47" xfId="12353"/>
    <cellStyle name="Normal 20 47 10" xfId="12354"/>
    <cellStyle name="Normal 20 47 11" xfId="12355"/>
    <cellStyle name="Normal 20 47 12" xfId="12356"/>
    <cellStyle name="Normal 20 47 13" xfId="12357"/>
    <cellStyle name="Normal 20 47 2" xfId="12358"/>
    <cellStyle name="Normal 20 47 3" xfId="12359"/>
    <cellStyle name="Normal 20 47 4" xfId="12360"/>
    <cellStyle name="Normal 20 47 5" xfId="12361"/>
    <cellStyle name="Normal 20 47 6" xfId="12362"/>
    <cellStyle name="Normal 20 47 7" xfId="12363"/>
    <cellStyle name="Normal 20 47 8" xfId="12364"/>
    <cellStyle name="Normal 20 47 9" xfId="12365"/>
    <cellStyle name="Normal 20 48" xfId="12366"/>
    <cellStyle name="Normal 20 48 10" xfId="12367"/>
    <cellStyle name="Normal 20 48 11" xfId="12368"/>
    <cellStyle name="Normal 20 48 12" xfId="12369"/>
    <cellStyle name="Normal 20 48 13" xfId="12370"/>
    <cellStyle name="Normal 20 48 2" xfId="12371"/>
    <cellStyle name="Normal 20 48 3" xfId="12372"/>
    <cellStyle name="Normal 20 48 4" xfId="12373"/>
    <cellStyle name="Normal 20 48 5" xfId="12374"/>
    <cellStyle name="Normal 20 48 6" xfId="12375"/>
    <cellStyle name="Normal 20 48 7" xfId="12376"/>
    <cellStyle name="Normal 20 48 8" xfId="12377"/>
    <cellStyle name="Normal 20 48 9" xfId="12378"/>
    <cellStyle name="Normal 20 49" xfId="12379"/>
    <cellStyle name="Normal 20 49 10" xfId="12380"/>
    <cellStyle name="Normal 20 49 11" xfId="12381"/>
    <cellStyle name="Normal 20 49 12" xfId="12382"/>
    <cellStyle name="Normal 20 49 13" xfId="12383"/>
    <cellStyle name="Normal 20 49 2" xfId="12384"/>
    <cellStyle name="Normal 20 49 3" xfId="12385"/>
    <cellStyle name="Normal 20 49 4" xfId="12386"/>
    <cellStyle name="Normal 20 49 5" xfId="12387"/>
    <cellStyle name="Normal 20 49 6" xfId="12388"/>
    <cellStyle name="Normal 20 49 7" xfId="12389"/>
    <cellStyle name="Normal 20 49 8" xfId="12390"/>
    <cellStyle name="Normal 20 49 9" xfId="12391"/>
    <cellStyle name="Normal 20 5" xfId="12392"/>
    <cellStyle name="Normal 20 5 10" xfId="12393"/>
    <cellStyle name="Normal 20 5 11" xfId="12394"/>
    <cellStyle name="Normal 20 5 12" xfId="12395"/>
    <cellStyle name="Normal 20 5 13" xfId="12396"/>
    <cellStyle name="Normal 20 5 2" xfId="12397"/>
    <cellStyle name="Normal 20 5 3" xfId="12398"/>
    <cellStyle name="Normal 20 5 4" xfId="12399"/>
    <cellStyle name="Normal 20 5 5" xfId="12400"/>
    <cellStyle name="Normal 20 5 6" xfId="12401"/>
    <cellStyle name="Normal 20 5 7" xfId="12402"/>
    <cellStyle name="Normal 20 5 8" xfId="12403"/>
    <cellStyle name="Normal 20 5 9" xfId="12404"/>
    <cellStyle name="Normal 20 50" xfId="12405"/>
    <cellStyle name="Normal 20 50 10" xfId="12406"/>
    <cellStyle name="Normal 20 50 11" xfId="12407"/>
    <cellStyle name="Normal 20 50 12" xfId="12408"/>
    <cellStyle name="Normal 20 50 13" xfId="12409"/>
    <cellStyle name="Normal 20 50 2" xfId="12410"/>
    <cellStyle name="Normal 20 50 3" xfId="12411"/>
    <cellStyle name="Normal 20 50 4" xfId="12412"/>
    <cellStyle name="Normal 20 50 5" xfId="12413"/>
    <cellStyle name="Normal 20 50 6" xfId="12414"/>
    <cellStyle name="Normal 20 50 7" xfId="12415"/>
    <cellStyle name="Normal 20 50 8" xfId="12416"/>
    <cellStyle name="Normal 20 50 9" xfId="12417"/>
    <cellStyle name="Normal 20 51" xfId="12418"/>
    <cellStyle name="Normal 20 51 10" xfId="12419"/>
    <cellStyle name="Normal 20 51 11" xfId="12420"/>
    <cellStyle name="Normal 20 51 12" xfId="12421"/>
    <cellStyle name="Normal 20 51 13" xfId="12422"/>
    <cellStyle name="Normal 20 51 2" xfId="12423"/>
    <cellStyle name="Normal 20 51 3" xfId="12424"/>
    <cellStyle name="Normal 20 51 4" xfId="12425"/>
    <cellStyle name="Normal 20 51 5" xfId="12426"/>
    <cellStyle name="Normal 20 51 6" xfId="12427"/>
    <cellStyle name="Normal 20 51 7" xfId="12428"/>
    <cellStyle name="Normal 20 51 8" xfId="12429"/>
    <cellStyle name="Normal 20 51 9" xfId="12430"/>
    <cellStyle name="Normal 20 52" xfId="12431"/>
    <cellStyle name="Normal 20 52 10" xfId="12432"/>
    <cellStyle name="Normal 20 52 11" xfId="12433"/>
    <cellStyle name="Normal 20 52 12" xfId="12434"/>
    <cellStyle name="Normal 20 52 13" xfId="12435"/>
    <cellStyle name="Normal 20 52 2" xfId="12436"/>
    <cellStyle name="Normal 20 52 3" xfId="12437"/>
    <cellStyle name="Normal 20 52 4" xfId="12438"/>
    <cellStyle name="Normal 20 52 5" xfId="12439"/>
    <cellStyle name="Normal 20 52 6" xfId="12440"/>
    <cellStyle name="Normal 20 52 7" xfId="12441"/>
    <cellStyle name="Normal 20 52 8" xfId="12442"/>
    <cellStyle name="Normal 20 52 9" xfId="12443"/>
    <cellStyle name="Normal 20 53" xfId="12444"/>
    <cellStyle name="Normal 20 53 10" xfId="12445"/>
    <cellStyle name="Normal 20 53 11" xfId="12446"/>
    <cellStyle name="Normal 20 53 12" xfId="12447"/>
    <cellStyle name="Normal 20 53 13" xfId="12448"/>
    <cellStyle name="Normal 20 53 2" xfId="12449"/>
    <cellStyle name="Normal 20 53 3" xfId="12450"/>
    <cellStyle name="Normal 20 53 4" xfId="12451"/>
    <cellStyle name="Normal 20 53 5" xfId="12452"/>
    <cellStyle name="Normal 20 53 6" xfId="12453"/>
    <cellStyle name="Normal 20 53 7" xfId="12454"/>
    <cellStyle name="Normal 20 53 8" xfId="12455"/>
    <cellStyle name="Normal 20 53 9" xfId="12456"/>
    <cellStyle name="Normal 20 54" xfId="12457"/>
    <cellStyle name="Normal 20 54 10" xfId="12458"/>
    <cellStyle name="Normal 20 54 11" xfId="12459"/>
    <cellStyle name="Normal 20 54 12" xfId="12460"/>
    <cellStyle name="Normal 20 54 13" xfId="12461"/>
    <cellStyle name="Normal 20 54 2" xfId="12462"/>
    <cellStyle name="Normal 20 54 3" xfId="12463"/>
    <cellStyle name="Normal 20 54 4" xfId="12464"/>
    <cellStyle name="Normal 20 54 5" xfId="12465"/>
    <cellStyle name="Normal 20 54 6" xfId="12466"/>
    <cellStyle name="Normal 20 54 7" xfId="12467"/>
    <cellStyle name="Normal 20 54 8" xfId="12468"/>
    <cellStyle name="Normal 20 54 9" xfId="12469"/>
    <cellStyle name="Normal 20 55" xfId="12470"/>
    <cellStyle name="Normal 20 55 10" xfId="12471"/>
    <cellStyle name="Normal 20 55 11" xfId="12472"/>
    <cellStyle name="Normal 20 55 12" xfId="12473"/>
    <cellStyle name="Normal 20 55 13" xfId="12474"/>
    <cellStyle name="Normal 20 55 2" xfId="12475"/>
    <cellStyle name="Normal 20 55 3" xfId="12476"/>
    <cellStyle name="Normal 20 55 4" xfId="12477"/>
    <cellStyle name="Normal 20 55 5" xfId="12478"/>
    <cellStyle name="Normal 20 55 6" xfId="12479"/>
    <cellStyle name="Normal 20 55 7" xfId="12480"/>
    <cellStyle name="Normal 20 55 8" xfId="12481"/>
    <cellStyle name="Normal 20 55 9" xfId="12482"/>
    <cellStyle name="Normal 20 56" xfId="12483"/>
    <cellStyle name="Normal 20 56 10" xfId="12484"/>
    <cellStyle name="Normal 20 56 11" xfId="12485"/>
    <cellStyle name="Normal 20 56 12" xfId="12486"/>
    <cellStyle name="Normal 20 56 13" xfId="12487"/>
    <cellStyle name="Normal 20 56 2" xfId="12488"/>
    <cellStyle name="Normal 20 56 3" xfId="12489"/>
    <cellStyle name="Normal 20 56 4" xfId="12490"/>
    <cellStyle name="Normal 20 56 5" xfId="12491"/>
    <cellStyle name="Normal 20 56 6" xfId="12492"/>
    <cellStyle name="Normal 20 56 7" xfId="12493"/>
    <cellStyle name="Normal 20 56 8" xfId="12494"/>
    <cellStyle name="Normal 20 56 9" xfId="12495"/>
    <cellStyle name="Normal 20 57" xfId="12496"/>
    <cellStyle name="Normal 20 57 10" xfId="12497"/>
    <cellStyle name="Normal 20 57 11" xfId="12498"/>
    <cellStyle name="Normal 20 57 12" xfId="12499"/>
    <cellStyle name="Normal 20 57 13" xfId="12500"/>
    <cellStyle name="Normal 20 57 2" xfId="12501"/>
    <cellStyle name="Normal 20 57 3" xfId="12502"/>
    <cellStyle name="Normal 20 57 4" xfId="12503"/>
    <cellStyle name="Normal 20 57 5" xfId="12504"/>
    <cellStyle name="Normal 20 57 6" xfId="12505"/>
    <cellStyle name="Normal 20 57 7" xfId="12506"/>
    <cellStyle name="Normal 20 57 8" xfId="12507"/>
    <cellStyle name="Normal 20 57 9" xfId="12508"/>
    <cellStyle name="Normal 20 58" xfId="12509"/>
    <cellStyle name="Normal 20 58 10" xfId="12510"/>
    <cellStyle name="Normal 20 58 11" xfId="12511"/>
    <cellStyle name="Normal 20 58 12" xfId="12512"/>
    <cellStyle name="Normal 20 58 13" xfId="12513"/>
    <cellStyle name="Normal 20 58 2" xfId="12514"/>
    <cellStyle name="Normal 20 58 3" xfId="12515"/>
    <cellStyle name="Normal 20 58 4" xfId="12516"/>
    <cellStyle name="Normal 20 58 5" xfId="12517"/>
    <cellStyle name="Normal 20 58 6" xfId="12518"/>
    <cellStyle name="Normal 20 58 7" xfId="12519"/>
    <cellStyle name="Normal 20 58 8" xfId="12520"/>
    <cellStyle name="Normal 20 58 9" xfId="12521"/>
    <cellStyle name="Normal 20 59" xfId="12522"/>
    <cellStyle name="Normal 20 59 10" xfId="12523"/>
    <cellStyle name="Normal 20 59 11" xfId="12524"/>
    <cellStyle name="Normal 20 59 12" xfId="12525"/>
    <cellStyle name="Normal 20 59 13" xfId="12526"/>
    <cellStyle name="Normal 20 59 2" xfId="12527"/>
    <cellStyle name="Normal 20 59 3" xfId="12528"/>
    <cellStyle name="Normal 20 59 4" xfId="12529"/>
    <cellStyle name="Normal 20 59 5" xfId="12530"/>
    <cellStyle name="Normal 20 59 6" xfId="12531"/>
    <cellStyle name="Normal 20 59 7" xfId="12532"/>
    <cellStyle name="Normal 20 59 8" xfId="12533"/>
    <cellStyle name="Normal 20 59 9" xfId="12534"/>
    <cellStyle name="Normal 20 6" xfId="12535"/>
    <cellStyle name="Normal 20 6 10" xfId="12536"/>
    <cellStyle name="Normal 20 6 11" xfId="12537"/>
    <cellStyle name="Normal 20 6 12" xfId="12538"/>
    <cellStyle name="Normal 20 6 13" xfId="12539"/>
    <cellStyle name="Normal 20 6 2" xfId="12540"/>
    <cellStyle name="Normal 20 6 3" xfId="12541"/>
    <cellStyle name="Normal 20 6 4" xfId="12542"/>
    <cellStyle name="Normal 20 6 5" xfId="12543"/>
    <cellStyle name="Normal 20 6 6" xfId="12544"/>
    <cellStyle name="Normal 20 6 7" xfId="12545"/>
    <cellStyle name="Normal 20 6 8" xfId="12546"/>
    <cellStyle name="Normal 20 6 9" xfId="12547"/>
    <cellStyle name="Normal 20 60" xfId="12548"/>
    <cellStyle name="Normal 20 60 10" xfId="12549"/>
    <cellStyle name="Normal 20 60 11" xfId="12550"/>
    <cellStyle name="Normal 20 60 12" xfId="12551"/>
    <cellStyle name="Normal 20 60 13" xfId="12552"/>
    <cellStyle name="Normal 20 60 2" xfId="12553"/>
    <cellStyle name="Normal 20 60 3" xfId="12554"/>
    <cellStyle name="Normal 20 60 4" xfId="12555"/>
    <cellStyle name="Normal 20 60 5" xfId="12556"/>
    <cellStyle name="Normal 20 60 6" xfId="12557"/>
    <cellStyle name="Normal 20 60 7" xfId="12558"/>
    <cellStyle name="Normal 20 60 8" xfId="12559"/>
    <cellStyle name="Normal 20 60 9" xfId="12560"/>
    <cellStyle name="Normal 20 61" xfId="12561"/>
    <cellStyle name="Normal 20 61 10" xfId="12562"/>
    <cellStyle name="Normal 20 61 11" xfId="12563"/>
    <cellStyle name="Normal 20 61 12" xfId="12564"/>
    <cellStyle name="Normal 20 61 13" xfId="12565"/>
    <cellStyle name="Normal 20 61 2" xfId="12566"/>
    <cellStyle name="Normal 20 61 3" xfId="12567"/>
    <cellStyle name="Normal 20 61 4" xfId="12568"/>
    <cellStyle name="Normal 20 61 5" xfId="12569"/>
    <cellStyle name="Normal 20 61 6" xfId="12570"/>
    <cellStyle name="Normal 20 61 7" xfId="12571"/>
    <cellStyle name="Normal 20 61 8" xfId="12572"/>
    <cellStyle name="Normal 20 61 9" xfId="12573"/>
    <cellStyle name="Normal 20 62" xfId="12574"/>
    <cellStyle name="Normal 20 62 10" xfId="12575"/>
    <cellStyle name="Normal 20 62 11" xfId="12576"/>
    <cellStyle name="Normal 20 62 12" xfId="12577"/>
    <cellStyle name="Normal 20 62 13" xfId="12578"/>
    <cellStyle name="Normal 20 62 2" xfId="12579"/>
    <cellStyle name="Normal 20 62 3" xfId="12580"/>
    <cellStyle name="Normal 20 62 4" xfId="12581"/>
    <cellStyle name="Normal 20 62 5" xfId="12582"/>
    <cellStyle name="Normal 20 62 6" xfId="12583"/>
    <cellStyle name="Normal 20 62 7" xfId="12584"/>
    <cellStyle name="Normal 20 62 8" xfId="12585"/>
    <cellStyle name="Normal 20 62 9" xfId="12586"/>
    <cellStyle name="Normal 20 63" xfId="12587"/>
    <cellStyle name="Normal 20 63 10" xfId="12588"/>
    <cellStyle name="Normal 20 63 11" xfId="12589"/>
    <cellStyle name="Normal 20 63 12" xfId="12590"/>
    <cellStyle name="Normal 20 63 13" xfId="12591"/>
    <cellStyle name="Normal 20 63 2" xfId="12592"/>
    <cellStyle name="Normal 20 63 3" xfId="12593"/>
    <cellStyle name="Normal 20 63 4" xfId="12594"/>
    <cellStyle name="Normal 20 63 5" xfId="12595"/>
    <cellStyle name="Normal 20 63 6" xfId="12596"/>
    <cellStyle name="Normal 20 63 7" xfId="12597"/>
    <cellStyle name="Normal 20 63 8" xfId="12598"/>
    <cellStyle name="Normal 20 63 9" xfId="12599"/>
    <cellStyle name="Normal 20 64" xfId="12600"/>
    <cellStyle name="Normal 20 64 10" xfId="12601"/>
    <cellStyle name="Normal 20 64 11" xfId="12602"/>
    <cellStyle name="Normal 20 64 12" xfId="12603"/>
    <cellStyle name="Normal 20 64 13" xfId="12604"/>
    <cellStyle name="Normal 20 64 2" xfId="12605"/>
    <cellStyle name="Normal 20 64 3" xfId="12606"/>
    <cellStyle name="Normal 20 64 4" xfId="12607"/>
    <cellStyle name="Normal 20 64 5" xfId="12608"/>
    <cellStyle name="Normal 20 64 6" xfId="12609"/>
    <cellStyle name="Normal 20 64 7" xfId="12610"/>
    <cellStyle name="Normal 20 64 8" xfId="12611"/>
    <cellStyle name="Normal 20 64 9" xfId="12612"/>
    <cellStyle name="Normal 20 65" xfId="12613"/>
    <cellStyle name="Normal 20 65 10" xfId="12614"/>
    <cellStyle name="Normal 20 65 11" xfId="12615"/>
    <cellStyle name="Normal 20 65 12" xfId="12616"/>
    <cellStyle name="Normal 20 65 13" xfId="12617"/>
    <cellStyle name="Normal 20 65 2" xfId="12618"/>
    <cellStyle name="Normal 20 65 3" xfId="12619"/>
    <cellStyle name="Normal 20 65 4" xfId="12620"/>
    <cellStyle name="Normal 20 65 5" xfId="12621"/>
    <cellStyle name="Normal 20 65 6" xfId="12622"/>
    <cellStyle name="Normal 20 65 7" xfId="12623"/>
    <cellStyle name="Normal 20 65 8" xfId="12624"/>
    <cellStyle name="Normal 20 65 9" xfId="12625"/>
    <cellStyle name="Normal 20 66" xfId="12626"/>
    <cellStyle name="Normal 20 66 10" xfId="12627"/>
    <cellStyle name="Normal 20 66 11" xfId="12628"/>
    <cellStyle name="Normal 20 66 12" xfId="12629"/>
    <cellStyle name="Normal 20 66 13" xfId="12630"/>
    <cellStyle name="Normal 20 66 2" xfId="12631"/>
    <cellStyle name="Normal 20 66 3" xfId="12632"/>
    <cellStyle name="Normal 20 66 4" xfId="12633"/>
    <cellStyle name="Normal 20 66 5" xfId="12634"/>
    <cellStyle name="Normal 20 66 6" xfId="12635"/>
    <cellStyle name="Normal 20 66 7" xfId="12636"/>
    <cellStyle name="Normal 20 66 8" xfId="12637"/>
    <cellStyle name="Normal 20 66 9" xfId="12638"/>
    <cellStyle name="Normal 20 67" xfId="12639"/>
    <cellStyle name="Normal 20 67 10" xfId="12640"/>
    <cellStyle name="Normal 20 67 11" xfId="12641"/>
    <cellStyle name="Normal 20 67 12" xfId="12642"/>
    <cellStyle name="Normal 20 67 13" xfId="12643"/>
    <cellStyle name="Normal 20 67 2" xfId="12644"/>
    <cellStyle name="Normal 20 67 3" xfId="12645"/>
    <cellStyle name="Normal 20 67 4" xfId="12646"/>
    <cellStyle name="Normal 20 67 5" xfId="12647"/>
    <cellStyle name="Normal 20 67 6" xfId="12648"/>
    <cellStyle name="Normal 20 67 7" xfId="12649"/>
    <cellStyle name="Normal 20 67 8" xfId="12650"/>
    <cellStyle name="Normal 20 67 9" xfId="12651"/>
    <cellStyle name="Normal 20 68" xfId="12652"/>
    <cellStyle name="Normal 20 68 10" xfId="12653"/>
    <cellStyle name="Normal 20 68 11" xfId="12654"/>
    <cellStyle name="Normal 20 68 12" xfId="12655"/>
    <cellStyle name="Normal 20 68 13" xfId="12656"/>
    <cellStyle name="Normal 20 68 2" xfId="12657"/>
    <cellStyle name="Normal 20 68 3" xfId="12658"/>
    <cellStyle name="Normal 20 68 4" xfId="12659"/>
    <cellStyle name="Normal 20 68 5" xfId="12660"/>
    <cellStyle name="Normal 20 68 6" xfId="12661"/>
    <cellStyle name="Normal 20 68 7" xfId="12662"/>
    <cellStyle name="Normal 20 68 8" xfId="12663"/>
    <cellStyle name="Normal 20 68 9" xfId="12664"/>
    <cellStyle name="Normal 20 69" xfId="12665"/>
    <cellStyle name="Normal 20 69 10" xfId="12666"/>
    <cellStyle name="Normal 20 69 11" xfId="12667"/>
    <cellStyle name="Normal 20 69 12" xfId="12668"/>
    <cellStyle name="Normal 20 69 13" xfId="12669"/>
    <cellStyle name="Normal 20 69 2" xfId="12670"/>
    <cellStyle name="Normal 20 69 3" xfId="12671"/>
    <cellStyle name="Normal 20 69 4" xfId="12672"/>
    <cellStyle name="Normal 20 69 5" xfId="12673"/>
    <cellStyle name="Normal 20 69 6" xfId="12674"/>
    <cellStyle name="Normal 20 69 7" xfId="12675"/>
    <cellStyle name="Normal 20 69 8" xfId="12676"/>
    <cellStyle name="Normal 20 69 9" xfId="12677"/>
    <cellStyle name="Normal 20 7" xfId="12678"/>
    <cellStyle name="Normal 20 7 10" xfId="12679"/>
    <cellStyle name="Normal 20 7 11" xfId="12680"/>
    <cellStyle name="Normal 20 7 12" xfId="12681"/>
    <cellStyle name="Normal 20 7 13" xfId="12682"/>
    <cellStyle name="Normal 20 7 2" xfId="12683"/>
    <cellStyle name="Normal 20 7 3" xfId="12684"/>
    <cellStyle name="Normal 20 7 4" xfId="12685"/>
    <cellStyle name="Normal 20 7 5" xfId="12686"/>
    <cellStyle name="Normal 20 7 6" xfId="12687"/>
    <cellStyle name="Normal 20 7 7" xfId="12688"/>
    <cellStyle name="Normal 20 7 8" xfId="12689"/>
    <cellStyle name="Normal 20 7 9" xfId="12690"/>
    <cellStyle name="Normal 20 70" xfId="12691"/>
    <cellStyle name="Normal 20 70 10" xfId="12692"/>
    <cellStyle name="Normal 20 70 11" xfId="12693"/>
    <cellStyle name="Normal 20 70 12" xfId="12694"/>
    <cellStyle name="Normal 20 70 13" xfId="12695"/>
    <cellStyle name="Normal 20 70 2" xfId="12696"/>
    <cellStyle name="Normal 20 70 3" xfId="12697"/>
    <cellStyle name="Normal 20 70 4" xfId="12698"/>
    <cellStyle name="Normal 20 70 5" xfId="12699"/>
    <cellStyle name="Normal 20 70 6" xfId="12700"/>
    <cellStyle name="Normal 20 70 7" xfId="12701"/>
    <cellStyle name="Normal 20 70 8" xfId="12702"/>
    <cellStyle name="Normal 20 70 9" xfId="12703"/>
    <cellStyle name="Normal 20 71" xfId="12704"/>
    <cellStyle name="Normal 20 71 10" xfId="12705"/>
    <cellStyle name="Normal 20 71 11" xfId="12706"/>
    <cellStyle name="Normal 20 71 12" xfId="12707"/>
    <cellStyle name="Normal 20 71 13" xfId="12708"/>
    <cellStyle name="Normal 20 71 2" xfId="12709"/>
    <cellStyle name="Normal 20 71 3" xfId="12710"/>
    <cellStyle name="Normal 20 71 4" xfId="12711"/>
    <cellStyle name="Normal 20 71 5" xfId="12712"/>
    <cellStyle name="Normal 20 71 6" xfId="12713"/>
    <cellStyle name="Normal 20 71 7" xfId="12714"/>
    <cellStyle name="Normal 20 71 8" xfId="12715"/>
    <cellStyle name="Normal 20 71 9" xfId="12716"/>
    <cellStyle name="Normal 20 72" xfId="12717"/>
    <cellStyle name="Normal 20 73" xfId="12718"/>
    <cellStyle name="Normal 20 74" xfId="12719"/>
    <cellStyle name="Normal 20 75" xfId="12720"/>
    <cellStyle name="Normal 20 76" xfId="12721"/>
    <cellStyle name="Normal 20 77" xfId="12722"/>
    <cellStyle name="Normal 20 78" xfId="12723"/>
    <cellStyle name="Normal 20 79" xfId="12724"/>
    <cellStyle name="Normal 20 8" xfId="12725"/>
    <cellStyle name="Normal 20 8 10" xfId="12726"/>
    <cellStyle name="Normal 20 8 11" xfId="12727"/>
    <cellStyle name="Normal 20 8 12" xfId="12728"/>
    <cellStyle name="Normal 20 8 13" xfId="12729"/>
    <cellStyle name="Normal 20 8 2" xfId="12730"/>
    <cellStyle name="Normal 20 8 3" xfId="12731"/>
    <cellStyle name="Normal 20 8 4" xfId="12732"/>
    <cellStyle name="Normal 20 8 5" xfId="12733"/>
    <cellStyle name="Normal 20 8 6" xfId="12734"/>
    <cellStyle name="Normal 20 8 7" xfId="12735"/>
    <cellStyle name="Normal 20 8 8" xfId="12736"/>
    <cellStyle name="Normal 20 8 9" xfId="12737"/>
    <cellStyle name="Normal 20 80" xfId="12738"/>
    <cellStyle name="Normal 20 81" xfId="12739"/>
    <cellStyle name="Normal 20 82" xfId="12740"/>
    <cellStyle name="Normal 20 83" xfId="12741"/>
    <cellStyle name="Normal 20 9" xfId="12742"/>
    <cellStyle name="Normal 20 9 10" xfId="12743"/>
    <cellStyle name="Normal 20 9 11" xfId="12744"/>
    <cellStyle name="Normal 20 9 12" xfId="12745"/>
    <cellStyle name="Normal 20 9 13" xfId="12746"/>
    <cellStyle name="Normal 20 9 2" xfId="12747"/>
    <cellStyle name="Normal 20 9 3" xfId="12748"/>
    <cellStyle name="Normal 20 9 4" xfId="12749"/>
    <cellStyle name="Normal 20 9 5" xfId="12750"/>
    <cellStyle name="Normal 20 9 6" xfId="12751"/>
    <cellStyle name="Normal 20 9 7" xfId="12752"/>
    <cellStyle name="Normal 20 9 8" xfId="12753"/>
    <cellStyle name="Normal 20 9 9" xfId="12754"/>
    <cellStyle name="Normal 21" xfId="12755"/>
    <cellStyle name="Normal 21 10" xfId="12756"/>
    <cellStyle name="Normal 21 10 10" xfId="12757"/>
    <cellStyle name="Normal 21 10 11" xfId="12758"/>
    <cellStyle name="Normal 21 10 12" xfId="12759"/>
    <cellStyle name="Normal 21 10 13" xfId="12760"/>
    <cellStyle name="Normal 21 10 2" xfId="12761"/>
    <cellStyle name="Normal 21 10 3" xfId="12762"/>
    <cellStyle name="Normal 21 10 4" xfId="12763"/>
    <cellStyle name="Normal 21 10 5" xfId="12764"/>
    <cellStyle name="Normal 21 10 6" xfId="12765"/>
    <cellStyle name="Normal 21 10 7" xfId="12766"/>
    <cellStyle name="Normal 21 10 8" xfId="12767"/>
    <cellStyle name="Normal 21 10 9" xfId="12768"/>
    <cellStyle name="Normal 21 11" xfId="12769"/>
    <cellStyle name="Normal 21 11 10" xfId="12770"/>
    <cellStyle name="Normal 21 11 11" xfId="12771"/>
    <cellStyle name="Normal 21 11 12" xfId="12772"/>
    <cellStyle name="Normal 21 11 13" xfId="12773"/>
    <cellStyle name="Normal 21 11 2" xfId="12774"/>
    <cellStyle name="Normal 21 11 3" xfId="12775"/>
    <cellStyle name="Normal 21 11 4" xfId="12776"/>
    <cellStyle name="Normal 21 11 5" xfId="12777"/>
    <cellStyle name="Normal 21 11 6" xfId="12778"/>
    <cellStyle name="Normal 21 11 7" xfId="12779"/>
    <cellStyle name="Normal 21 11 8" xfId="12780"/>
    <cellStyle name="Normal 21 11 9" xfId="12781"/>
    <cellStyle name="Normal 21 12" xfId="12782"/>
    <cellStyle name="Normal 21 12 10" xfId="12783"/>
    <cellStyle name="Normal 21 12 11" xfId="12784"/>
    <cellStyle name="Normal 21 12 12" xfId="12785"/>
    <cellStyle name="Normal 21 12 13" xfId="12786"/>
    <cellStyle name="Normal 21 12 2" xfId="12787"/>
    <cellStyle name="Normal 21 12 3" xfId="12788"/>
    <cellStyle name="Normal 21 12 4" xfId="12789"/>
    <cellStyle name="Normal 21 12 5" xfId="12790"/>
    <cellStyle name="Normal 21 12 6" xfId="12791"/>
    <cellStyle name="Normal 21 12 7" xfId="12792"/>
    <cellStyle name="Normal 21 12 8" xfId="12793"/>
    <cellStyle name="Normal 21 12 9" xfId="12794"/>
    <cellStyle name="Normal 21 13" xfId="12795"/>
    <cellStyle name="Normal 21 13 10" xfId="12796"/>
    <cellStyle name="Normal 21 13 11" xfId="12797"/>
    <cellStyle name="Normal 21 13 12" xfId="12798"/>
    <cellStyle name="Normal 21 13 13" xfId="12799"/>
    <cellStyle name="Normal 21 13 2" xfId="12800"/>
    <cellStyle name="Normal 21 13 3" xfId="12801"/>
    <cellStyle name="Normal 21 13 4" xfId="12802"/>
    <cellStyle name="Normal 21 13 5" xfId="12803"/>
    <cellStyle name="Normal 21 13 6" xfId="12804"/>
    <cellStyle name="Normal 21 13 7" xfId="12805"/>
    <cellStyle name="Normal 21 13 8" xfId="12806"/>
    <cellStyle name="Normal 21 13 9" xfId="12807"/>
    <cellStyle name="Normal 21 14" xfId="12808"/>
    <cellStyle name="Normal 21 14 10" xfId="12809"/>
    <cellStyle name="Normal 21 14 11" xfId="12810"/>
    <cellStyle name="Normal 21 14 12" xfId="12811"/>
    <cellStyle name="Normal 21 14 13" xfId="12812"/>
    <cellStyle name="Normal 21 14 2" xfId="12813"/>
    <cellStyle name="Normal 21 14 3" xfId="12814"/>
    <cellStyle name="Normal 21 14 4" xfId="12815"/>
    <cellStyle name="Normal 21 14 5" xfId="12816"/>
    <cellStyle name="Normal 21 14 6" xfId="12817"/>
    <cellStyle name="Normal 21 14 7" xfId="12818"/>
    <cellStyle name="Normal 21 14 8" xfId="12819"/>
    <cellStyle name="Normal 21 14 9" xfId="12820"/>
    <cellStyle name="Normal 21 15" xfId="12821"/>
    <cellStyle name="Normal 21 15 10" xfId="12822"/>
    <cellStyle name="Normal 21 15 11" xfId="12823"/>
    <cellStyle name="Normal 21 15 12" xfId="12824"/>
    <cellStyle name="Normal 21 15 13" xfId="12825"/>
    <cellStyle name="Normal 21 15 2" xfId="12826"/>
    <cellStyle name="Normal 21 15 3" xfId="12827"/>
    <cellStyle name="Normal 21 15 4" xfId="12828"/>
    <cellStyle name="Normal 21 15 5" xfId="12829"/>
    <cellStyle name="Normal 21 15 6" xfId="12830"/>
    <cellStyle name="Normal 21 15 7" xfId="12831"/>
    <cellStyle name="Normal 21 15 8" xfId="12832"/>
    <cellStyle name="Normal 21 15 9" xfId="12833"/>
    <cellStyle name="Normal 21 16" xfId="12834"/>
    <cellStyle name="Normal 21 16 10" xfId="12835"/>
    <cellStyle name="Normal 21 16 11" xfId="12836"/>
    <cellStyle name="Normal 21 16 12" xfId="12837"/>
    <cellStyle name="Normal 21 16 13" xfId="12838"/>
    <cellStyle name="Normal 21 16 2" xfId="12839"/>
    <cellStyle name="Normal 21 16 3" xfId="12840"/>
    <cellStyle name="Normal 21 16 4" xfId="12841"/>
    <cellStyle name="Normal 21 16 5" xfId="12842"/>
    <cellStyle name="Normal 21 16 6" xfId="12843"/>
    <cellStyle name="Normal 21 16 7" xfId="12844"/>
    <cellStyle name="Normal 21 16 8" xfId="12845"/>
    <cellStyle name="Normal 21 16 9" xfId="12846"/>
    <cellStyle name="Normal 21 17" xfId="12847"/>
    <cellStyle name="Normal 21 17 10" xfId="12848"/>
    <cellStyle name="Normal 21 17 11" xfId="12849"/>
    <cellStyle name="Normal 21 17 12" xfId="12850"/>
    <cellStyle name="Normal 21 17 13" xfId="12851"/>
    <cellStyle name="Normal 21 17 2" xfId="12852"/>
    <cellStyle name="Normal 21 17 3" xfId="12853"/>
    <cellStyle name="Normal 21 17 4" xfId="12854"/>
    <cellStyle name="Normal 21 17 5" xfId="12855"/>
    <cellStyle name="Normal 21 17 6" xfId="12856"/>
    <cellStyle name="Normal 21 17 7" xfId="12857"/>
    <cellStyle name="Normal 21 17 8" xfId="12858"/>
    <cellStyle name="Normal 21 17 9" xfId="12859"/>
    <cellStyle name="Normal 21 18" xfId="12860"/>
    <cellStyle name="Normal 21 18 10" xfId="12861"/>
    <cellStyle name="Normal 21 18 11" xfId="12862"/>
    <cellStyle name="Normal 21 18 12" xfId="12863"/>
    <cellStyle name="Normal 21 18 13" xfId="12864"/>
    <cellStyle name="Normal 21 18 2" xfId="12865"/>
    <cellStyle name="Normal 21 18 3" xfId="12866"/>
    <cellStyle name="Normal 21 18 4" xfId="12867"/>
    <cellStyle name="Normal 21 18 5" xfId="12868"/>
    <cellStyle name="Normal 21 18 6" xfId="12869"/>
    <cellStyle name="Normal 21 18 7" xfId="12870"/>
    <cellStyle name="Normal 21 18 8" xfId="12871"/>
    <cellStyle name="Normal 21 18 9" xfId="12872"/>
    <cellStyle name="Normal 21 19" xfId="12873"/>
    <cellStyle name="Normal 21 19 10" xfId="12874"/>
    <cellStyle name="Normal 21 19 11" xfId="12875"/>
    <cellStyle name="Normal 21 19 12" xfId="12876"/>
    <cellStyle name="Normal 21 19 13" xfId="12877"/>
    <cellStyle name="Normal 21 19 2" xfId="12878"/>
    <cellStyle name="Normal 21 19 3" xfId="12879"/>
    <cellStyle name="Normal 21 19 4" xfId="12880"/>
    <cellStyle name="Normal 21 19 5" xfId="12881"/>
    <cellStyle name="Normal 21 19 6" xfId="12882"/>
    <cellStyle name="Normal 21 19 7" xfId="12883"/>
    <cellStyle name="Normal 21 19 8" xfId="12884"/>
    <cellStyle name="Normal 21 19 9" xfId="12885"/>
    <cellStyle name="Normal 21 2" xfId="12886"/>
    <cellStyle name="Normal 21 2 10" xfId="12887"/>
    <cellStyle name="Normal 21 2 11" xfId="12888"/>
    <cellStyle name="Normal 21 2 12" xfId="12889"/>
    <cellStyle name="Normal 21 2 13" xfId="12890"/>
    <cellStyle name="Normal 21 2 2" xfId="12891"/>
    <cellStyle name="Normal 21 2 3" xfId="12892"/>
    <cellStyle name="Normal 21 2 4" xfId="12893"/>
    <cellStyle name="Normal 21 2 5" xfId="12894"/>
    <cellStyle name="Normal 21 2 6" xfId="12895"/>
    <cellStyle name="Normal 21 2 7" xfId="12896"/>
    <cellStyle name="Normal 21 2 8" xfId="12897"/>
    <cellStyle name="Normal 21 2 9" xfId="12898"/>
    <cellStyle name="Normal 21 20" xfId="12899"/>
    <cellStyle name="Normal 21 20 10" xfId="12900"/>
    <cellStyle name="Normal 21 20 11" xfId="12901"/>
    <cellStyle name="Normal 21 20 12" xfId="12902"/>
    <cellStyle name="Normal 21 20 13" xfId="12903"/>
    <cellStyle name="Normal 21 20 2" xfId="12904"/>
    <cellStyle name="Normal 21 20 3" xfId="12905"/>
    <cellStyle name="Normal 21 20 4" xfId="12906"/>
    <cellStyle name="Normal 21 20 5" xfId="12907"/>
    <cellStyle name="Normal 21 20 6" xfId="12908"/>
    <cellStyle name="Normal 21 20 7" xfId="12909"/>
    <cellStyle name="Normal 21 20 8" xfId="12910"/>
    <cellStyle name="Normal 21 20 9" xfId="12911"/>
    <cellStyle name="Normal 21 21" xfId="12912"/>
    <cellStyle name="Normal 21 21 10" xfId="12913"/>
    <cellStyle name="Normal 21 21 11" xfId="12914"/>
    <cellStyle name="Normal 21 21 12" xfId="12915"/>
    <cellStyle name="Normal 21 21 13" xfId="12916"/>
    <cellStyle name="Normal 21 21 2" xfId="12917"/>
    <cellStyle name="Normal 21 21 3" xfId="12918"/>
    <cellStyle name="Normal 21 21 4" xfId="12919"/>
    <cellStyle name="Normal 21 21 5" xfId="12920"/>
    <cellStyle name="Normal 21 21 6" xfId="12921"/>
    <cellStyle name="Normal 21 21 7" xfId="12922"/>
    <cellStyle name="Normal 21 21 8" xfId="12923"/>
    <cellStyle name="Normal 21 21 9" xfId="12924"/>
    <cellStyle name="Normal 21 22" xfId="12925"/>
    <cellStyle name="Normal 21 22 10" xfId="12926"/>
    <cellStyle name="Normal 21 22 11" xfId="12927"/>
    <cellStyle name="Normal 21 22 12" xfId="12928"/>
    <cellStyle name="Normal 21 22 13" xfId="12929"/>
    <cellStyle name="Normal 21 22 2" xfId="12930"/>
    <cellStyle name="Normal 21 22 3" xfId="12931"/>
    <cellStyle name="Normal 21 22 4" xfId="12932"/>
    <cellStyle name="Normal 21 22 5" xfId="12933"/>
    <cellStyle name="Normal 21 22 6" xfId="12934"/>
    <cellStyle name="Normal 21 22 7" xfId="12935"/>
    <cellStyle name="Normal 21 22 8" xfId="12936"/>
    <cellStyle name="Normal 21 22 9" xfId="12937"/>
    <cellStyle name="Normal 21 23" xfId="12938"/>
    <cellStyle name="Normal 21 23 10" xfId="12939"/>
    <cellStyle name="Normal 21 23 11" xfId="12940"/>
    <cellStyle name="Normal 21 23 12" xfId="12941"/>
    <cellStyle name="Normal 21 23 13" xfId="12942"/>
    <cellStyle name="Normal 21 23 2" xfId="12943"/>
    <cellStyle name="Normal 21 23 3" xfId="12944"/>
    <cellStyle name="Normal 21 23 4" xfId="12945"/>
    <cellStyle name="Normal 21 23 5" xfId="12946"/>
    <cellStyle name="Normal 21 23 6" xfId="12947"/>
    <cellStyle name="Normal 21 23 7" xfId="12948"/>
    <cellStyle name="Normal 21 23 8" xfId="12949"/>
    <cellStyle name="Normal 21 23 9" xfId="12950"/>
    <cellStyle name="Normal 21 24" xfId="12951"/>
    <cellStyle name="Normal 21 24 10" xfId="12952"/>
    <cellStyle name="Normal 21 24 11" xfId="12953"/>
    <cellStyle name="Normal 21 24 12" xfId="12954"/>
    <cellStyle name="Normal 21 24 13" xfId="12955"/>
    <cellStyle name="Normal 21 24 2" xfId="12956"/>
    <cellStyle name="Normal 21 24 3" xfId="12957"/>
    <cellStyle name="Normal 21 24 4" xfId="12958"/>
    <cellStyle name="Normal 21 24 5" xfId="12959"/>
    <cellStyle name="Normal 21 24 6" xfId="12960"/>
    <cellStyle name="Normal 21 24 7" xfId="12961"/>
    <cellStyle name="Normal 21 24 8" xfId="12962"/>
    <cellStyle name="Normal 21 24 9" xfId="12963"/>
    <cellStyle name="Normal 21 25" xfId="12964"/>
    <cellStyle name="Normal 21 25 10" xfId="12965"/>
    <cellStyle name="Normal 21 25 11" xfId="12966"/>
    <cellStyle name="Normal 21 25 12" xfId="12967"/>
    <cellStyle name="Normal 21 25 13" xfId="12968"/>
    <cellStyle name="Normal 21 25 2" xfId="12969"/>
    <cellStyle name="Normal 21 25 3" xfId="12970"/>
    <cellStyle name="Normal 21 25 4" xfId="12971"/>
    <cellStyle name="Normal 21 25 5" xfId="12972"/>
    <cellStyle name="Normal 21 25 6" xfId="12973"/>
    <cellStyle name="Normal 21 25 7" xfId="12974"/>
    <cellStyle name="Normal 21 25 8" xfId="12975"/>
    <cellStyle name="Normal 21 25 9" xfId="12976"/>
    <cellStyle name="Normal 21 26" xfId="12977"/>
    <cellStyle name="Normal 21 26 10" xfId="12978"/>
    <cellStyle name="Normal 21 26 11" xfId="12979"/>
    <cellStyle name="Normal 21 26 12" xfId="12980"/>
    <cellStyle name="Normal 21 26 13" xfId="12981"/>
    <cellStyle name="Normal 21 26 2" xfId="12982"/>
    <cellStyle name="Normal 21 26 3" xfId="12983"/>
    <cellStyle name="Normal 21 26 4" xfId="12984"/>
    <cellStyle name="Normal 21 26 5" xfId="12985"/>
    <cellStyle name="Normal 21 26 6" xfId="12986"/>
    <cellStyle name="Normal 21 26 7" xfId="12987"/>
    <cellStyle name="Normal 21 26 8" xfId="12988"/>
    <cellStyle name="Normal 21 26 9" xfId="12989"/>
    <cellStyle name="Normal 21 27" xfId="12990"/>
    <cellStyle name="Normal 21 27 10" xfId="12991"/>
    <cellStyle name="Normal 21 27 11" xfId="12992"/>
    <cellStyle name="Normal 21 27 12" xfId="12993"/>
    <cellStyle name="Normal 21 27 13" xfId="12994"/>
    <cellStyle name="Normal 21 27 2" xfId="12995"/>
    <cellStyle name="Normal 21 27 3" xfId="12996"/>
    <cellStyle name="Normal 21 27 4" xfId="12997"/>
    <cellStyle name="Normal 21 27 5" xfId="12998"/>
    <cellStyle name="Normal 21 27 6" xfId="12999"/>
    <cellStyle name="Normal 21 27 7" xfId="13000"/>
    <cellStyle name="Normal 21 27 8" xfId="13001"/>
    <cellStyle name="Normal 21 27 9" xfId="13002"/>
    <cellStyle name="Normal 21 28" xfId="13003"/>
    <cellStyle name="Normal 21 28 10" xfId="13004"/>
    <cellStyle name="Normal 21 28 11" xfId="13005"/>
    <cellStyle name="Normal 21 28 12" xfId="13006"/>
    <cellStyle name="Normal 21 28 13" xfId="13007"/>
    <cellStyle name="Normal 21 28 2" xfId="13008"/>
    <cellStyle name="Normal 21 28 3" xfId="13009"/>
    <cellStyle name="Normal 21 28 4" xfId="13010"/>
    <cellStyle name="Normal 21 28 5" xfId="13011"/>
    <cellStyle name="Normal 21 28 6" xfId="13012"/>
    <cellStyle name="Normal 21 28 7" xfId="13013"/>
    <cellStyle name="Normal 21 28 8" xfId="13014"/>
    <cellStyle name="Normal 21 28 9" xfId="13015"/>
    <cellStyle name="Normal 21 29" xfId="13016"/>
    <cellStyle name="Normal 21 29 10" xfId="13017"/>
    <cellStyle name="Normal 21 29 11" xfId="13018"/>
    <cellStyle name="Normal 21 29 12" xfId="13019"/>
    <cellStyle name="Normal 21 29 13" xfId="13020"/>
    <cellStyle name="Normal 21 29 2" xfId="13021"/>
    <cellStyle name="Normal 21 29 3" xfId="13022"/>
    <cellStyle name="Normal 21 29 4" xfId="13023"/>
    <cellStyle name="Normal 21 29 5" xfId="13024"/>
    <cellStyle name="Normal 21 29 6" xfId="13025"/>
    <cellStyle name="Normal 21 29 7" xfId="13026"/>
    <cellStyle name="Normal 21 29 8" xfId="13027"/>
    <cellStyle name="Normal 21 29 9" xfId="13028"/>
    <cellStyle name="Normal 21 3" xfId="13029"/>
    <cellStyle name="Normal 21 3 10" xfId="13030"/>
    <cellStyle name="Normal 21 3 11" xfId="13031"/>
    <cellStyle name="Normal 21 3 12" xfId="13032"/>
    <cellStyle name="Normal 21 3 13" xfId="13033"/>
    <cellStyle name="Normal 21 3 2" xfId="13034"/>
    <cellStyle name="Normal 21 3 3" xfId="13035"/>
    <cellStyle name="Normal 21 3 4" xfId="13036"/>
    <cellStyle name="Normal 21 3 5" xfId="13037"/>
    <cellStyle name="Normal 21 3 6" xfId="13038"/>
    <cellStyle name="Normal 21 3 7" xfId="13039"/>
    <cellStyle name="Normal 21 3 8" xfId="13040"/>
    <cellStyle name="Normal 21 3 9" xfId="13041"/>
    <cellStyle name="Normal 21 30" xfId="13042"/>
    <cellStyle name="Normal 21 30 10" xfId="13043"/>
    <cellStyle name="Normal 21 30 11" xfId="13044"/>
    <cellStyle name="Normal 21 30 12" xfId="13045"/>
    <cellStyle name="Normal 21 30 13" xfId="13046"/>
    <cellStyle name="Normal 21 30 2" xfId="13047"/>
    <cellStyle name="Normal 21 30 3" xfId="13048"/>
    <cellStyle name="Normal 21 30 4" xfId="13049"/>
    <cellStyle name="Normal 21 30 5" xfId="13050"/>
    <cellStyle name="Normal 21 30 6" xfId="13051"/>
    <cellStyle name="Normal 21 30 7" xfId="13052"/>
    <cellStyle name="Normal 21 30 8" xfId="13053"/>
    <cellStyle name="Normal 21 30 9" xfId="13054"/>
    <cellStyle name="Normal 21 31" xfId="13055"/>
    <cellStyle name="Normal 21 31 10" xfId="13056"/>
    <cellStyle name="Normal 21 31 11" xfId="13057"/>
    <cellStyle name="Normal 21 31 12" xfId="13058"/>
    <cellStyle name="Normal 21 31 13" xfId="13059"/>
    <cellStyle name="Normal 21 31 2" xfId="13060"/>
    <cellStyle name="Normal 21 31 3" xfId="13061"/>
    <cellStyle name="Normal 21 31 4" xfId="13062"/>
    <cellStyle name="Normal 21 31 5" xfId="13063"/>
    <cellStyle name="Normal 21 31 6" xfId="13064"/>
    <cellStyle name="Normal 21 31 7" xfId="13065"/>
    <cellStyle name="Normal 21 31 8" xfId="13066"/>
    <cellStyle name="Normal 21 31 9" xfId="13067"/>
    <cellStyle name="Normal 21 32" xfId="13068"/>
    <cellStyle name="Normal 21 32 10" xfId="13069"/>
    <cellStyle name="Normal 21 32 11" xfId="13070"/>
    <cellStyle name="Normal 21 32 12" xfId="13071"/>
    <cellStyle name="Normal 21 32 13" xfId="13072"/>
    <cellStyle name="Normal 21 32 2" xfId="13073"/>
    <cellStyle name="Normal 21 32 3" xfId="13074"/>
    <cellStyle name="Normal 21 32 4" xfId="13075"/>
    <cellStyle name="Normal 21 32 5" xfId="13076"/>
    <cellStyle name="Normal 21 32 6" xfId="13077"/>
    <cellStyle name="Normal 21 32 7" xfId="13078"/>
    <cellStyle name="Normal 21 32 8" xfId="13079"/>
    <cellStyle name="Normal 21 32 9" xfId="13080"/>
    <cellStyle name="Normal 21 33" xfId="13081"/>
    <cellStyle name="Normal 21 33 10" xfId="13082"/>
    <cellStyle name="Normal 21 33 11" xfId="13083"/>
    <cellStyle name="Normal 21 33 12" xfId="13084"/>
    <cellStyle name="Normal 21 33 13" xfId="13085"/>
    <cellStyle name="Normal 21 33 2" xfId="13086"/>
    <cellStyle name="Normal 21 33 3" xfId="13087"/>
    <cellStyle name="Normal 21 33 4" xfId="13088"/>
    <cellStyle name="Normal 21 33 5" xfId="13089"/>
    <cellStyle name="Normal 21 33 6" xfId="13090"/>
    <cellStyle name="Normal 21 33 7" xfId="13091"/>
    <cellStyle name="Normal 21 33 8" xfId="13092"/>
    <cellStyle name="Normal 21 33 9" xfId="13093"/>
    <cellStyle name="Normal 21 34" xfId="13094"/>
    <cellStyle name="Normal 21 34 10" xfId="13095"/>
    <cellStyle name="Normal 21 34 11" xfId="13096"/>
    <cellStyle name="Normal 21 34 12" xfId="13097"/>
    <cellStyle name="Normal 21 34 13" xfId="13098"/>
    <cellStyle name="Normal 21 34 2" xfId="13099"/>
    <cellStyle name="Normal 21 34 3" xfId="13100"/>
    <cellStyle name="Normal 21 34 4" xfId="13101"/>
    <cellStyle name="Normal 21 34 5" xfId="13102"/>
    <cellStyle name="Normal 21 34 6" xfId="13103"/>
    <cellStyle name="Normal 21 34 7" xfId="13104"/>
    <cellStyle name="Normal 21 34 8" xfId="13105"/>
    <cellStyle name="Normal 21 34 9" xfId="13106"/>
    <cellStyle name="Normal 21 35" xfId="13107"/>
    <cellStyle name="Normal 21 35 10" xfId="13108"/>
    <cellStyle name="Normal 21 35 11" xfId="13109"/>
    <cellStyle name="Normal 21 35 12" xfId="13110"/>
    <cellStyle name="Normal 21 35 13" xfId="13111"/>
    <cellStyle name="Normal 21 35 2" xfId="13112"/>
    <cellStyle name="Normal 21 35 3" xfId="13113"/>
    <cellStyle name="Normal 21 35 4" xfId="13114"/>
    <cellStyle name="Normal 21 35 5" xfId="13115"/>
    <cellStyle name="Normal 21 35 6" xfId="13116"/>
    <cellStyle name="Normal 21 35 7" xfId="13117"/>
    <cellStyle name="Normal 21 35 8" xfId="13118"/>
    <cellStyle name="Normal 21 35 9" xfId="13119"/>
    <cellStyle name="Normal 21 36" xfId="13120"/>
    <cellStyle name="Normal 21 36 10" xfId="13121"/>
    <cellStyle name="Normal 21 36 11" xfId="13122"/>
    <cellStyle name="Normal 21 36 12" xfId="13123"/>
    <cellStyle name="Normal 21 36 13" xfId="13124"/>
    <cellStyle name="Normal 21 36 2" xfId="13125"/>
    <cellStyle name="Normal 21 36 3" xfId="13126"/>
    <cellStyle name="Normal 21 36 4" xfId="13127"/>
    <cellStyle name="Normal 21 36 5" xfId="13128"/>
    <cellStyle name="Normal 21 36 6" xfId="13129"/>
    <cellStyle name="Normal 21 36 7" xfId="13130"/>
    <cellStyle name="Normal 21 36 8" xfId="13131"/>
    <cellStyle name="Normal 21 36 9" xfId="13132"/>
    <cellStyle name="Normal 21 37" xfId="13133"/>
    <cellStyle name="Normal 21 37 10" xfId="13134"/>
    <cellStyle name="Normal 21 37 11" xfId="13135"/>
    <cellStyle name="Normal 21 37 12" xfId="13136"/>
    <cellStyle name="Normal 21 37 13" xfId="13137"/>
    <cellStyle name="Normal 21 37 2" xfId="13138"/>
    <cellStyle name="Normal 21 37 3" xfId="13139"/>
    <cellStyle name="Normal 21 37 4" xfId="13140"/>
    <cellStyle name="Normal 21 37 5" xfId="13141"/>
    <cellStyle name="Normal 21 37 6" xfId="13142"/>
    <cellStyle name="Normal 21 37 7" xfId="13143"/>
    <cellStyle name="Normal 21 37 8" xfId="13144"/>
    <cellStyle name="Normal 21 37 9" xfId="13145"/>
    <cellStyle name="Normal 21 38" xfId="13146"/>
    <cellStyle name="Normal 21 38 10" xfId="13147"/>
    <cellStyle name="Normal 21 38 11" xfId="13148"/>
    <cellStyle name="Normal 21 38 12" xfId="13149"/>
    <cellStyle name="Normal 21 38 13" xfId="13150"/>
    <cellStyle name="Normal 21 38 2" xfId="13151"/>
    <cellStyle name="Normal 21 38 3" xfId="13152"/>
    <cellStyle name="Normal 21 38 4" xfId="13153"/>
    <cellStyle name="Normal 21 38 5" xfId="13154"/>
    <cellStyle name="Normal 21 38 6" xfId="13155"/>
    <cellStyle name="Normal 21 38 7" xfId="13156"/>
    <cellStyle name="Normal 21 38 8" xfId="13157"/>
    <cellStyle name="Normal 21 38 9" xfId="13158"/>
    <cellStyle name="Normal 21 39" xfId="13159"/>
    <cellStyle name="Normal 21 39 10" xfId="13160"/>
    <cellStyle name="Normal 21 39 11" xfId="13161"/>
    <cellStyle name="Normal 21 39 12" xfId="13162"/>
    <cellStyle name="Normal 21 39 13" xfId="13163"/>
    <cellStyle name="Normal 21 39 2" xfId="13164"/>
    <cellStyle name="Normal 21 39 3" xfId="13165"/>
    <cellStyle name="Normal 21 39 4" xfId="13166"/>
    <cellStyle name="Normal 21 39 5" xfId="13167"/>
    <cellStyle name="Normal 21 39 6" xfId="13168"/>
    <cellStyle name="Normal 21 39 7" xfId="13169"/>
    <cellStyle name="Normal 21 39 8" xfId="13170"/>
    <cellStyle name="Normal 21 39 9" xfId="13171"/>
    <cellStyle name="Normal 21 4" xfId="13172"/>
    <cellStyle name="Normal 21 4 10" xfId="13173"/>
    <cellStyle name="Normal 21 4 11" xfId="13174"/>
    <cellStyle name="Normal 21 4 12" xfId="13175"/>
    <cellStyle name="Normal 21 4 13" xfId="13176"/>
    <cellStyle name="Normal 21 4 2" xfId="13177"/>
    <cellStyle name="Normal 21 4 3" xfId="13178"/>
    <cellStyle name="Normal 21 4 4" xfId="13179"/>
    <cellStyle name="Normal 21 4 5" xfId="13180"/>
    <cellStyle name="Normal 21 4 6" xfId="13181"/>
    <cellStyle name="Normal 21 4 7" xfId="13182"/>
    <cellStyle name="Normal 21 4 8" xfId="13183"/>
    <cellStyle name="Normal 21 4 9" xfId="13184"/>
    <cellStyle name="Normal 21 40" xfId="13185"/>
    <cellStyle name="Normal 21 40 10" xfId="13186"/>
    <cellStyle name="Normal 21 40 11" xfId="13187"/>
    <cellStyle name="Normal 21 40 12" xfId="13188"/>
    <cellStyle name="Normal 21 40 13" xfId="13189"/>
    <cellStyle name="Normal 21 40 2" xfId="13190"/>
    <cellStyle name="Normal 21 40 3" xfId="13191"/>
    <cellStyle name="Normal 21 40 4" xfId="13192"/>
    <cellStyle name="Normal 21 40 5" xfId="13193"/>
    <cellStyle name="Normal 21 40 6" xfId="13194"/>
    <cellStyle name="Normal 21 40 7" xfId="13195"/>
    <cellStyle name="Normal 21 40 8" xfId="13196"/>
    <cellStyle name="Normal 21 40 9" xfId="13197"/>
    <cellStyle name="Normal 21 41" xfId="13198"/>
    <cellStyle name="Normal 21 41 10" xfId="13199"/>
    <cellStyle name="Normal 21 41 11" xfId="13200"/>
    <cellStyle name="Normal 21 41 12" xfId="13201"/>
    <cellStyle name="Normal 21 41 13" xfId="13202"/>
    <cellStyle name="Normal 21 41 2" xfId="13203"/>
    <cellStyle name="Normal 21 41 3" xfId="13204"/>
    <cellStyle name="Normal 21 41 4" xfId="13205"/>
    <cellStyle name="Normal 21 41 5" xfId="13206"/>
    <cellStyle name="Normal 21 41 6" xfId="13207"/>
    <cellStyle name="Normal 21 41 7" xfId="13208"/>
    <cellStyle name="Normal 21 41 8" xfId="13209"/>
    <cellStyle name="Normal 21 41 9" xfId="13210"/>
    <cellStyle name="Normal 21 42" xfId="13211"/>
    <cellStyle name="Normal 21 42 10" xfId="13212"/>
    <cellStyle name="Normal 21 42 11" xfId="13213"/>
    <cellStyle name="Normal 21 42 12" xfId="13214"/>
    <cellStyle name="Normal 21 42 13" xfId="13215"/>
    <cellStyle name="Normal 21 42 2" xfId="13216"/>
    <cellStyle name="Normal 21 42 3" xfId="13217"/>
    <cellStyle name="Normal 21 42 4" xfId="13218"/>
    <cellStyle name="Normal 21 42 5" xfId="13219"/>
    <cellStyle name="Normal 21 42 6" xfId="13220"/>
    <cellStyle name="Normal 21 42 7" xfId="13221"/>
    <cellStyle name="Normal 21 42 8" xfId="13222"/>
    <cellStyle name="Normal 21 42 9" xfId="13223"/>
    <cellStyle name="Normal 21 43" xfId="13224"/>
    <cellStyle name="Normal 21 43 10" xfId="13225"/>
    <cellStyle name="Normal 21 43 11" xfId="13226"/>
    <cellStyle name="Normal 21 43 12" xfId="13227"/>
    <cellStyle name="Normal 21 43 13" xfId="13228"/>
    <cellStyle name="Normal 21 43 2" xfId="13229"/>
    <cellStyle name="Normal 21 43 3" xfId="13230"/>
    <cellStyle name="Normal 21 43 4" xfId="13231"/>
    <cellStyle name="Normal 21 43 5" xfId="13232"/>
    <cellStyle name="Normal 21 43 6" xfId="13233"/>
    <cellStyle name="Normal 21 43 7" xfId="13234"/>
    <cellStyle name="Normal 21 43 8" xfId="13235"/>
    <cellStyle name="Normal 21 43 9" xfId="13236"/>
    <cellStyle name="Normal 21 44" xfId="13237"/>
    <cellStyle name="Normal 21 44 10" xfId="13238"/>
    <cellStyle name="Normal 21 44 11" xfId="13239"/>
    <cellStyle name="Normal 21 44 12" xfId="13240"/>
    <cellStyle name="Normal 21 44 13" xfId="13241"/>
    <cellStyle name="Normal 21 44 2" xfId="13242"/>
    <cellStyle name="Normal 21 44 3" xfId="13243"/>
    <cellStyle name="Normal 21 44 4" xfId="13244"/>
    <cellStyle name="Normal 21 44 5" xfId="13245"/>
    <cellStyle name="Normal 21 44 6" xfId="13246"/>
    <cellStyle name="Normal 21 44 7" xfId="13247"/>
    <cellStyle name="Normal 21 44 8" xfId="13248"/>
    <cellStyle name="Normal 21 44 9" xfId="13249"/>
    <cellStyle name="Normal 21 45" xfId="13250"/>
    <cellStyle name="Normal 21 45 10" xfId="13251"/>
    <cellStyle name="Normal 21 45 11" xfId="13252"/>
    <cellStyle name="Normal 21 45 12" xfId="13253"/>
    <cellStyle name="Normal 21 45 13" xfId="13254"/>
    <cellStyle name="Normal 21 45 2" xfId="13255"/>
    <cellStyle name="Normal 21 45 3" xfId="13256"/>
    <cellStyle name="Normal 21 45 4" xfId="13257"/>
    <cellStyle name="Normal 21 45 5" xfId="13258"/>
    <cellStyle name="Normal 21 45 6" xfId="13259"/>
    <cellStyle name="Normal 21 45 7" xfId="13260"/>
    <cellStyle name="Normal 21 45 8" xfId="13261"/>
    <cellStyle name="Normal 21 45 9" xfId="13262"/>
    <cellStyle name="Normal 21 46" xfId="13263"/>
    <cellStyle name="Normal 21 46 10" xfId="13264"/>
    <cellStyle name="Normal 21 46 11" xfId="13265"/>
    <cellStyle name="Normal 21 46 12" xfId="13266"/>
    <cellStyle name="Normal 21 46 13" xfId="13267"/>
    <cellStyle name="Normal 21 46 2" xfId="13268"/>
    <cellStyle name="Normal 21 46 3" xfId="13269"/>
    <cellStyle name="Normal 21 46 4" xfId="13270"/>
    <cellStyle name="Normal 21 46 5" xfId="13271"/>
    <cellStyle name="Normal 21 46 6" xfId="13272"/>
    <cellStyle name="Normal 21 46 7" xfId="13273"/>
    <cellStyle name="Normal 21 46 8" xfId="13274"/>
    <cellStyle name="Normal 21 46 9" xfId="13275"/>
    <cellStyle name="Normal 21 47" xfId="13276"/>
    <cellStyle name="Normal 21 47 10" xfId="13277"/>
    <cellStyle name="Normal 21 47 11" xfId="13278"/>
    <cellStyle name="Normal 21 47 12" xfId="13279"/>
    <cellStyle name="Normal 21 47 13" xfId="13280"/>
    <cellStyle name="Normal 21 47 2" xfId="13281"/>
    <cellStyle name="Normal 21 47 3" xfId="13282"/>
    <cellStyle name="Normal 21 47 4" xfId="13283"/>
    <cellStyle name="Normal 21 47 5" xfId="13284"/>
    <cellStyle name="Normal 21 47 6" xfId="13285"/>
    <cellStyle name="Normal 21 47 7" xfId="13286"/>
    <cellStyle name="Normal 21 47 8" xfId="13287"/>
    <cellStyle name="Normal 21 47 9" xfId="13288"/>
    <cellStyle name="Normal 21 48" xfId="13289"/>
    <cellStyle name="Normal 21 48 10" xfId="13290"/>
    <cellStyle name="Normal 21 48 11" xfId="13291"/>
    <cellStyle name="Normal 21 48 12" xfId="13292"/>
    <cellStyle name="Normal 21 48 13" xfId="13293"/>
    <cellStyle name="Normal 21 48 2" xfId="13294"/>
    <cellStyle name="Normal 21 48 3" xfId="13295"/>
    <cellStyle name="Normal 21 48 4" xfId="13296"/>
    <cellStyle name="Normal 21 48 5" xfId="13297"/>
    <cellStyle name="Normal 21 48 6" xfId="13298"/>
    <cellStyle name="Normal 21 48 7" xfId="13299"/>
    <cellStyle name="Normal 21 48 8" xfId="13300"/>
    <cellStyle name="Normal 21 48 9" xfId="13301"/>
    <cellStyle name="Normal 21 49" xfId="13302"/>
    <cellStyle name="Normal 21 49 10" xfId="13303"/>
    <cellStyle name="Normal 21 49 11" xfId="13304"/>
    <cellStyle name="Normal 21 49 12" xfId="13305"/>
    <cellStyle name="Normal 21 49 13" xfId="13306"/>
    <cellStyle name="Normal 21 49 2" xfId="13307"/>
    <cellStyle name="Normal 21 49 3" xfId="13308"/>
    <cellStyle name="Normal 21 49 4" xfId="13309"/>
    <cellStyle name="Normal 21 49 5" xfId="13310"/>
    <cellStyle name="Normal 21 49 6" xfId="13311"/>
    <cellStyle name="Normal 21 49 7" xfId="13312"/>
    <cellStyle name="Normal 21 49 8" xfId="13313"/>
    <cellStyle name="Normal 21 49 9" xfId="13314"/>
    <cellStyle name="Normal 21 5" xfId="13315"/>
    <cellStyle name="Normal 21 5 10" xfId="13316"/>
    <cellStyle name="Normal 21 5 11" xfId="13317"/>
    <cellStyle name="Normal 21 5 12" xfId="13318"/>
    <cellStyle name="Normal 21 5 13" xfId="13319"/>
    <cellStyle name="Normal 21 5 2" xfId="13320"/>
    <cellStyle name="Normal 21 5 3" xfId="13321"/>
    <cellStyle name="Normal 21 5 4" xfId="13322"/>
    <cellStyle name="Normal 21 5 5" xfId="13323"/>
    <cellStyle name="Normal 21 5 6" xfId="13324"/>
    <cellStyle name="Normal 21 5 7" xfId="13325"/>
    <cellStyle name="Normal 21 5 8" xfId="13326"/>
    <cellStyle name="Normal 21 5 9" xfId="13327"/>
    <cellStyle name="Normal 21 50" xfId="13328"/>
    <cellStyle name="Normal 21 50 10" xfId="13329"/>
    <cellStyle name="Normal 21 50 11" xfId="13330"/>
    <cellStyle name="Normal 21 50 12" xfId="13331"/>
    <cellStyle name="Normal 21 50 13" xfId="13332"/>
    <cellStyle name="Normal 21 50 2" xfId="13333"/>
    <cellStyle name="Normal 21 50 3" xfId="13334"/>
    <cellStyle name="Normal 21 50 4" xfId="13335"/>
    <cellStyle name="Normal 21 50 5" xfId="13336"/>
    <cellStyle name="Normal 21 50 6" xfId="13337"/>
    <cellStyle name="Normal 21 50 7" xfId="13338"/>
    <cellStyle name="Normal 21 50 8" xfId="13339"/>
    <cellStyle name="Normal 21 50 9" xfId="13340"/>
    <cellStyle name="Normal 21 51" xfId="13341"/>
    <cellStyle name="Normal 21 51 10" xfId="13342"/>
    <cellStyle name="Normal 21 51 11" xfId="13343"/>
    <cellStyle name="Normal 21 51 12" xfId="13344"/>
    <cellStyle name="Normal 21 51 13" xfId="13345"/>
    <cellStyle name="Normal 21 51 2" xfId="13346"/>
    <cellStyle name="Normal 21 51 3" xfId="13347"/>
    <cellStyle name="Normal 21 51 4" xfId="13348"/>
    <cellStyle name="Normal 21 51 5" xfId="13349"/>
    <cellStyle name="Normal 21 51 6" xfId="13350"/>
    <cellStyle name="Normal 21 51 7" xfId="13351"/>
    <cellStyle name="Normal 21 51 8" xfId="13352"/>
    <cellStyle name="Normal 21 51 9" xfId="13353"/>
    <cellStyle name="Normal 21 52" xfId="13354"/>
    <cellStyle name="Normal 21 52 10" xfId="13355"/>
    <cellStyle name="Normal 21 52 11" xfId="13356"/>
    <cellStyle name="Normal 21 52 12" xfId="13357"/>
    <cellStyle name="Normal 21 52 13" xfId="13358"/>
    <cellStyle name="Normal 21 52 2" xfId="13359"/>
    <cellStyle name="Normal 21 52 3" xfId="13360"/>
    <cellStyle name="Normal 21 52 4" xfId="13361"/>
    <cellStyle name="Normal 21 52 5" xfId="13362"/>
    <cellStyle name="Normal 21 52 6" xfId="13363"/>
    <cellStyle name="Normal 21 52 7" xfId="13364"/>
    <cellStyle name="Normal 21 52 8" xfId="13365"/>
    <cellStyle name="Normal 21 52 9" xfId="13366"/>
    <cellStyle name="Normal 21 53" xfId="13367"/>
    <cellStyle name="Normal 21 53 10" xfId="13368"/>
    <cellStyle name="Normal 21 53 11" xfId="13369"/>
    <cellStyle name="Normal 21 53 12" xfId="13370"/>
    <cellStyle name="Normal 21 53 13" xfId="13371"/>
    <cellStyle name="Normal 21 53 2" xfId="13372"/>
    <cellStyle name="Normal 21 53 3" xfId="13373"/>
    <cellStyle name="Normal 21 53 4" xfId="13374"/>
    <cellStyle name="Normal 21 53 5" xfId="13375"/>
    <cellStyle name="Normal 21 53 6" xfId="13376"/>
    <cellStyle name="Normal 21 53 7" xfId="13377"/>
    <cellStyle name="Normal 21 53 8" xfId="13378"/>
    <cellStyle name="Normal 21 53 9" xfId="13379"/>
    <cellStyle name="Normal 21 54" xfId="13380"/>
    <cellStyle name="Normal 21 54 10" xfId="13381"/>
    <cellStyle name="Normal 21 54 11" xfId="13382"/>
    <cellStyle name="Normal 21 54 12" xfId="13383"/>
    <cellStyle name="Normal 21 54 13" xfId="13384"/>
    <cellStyle name="Normal 21 54 2" xfId="13385"/>
    <cellStyle name="Normal 21 54 3" xfId="13386"/>
    <cellStyle name="Normal 21 54 4" xfId="13387"/>
    <cellStyle name="Normal 21 54 5" xfId="13388"/>
    <cellStyle name="Normal 21 54 6" xfId="13389"/>
    <cellStyle name="Normal 21 54 7" xfId="13390"/>
    <cellStyle name="Normal 21 54 8" xfId="13391"/>
    <cellStyle name="Normal 21 54 9" xfId="13392"/>
    <cellStyle name="Normal 21 55" xfId="13393"/>
    <cellStyle name="Normal 21 55 10" xfId="13394"/>
    <cellStyle name="Normal 21 55 11" xfId="13395"/>
    <cellStyle name="Normal 21 55 12" xfId="13396"/>
    <cellStyle name="Normal 21 55 13" xfId="13397"/>
    <cellStyle name="Normal 21 55 2" xfId="13398"/>
    <cellStyle name="Normal 21 55 3" xfId="13399"/>
    <cellStyle name="Normal 21 55 4" xfId="13400"/>
    <cellStyle name="Normal 21 55 5" xfId="13401"/>
    <cellStyle name="Normal 21 55 6" xfId="13402"/>
    <cellStyle name="Normal 21 55 7" xfId="13403"/>
    <cellStyle name="Normal 21 55 8" xfId="13404"/>
    <cellStyle name="Normal 21 55 9" xfId="13405"/>
    <cellStyle name="Normal 21 56" xfId="13406"/>
    <cellStyle name="Normal 21 56 10" xfId="13407"/>
    <cellStyle name="Normal 21 56 11" xfId="13408"/>
    <cellStyle name="Normal 21 56 12" xfId="13409"/>
    <cellStyle name="Normal 21 56 13" xfId="13410"/>
    <cellStyle name="Normal 21 56 2" xfId="13411"/>
    <cellStyle name="Normal 21 56 3" xfId="13412"/>
    <cellStyle name="Normal 21 56 4" xfId="13413"/>
    <cellStyle name="Normal 21 56 5" xfId="13414"/>
    <cellStyle name="Normal 21 56 6" xfId="13415"/>
    <cellStyle name="Normal 21 56 7" xfId="13416"/>
    <cellStyle name="Normal 21 56 8" xfId="13417"/>
    <cellStyle name="Normal 21 56 9" xfId="13418"/>
    <cellStyle name="Normal 21 57" xfId="13419"/>
    <cellStyle name="Normal 21 57 10" xfId="13420"/>
    <cellStyle name="Normal 21 57 11" xfId="13421"/>
    <cellStyle name="Normal 21 57 12" xfId="13422"/>
    <cellStyle name="Normal 21 57 13" xfId="13423"/>
    <cellStyle name="Normal 21 57 2" xfId="13424"/>
    <cellStyle name="Normal 21 57 3" xfId="13425"/>
    <cellStyle name="Normal 21 57 4" xfId="13426"/>
    <cellStyle name="Normal 21 57 5" xfId="13427"/>
    <cellStyle name="Normal 21 57 6" xfId="13428"/>
    <cellStyle name="Normal 21 57 7" xfId="13429"/>
    <cellStyle name="Normal 21 57 8" xfId="13430"/>
    <cellStyle name="Normal 21 57 9" xfId="13431"/>
    <cellStyle name="Normal 21 58" xfId="13432"/>
    <cellStyle name="Normal 21 58 10" xfId="13433"/>
    <cellStyle name="Normal 21 58 11" xfId="13434"/>
    <cellStyle name="Normal 21 58 12" xfId="13435"/>
    <cellStyle name="Normal 21 58 13" xfId="13436"/>
    <cellStyle name="Normal 21 58 2" xfId="13437"/>
    <cellStyle name="Normal 21 58 3" xfId="13438"/>
    <cellStyle name="Normal 21 58 4" xfId="13439"/>
    <cellStyle name="Normal 21 58 5" xfId="13440"/>
    <cellStyle name="Normal 21 58 6" xfId="13441"/>
    <cellStyle name="Normal 21 58 7" xfId="13442"/>
    <cellStyle name="Normal 21 58 8" xfId="13443"/>
    <cellStyle name="Normal 21 58 9" xfId="13444"/>
    <cellStyle name="Normal 21 59" xfId="13445"/>
    <cellStyle name="Normal 21 59 10" xfId="13446"/>
    <cellStyle name="Normal 21 59 11" xfId="13447"/>
    <cellStyle name="Normal 21 59 12" xfId="13448"/>
    <cellStyle name="Normal 21 59 13" xfId="13449"/>
    <cellStyle name="Normal 21 59 2" xfId="13450"/>
    <cellStyle name="Normal 21 59 3" xfId="13451"/>
    <cellStyle name="Normal 21 59 4" xfId="13452"/>
    <cellStyle name="Normal 21 59 5" xfId="13453"/>
    <cellStyle name="Normal 21 59 6" xfId="13454"/>
    <cellStyle name="Normal 21 59 7" xfId="13455"/>
    <cellStyle name="Normal 21 59 8" xfId="13456"/>
    <cellStyle name="Normal 21 59 9" xfId="13457"/>
    <cellStyle name="Normal 21 6" xfId="13458"/>
    <cellStyle name="Normal 21 6 10" xfId="13459"/>
    <cellStyle name="Normal 21 6 11" xfId="13460"/>
    <cellStyle name="Normal 21 6 12" xfId="13461"/>
    <cellStyle name="Normal 21 6 13" xfId="13462"/>
    <cellStyle name="Normal 21 6 2" xfId="13463"/>
    <cellStyle name="Normal 21 6 3" xfId="13464"/>
    <cellStyle name="Normal 21 6 4" xfId="13465"/>
    <cellStyle name="Normal 21 6 5" xfId="13466"/>
    <cellStyle name="Normal 21 6 6" xfId="13467"/>
    <cellStyle name="Normal 21 6 7" xfId="13468"/>
    <cellStyle name="Normal 21 6 8" xfId="13469"/>
    <cellStyle name="Normal 21 6 9" xfId="13470"/>
    <cellStyle name="Normal 21 60" xfId="13471"/>
    <cellStyle name="Normal 21 60 10" xfId="13472"/>
    <cellStyle name="Normal 21 60 11" xfId="13473"/>
    <cellStyle name="Normal 21 60 12" xfId="13474"/>
    <cellStyle name="Normal 21 60 13" xfId="13475"/>
    <cellStyle name="Normal 21 60 2" xfId="13476"/>
    <cellStyle name="Normal 21 60 3" xfId="13477"/>
    <cellStyle name="Normal 21 60 4" xfId="13478"/>
    <cellStyle name="Normal 21 60 5" xfId="13479"/>
    <cellStyle name="Normal 21 60 6" xfId="13480"/>
    <cellStyle name="Normal 21 60 7" xfId="13481"/>
    <cellStyle name="Normal 21 60 8" xfId="13482"/>
    <cellStyle name="Normal 21 60 9" xfId="13483"/>
    <cellStyle name="Normal 21 61" xfId="13484"/>
    <cellStyle name="Normal 21 61 10" xfId="13485"/>
    <cellStyle name="Normal 21 61 11" xfId="13486"/>
    <cellStyle name="Normal 21 61 12" xfId="13487"/>
    <cellStyle name="Normal 21 61 13" xfId="13488"/>
    <cellStyle name="Normal 21 61 2" xfId="13489"/>
    <cellStyle name="Normal 21 61 3" xfId="13490"/>
    <cellStyle name="Normal 21 61 4" xfId="13491"/>
    <cellStyle name="Normal 21 61 5" xfId="13492"/>
    <cellStyle name="Normal 21 61 6" xfId="13493"/>
    <cellStyle name="Normal 21 61 7" xfId="13494"/>
    <cellStyle name="Normal 21 61 8" xfId="13495"/>
    <cellStyle name="Normal 21 61 9" xfId="13496"/>
    <cellStyle name="Normal 21 62" xfId="13497"/>
    <cellStyle name="Normal 21 62 10" xfId="13498"/>
    <cellStyle name="Normal 21 62 11" xfId="13499"/>
    <cellStyle name="Normal 21 62 12" xfId="13500"/>
    <cellStyle name="Normal 21 62 13" xfId="13501"/>
    <cellStyle name="Normal 21 62 2" xfId="13502"/>
    <cellStyle name="Normal 21 62 3" xfId="13503"/>
    <cellStyle name="Normal 21 62 4" xfId="13504"/>
    <cellStyle name="Normal 21 62 5" xfId="13505"/>
    <cellStyle name="Normal 21 62 6" xfId="13506"/>
    <cellStyle name="Normal 21 62 7" xfId="13507"/>
    <cellStyle name="Normal 21 62 8" xfId="13508"/>
    <cellStyle name="Normal 21 62 9" xfId="13509"/>
    <cellStyle name="Normal 21 63" xfId="13510"/>
    <cellStyle name="Normal 21 63 10" xfId="13511"/>
    <cellStyle name="Normal 21 63 11" xfId="13512"/>
    <cellStyle name="Normal 21 63 12" xfId="13513"/>
    <cellStyle name="Normal 21 63 13" xfId="13514"/>
    <cellStyle name="Normal 21 63 2" xfId="13515"/>
    <cellStyle name="Normal 21 63 3" xfId="13516"/>
    <cellStyle name="Normal 21 63 4" xfId="13517"/>
    <cellStyle name="Normal 21 63 5" xfId="13518"/>
    <cellStyle name="Normal 21 63 6" xfId="13519"/>
    <cellStyle name="Normal 21 63 7" xfId="13520"/>
    <cellStyle name="Normal 21 63 8" xfId="13521"/>
    <cellStyle name="Normal 21 63 9" xfId="13522"/>
    <cellStyle name="Normal 21 64" xfId="13523"/>
    <cellStyle name="Normal 21 64 10" xfId="13524"/>
    <cellStyle name="Normal 21 64 11" xfId="13525"/>
    <cellStyle name="Normal 21 64 12" xfId="13526"/>
    <cellStyle name="Normal 21 64 13" xfId="13527"/>
    <cellStyle name="Normal 21 64 2" xfId="13528"/>
    <cellStyle name="Normal 21 64 3" xfId="13529"/>
    <cellStyle name="Normal 21 64 4" xfId="13530"/>
    <cellStyle name="Normal 21 64 5" xfId="13531"/>
    <cellStyle name="Normal 21 64 6" xfId="13532"/>
    <cellStyle name="Normal 21 64 7" xfId="13533"/>
    <cellStyle name="Normal 21 64 8" xfId="13534"/>
    <cellStyle name="Normal 21 64 9" xfId="13535"/>
    <cellStyle name="Normal 21 65" xfId="13536"/>
    <cellStyle name="Normal 21 65 10" xfId="13537"/>
    <cellStyle name="Normal 21 65 11" xfId="13538"/>
    <cellStyle name="Normal 21 65 12" xfId="13539"/>
    <cellStyle name="Normal 21 65 13" xfId="13540"/>
    <cellStyle name="Normal 21 65 2" xfId="13541"/>
    <cellStyle name="Normal 21 65 3" xfId="13542"/>
    <cellStyle name="Normal 21 65 4" xfId="13543"/>
    <cellStyle name="Normal 21 65 5" xfId="13544"/>
    <cellStyle name="Normal 21 65 6" xfId="13545"/>
    <cellStyle name="Normal 21 65 7" xfId="13546"/>
    <cellStyle name="Normal 21 65 8" xfId="13547"/>
    <cellStyle name="Normal 21 65 9" xfId="13548"/>
    <cellStyle name="Normal 21 66" xfId="13549"/>
    <cellStyle name="Normal 21 66 10" xfId="13550"/>
    <cellStyle name="Normal 21 66 11" xfId="13551"/>
    <cellStyle name="Normal 21 66 12" xfId="13552"/>
    <cellStyle name="Normal 21 66 13" xfId="13553"/>
    <cellStyle name="Normal 21 66 2" xfId="13554"/>
    <cellStyle name="Normal 21 66 3" xfId="13555"/>
    <cellStyle name="Normal 21 66 4" xfId="13556"/>
    <cellStyle name="Normal 21 66 5" xfId="13557"/>
    <cellStyle name="Normal 21 66 6" xfId="13558"/>
    <cellStyle name="Normal 21 66 7" xfId="13559"/>
    <cellStyle name="Normal 21 66 8" xfId="13560"/>
    <cellStyle name="Normal 21 66 9" xfId="13561"/>
    <cellStyle name="Normal 21 67" xfId="13562"/>
    <cellStyle name="Normal 21 67 10" xfId="13563"/>
    <cellStyle name="Normal 21 67 11" xfId="13564"/>
    <cellStyle name="Normal 21 67 12" xfId="13565"/>
    <cellStyle name="Normal 21 67 13" xfId="13566"/>
    <cellStyle name="Normal 21 67 2" xfId="13567"/>
    <cellStyle name="Normal 21 67 3" xfId="13568"/>
    <cellStyle name="Normal 21 67 4" xfId="13569"/>
    <cellStyle name="Normal 21 67 5" xfId="13570"/>
    <cellStyle name="Normal 21 67 6" xfId="13571"/>
    <cellStyle name="Normal 21 67 7" xfId="13572"/>
    <cellStyle name="Normal 21 67 8" xfId="13573"/>
    <cellStyle name="Normal 21 67 9" xfId="13574"/>
    <cellStyle name="Normal 21 68" xfId="13575"/>
    <cellStyle name="Normal 21 68 10" xfId="13576"/>
    <cellStyle name="Normal 21 68 11" xfId="13577"/>
    <cellStyle name="Normal 21 68 12" xfId="13578"/>
    <cellStyle name="Normal 21 68 13" xfId="13579"/>
    <cellStyle name="Normal 21 68 2" xfId="13580"/>
    <cellStyle name="Normal 21 68 3" xfId="13581"/>
    <cellStyle name="Normal 21 68 4" xfId="13582"/>
    <cellStyle name="Normal 21 68 5" xfId="13583"/>
    <cellStyle name="Normal 21 68 6" xfId="13584"/>
    <cellStyle name="Normal 21 68 7" xfId="13585"/>
    <cellStyle name="Normal 21 68 8" xfId="13586"/>
    <cellStyle name="Normal 21 68 9" xfId="13587"/>
    <cellStyle name="Normal 21 69" xfId="13588"/>
    <cellStyle name="Normal 21 69 10" xfId="13589"/>
    <cellStyle name="Normal 21 69 11" xfId="13590"/>
    <cellStyle name="Normal 21 69 12" xfId="13591"/>
    <cellStyle name="Normal 21 69 13" xfId="13592"/>
    <cellStyle name="Normal 21 69 2" xfId="13593"/>
    <cellStyle name="Normal 21 69 3" xfId="13594"/>
    <cellStyle name="Normal 21 69 4" xfId="13595"/>
    <cellStyle name="Normal 21 69 5" xfId="13596"/>
    <cellStyle name="Normal 21 69 6" xfId="13597"/>
    <cellStyle name="Normal 21 69 7" xfId="13598"/>
    <cellStyle name="Normal 21 69 8" xfId="13599"/>
    <cellStyle name="Normal 21 69 9" xfId="13600"/>
    <cellStyle name="Normal 21 7" xfId="13601"/>
    <cellStyle name="Normal 21 7 10" xfId="13602"/>
    <cellStyle name="Normal 21 7 11" xfId="13603"/>
    <cellStyle name="Normal 21 7 12" xfId="13604"/>
    <cellStyle name="Normal 21 7 13" xfId="13605"/>
    <cellStyle name="Normal 21 7 2" xfId="13606"/>
    <cellStyle name="Normal 21 7 3" xfId="13607"/>
    <cellStyle name="Normal 21 7 4" xfId="13608"/>
    <cellStyle name="Normal 21 7 5" xfId="13609"/>
    <cellStyle name="Normal 21 7 6" xfId="13610"/>
    <cellStyle name="Normal 21 7 7" xfId="13611"/>
    <cellStyle name="Normal 21 7 8" xfId="13612"/>
    <cellStyle name="Normal 21 7 9" xfId="13613"/>
    <cellStyle name="Normal 21 70" xfId="13614"/>
    <cellStyle name="Normal 21 70 10" xfId="13615"/>
    <cellStyle name="Normal 21 70 11" xfId="13616"/>
    <cellStyle name="Normal 21 70 12" xfId="13617"/>
    <cellStyle name="Normal 21 70 13" xfId="13618"/>
    <cellStyle name="Normal 21 70 2" xfId="13619"/>
    <cellStyle name="Normal 21 70 3" xfId="13620"/>
    <cellStyle name="Normal 21 70 4" xfId="13621"/>
    <cellStyle name="Normal 21 70 5" xfId="13622"/>
    <cellStyle name="Normal 21 70 6" xfId="13623"/>
    <cellStyle name="Normal 21 70 7" xfId="13624"/>
    <cellStyle name="Normal 21 70 8" xfId="13625"/>
    <cellStyle name="Normal 21 70 9" xfId="13626"/>
    <cellStyle name="Normal 21 71" xfId="13627"/>
    <cellStyle name="Normal 21 71 10" xfId="13628"/>
    <cellStyle name="Normal 21 71 11" xfId="13629"/>
    <cellStyle name="Normal 21 71 12" xfId="13630"/>
    <cellStyle name="Normal 21 71 13" xfId="13631"/>
    <cellStyle name="Normal 21 71 2" xfId="13632"/>
    <cellStyle name="Normal 21 71 3" xfId="13633"/>
    <cellStyle name="Normal 21 71 4" xfId="13634"/>
    <cellStyle name="Normal 21 71 5" xfId="13635"/>
    <cellStyle name="Normal 21 71 6" xfId="13636"/>
    <cellStyle name="Normal 21 71 7" xfId="13637"/>
    <cellStyle name="Normal 21 71 8" xfId="13638"/>
    <cellStyle name="Normal 21 71 9" xfId="13639"/>
    <cellStyle name="Normal 21 72" xfId="13640"/>
    <cellStyle name="Normal 21 73" xfId="13641"/>
    <cellStyle name="Normal 21 74" xfId="13642"/>
    <cellStyle name="Normal 21 75" xfId="13643"/>
    <cellStyle name="Normal 21 76" xfId="13644"/>
    <cellStyle name="Normal 21 77" xfId="13645"/>
    <cellStyle name="Normal 21 78" xfId="13646"/>
    <cellStyle name="Normal 21 79" xfId="13647"/>
    <cellStyle name="Normal 21 8" xfId="13648"/>
    <cellStyle name="Normal 21 8 10" xfId="13649"/>
    <cellStyle name="Normal 21 8 11" xfId="13650"/>
    <cellStyle name="Normal 21 8 12" xfId="13651"/>
    <cellStyle name="Normal 21 8 13" xfId="13652"/>
    <cellStyle name="Normal 21 8 2" xfId="13653"/>
    <cellStyle name="Normal 21 8 3" xfId="13654"/>
    <cellStyle name="Normal 21 8 4" xfId="13655"/>
    <cellStyle name="Normal 21 8 5" xfId="13656"/>
    <cellStyle name="Normal 21 8 6" xfId="13657"/>
    <cellStyle name="Normal 21 8 7" xfId="13658"/>
    <cellStyle name="Normal 21 8 8" xfId="13659"/>
    <cellStyle name="Normal 21 8 9" xfId="13660"/>
    <cellStyle name="Normal 21 80" xfId="13661"/>
    <cellStyle name="Normal 21 81" xfId="13662"/>
    <cellStyle name="Normal 21 82" xfId="13663"/>
    <cellStyle name="Normal 21 83" xfId="13664"/>
    <cellStyle name="Normal 21 9" xfId="13665"/>
    <cellStyle name="Normal 21 9 10" xfId="13666"/>
    <cellStyle name="Normal 21 9 11" xfId="13667"/>
    <cellStyle name="Normal 21 9 12" xfId="13668"/>
    <cellStyle name="Normal 21 9 13" xfId="13669"/>
    <cellStyle name="Normal 21 9 2" xfId="13670"/>
    <cellStyle name="Normal 21 9 3" xfId="13671"/>
    <cellStyle name="Normal 21 9 4" xfId="13672"/>
    <cellStyle name="Normal 21 9 5" xfId="13673"/>
    <cellStyle name="Normal 21 9 6" xfId="13674"/>
    <cellStyle name="Normal 21 9 7" xfId="13675"/>
    <cellStyle name="Normal 21 9 8" xfId="13676"/>
    <cellStyle name="Normal 21 9 9" xfId="13677"/>
    <cellStyle name="Normal 22" xfId="13678"/>
    <cellStyle name="Normal 22 10" xfId="13679"/>
    <cellStyle name="Normal 22 10 10" xfId="13680"/>
    <cellStyle name="Normal 22 10 11" xfId="13681"/>
    <cellStyle name="Normal 22 10 12" xfId="13682"/>
    <cellStyle name="Normal 22 10 13" xfId="13683"/>
    <cellStyle name="Normal 22 10 2" xfId="13684"/>
    <cellStyle name="Normal 22 10 3" xfId="13685"/>
    <cellStyle name="Normal 22 10 4" xfId="13686"/>
    <cellStyle name="Normal 22 10 5" xfId="13687"/>
    <cellStyle name="Normal 22 10 6" xfId="13688"/>
    <cellStyle name="Normal 22 10 7" xfId="13689"/>
    <cellStyle name="Normal 22 10 8" xfId="13690"/>
    <cellStyle name="Normal 22 10 9" xfId="13691"/>
    <cellStyle name="Normal 22 11" xfId="13692"/>
    <cellStyle name="Normal 22 11 10" xfId="13693"/>
    <cellStyle name="Normal 22 11 11" xfId="13694"/>
    <cellStyle name="Normal 22 11 12" xfId="13695"/>
    <cellStyle name="Normal 22 11 13" xfId="13696"/>
    <cellStyle name="Normal 22 11 2" xfId="13697"/>
    <cellStyle name="Normal 22 11 3" xfId="13698"/>
    <cellStyle name="Normal 22 11 4" xfId="13699"/>
    <cellStyle name="Normal 22 11 5" xfId="13700"/>
    <cellStyle name="Normal 22 11 6" xfId="13701"/>
    <cellStyle name="Normal 22 11 7" xfId="13702"/>
    <cellStyle name="Normal 22 11 8" xfId="13703"/>
    <cellStyle name="Normal 22 11 9" xfId="13704"/>
    <cellStyle name="Normal 22 12" xfId="13705"/>
    <cellStyle name="Normal 22 12 10" xfId="13706"/>
    <cellStyle name="Normal 22 12 11" xfId="13707"/>
    <cellStyle name="Normal 22 12 12" xfId="13708"/>
    <cellStyle name="Normal 22 12 13" xfId="13709"/>
    <cellStyle name="Normal 22 12 2" xfId="13710"/>
    <cellStyle name="Normal 22 12 3" xfId="13711"/>
    <cellStyle name="Normal 22 12 4" xfId="13712"/>
    <cellStyle name="Normal 22 12 5" xfId="13713"/>
    <cellStyle name="Normal 22 12 6" xfId="13714"/>
    <cellStyle name="Normal 22 12 7" xfId="13715"/>
    <cellStyle name="Normal 22 12 8" xfId="13716"/>
    <cellStyle name="Normal 22 12 9" xfId="13717"/>
    <cellStyle name="Normal 22 13" xfId="13718"/>
    <cellStyle name="Normal 22 13 10" xfId="13719"/>
    <cellStyle name="Normal 22 13 11" xfId="13720"/>
    <cellStyle name="Normal 22 13 12" xfId="13721"/>
    <cellStyle name="Normal 22 13 13" xfId="13722"/>
    <cellStyle name="Normal 22 13 2" xfId="13723"/>
    <cellStyle name="Normal 22 13 3" xfId="13724"/>
    <cellStyle name="Normal 22 13 4" xfId="13725"/>
    <cellStyle name="Normal 22 13 5" xfId="13726"/>
    <cellStyle name="Normal 22 13 6" xfId="13727"/>
    <cellStyle name="Normal 22 13 7" xfId="13728"/>
    <cellStyle name="Normal 22 13 8" xfId="13729"/>
    <cellStyle name="Normal 22 13 9" xfId="13730"/>
    <cellStyle name="Normal 22 14" xfId="13731"/>
    <cellStyle name="Normal 22 14 10" xfId="13732"/>
    <cellStyle name="Normal 22 14 11" xfId="13733"/>
    <cellStyle name="Normal 22 14 12" xfId="13734"/>
    <cellStyle name="Normal 22 14 13" xfId="13735"/>
    <cellStyle name="Normal 22 14 2" xfId="13736"/>
    <cellStyle name="Normal 22 14 3" xfId="13737"/>
    <cellStyle name="Normal 22 14 4" xfId="13738"/>
    <cellStyle name="Normal 22 14 5" xfId="13739"/>
    <cellStyle name="Normal 22 14 6" xfId="13740"/>
    <cellStyle name="Normal 22 14 7" xfId="13741"/>
    <cellStyle name="Normal 22 14 8" xfId="13742"/>
    <cellStyle name="Normal 22 14 9" xfId="13743"/>
    <cellStyle name="Normal 22 15" xfId="13744"/>
    <cellStyle name="Normal 22 15 10" xfId="13745"/>
    <cellStyle name="Normal 22 15 11" xfId="13746"/>
    <cellStyle name="Normal 22 15 12" xfId="13747"/>
    <cellStyle name="Normal 22 15 13" xfId="13748"/>
    <cellStyle name="Normal 22 15 2" xfId="13749"/>
    <cellStyle name="Normal 22 15 3" xfId="13750"/>
    <cellStyle name="Normal 22 15 4" xfId="13751"/>
    <cellStyle name="Normal 22 15 5" xfId="13752"/>
    <cellStyle name="Normal 22 15 6" xfId="13753"/>
    <cellStyle name="Normal 22 15 7" xfId="13754"/>
    <cellStyle name="Normal 22 15 8" xfId="13755"/>
    <cellStyle name="Normal 22 15 9" xfId="13756"/>
    <cellStyle name="Normal 22 16" xfId="13757"/>
    <cellStyle name="Normal 22 16 10" xfId="13758"/>
    <cellStyle name="Normal 22 16 11" xfId="13759"/>
    <cellStyle name="Normal 22 16 12" xfId="13760"/>
    <cellStyle name="Normal 22 16 13" xfId="13761"/>
    <cellStyle name="Normal 22 16 2" xfId="13762"/>
    <cellStyle name="Normal 22 16 3" xfId="13763"/>
    <cellStyle name="Normal 22 16 4" xfId="13764"/>
    <cellStyle name="Normal 22 16 5" xfId="13765"/>
    <cellStyle name="Normal 22 16 6" xfId="13766"/>
    <cellStyle name="Normal 22 16 7" xfId="13767"/>
    <cellStyle name="Normal 22 16 8" xfId="13768"/>
    <cellStyle name="Normal 22 16 9" xfId="13769"/>
    <cellStyle name="Normal 22 17" xfId="13770"/>
    <cellStyle name="Normal 22 17 10" xfId="13771"/>
    <cellStyle name="Normal 22 17 11" xfId="13772"/>
    <cellStyle name="Normal 22 17 12" xfId="13773"/>
    <cellStyle name="Normal 22 17 13" xfId="13774"/>
    <cellStyle name="Normal 22 17 2" xfId="13775"/>
    <cellStyle name="Normal 22 17 3" xfId="13776"/>
    <cellStyle name="Normal 22 17 4" xfId="13777"/>
    <cellStyle name="Normal 22 17 5" xfId="13778"/>
    <cellStyle name="Normal 22 17 6" xfId="13779"/>
    <cellStyle name="Normal 22 17 7" xfId="13780"/>
    <cellStyle name="Normal 22 17 8" xfId="13781"/>
    <cellStyle name="Normal 22 17 9" xfId="13782"/>
    <cellStyle name="Normal 22 18" xfId="13783"/>
    <cellStyle name="Normal 22 18 10" xfId="13784"/>
    <cellStyle name="Normal 22 18 11" xfId="13785"/>
    <cellStyle name="Normal 22 18 12" xfId="13786"/>
    <cellStyle name="Normal 22 18 13" xfId="13787"/>
    <cellStyle name="Normal 22 18 2" xfId="13788"/>
    <cellStyle name="Normal 22 18 3" xfId="13789"/>
    <cellStyle name="Normal 22 18 4" xfId="13790"/>
    <cellStyle name="Normal 22 18 5" xfId="13791"/>
    <cellStyle name="Normal 22 18 6" xfId="13792"/>
    <cellStyle name="Normal 22 18 7" xfId="13793"/>
    <cellStyle name="Normal 22 18 8" xfId="13794"/>
    <cellStyle name="Normal 22 18 9" xfId="13795"/>
    <cellStyle name="Normal 22 19" xfId="13796"/>
    <cellStyle name="Normal 22 19 10" xfId="13797"/>
    <cellStyle name="Normal 22 19 11" xfId="13798"/>
    <cellStyle name="Normal 22 19 12" xfId="13799"/>
    <cellStyle name="Normal 22 19 13" xfId="13800"/>
    <cellStyle name="Normal 22 19 2" xfId="13801"/>
    <cellStyle name="Normal 22 19 3" xfId="13802"/>
    <cellStyle name="Normal 22 19 4" xfId="13803"/>
    <cellStyle name="Normal 22 19 5" xfId="13804"/>
    <cellStyle name="Normal 22 19 6" xfId="13805"/>
    <cellStyle name="Normal 22 19 7" xfId="13806"/>
    <cellStyle name="Normal 22 19 8" xfId="13807"/>
    <cellStyle name="Normal 22 19 9" xfId="13808"/>
    <cellStyle name="Normal 22 2" xfId="13809"/>
    <cellStyle name="Normal 22 2 10" xfId="13810"/>
    <cellStyle name="Normal 22 2 10 10" xfId="13811"/>
    <cellStyle name="Normal 22 2 10 11" xfId="13812"/>
    <cellStyle name="Normal 22 2 10 12" xfId="13813"/>
    <cellStyle name="Normal 22 2 10 13" xfId="13814"/>
    <cellStyle name="Normal 22 2 10 2" xfId="13815"/>
    <cellStyle name="Normal 22 2 10 3" xfId="13816"/>
    <cellStyle name="Normal 22 2 10 4" xfId="13817"/>
    <cellStyle name="Normal 22 2 10 5" xfId="13818"/>
    <cellStyle name="Normal 22 2 10 6" xfId="13819"/>
    <cellStyle name="Normal 22 2 10 7" xfId="13820"/>
    <cellStyle name="Normal 22 2 10 8" xfId="13821"/>
    <cellStyle name="Normal 22 2 10 9" xfId="13822"/>
    <cellStyle name="Normal 22 2 11" xfId="13823"/>
    <cellStyle name="Normal 22 2 11 10" xfId="13824"/>
    <cellStyle name="Normal 22 2 11 11" xfId="13825"/>
    <cellStyle name="Normal 22 2 11 12" xfId="13826"/>
    <cellStyle name="Normal 22 2 11 13" xfId="13827"/>
    <cellStyle name="Normal 22 2 11 2" xfId="13828"/>
    <cellStyle name="Normal 22 2 11 3" xfId="13829"/>
    <cellStyle name="Normal 22 2 11 4" xfId="13830"/>
    <cellStyle name="Normal 22 2 11 5" xfId="13831"/>
    <cellStyle name="Normal 22 2 11 6" xfId="13832"/>
    <cellStyle name="Normal 22 2 11 7" xfId="13833"/>
    <cellStyle name="Normal 22 2 11 8" xfId="13834"/>
    <cellStyle name="Normal 22 2 11 9" xfId="13835"/>
    <cellStyle name="Normal 22 2 12" xfId="13836"/>
    <cellStyle name="Normal 22 2 12 10" xfId="13837"/>
    <cellStyle name="Normal 22 2 12 11" xfId="13838"/>
    <cellStyle name="Normal 22 2 12 12" xfId="13839"/>
    <cellStyle name="Normal 22 2 12 13" xfId="13840"/>
    <cellStyle name="Normal 22 2 12 2" xfId="13841"/>
    <cellStyle name="Normal 22 2 12 3" xfId="13842"/>
    <cellStyle name="Normal 22 2 12 4" xfId="13843"/>
    <cellStyle name="Normal 22 2 12 5" xfId="13844"/>
    <cellStyle name="Normal 22 2 12 6" xfId="13845"/>
    <cellStyle name="Normal 22 2 12 7" xfId="13846"/>
    <cellStyle name="Normal 22 2 12 8" xfId="13847"/>
    <cellStyle name="Normal 22 2 12 9" xfId="13848"/>
    <cellStyle name="Normal 22 2 13" xfId="13849"/>
    <cellStyle name="Normal 22 2 13 10" xfId="13850"/>
    <cellStyle name="Normal 22 2 13 11" xfId="13851"/>
    <cellStyle name="Normal 22 2 13 12" xfId="13852"/>
    <cellStyle name="Normal 22 2 13 13" xfId="13853"/>
    <cellStyle name="Normal 22 2 13 2" xfId="13854"/>
    <cellStyle name="Normal 22 2 13 3" xfId="13855"/>
    <cellStyle name="Normal 22 2 13 4" xfId="13856"/>
    <cellStyle name="Normal 22 2 13 5" xfId="13857"/>
    <cellStyle name="Normal 22 2 13 6" xfId="13858"/>
    <cellStyle name="Normal 22 2 13 7" xfId="13859"/>
    <cellStyle name="Normal 22 2 13 8" xfId="13860"/>
    <cellStyle name="Normal 22 2 13 9" xfId="13861"/>
    <cellStyle name="Normal 22 2 14" xfId="13862"/>
    <cellStyle name="Normal 22 2 14 10" xfId="13863"/>
    <cellStyle name="Normal 22 2 14 11" xfId="13864"/>
    <cellStyle name="Normal 22 2 14 12" xfId="13865"/>
    <cellStyle name="Normal 22 2 14 13" xfId="13866"/>
    <cellStyle name="Normal 22 2 14 2" xfId="13867"/>
    <cellStyle name="Normal 22 2 14 3" xfId="13868"/>
    <cellStyle name="Normal 22 2 14 4" xfId="13869"/>
    <cellStyle name="Normal 22 2 14 5" xfId="13870"/>
    <cellStyle name="Normal 22 2 14 6" xfId="13871"/>
    <cellStyle name="Normal 22 2 14 7" xfId="13872"/>
    <cellStyle name="Normal 22 2 14 8" xfId="13873"/>
    <cellStyle name="Normal 22 2 14 9" xfId="13874"/>
    <cellStyle name="Normal 22 2 15" xfId="13875"/>
    <cellStyle name="Normal 22 2 15 10" xfId="13876"/>
    <cellStyle name="Normal 22 2 15 11" xfId="13877"/>
    <cellStyle name="Normal 22 2 15 12" xfId="13878"/>
    <cellStyle name="Normal 22 2 15 13" xfId="13879"/>
    <cellStyle name="Normal 22 2 15 2" xfId="13880"/>
    <cellStyle name="Normal 22 2 15 3" xfId="13881"/>
    <cellStyle name="Normal 22 2 15 4" xfId="13882"/>
    <cellStyle name="Normal 22 2 15 5" xfId="13883"/>
    <cellStyle name="Normal 22 2 15 6" xfId="13884"/>
    <cellStyle name="Normal 22 2 15 7" xfId="13885"/>
    <cellStyle name="Normal 22 2 15 8" xfId="13886"/>
    <cellStyle name="Normal 22 2 15 9" xfId="13887"/>
    <cellStyle name="Normal 22 2 16" xfId="13888"/>
    <cellStyle name="Normal 22 2 16 10" xfId="13889"/>
    <cellStyle name="Normal 22 2 16 11" xfId="13890"/>
    <cellStyle name="Normal 22 2 16 12" xfId="13891"/>
    <cellStyle name="Normal 22 2 16 13" xfId="13892"/>
    <cellStyle name="Normal 22 2 16 2" xfId="13893"/>
    <cellStyle name="Normal 22 2 16 3" xfId="13894"/>
    <cellStyle name="Normal 22 2 16 4" xfId="13895"/>
    <cellStyle name="Normal 22 2 16 5" xfId="13896"/>
    <cellStyle name="Normal 22 2 16 6" xfId="13897"/>
    <cellStyle name="Normal 22 2 16 7" xfId="13898"/>
    <cellStyle name="Normal 22 2 16 8" xfId="13899"/>
    <cellStyle name="Normal 22 2 16 9" xfId="13900"/>
    <cellStyle name="Normal 22 2 17" xfId="13901"/>
    <cellStyle name="Normal 22 2 17 10" xfId="13902"/>
    <cellStyle name="Normal 22 2 17 11" xfId="13903"/>
    <cellStyle name="Normal 22 2 17 12" xfId="13904"/>
    <cellStyle name="Normal 22 2 17 13" xfId="13905"/>
    <cellStyle name="Normal 22 2 17 2" xfId="13906"/>
    <cellStyle name="Normal 22 2 17 3" xfId="13907"/>
    <cellStyle name="Normal 22 2 17 4" xfId="13908"/>
    <cellStyle name="Normal 22 2 17 5" xfId="13909"/>
    <cellStyle name="Normal 22 2 17 6" xfId="13910"/>
    <cellStyle name="Normal 22 2 17 7" xfId="13911"/>
    <cellStyle name="Normal 22 2 17 8" xfId="13912"/>
    <cellStyle name="Normal 22 2 17 9" xfId="13913"/>
    <cellStyle name="Normal 22 2 18" xfId="13914"/>
    <cellStyle name="Normal 22 2 18 10" xfId="13915"/>
    <cellStyle name="Normal 22 2 18 11" xfId="13916"/>
    <cellStyle name="Normal 22 2 18 12" xfId="13917"/>
    <cellStyle name="Normal 22 2 18 13" xfId="13918"/>
    <cellStyle name="Normal 22 2 18 2" xfId="13919"/>
    <cellStyle name="Normal 22 2 18 3" xfId="13920"/>
    <cellStyle name="Normal 22 2 18 4" xfId="13921"/>
    <cellStyle name="Normal 22 2 18 5" xfId="13922"/>
    <cellStyle name="Normal 22 2 18 6" xfId="13923"/>
    <cellStyle name="Normal 22 2 18 7" xfId="13924"/>
    <cellStyle name="Normal 22 2 18 8" xfId="13925"/>
    <cellStyle name="Normal 22 2 18 9" xfId="13926"/>
    <cellStyle name="Normal 22 2 19" xfId="13927"/>
    <cellStyle name="Normal 22 2 19 10" xfId="13928"/>
    <cellStyle name="Normal 22 2 19 11" xfId="13929"/>
    <cellStyle name="Normal 22 2 19 12" xfId="13930"/>
    <cellStyle name="Normal 22 2 19 13" xfId="13931"/>
    <cellStyle name="Normal 22 2 19 2" xfId="13932"/>
    <cellStyle name="Normal 22 2 19 3" xfId="13933"/>
    <cellStyle name="Normal 22 2 19 4" xfId="13934"/>
    <cellStyle name="Normal 22 2 19 5" xfId="13935"/>
    <cellStyle name="Normal 22 2 19 6" xfId="13936"/>
    <cellStyle name="Normal 22 2 19 7" xfId="13937"/>
    <cellStyle name="Normal 22 2 19 8" xfId="13938"/>
    <cellStyle name="Normal 22 2 19 9" xfId="13939"/>
    <cellStyle name="Normal 22 2 2" xfId="13940"/>
    <cellStyle name="Normal 22 2 2 10" xfId="13941"/>
    <cellStyle name="Normal 22 2 2 11" xfId="13942"/>
    <cellStyle name="Normal 22 2 2 12" xfId="13943"/>
    <cellStyle name="Normal 22 2 2 13" xfId="13944"/>
    <cellStyle name="Normal 22 2 2 2" xfId="13945"/>
    <cellStyle name="Normal 22 2 2 3" xfId="13946"/>
    <cellStyle name="Normal 22 2 2 4" xfId="13947"/>
    <cellStyle name="Normal 22 2 2 5" xfId="13948"/>
    <cellStyle name="Normal 22 2 2 6" xfId="13949"/>
    <cellStyle name="Normal 22 2 2 7" xfId="13950"/>
    <cellStyle name="Normal 22 2 2 8" xfId="13951"/>
    <cellStyle name="Normal 22 2 2 9" xfId="13952"/>
    <cellStyle name="Normal 22 2 20" xfId="13953"/>
    <cellStyle name="Normal 22 2 20 10" xfId="13954"/>
    <cellStyle name="Normal 22 2 20 11" xfId="13955"/>
    <cellStyle name="Normal 22 2 20 12" xfId="13956"/>
    <cellStyle name="Normal 22 2 20 13" xfId="13957"/>
    <cellStyle name="Normal 22 2 20 2" xfId="13958"/>
    <cellStyle name="Normal 22 2 20 3" xfId="13959"/>
    <cellStyle name="Normal 22 2 20 4" xfId="13960"/>
    <cellStyle name="Normal 22 2 20 5" xfId="13961"/>
    <cellStyle name="Normal 22 2 20 6" xfId="13962"/>
    <cellStyle name="Normal 22 2 20 7" xfId="13963"/>
    <cellStyle name="Normal 22 2 20 8" xfId="13964"/>
    <cellStyle name="Normal 22 2 20 9" xfId="13965"/>
    <cellStyle name="Normal 22 2 21" xfId="13966"/>
    <cellStyle name="Normal 22 2 21 10" xfId="13967"/>
    <cellStyle name="Normal 22 2 21 11" xfId="13968"/>
    <cellStyle name="Normal 22 2 21 12" xfId="13969"/>
    <cellStyle name="Normal 22 2 21 13" xfId="13970"/>
    <cellStyle name="Normal 22 2 21 2" xfId="13971"/>
    <cellStyle name="Normal 22 2 21 3" xfId="13972"/>
    <cellStyle name="Normal 22 2 21 4" xfId="13973"/>
    <cellStyle name="Normal 22 2 21 5" xfId="13974"/>
    <cellStyle name="Normal 22 2 21 6" xfId="13975"/>
    <cellStyle name="Normal 22 2 21 7" xfId="13976"/>
    <cellStyle name="Normal 22 2 21 8" xfId="13977"/>
    <cellStyle name="Normal 22 2 21 9" xfId="13978"/>
    <cellStyle name="Normal 22 2 22" xfId="13979"/>
    <cellStyle name="Normal 22 2 22 10" xfId="13980"/>
    <cellStyle name="Normal 22 2 22 11" xfId="13981"/>
    <cellStyle name="Normal 22 2 22 12" xfId="13982"/>
    <cellStyle name="Normal 22 2 22 13" xfId="13983"/>
    <cellStyle name="Normal 22 2 22 2" xfId="13984"/>
    <cellStyle name="Normal 22 2 22 3" xfId="13985"/>
    <cellStyle name="Normal 22 2 22 4" xfId="13986"/>
    <cellStyle name="Normal 22 2 22 5" xfId="13987"/>
    <cellStyle name="Normal 22 2 22 6" xfId="13988"/>
    <cellStyle name="Normal 22 2 22 7" xfId="13989"/>
    <cellStyle name="Normal 22 2 22 8" xfId="13990"/>
    <cellStyle name="Normal 22 2 22 9" xfId="13991"/>
    <cellStyle name="Normal 22 2 23" xfId="13992"/>
    <cellStyle name="Normal 22 2 23 10" xfId="13993"/>
    <cellStyle name="Normal 22 2 23 11" xfId="13994"/>
    <cellStyle name="Normal 22 2 23 12" xfId="13995"/>
    <cellStyle name="Normal 22 2 23 13" xfId="13996"/>
    <cellStyle name="Normal 22 2 23 2" xfId="13997"/>
    <cellStyle name="Normal 22 2 23 3" xfId="13998"/>
    <cellStyle name="Normal 22 2 23 4" xfId="13999"/>
    <cellStyle name="Normal 22 2 23 5" xfId="14000"/>
    <cellStyle name="Normal 22 2 23 6" xfId="14001"/>
    <cellStyle name="Normal 22 2 23 7" xfId="14002"/>
    <cellStyle name="Normal 22 2 23 8" xfId="14003"/>
    <cellStyle name="Normal 22 2 23 9" xfId="14004"/>
    <cellStyle name="Normal 22 2 24" xfId="14005"/>
    <cellStyle name="Normal 22 2 24 10" xfId="14006"/>
    <cellStyle name="Normal 22 2 24 11" xfId="14007"/>
    <cellStyle name="Normal 22 2 24 12" xfId="14008"/>
    <cellStyle name="Normal 22 2 24 13" xfId="14009"/>
    <cellStyle name="Normal 22 2 24 2" xfId="14010"/>
    <cellStyle name="Normal 22 2 24 3" xfId="14011"/>
    <cellStyle name="Normal 22 2 24 4" xfId="14012"/>
    <cellStyle name="Normal 22 2 24 5" xfId="14013"/>
    <cellStyle name="Normal 22 2 24 6" xfId="14014"/>
    <cellStyle name="Normal 22 2 24 7" xfId="14015"/>
    <cellStyle name="Normal 22 2 24 8" xfId="14016"/>
    <cellStyle name="Normal 22 2 24 9" xfId="14017"/>
    <cellStyle name="Normal 22 2 25" xfId="14018"/>
    <cellStyle name="Normal 22 2 25 10" xfId="14019"/>
    <cellStyle name="Normal 22 2 25 11" xfId="14020"/>
    <cellStyle name="Normal 22 2 25 12" xfId="14021"/>
    <cellStyle name="Normal 22 2 25 13" xfId="14022"/>
    <cellStyle name="Normal 22 2 25 2" xfId="14023"/>
    <cellStyle name="Normal 22 2 25 3" xfId="14024"/>
    <cellStyle name="Normal 22 2 25 4" xfId="14025"/>
    <cellStyle name="Normal 22 2 25 5" xfId="14026"/>
    <cellStyle name="Normal 22 2 25 6" xfId="14027"/>
    <cellStyle name="Normal 22 2 25 7" xfId="14028"/>
    <cellStyle name="Normal 22 2 25 8" xfId="14029"/>
    <cellStyle name="Normal 22 2 25 9" xfId="14030"/>
    <cellStyle name="Normal 22 2 26" xfId="14031"/>
    <cellStyle name="Normal 22 2 26 10" xfId="14032"/>
    <cellStyle name="Normal 22 2 26 11" xfId="14033"/>
    <cellStyle name="Normal 22 2 26 12" xfId="14034"/>
    <cellStyle name="Normal 22 2 26 13" xfId="14035"/>
    <cellStyle name="Normal 22 2 26 2" xfId="14036"/>
    <cellStyle name="Normal 22 2 26 3" xfId="14037"/>
    <cellStyle name="Normal 22 2 26 4" xfId="14038"/>
    <cellStyle name="Normal 22 2 26 5" xfId="14039"/>
    <cellStyle name="Normal 22 2 26 6" xfId="14040"/>
    <cellStyle name="Normal 22 2 26 7" xfId="14041"/>
    <cellStyle name="Normal 22 2 26 8" xfId="14042"/>
    <cellStyle name="Normal 22 2 26 9" xfId="14043"/>
    <cellStyle name="Normal 22 2 27" xfId="14044"/>
    <cellStyle name="Normal 22 2 27 10" xfId="14045"/>
    <cellStyle name="Normal 22 2 27 11" xfId="14046"/>
    <cellStyle name="Normal 22 2 27 12" xfId="14047"/>
    <cellStyle name="Normal 22 2 27 13" xfId="14048"/>
    <cellStyle name="Normal 22 2 27 2" xfId="14049"/>
    <cellStyle name="Normal 22 2 27 3" xfId="14050"/>
    <cellStyle name="Normal 22 2 27 4" xfId="14051"/>
    <cellStyle name="Normal 22 2 27 5" xfId="14052"/>
    <cellStyle name="Normal 22 2 27 6" xfId="14053"/>
    <cellStyle name="Normal 22 2 27 7" xfId="14054"/>
    <cellStyle name="Normal 22 2 27 8" xfId="14055"/>
    <cellStyle name="Normal 22 2 27 9" xfId="14056"/>
    <cellStyle name="Normal 22 2 28" xfId="14057"/>
    <cellStyle name="Normal 22 2 28 10" xfId="14058"/>
    <cellStyle name="Normal 22 2 28 11" xfId="14059"/>
    <cellStyle name="Normal 22 2 28 12" xfId="14060"/>
    <cellStyle name="Normal 22 2 28 13" xfId="14061"/>
    <cellStyle name="Normal 22 2 28 2" xfId="14062"/>
    <cellStyle name="Normal 22 2 28 3" xfId="14063"/>
    <cellStyle name="Normal 22 2 28 4" xfId="14064"/>
    <cellStyle name="Normal 22 2 28 5" xfId="14065"/>
    <cellStyle name="Normal 22 2 28 6" xfId="14066"/>
    <cellStyle name="Normal 22 2 28 7" xfId="14067"/>
    <cellStyle name="Normal 22 2 28 8" xfId="14068"/>
    <cellStyle name="Normal 22 2 28 9" xfId="14069"/>
    <cellStyle name="Normal 22 2 29" xfId="14070"/>
    <cellStyle name="Normal 22 2 29 10" xfId="14071"/>
    <cellStyle name="Normal 22 2 29 11" xfId="14072"/>
    <cellStyle name="Normal 22 2 29 12" xfId="14073"/>
    <cellStyle name="Normal 22 2 29 13" xfId="14074"/>
    <cellStyle name="Normal 22 2 29 2" xfId="14075"/>
    <cellStyle name="Normal 22 2 29 3" xfId="14076"/>
    <cellStyle name="Normal 22 2 29 4" xfId="14077"/>
    <cellStyle name="Normal 22 2 29 5" xfId="14078"/>
    <cellStyle name="Normal 22 2 29 6" xfId="14079"/>
    <cellStyle name="Normal 22 2 29 7" xfId="14080"/>
    <cellStyle name="Normal 22 2 29 8" xfId="14081"/>
    <cellStyle name="Normal 22 2 29 9" xfId="14082"/>
    <cellStyle name="Normal 22 2 3" xfId="14083"/>
    <cellStyle name="Normal 22 2 3 10" xfId="14084"/>
    <cellStyle name="Normal 22 2 3 11" xfId="14085"/>
    <cellStyle name="Normal 22 2 3 12" xfId="14086"/>
    <cellStyle name="Normal 22 2 3 13" xfId="14087"/>
    <cellStyle name="Normal 22 2 3 2" xfId="14088"/>
    <cellStyle name="Normal 22 2 3 3" xfId="14089"/>
    <cellStyle name="Normal 22 2 3 4" xfId="14090"/>
    <cellStyle name="Normal 22 2 3 5" xfId="14091"/>
    <cellStyle name="Normal 22 2 3 6" xfId="14092"/>
    <cellStyle name="Normal 22 2 3 7" xfId="14093"/>
    <cellStyle name="Normal 22 2 3 8" xfId="14094"/>
    <cellStyle name="Normal 22 2 3 9" xfId="14095"/>
    <cellStyle name="Normal 22 2 30" xfId="14096"/>
    <cellStyle name="Normal 22 2 30 10" xfId="14097"/>
    <cellStyle name="Normal 22 2 30 11" xfId="14098"/>
    <cellStyle name="Normal 22 2 30 12" xfId="14099"/>
    <cellStyle name="Normal 22 2 30 13" xfId="14100"/>
    <cellStyle name="Normal 22 2 30 2" xfId="14101"/>
    <cellStyle name="Normal 22 2 30 3" xfId="14102"/>
    <cellStyle name="Normal 22 2 30 4" xfId="14103"/>
    <cellStyle name="Normal 22 2 30 5" xfId="14104"/>
    <cellStyle name="Normal 22 2 30 6" xfId="14105"/>
    <cellStyle name="Normal 22 2 30 7" xfId="14106"/>
    <cellStyle name="Normal 22 2 30 8" xfId="14107"/>
    <cellStyle name="Normal 22 2 30 9" xfId="14108"/>
    <cellStyle name="Normal 22 2 31" xfId="14109"/>
    <cellStyle name="Normal 22 2 31 10" xfId="14110"/>
    <cellStyle name="Normal 22 2 31 11" xfId="14111"/>
    <cellStyle name="Normal 22 2 31 12" xfId="14112"/>
    <cellStyle name="Normal 22 2 31 13" xfId="14113"/>
    <cellStyle name="Normal 22 2 31 2" xfId="14114"/>
    <cellStyle name="Normal 22 2 31 3" xfId="14115"/>
    <cellStyle name="Normal 22 2 31 4" xfId="14116"/>
    <cellStyle name="Normal 22 2 31 5" xfId="14117"/>
    <cellStyle name="Normal 22 2 31 6" xfId="14118"/>
    <cellStyle name="Normal 22 2 31 7" xfId="14119"/>
    <cellStyle name="Normal 22 2 31 8" xfId="14120"/>
    <cellStyle name="Normal 22 2 31 9" xfId="14121"/>
    <cellStyle name="Normal 22 2 32" xfId="14122"/>
    <cellStyle name="Normal 22 2 32 10" xfId="14123"/>
    <cellStyle name="Normal 22 2 32 11" xfId="14124"/>
    <cellStyle name="Normal 22 2 32 12" xfId="14125"/>
    <cellStyle name="Normal 22 2 32 13" xfId="14126"/>
    <cellStyle name="Normal 22 2 32 2" xfId="14127"/>
    <cellStyle name="Normal 22 2 32 3" xfId="14128"/>
    <cellStyle name="Normal 22 2 32 4" xfId="14129"/>
    <cellStyle name="Normal 22 2 32 5" xfId="14130"/>
    <cellStyle name="Normal 22 2 32 6" xfId="14131"/>
    <cellStyle name="Normal 22 2 32 7" xfId="14132"/>
    <cellStyle name="Normal 22 2 32 8" xfId="14133"/>
    <cellStyle name="Normal 22 2 32 9" xfId="14134"/>
    <cellStyle name="Normal 22 2 33" xfId="14135"/>
    <cellStyle name="Normal 22 2 33 10" xfId="14136"/>
    <cellStyle name="Normal 22 2 33 11" xfId="14137"/>
    <cellStyle name="Normal 22 2 33 12" xfId="14138"/>
    <cellStyle name="Normal 22 2 33 13" xfId="14139"/>
    <cellStyle name="Normal 22 2 33 2" xfId="14140"/>
    <cellStyle name="Normal 22 2 33 3" xfId="14141"/>
    <cellStyle name="Normal 22 2 33 4" xfId="14142"/>
    <cellStyle name="Normal 22 2 33 5" xfId="14143"/>
    <cellStyle name="Normal 22 2 33 6" xfId="14144"/>
    <cellStyle name="Normal 22 2 33 7" xfId="14145"/>
    <cellStyle name="Normal 22 2 33 8" xfId="14146"/>
    <cellStyle name="Normal 22 2 33 9" xfId="14147"/>
    <cellStyle name="Normal 22 2 34" xfId="14148"/>
    <cellStyle name="Normal 22 2 34 10" xfId="14149"/>
    <cellStyle name="Normal 22 2 34 11" xfId="14150"/>
    <cellStyle name="Normal 22 2 34 12" xfId="14151"/>
    <cellStyle name="Normal 22 2 34 13" xfId="14152"/>
    <cellStyle name="Normal 22 2 34 2" xfId="14153"/>
    <cellStyle name="Normal 22 2 34 3" xfId="14154"/>
    <cellStyle name="Normal 22 2 34 4" xfId="14155"/>
    <cellStyle name="Normal 22 2 34 5" xfId="14156"/>
    <cellStyle name="Normal 22 2 34 6" xfId="14157"/>
    <cellStyle name="Normal 22 2 34 7" xfId="14158"/>
    <cellStyle name="Normal 22 2 34 8" xfId="14159"/>
    <cellStyle name="Normal 22 2 34 9" xfId="14160"/>
    <cellStyle name="Normal 22 2 35" xfId="14161"/>
    <cellStyle name="Normal 22 2 35 10" xfId="14162"/>
    <cellStyle name="Normal 22 2 35 11" xfId="14163"/>
    <cellStyle name="Normal 22 2 35 12" xfId="14164"/>
    <cellStyle name="Normal 22 2 35 13" xfId="14165"/>
    <cellStyle name="Normal 22 2 35 2" xfId="14166"/>
    <cellStyle name="Normal 22 2 35 3" xfId="14167"/>
    <cellStyle name="Normal 22 2 35 4" xfId="14168"/>
    <cellStyle name="Normal 22 2 35 5" xfId="14169"/>
    <cellStyle name="Normal 22 2 35 6" xfId="14170"/>
    <cellStyle name="Normal 22 2 35 7" xfId="14171"/>
    <cellStyle name="Normal 22 2 35 8" xfId="14172"/>
    <cellStyle name="Normal 22 2 35 9" xfId="14173"/>
    <cellStyle name="Normal 22 2 36" xfId="14174"/>
    <cellStyle name="Normal 22 2 36 10" xfId="14175"/>
    <cellStyle name="Normal 22 2 36 11" xfId="14176"/>
    <cellStyle name="Normal 22 2 36 12" xfId="14177"/>
    <cellStyle name="Normal 22 2 36 13" xfId="14178"/>
    <cellStyle name="Normal 22 2 36 2" xfId="14179"/>
    <cellStyle name="Normal 22 2 36 3" xfId="14180"/>
    <cellStyle name="Normal 22 2 36 4" xfId="14181"/>
    <cellStyle name="Normal 22 2 36 5" xfId="14182"/>
    <cellStyle name="Normal 22 2 36 6" xfId="14183"/>
    <cellStyle name="Normal 22 2 36 7" xfId="14184"/>
    <cellStyle name="Normal 22 2 36 8" xfId="14185"/>
    <cellStyle name="Normal 22 2 36 9" xfId="14186"/>
    <cellStyle name="Normal 22 2 37" xfId="14187"/>
    <cellStyle name="Normal 22 2 37 10" xfId="14188"/>
    <cellStyle name="Normal 22 2 37 11" xfId="14189"/>
    <cellStyle name="Normal 22 2 37 12" xfId="14190"/>
    <cellStyle name="Normal 22 2 37 13" xfId="14191"/>
    <cellStyle name="Normal 22 2 37 2" xfId="14192"/>
    <cellStyle name="Normal 22 2 37 3" xfId="14193"/>
    <cellStyle name="Normal 22 2 37 4" xfId="14194"/>
    <cellStyle name="Normal 22 2 37 5" xfId="14195"/>
    <cellStyle name="Normal 22 2 37 6" xfId="14196"/>
    <cellStyle name="Normal 22 2 37 7" xfId="14197"/>
    <cellStyle name="Normal 22 2 37 8" xfId="14198"/>
    <cellStyle name="Normal 22 2 37 9" xfId="14199"/>
    <cellStyle name="Normal 22 2 38" xfId="14200"/>
    <cellStyle name="Normal 22 2 38 10" xfId="14201"/>
    <cellStyle name="Normal 22 2 38 11" xfId="14202"/>
    <cellStyle name="Normal 22 2 38 12" xfId="14203"/>
    <cellStyle name="Normal 22 2 38 13" xfId="14204"/>
    <cellStyle name="Normal 22 2 38 2" xfId="14205"/>
    <cellStyle name="Normal 22 2 38 3" xfId="14206"/>
    <cellStyle name="Normal 22 2 38 4" xfId="14207"/>
    <cellStyle name="Normal 22 2 38 5" xfId="14208"/>
    <cellStyle name="Normal 22 2 38 6" xfId="14209"/>
    <cellStyle name="Normal 22 2 38 7" xfId="14210"/>
    <cellStyle name="Normal 22 2 38 8" xfId="14211"/>
    <cellStyle name="Normal 22 2 38 9" xfId="14212"/>
    <cellStyle name="Normal 22 2 39" xfId="14213"/>
    <cellStyle name="Normal 22 2 39 10" xfId="14214"/>
    <cellStyle name="Normal 22 2 39 11" xfId="14215"/>
    <cellStyle name="Normal 22 2 39 12" xfId="14216"/>
    <cellStyle name="Normal 22 2 39 13" xfId="14217"/>
    <cellStyle name="Normal 22 2 39 2" xfId="14218"/>
    <cellStyle name="Normal 22 2 39 3" xfId="14219"/>
    <cellStyle name="Normal 22 2 39 4" xfId="14220"/>
    <cellStyle name="Normal 22 2 39 5" xfId="14221"/>
    <cellStyle name="Normal 22 2 39 6" xfId="14222"/>
    <cellStyle name="Normal 22 2 39 7" xfId="14223"/>
    <cellStyle name="Normal 22 2 39 8" xfId="14224"/>
    <cellStyle name="Normal 22 2 39 9" xfId="14225"/>
    <cellStyle name="Normal 22 2 4" xfId="14226"/>
    <cellStyle name="Normal 22 2 4 10" xfId="14227"/>
    <cellStyle name="Normal 22 2 4 11" xfId="14228"/>
    <cellStyle name="Normal 22 2 4 12" xfId="14229"/>
    <cellStyle name="Normal 22 2 4 13" xfId="14230"/>
    <cellStyle name="Normal 22 2 4 2" xfId="14231"/>
    <cellStyle name="Normal 22 2 4 3" xfId="14232"/>
    <cellStyle name="Normal 22 2 4 4" xfId="14233"/>
    <cellStyle name="Normal 22 2 4 5" xfId="14234"/>
    <cellStyle name="Normal 22 2 4 6" xfId="14235"/>
    <cellStyle name="Normal 22 2 4 7" xfId="14236"/>
    <cellStyle name="Normal 22 2 4 8" xfId="14237"/>
    <cellStyle name="Normal 22 2 4 9" xfId="14238"/>
    <cellStyle name="Normal 22 2 40" xfId="14239"/>
    <cellStyle name="Normal 22 2 40 10" xfId="14240"/>
    <cellStyle name="Normal 22 2 40 11" xfId="14241"/>
    <cellStyle name="Normal 22 2 40 12" xfId="14242"/>
    <cellStyle name="Normal 22 2 40 13" xfId="14243"/>
    <cellStyle name="Normal 22 2 40 2" xfId="14244"/>
    <cellStyle name="Normal 22 2 40 3" xfId="14245"/>
    <cellStyle name="Normal 22 2 40 4" xfId="14246"/>
    <cellStyle name="Normal 22 2 40 5" xfId="14247"/>
    <cellStyle name="Normal 22 2 40 6" xfId="14248"/>
    <cellStyle name="Normal 22 2 40 7" xfId="14249"/>
    <cellStyle name="Normal 22 2 40 8" xfId="14250"/>
    <cellStyle name="Normal 22 2 40 9" xfId="14251"/>
    <cellStyle name="Normal 22 2 41" xfId="14252"/>
    <cellStyle name="Normal 22 2 41 10" xfId="14253"/>
    <cellStyle name="Normal 22 2 41 11" xfId="14254"/>
    <cellStyle name="Normal 22 2 41 12" xfId="14255"/>
    <cellStyle name="Normal 22 2 41 13" xfId="14256"/>
    <cellStyle name="Normal 22 2 41 2" xfId="14257"/>
    <cellStyle name="Normal 22 2 41 3" xfId="14258"/>
    <cellStyle name="Normal 22 2 41 4" xfId="14259"/>
    <cellStyle name="Normal 22 2 41 5" xfId="14260"/>
    <cellStyle name="Normal 22 2 41 6" xfId="14261"/>
    <cellStyle name="Normal 22 2 41 7" xfId="14262"/>
    <cellStyle name="Normal 22 2 41 8" xfId="14263"/>
    <cellStyle name="Normal 22 2 41 9" xfId="14264"/>
    <cellStyle name="Normal 22 2 42" xfId="14265"/>
    <cellStyle name="Normal 22 2 42 10" xfId="14266"/>
    <cellStyle name="Normal 22 2 42 11" xfId="14267"/>
    <cellStyle name="Normal 22 2 42 12" xfId="14268"/>
    <cellStyle name="Normal 22 2 42 13" xfId="14269"/>
    <cellStyle name="Normal 22 2 42 2" xfId="14270"/>
    <cellStyle name="Normal 22 2 42 3" xfId="14271"/>
    <cellStyle name="Normal 22 2 42 4" xfId="14272"/>
    <cellStyle name="Normal 22 2 42 5" xfId="14273"/>
    <cellStyle name="Normal 22 2 42 6" xfId="14274"/>
    <cellStyle name="Normal 22 2 42 7" xfId="14275"/>
    <cellStyle name="Normal 22 2 42 8" xfId="14276"/>
    <cellStyle name="Normal 22 2 42 9" xfId="14277"/>
    <cellStyle name="Normal 22 2 43" xfId="14278"/>
    <cellStyle name="Normal 22 2 43 10" xfId="14279"/>
    <cellStyle name="Normal 22 2 43 11" xfId="14280"/>
    <cellStyle name="Normal 22 2 43 12" xfId="14281"/>
    <cellStyle name="Normal 22 2 43 13" xfId="14282"/>
    <cellStyle name="Normal 22 2 43 2" xfId="14283"/>
    <cellStyle name="Normal 22 2 43 3" xfId="14284"/>
    <cellStyle name="Normal 22 2 43 4" xfId="14285"/>
    <cellStyle name="Normal 22 2 43 5" xfId="14286"/>
    <cellStyle name="Normal 22 2 43 6" xfId="14287"/>
    <cellStyle name="Normal 22 2 43 7" xfId="14288"/>
    <cellStyle name="Normal 22 2 43 8" xfId="14289"/>
    <cellStyle name="Normal 22 2 43 9" xfId="14290"/>
    <cellStyle name="Normal 22 2 44" xfId="14291"/>
    <cellStyle name="Normal 22 2 44 10" xfId="14292"/>
    <cellStyle name="Normal 22 2 44 11" xfId="14293"/>
    <cellStyle name="Normal 22 2 44 12" xfId="14294"/>
    <cellStyle name="Normal 22 2 44 13" xfId="14295"/>
    <cellStyle name="Normal 22 2 44 2" xfId="14296"/>
    <cellStyle name="Normal 22 2 44 3" xfId="14297"/>
    <cellStyle name="Normal 22 2 44 4" xfId="14298"/>
    <cellStyle name="Normal 22 2 44 5" xfId="14299"/>
    <cellStyle name="Normal 22 2 44 6" xfId="14300"/>
    <cellStyle name="Normal 22 2 44 7" xfId="14301"/>
    <cellStyle name="Normal 22 2 44 8" xfId="14302"/>
    <cellStyle name="Normal 22 2 44 9" xfId="14303"/>
    <cellStyle name="Normal 22 2 45" xfId="14304"/>
    <cellStyle name="Normal 22 2 45 10" xfId="14305"/>
    <cellStyle name="Normal 22 2 45 11" xfId="14306"/>
    <cellStyle name="Normal 22 2 45 12" xfId="14307"/>
    <cellStyle name="Normal 22 2 45 13" xfId="14308"/>
    <cellStyle name="Normal 22 2 45 2" xfId="14309"/>
    <cellStyle name="Normal 22 2 45 3" xfId="14310"/>
    <cellStyle name="Normal 22 2 45 4" xfId="14311"/>
    <cellStyle name="Normal 22 2 45 5" xfId="14312"/>
    <cellStyle name="Normal 22 2 45 6" xfId="14313"/>
    <cellStyle name="Normal 22 2 45 7" xfId="14314"/>
    <cellStyle name="Normal 22 2 45 8" xfId="14315"/>
    <cellStyle name="Normal 22 2 45 9" xfId="14316"/>
    <cellStyle name="Normal 22 2 46" xfId="14317"/>
    <cellStyle name="Normal 22 2 46 10" xfId="14318"/>
    <cellStyle name="Normal 22 2 46 11" xfId="14319"/>
    <cellStyle name="Normal 22 2 46 12" xfId="14320"/>
    <cellStyle name="Normal 22 2 46 13" xfId="14321"/>
    <cellStyle name="Normal 22 2 46 2" xfId="14322"/>
    <cellStyle name="Normal 22 2 46 3" xfId="14323"/>
    <cellStyle name="Normal 22 2 46 4" xfId="14324"/>
    <cellStyle name="Normal 22 2 46 5" xfId="14325"/>
    <cellStyle name="Normal 22 2 46 6" xfId="14326"/>
    <cellStyle name="Normal 22 2 46 7" xfId="14327"/>
    <cellStyle name="Normal 22 2 46 8" xfId="14328"/>
    <cellStyle name="Normal 22 2 46 9" xfId="14329"/>
    <cellStyle name="Normal 22 2 47" xfId="14330"/>
    <cellStyle name="Normal 22 2 47 10" xfId="14331"/>
    <cellStyle name="Normal 22 2 47 11" xfId="14332"/>
    <cellStyle name="Normal 22 2 47 12" xfId="14333"/>
    <cellStyle name="Normal 22 2 47 13" xfId="14334"/>
    <cellStyle name="Normal 22 2 47 2" xfId="14335"/>
    <cellStyle name="Normal 22 2 47 3" xfId="14336"/>
    <cellStyle name="Normal 22 2 47 4" xfId="14337"/>
    <cellStyle name="Normal 22 2 47 5" xfId="14338"/>
    <cellStyle name="Normal 22 2 47 6" xfId="14339"/>
    <cellStyle name="Normal 22 2 47 7" xfId="14340"/>
    <cellStyle name="Normal 22 2 47 8" xfId="14341"/>
    <cellStyle name="Normal 22 2 47 9" xfId="14342"/>
    <cellStyle name="Normal 22 2 48" xfId="14343"/>
    <cellStyle name="Normal 22 2 48 10" xfId="14344"/>
    <cellStyle name="Normal 22 2 48 11" xfId="14345"/>
    <cellStyle name="Normal 22 2 48 12" xfId="14346"/>
    <cellStyle name="Normal 22 2 48 13" xfId="14347"/>
    <cellStyle name="Normal 22 2 48 2" xfId="14348"/>
    <cellStyle name="Normal 22 2 48 3" xfId="14349"/>
    <cellStyle name="Normal 22 2 48 4" xfId="14350"/>
    <cellStyle name="Normal 22 2 48 5" xfId="14351"/>
    <cellStyle name="Normal 22 2 48 6" xfId="14352"/>
    <cellStyle name="Normal 22 2 48 7" xfId="14353"/>
    <cellStyle name="Normal 22 2 48 8" xfId="14354"/>
    <cellStyle name="Normal 22 2 48 9" xfId="14355"/>
    <cellStyle name="Normal 22 2 49" xfId="14356"/>
    <cellStyle name="Normal 22 2 49 10" xfId="14357"/>
    <cellStyle name="Normal 22 2 49 11" xfId="14358"/>
    <cellStyle name="Normal 22 2 49 12" xfId="14359"/>
    <cellStyle name="Normal 22 2 49 13" xfId="14360"/>
    <cellStyle name="Normal 22 2 49 2" xfId="14361"/>
    <cellStyle name="Normal 22 2 49 3" xfId="14362"/>
    <cellStyle name="Normal 22 2 49 4" xfId="14363"/>
    <cellStyle name="Normal 22 2 49 5" xfId="14364"/>
    <cellStyle name="Normal 22 2 49 6" xfId="14365"/>
    <cellStyle name="Normal 22 2 49 7" xfId="14366"/>
    <cellStyle name="Normal 22 2 49 8" xfId="14367"/>
    <cellStyle name="Normal 22 2 49 9" xfId="14368"/>
    <cellStyle name="Normal 22 2 5" xfId="14369"/>
    <cellStyle name="Normal 22 2 5 10" xfId="14370"/>
    <cellStyle name="Normal 22 2 5 11" xfId="14371"/>
    <cellStyle name="Normal 22 2 5 12" xfId="14372"/>
    <cellStyle name="Normal 22 2 5 13" xfId="14373"/>
    <cellStyle name="Normal 22 2 5 2" xfId="14374"/>
    <cellStyle name="Normal 22 2 5 3" xfId="14375"/>
    <cellStyle name="Normal 22 2 5 4" xfId="14376"/>
    <cellStyle name="Normal 22 2 5 5" xfId="14377"/>
    <cellStyle name="Normal 22 2 5 6" xfId="14378"/>
    <cellStyle name="Normal 22 2 5 7" xfId="14379"/>
    <cellStyle name="Normal 22 2 5 8" xfId="14380"/>
    <cellStyle name="Normal 22 2 5 9" xfId="14381"/>
    <cellStyle name="Normal 22 2 50" xfId="14382"/>
    <cellStyle name="Normal 22 2 50 10" xfId="14383"/>
    <cellStyle name="Normal 22 2 50 11" xfId="14384"/>
    <cellStyle name="Normal 22 2 50 12" xfId="14385"/>
    <cellStyle name="Normal 22 2 50 13" xfId="14386"/>
    <cellStyle name="Normal 22 2 50 2" xfId="14387"/>
    <cellStyle name="Normal 22 2 50 3" xfId="14388"/>
    <cellStyle name="Normal 22 2 50 4" xfId="14389"/>
    <cellStyle name="Normal 22 2 50 5" xfId="14390"/>
    <cellStyle name="Normal 22 2 50 6" xfId="14391"/>
    <cellStyle name="Normal 22 2 50 7" xfId="14392"/>
    <cellStyle name="Normal 22 2 50 8" xfId="14393"/>
    <cellStyle name="Normal 22 2 50 9" xfId="14394"/>
    <cellStyle name="Normal 22 2 51" xfId="14395"/>
    <cellStyle name="Normal 22 2 51 10" xfId="14396"/>
    <cellStyle name="Normal 22 2 51 11" xfId="14397"/>
    <cellStyle name="Normal 22 2 51 12" xfId="14398"/>
    <cellStyle name="Normal 22 2 51 13" xfId="14399"/>
    <cellStyle name="Normal 22 2 51 2" xfId="14400"/>
    <cellStyle name="Normal 22 2 51 3" xfId="14401"/>
    <cellStyle name="Normal 22 2 51 4" xfId="14402"/>
    <cellStyle name="Normal 22 2 51 5" xfId="14403"/>
    <cellStyle name="Normal 22 2 51 6" xfId="14404"/>
    <cellStyle name="Normal 22 2 51 7" xfId="14405"/>
    <cellStyle name="Normal 22 2 51 8" xfId="14406"/>
    <cellStyle name="Normal 22 2 51 9" xfId="14407"/>
    <cellStyle name="Normal 22 2 52" xfId="14408"/>
    <cellStyle name="Normal 22 2 52 10" xfId="14409"/>
    <cellStyle name="Normal 22 2 52 11" xfId="14410"/>
    <cellStyle name="Normal 22 2 52 12" xfId="14411"/>
    <cellStyle name="Normal 22 2 52 13" xfId="14412"/>
    <cellStyle name="Normal 22 2 52 2" xfId="14413"/>
    <cellStyle name="Normal 22 2 52 3" xfId="14414"/>
    <cellStyle name="Normal 22 2 52 4" xfId="14415"/>
    <cellStyle name="Normal 22 2 52 5" xfId="14416"/>
    <cellStyle name="Normal 22 2 52 6" xfId="14417"/>
    <cellStyle name="Normal 22 2 52 7" xfId="14418"/>
    <cellStyle name="Normal 22 2 52 8" xfId="14419"/>
    <cellStyle name="Normal 22 2 52 9" xfId="14420"/>
    <cellStyle name="Normal 22 2 53" xfId="14421"/>
    <cellStyle name="Normal 22 2 53 10" xfId="14422"/>
    <cellStyle name="Normal 22 2 53 11" xfId="14423"/>
    <cellStyle name="Normal 22 2 53 12" xfId="14424"/>
    <cellStyle name="Normal 22 2 53 13" xfId="14425"/>
    <cellStyle name="Normal 22 2 53 2" xfId="14426"/>
    <cellStyle name="Normal 22 2 53 3" xfId="14427"/>
    <cellStyle name="Normal 22 2 53 4" xfId="14428"/>
    <cellStyle name="Normal 22 2 53 5" xfId="14429"/>
    <cellStyle name="Normal 22 2 53 6" xfId="14430"/>
    <cellStyle name="Normal 22 2 53 7" xfId="14431"/>
    <cellStyle name="Normal 22 2 53 8" xfId="14432"/>
    <cellStyle name="Normal 22 2 53 9" xfId="14433"/>
    <cellStyle name="Normal 22 2 54" xfId="14434"/>
    <cellStyle name="Normal 22 2 54 10" xfId="14435"/>
    <cellStyle name="Normal 22 2 54 11" xfId="14436"/>
    <cellStyle name="Normal 22 2 54 12" xfId="14437"/>
    <cellStyle name="Normal 22 2 54 13" xfId="14438"/>
    <cellStyle name="Normal 22 2 54 2" xfId="14439"/>
    <cellStyle name="Normal 22 2 54 3" xfId="14440"/>
    <cellStyle name="Normal 22 2 54 4" xfId="14441"/>
    <cellStyle name="Normal 22 2 54 5" xfId="14442"/>
    <cellStyle name="Normal 22 2 54 6" xfId="14443"/>
    <cellStyle name="Normal 22 2 54 7" xfId="14444"/>
    <cellStyle name="Normal 22 2 54 8" xfId="14445"/>
    <cellStyle name="Normal 22 2 54 9" xfId="14446"/>
    <cellStyle name="Normal 22 2 55" xfId="14447"/>
    <cellStyle name="Normal 22 2 55 10" xfId="14448"/>
    <cellStyle name="Normal 22 2 55 11" xfId="14449"/>
    <cellStyle name="Normal 22 2 55 12" xfId="14450"/>
    <cellStyle name="Normal 22 2 55 13" xfId="14451"/>
    <cellStyle name="Normal 22 2 55 2" xfId="14452"/>
    <cellStyle name="Normal 22 2 55 3" xfId="14453"/>
    <cellStyle name="Normal 22 2 55 4" xfId="14454"/>
    <cellStyle name="Normal 22 2 55 5" xfId="14455"/>
    <cellStyle name="Normal 22 2 55 6" xfId="14456"/>
    <cellStyle name="Normal 22 2 55 7" xfId="14457"/>
    <cellStyle name="Normal 22 2 55 8" xfId="14458"/>
    <cellStyle name="Normal 22 2 55 9" xfId="14459"/>
    <cellStyle name="Normal 22 2 56" xfId="14460"/>
    <cellStyle name="Normal 22 2 56 10" xfId="14461"/>
    <cellStyle name="Normal 22 2 56 11" xfId="14462"/>
    <cellStyle name="Normal 22 2 56 12" xfId="14463"/>
    <cellStyle name="Normal 22 2 56 13" xfId="14464"/>
    <cellStyle name="Normal 22 2 56 2" xfId="14465"/>
    <cellStyle name="Normal 22 2 56 3" xfId="14466"/>
    <cellStyle name="Normal 22 2 56 4" xfId="14467"/>
    <cellStyle name="Normal 22 2 56 5" xfId="14468"/>
    <cellStyle name="Normal 22 2 56 6" xfId="14469"/>
    <cellStyle name="Normal 22 2 56 7" xfId="14470"/>
    <cellStyle name="Normal 22 2 56 8" xfId="14471"/>
    <cellStyle name="Normal 22 2 56 9" xfId="14472"/>
    <cellStyle name="Normal 22 2 57" xfId="14473"/>
    <cellStyle name="Normal 22 2 57 10" xfId="14474"/>
    <cellStyle name="Normal 22 2 57 11" xfId="14475"/>
    <cellStyle name="Normal 22 2 57 12" xfId="14476"/>
    <cellStyle name="Normal 22 2 57 13" xfId="14477"/>
    <cellStyle name="Normal 22 2 57 2" xfId="14478"/>
    <cellStyle name="Normal 22 2 57 3" xfId="14479"/>
    <cellStyle name="Normal 22 2 57 4" xfId="14480"/>
    <cellStyle name="Normal 22 2 57 5" xfId="14481"/>
    <cellStyle name="Normal 22 2 57 6" xfId="14482"/>
    <cellStyle name="Normal 22 2 57 7" xfId="14483"/>
    <cellStyle name="Normal 22 2 57 8" xfId="14484"/>
    <cellStyle name="Normal 22 2 57 9" xfId="14485"/>
    <cellStyle name="Normal 22 2 58" xfId="14486"/>
    <cellStyle name="Normal 22 2 58 10" xfId="14487"/>
    <cellStyle name="Normal 22 2 58 11" xfId="14488"/>
    <cellStyle name="Normal 22 2 58 12" xfId="14489"/>
    <cellStyle name="Normal 22 2 58 13" xfId="14490"/>
    <cellStyle name="Normal 22 2 58 2" xfId="14491"/>
    <cellStyle name="Normal 22 2 58 3" xfId="14492"/>
    <cellStyle name="Normal 22 2 58 4" xfId="14493"/>
    <cellStyle name="Normal 22 2 58 5" xfId="14494"/>
    <cellStyle name="Normal 22 2 58 6" xfId="14495"/>
    <cellStyle name="Normal 22 2 58 7" xfId="14496"/>
    <cellStyle name="Normal 22 2 58 8" xfId="14497"/>
    <cellStyle name="Normal 22 2 58 9" xfId="14498"/>
    <cellStyle name="Normal 22 2 59" xfId="14499"/>
    <cellStyle name="Normal 22 2 59 10" xfId="14500"/>
    <cellStyle name="Normal 22 2 59 11" xfId="14501"/>
    <cellStyle name="Normal 22 2 59 12" xfId="14502"/>
    <cellStyle name="Normal 22 2 59 13" xfId="14503"/>
    <cellStyle name="Normal 22 2 59 2" xfId="14504"/>
    <cellStyle name="Normal 22 2 59 3" xfId="14505"/>
    <cellStyle name="Normal 22 2 59 4" xfId="14506"/>
    <cellStyle name="Normal 22 2 59 5" xfId="14507"/>
    <cellStyle name="Normal 22 2 59 6" xfId="14508"/>
    <cellStyle name="Normal 22 2 59 7" xfId="14509"/>
    <cellStyle name="Normal 22 2 59 8" xfId="14510"/>
    <cellStyle name="Normal 22 2 59 9" xfId="14511"/>
    <cellStyle name="Normal 22 2 6" xfId="14512"/>
    <cellStyle name="Normal 22 2 6 10" xfId="14513"/>
    <cellStyle name="Normal 22 2 6 11" xfId="14514"/>
    <cellStyle name="Normal 22 2 6 12" xfId="14515"/>
    <cellStyle name="Normal 22 2 6 13" xfId="14516"/>
    <cellStyle name="Normal 22 2 6 2" xfId="14517"/>
    <cellStyle name="Normal 22 2 6 3" xfId="14518"/>
    <cellStyle name="Normal 22 2 6 4" xfId="14519"/>
    <cellStyle name="Normal 22 2 6 5" xfId="14520"/>
    <cellStyle name="Normal 22 2 6 6" xfId="14521"/>
    <cellStyle name="Normal 22 2 6 7" xfId="14522"/>
    <cellStyle name="Normal 22 2 6 8" xfId="14523"/>
    <cellStyle name="Normal 22 2 6 9" xfId="14524"/>
    <cellStyle name="Normal 22 2 60" xfId="14525"/>
    <cellStyle name="Normal 22 2 60 10" xfId="14526"/>
    <cellStyle name="Normal 22 2 60 11" xfId="14527"/>
    <cellStyle name="Normal 22 2 60 12" xfId="14528"/>
    <cellStyle name="Normal 22 2 60 13" xfId="14529"/>
    <cellStyle name="Normal 22 2 60 2" xfId="14530"/>
    <cellStyle name="Normal 22 2 60 3" xfId="14531"/>
    <cellStyle name="Normal 22 2 60 4" xfId="14532"/>
    <cellStyle name="Normal 22 2 60 5" xfId="14533"/>
    <cellStyle name="Normal 22 2 60 6" xfId="14534"/>
    <cellStyle name="Normal 22 2 60 7" xfId="14535"/>
    <cellStyle name="Normal 22 2 60 8" xfId="14536"/>
    <cellStyle name="Normal 22 2 60 9" xfId="14537"/>
    <cellStyle name="Normal 22 2 61" xfId="14538"/>
    <cellStyle name="Normal 22 2 61 10" xfId="14539"/>
    <cellStyle name="Normal 22 2 61 11" xfId="14540"/>
    <cellStyle name="Normal 22 2 61 12" xfId="14541"/>
    <cellStyle name="Normal 22 2 61 13" xfId="14542"/>
    <cellStyle name="Normal 22 2 61 2" xfId="14543"/>
    <cellStyle name="Normal 22 2 61 3" xfId="14544"/>
    <cellStyle name="Normal 22 2 61 4" xfId="14545"/>
    <cellStyle name="Normal 22 2 61 5" xfId="14546"/>
    <cellStyle name="Normal 22 2 61 6" xfId="14547"/>
    <cellStyle name="Normal 22 2 61 7" xfId="14548"/>
    <cellStyle name="Normal 22 2 61 8" xfId="14549"/>
    <cellStyle name="Normal 22 2 61 9" xfId="14550"/>
    <cellStyle name="Normal 22 2 62" xfId="14551"/>
    <cellStyle name="Normal 22 2 62 10" xfId="14552"/>
    <cellStyle name="Normal 22 2 62 11" xfId="14553"/>
    <cellStyle name="Normal 22 2 62 12" xfId="14554"/>
    <cellStyle name="Normal 22 2 62 13" xfId="14555"/>
    <cellStyle name="Normal 22 2 62 2" xfId="14556"/>
    <cellStyle name="Normal 22 2 62 3" xfId="14557"/>
    <cellStyle name="Normal 22 2 62 4" xfId="14558"/>
    <cellStyle name="Normal 22 2 62 5" xfId="14559"/>
    <cellStyle name="Normal 22 2 62 6" xfId="14560"/>
    <cellStyle name="Normal 22 2 62 7" xfId="14561"/>
    <cellStyle name="Normal 22 2 62 8" xfId="14562"/>
    <cellStyle name="Normal 22 2 62 9" xfId="14563"/>
    <cellStyle name="Normal 22 2 63" xfId="14564"/>
    <cellStyle name="Normal 22 2 63 10" xfId="14565"/>
    <cellStyle name="Normal 22 2 63 11" xfId="14566"/>
    <cellStyle name="Normal 22 2 63 12" xfId="14567"/>
    <cellStyle name="Normal 22 2 63 13" xfId="14568"/>
    <cellStyle name="Normal 22 2 63 2" xfId="14569"/>
    <cellStyle name="Normal 22 2 63 3" xfId="14570"/>
    <cellStyle name="Normal 22 2 63 4" xfId="14571"/>
    <cellStyle name="Normal 22 2 63 5" xfId="14572"/>
    <cellStyle name="Normal 22 2 63 6" xfId="14573"/>
    <cellStyle name="Normal 22 2 63 7" xfId="14574"/>
    <cellStyle name="Normal 22 2 63 8" xfId="14575"/>
    <cellStyle name="Normal 22 2 63 9" xfId="14576"/>
    <cellStyle name="Normal 22 2 64" xfId="14577"/>
    <cellStyle name="Normal 22 2 64 10" xfId="14578"/>
    <cellStyle name="Normal 22 2 64 11" xfId="14579"/>
    <cellStyle name="Normal 22 2 64 12" xfId="14580"/>
    <cellStyle name="Normal 22 2 64 13" xfId="14581"/>
    <cellStyle name="Normal 22 2 64 2" xfId="14582"/>
    <cellStyle name="Normal 22 2 64 3" xfId="14583"/>
    <cellStyle name="Normal 22 2 64 4" xfId="14584"/>
    <cellStyle name="Normal 22 2 64 5" xfId="14585"/>
    <cellStyle name="Normal 22 2 64 6" xfId="14586"/>
    <cellStyle name="Normal 22 2 64 7" xfId="14587"/>
    <cellStyle name="Normal 22 2 64 8" xfId="14588"/>
    <cellStyle name="Normal 22 2 64 9" xfId="14589"/>
    <cellStyle name="Normal 22 2 65" xfId="14590"/>
    <cellStyle name="Normal 22 2 65 10" xfId="14591"/>
    <cellStyle name="Normal 22 2 65 11" xfId="14592"/>
    <cellStyle name="Normal 22 2 65 12" xfId="14593"/>
    <cellStyle name="Normal 22 2 65 13" xfId="14594"/>
    <cellStyle name="Normal 22 2 65 2" xfId="14595"/>
    <cellStyle name="Normal 22 2 65 3" xfId="14596"/>
    <cellStyle name="Normal 22 2 65 4" xfId="14597"/>
    <cellStyle name="Normal 22 2 65 5" xfId="14598"/>
    <cellStyle name="Normal 22 2 65 6" xfId="14599"/>
    <cellStyle name="Normal 22 2 65 7" xfId="14600"/>
    <cellStyle name="Normal 22 2 65 8" xfId="14601"/>
    <cellStyle name="Normal 22 2 65 9" xfId="14602"/>
    <cellStyle name="Normal 22 2 66" xfId="14603"/>
    <cellStyle name="Normal 22 2 66 10" xfId="14604"/>
    <cellStyle name="Normal 22 2 66 11" xfId="14605"/>
    <cellStyle name="Normal 22 2 66 12" xfId="14606"/>
    <cellStyle name="Normal 22 2 66 13" xfId="14607"/>
    <cellStyle name="Normal 22 2 66 2" xfId="14608"/>
    <cellStyle name="Normal 22 2 66 3" xfId="14609"/>
    <cellStyle name="Normal 22 2 66 4" xfId="14610"/>
    <cellStyle name="Normal 22 2 66 5" xfId="14611"/>
    <cellStyle name="Normal 22 2 66 6" xfId="14612"/>
    <cellStyle name="Normal 22 2 66 7" xfId="14613"/>
    <cellStyle name="Normal 22 2 66 8" xfId="14614"/>
    <cellStyle name="Normal 22 2 66 9" xfId="14615"/>
    <cellStyle name="Normal 22 2 67" xfId="14616"/>
    <cellStyle name="Normal 22 2 67 10" xfId="14617"/>
    <cellStyle name="Normal 22 2 67 11" xfId="14618"/>
    <cellStyle name="Normal 22 2 67 12" xfId="14619"/>
    <cellStyle name="Normal 22 2 67 13" xfId="14620"/>
    <cellStyle name="Normal 22 2 67 2" xfId="14621"/>
    <cellStyle name="Normal 22 2 67 3" xfId="14622"/>
    <cellStyle name="Normal 22 2 67 4" xfId="14623"/>
    <cellStyle name="Normal 22 2 67 5" xfId="14624"/>
    <cellStyle name="Normal 22 2 67 6" xfId="14625"/>
    <cellStyle name="Normal 22 2 67 7" xfId="14626"/>
    <cellStyle name="Normal 22 2 67 8" xfId="14627"/>
    <cellStyle name="Normal 22 2 67 9" xfId="14628"/>
    <cellStyle name="Normal 22 2 68" xfId="14629"/>
    <cellStyle name="Normal 22 2 68 10" xfId="14630"/>
    <cellStyle name="Normal 22 2 68 11" xfId="14631"/>
    <cellStyle name="Normal 22 2 68 12" xfId="14632"/>
    <cellStyle name="Normal 22 2 68 13" xfId="14633"/>
    <cellStyle name="Normal 22 2 68 2" xfId="14634"/>
    <cellStyle name="Normal 22 2 68 3" xfId="14635"/>
    <cellStyle name="Normal 22 2 68 4" xfId="14636"/>
    <cellStyle name="Normal 22 2 68 5" xfId="14637"/>
    <cellStyle name="Normal 22 2 68 6" xfId="14638"/>
    <cellStyle name="Normal 22 2 68 7" xfId="14639"/>
    <cellStyle name="Normal 22 2 68 8" xfId="14640"/>
    <cellStyle name="Normal 22 2 68 9" xfId="14641"/>
    <cellStyle name="Normal 22 2 69" xfId="14642"/>
    <cellStyle name="Normal 22 2 69 10" xfId="14643"/>
    <cellStyle name="Normal 22 2 69 11" xfId="14644"/>
    <cellStyle name="Normal 22 2 69 12" xfId="14645"/>
    <cellStyle name="Normal 22 2 69 13" xfId="14646"/>
    <cellStyle name="Normal 22 2 69 2" xfId="14647"/>
    <cellStyle name="Normal 22 2 69 3" xfId="14648"/>
    <cellStyle name="Normal 22 2 69 4" xfId="14649"/>
    <cellStyle name="Normal 22 2 69 5" xfId="14650"/>
    <cellStyle name="Normal 22 2 69 6" xfId="14651"/>
    <cellStyle name="Normal 22 2 69 7" xfId="14652"/>
    <cellStyle name="Normal 22 2 69 8" xfId="14653"/>
    <cellStyle name="Normal 22 2 69 9" xfId="14654"/>
    <cellStyle name="Normal 22 2 7" xfId="14655"/>
    <cellStyle name="Normal 22 2 7 10" xfId="14656"/>
    <cellStyle name="Normal 22 2 7 11" xfId="14657"/>
    <cellStyle name="Normal 22 2 7 12" xfId="14658"/>
    <cellStyle name="Normal 22 2 7 13" xfId="14659"/>
    <cellStyle name="Normal 22 2 7 2" xfId="14660"/>
    <cellStyle name="Normal 22 2 7 3" xfId="14661"/>
    <cellStyle name="Normal 22 2 7 4" xfId="14662"/>
    <cellStyle name="Normal 22 2 7 5" xfId="14663"/>
    <cellStyle name="Normal 22 2 7 6" xfId="14664"/>
    <cellStyle name="Normal 22 2 7 7" xfId="14665"/>
    <cellStyle name="Normal 22 2 7 8" xfId="14666"/>
    <cellStyle name="Normal 22 2 7 9" xfId="14667"/>
    <cellStyle name="Normal 22 2 70" xfId="14668"/>
    <cellStyle name="Normal 22 2 70 10" xfId="14669"/>
    <cellStyle name="Normal 22 2 70 11" xfId="14670"/>
    <cellStyle name="Normal 22 2 70 12" xfId="14671"/>
    <cellStyle name="Normal 22 2 70 13" xfId="14672"/>
    <cellStyle name="Normal 22 2 70 2" xfId="14673"/>
    <cellStyle name="Normal 22 2 70 3" xfId="14674"/>
    <cellStyle name="Normal 22 2 70 4" xfId="14675"/>
    <cellStyle name="Normal 22 2 70 5" xfId="14676"/>
    <cellStyle name="Normal 22 2 70 6" xfId="14677"/>
    <cellStyle name="Normal 22 2 70 7" xfId="14678"/>
    <cellStyle name="Normal 22 2 70 8" xfId="14679"/>
    <cellStyle name="Normal 22 2 70 9" xfId="14680"/>
    <cellStyle name="Normal 22 2 71" xfId="14681"/>
    <cellStyle name="Normal 22 2 71 10" xfId="14682"/>
    <cellStyle name="Normal 22 2 71 11" xfId="14683"/>
    <cellStyle name="Normal 22 2 71 12" xfId="14684"/>
    <cellStyle name="Normal 22 2 71 13" xfId="14685"/>
    <cellStyle name="Normal 22 2 71 2" xfId="14686"/>
    <cellStyle name="Normal 22 2 71 3" xfId="14687"/>
    <cellStyle name="Normal 22 2 71 4" xfId="14688"/>
    <cellStyle name="Normal 22 2 71 5" xfId="14689"/>
    <cellStyle name="Normal 22 2 71 6" xfId="14690"/>
    <cellStyle name="Normal 22 2 71 7" xfId="14691"/>
    <cellStyle name="Normal 22 2 71 8" xfId="14692"/>
    <cellStyle name="Normal 22 2 71 9" xfId="14693"/>
    <cellStyle name="Normal 22 2 72" xfId="14694"/>
    <cellStyle name="Normal 22 2 73" xfId="14695"/>
    <cellStyle name="Normal 22 2 74" xfId="14696"/>
    <cellStyle name="Normal 22 2 75" xfId="14697"/>
    <cellStyle name="Normal 22 2 76" xfId="14698"/>
    <cellStyle name="Normal 22 2 77" xfId="14699"/>
    <cellStyle name="Normal 22 2 78" xfId="14700"/>
    <cellStyle name="Normal 22 2 79" xfId="14701"/>
    <cellStyle name="Normal 22 2 8" xfId="14702"/>
    <cellStyle name="Normal 22 2 8 10" xfId="14703"/>
    <cellStyle name="Normal 22 2 8 11" xfId="14704"/>
    <cellStyle name="Normal 22 2 8 12" xfId="14705"/>
    <cellStyle name="Normal 22 2 8 13" xfId="14706"/>
    <cellStyle name="Normal 22 2 8 2" xfId="14707"/>
    <cellStyle name="Normal 22 2 8 3" xfId="14708"/>
    <cellStyle name="Normal 22 2 8 4" xfId="14709"/>
    <cellStyle name="Normal 22 2 8 5" xfId="14710"/>
    <cellStyle name="Normal 22 2 8 6" xfId="14711"/>
    <cellStyle name="Normal 22 2 8 7" xfId="14712"/>
    <cellStyle name="Normal 22 2 8 8" xfId="14713"/>
    <cellStyle name="Normal 22 2 8 9" xfId="14714"/>
    <cellStyle name="Normal 22 2 80" xfId="14715"/>
    <cellStyle name="Normal 22 2 81" xfId="14716"/>
    <cellStyle name="Normal 22 2 82" xfId="14717"/>
    <cellStyle name="Normal 22 2 83" xfId="14718"/>
    <cellStyle name="Normal 22 2 9" xfId="14719"/>
    <cellStyle name="Normal 22 2 9 10" xfId="14720"/>
    <cellStyle name="Normal 22 2 9 11" xfId="14721"/>
    <cellStyle name="Normal 22 2 9 12" xfId="14722"/>
    <cellStyle name="Normal 22 2 9 13" xfId="14723"/>
    <cellStyle name="Normal 22 2 9 2" xfId="14724"/>
    <cellStyle name="Normal 22 2 9 3" xfId="14725"/>
    <cellStyle name="Normal 22 2 9 4" xfId="14726"/>
    <cellStyle name="Normal 22 2 9 5" xfId="14727"/>
    <cellStyle name="Normal 22 2 9 6" xfId="14728"/>
    <cellStyle name="Normal 22 2 9 7" xfId="14729"/>
    <cellStyle name="Normal 22 2 9 8" xfId="14730"/>
    <cellStyle name="Normal 22 2 9 9" xfId="14731"/>
    <cellStyle name="Normal 22 20" xfId="14732"/>
    <cellStyle name="Normal 22 20 10" xfId="14733"/>
    <cellStyle name="Normal 22 20 11" xfId="14734"/>
    <cellStyle name="Normal 22 20 12" xfId="14735"/>
    <cellStyle name="Normal 22 20 13" xfId="14736"/>
    <cellStyle name="Normal 22 20 2" xfId="14737"/>
    <cellStyle name="Normal 22 20 3" xfId="14738"/>
    <cellStyle name="Normal 22 20 4" xfId="14739"/>
    <cellStyle name="Normal 22 20 5" xfId="14740"/>
    <cellStyle name="Normal 22 20 6" xfId="14741"/>
    <cellStyle name="Normal 22 20 7" xfId="14742"/>
    <cellStyle name="Normal 22 20 8" xfId="14743"/>
    <cellStyle name="Normal 22 20 9" xfId="14744"/>
    <cellStyle name="Normal 22 21" xfId="14745"/>
    <cellStyle name="Normal 22 21 10" xfId="14746"/>
    <cellStyle name="Normal 22 21 11" xfId="14747"/>
    <cellStyle name="Normal 22 21 12" xfId="14748"/>
    <cellStyle name="Normal 22 21 13" xfId="14749"/>
    <cellStyle name="Normal 22 21 2" xfId="14750"/>
    <cellStyle name="Normal 22 21 3" xfId="14751"/>
    <cellStyle name="Normal 22 21 4" xfId="14752"/>
    <cellStyle name="Normal 22 21 5" xfId="14753"/>
    <cellStyle name="Normal 22 21 6" xfId="14754"/>
    <cellStyle name="Normal 22 21 7" xfId="14755"/>
    <cellStyle name="Normal 22 21 8" xfId="14756"/>
    <cellStyle name="Normal 22 21 9" xfId="14757"/>
    <cellStyle name="Normal 22 22" xfId="14758"/>
    <cellStyle name="Normal 22 22 10" xfId="14759"/>
    <cellStyle name="Normal 22 22 11" xfId="14760"/>
    <cellStyle name="Normal 22 22 12" xfId="14761"/>
    <cellStyle name="Normal 22 22 13" xfId="14762"/>
    <cellStyle name="Normal 22 22 2" xfId="14763"/>
    <cellStyle name="Normal 22 22 3" xfId="14764"/>
    <cellStyle name="Normal 22 22 4" xfId="14765"/>
    <cellStyle name="Normal 22 22 5" xfId="14766"/>
    <cellStyle name="Normal 22 22 6" xfId="14767"/>
    <cellStyle name="Normal 22 22 7" xfId="14768"/>
    <cellStyle name="Normal 22 22 8" xfId="14769"/>
    <cellStyle name="Normal 22 22 9" xfId="14770"/>
    <cellStyle name="Normal 22 23" xfId="14771"/>
    <cellStyle name="Normal 22 23 10" xfId="14772"/>
    <cellStyle name="Normal 22 23 11" xfId="14773"/>
    <cellStyle name="Normal 22 23 12" xfId="14774"/>
    <cellStyle name="Normal 22 23 13" xfId="14775"/>
    <cellStyle name="Normal 22 23 2" xfId="14776"/>
    <cellStyle name="Normal 22 23 3" xfId="14777"/>
    <cellStyle name="Normal 22 23 4" xfId="14778"/>
    <cellStyle name="Normal 22 23 5" xfId="14779"/>
    <cellStyle name="Normal 22 23 6" xfId="14780"/>
    <cellStyle name="Normal 22 23 7" xfId="14781"/>
    <cellStyle name="Normal 22 23 8" xfId="14782"/>
    <cellStyle name="Normal 22 23 9" xfId="14783"/>
    <cellStyle name="Normal 22 24" xfId="14784"/>
    <cellStyle name="Normal 22 24 10" xfId="14785"/>
    <cellStyle name="Normal 22 24 11" xfId="14786"/>
    <cellStyle name="Normal 22 24 12" xfId="14787"/>
    <cellStyle name="Normal 22 24 13" xfId="14788"/>
    <cellStyle name="Normal 22 24 2" xfId="14789"/>
    <cellStyle name="Normal 22 24 3" xfId="14790"/>
    <cellStyle name="Normal 22 24 4" xfId="14791"/>
    <cellStyle name="Normal 22 24 5" xfId="14792"/>
    <cellStyle name="Normal 22 24 6" xfId="14793"/>
    <cellStyle name="Normal 22 24 7" xfId="14794"/>
    <cellStyle name="Normal 22 24 8" xfId="14795"/>
    <cellStyle name="Normal 22 24 9" xfId="14796"/>
    <cellStyle name="Normal 22 25" xfId="14797"/>
    <cellStyle name="Normal 22 25 10" xfId="14798"/>
    <cellStyle name="Normal 22 25 11" xfId="14799"/>
    <cellStyle name="Normal 22 25 12" xfId="14800"/>
    <cellStyle name="Normal 22 25 13" xfId="14801"/>
    <cellStyle name="Normal 22 25 2" xfId="14802"/>
    <cellStyle name="Normal 22 25 3" xfId="14803"/>
    <cellStyle name="Normal 22 25 4" xfId="14804"/>
    <cellStyle name="Normal 22 25 5" xfId="14805"/>
    <cellStyle name="Normal 22 25 6" xfId="14806"/>
    <cellStyle name="Normal 22 25 7" xfId="14807"/>
    <cellStyle name="Normal 22 25 8" xfId="14808"/>
    <cellStyle name="Normal 22 25 9" xfId="14809"/>
    <cellStyle name="Normal 22 26" xfId="14810"/>
    <cellStyle name="Normal 22 26 10" xfId="14811"/>
    <cellStyle name="Normal 22 26 11" xfId="14812"/>
    <cellStyle name="Normal 22 26 12" xfId="14813"/>
    <cellStyle name="Normal 22 26 13" xfId="14814"/>
    <cellStyle name="Normal 22 26 2" xfId="14815"/>
    <cellStyle name="Normal 22 26 3" xfId="14816"/>
    <cellStyle name="Normal 22 26 4" xfId="14817"/>
    <cellStyle name="Normal 22 26 5" xfId="14818"/>
    <cellStyle name="Normal 22 26 6" xfId="14819"/>
    <cellStyle name="Normal 22 26 7" xfId="14820"/>
    <cellStyle name="Normal 22 26 8" xfId="14821"/>
    <cellStyle name="Normal 22 26 9" xfId="14822"/>
    <cellStyle name="Normal 22 27" xfId="14823"/>
    <cellStyle name="Normal 22 27 10" xfId="14824"/>
    <cellStyle name="Normal 22 27 11" xfId="14825"/>
    <cellStyle name="Normal 22 27 12" xfId="14826"/>
    <cellStyle name="Normal 22 27 13" xfId="14827"/>
    <cellStyle name="Normal 22 27 2" xfId="14828"/>
    <cellStyle name="Normal 22 27 3" xfId="14829"/>
    <cellStyle name="Normal 22 27 4" xfId="14830"/>
    <cellStyle name="Normal 22 27 5" xfId="14831"/>
    <cellStyle name="Normal 22 27 6" xfId="14832"/>
    <cellStyle name="Normal 22 27 7" xfId="14833"/>
    <cellStyle name="Normal 22 27 8" xfId="14834"/>
    <cellStyle name="Normal 22 27 9" xfId="14835"/>
    <cellStyle name="Normal 22 28" xfId="14836"/>
    <cellStyle name="Normal 22 28 10" xfId="14837"/>
    <cellStyle name="Normal 22 28 11" xfId="14838"/>
    <cellStyle name="Normal 22 28 12" xfId="14839"/>
    <cellStyle name="Normal 22 28 13" xfId="14840"/>
    <cellStyle name="Normal 22 28 2" xfId="14841"/>
    <cellStyle name="Normal 22 28 3" xfId="14842"/>
    <cellStyle name="Normal 22 28 4" xfId="14843"/>
    <cellStyle name="Normal 22 28 5" xfId="14844"/>
    <cellStyle name="Normal 22 28 6" xfId="14845"/>
    <cellStyle name="Normal 22 28 7" xfId="14846"/>
    <cellStyle name="Normal 22 28 8" xfId="14847"/>
    <cellStyle name="Normal 22 28 9" xfId="14848"/>
    <cellStyle name="Normal 22 29" xfId="14849"/>
    <cellStyle name="Normal 22 29 10" xfId="14850"/>
    <cellStyle name="Normal 22 29 11" xfId="14851"/>
    <cellStyle name="Normal 22 29 12" xfId="14852"/>
    <cellStyle name="Normal 22 29 13" xfId="14853"/>
    <cellStyle name="Normal 22 29 2" xfId="14854"/>
    <cellStyle name="Normal 22 29 3" xfId="14855"/>
    <cellStyle name="Normal 22 29 4" xfId="14856"/>
    <cellStyle name="Normal 22 29 5" xfId="14857"/>
    <cellStyle name="Normal 22 29 6" xfId="14858"/>
    <cellStyle name="Normal 22 29 7" xfId="14859"/>
    <cellStyle name="Normal 22 29 8" xfId="14860"/>
    <cellStyle name="Normal 22 29 9" xfId="14861"/>
    <cellStyle name="Normal 22 3" xfId="14862"/>
    <cellStyle name="Normal 22 3 10" xfId="14863"/>
    <cellStyle name="Normal 22 3 11" xfId="14864"/>
    <cellStyle name="Normal 22 3 12" xfId="14865"/>
    <cellStyle name="Normal 22 3 13" xfId="14866"/>
    <cellStyle name="Normal 22 3 2" xfId="14867"/>
    <cellStyle name="Normal 22 3 3" xfId="14868"/>
    <cellStyle name="Normal 22 3 4" xfId="14869"/>
    <cellStyle name="Normal 22 3 5" xfId="14870"/>
    <cellStyle name="Normal 22 3 6" xfId="14871"/>
    <cellStyle name="Normal 22 3 7" xfId="14872"/>
    <cellStyle name="Normal 22 3 8" xfId="14873"/>
    <cellStyle name="Normal 22 3 9" xfId="14874"/>
    <cellStyle name="Normal 22 30" xfId="14875"/>
    <cellStyle name="Normal 22 30 10" xfId="14876"/>
    <cellStyle name="Normal 22 30 11" xfId="14877"/>
    <cellStyle name="Normal 22 30 12" xfId="14878"/>
    <cellStyle name="Normal 22 30 13" xfId="14879"/>
    <cellStyle name="Normal 22 30 2" xfId="14880"/>
    <cellStyle name="Normal 22 30 3" xfId="14881"/>
    <cellStyle name="Normal 22 30 4" xfId="14882"/>
    <cellStyle name="Normal 22 30 5" xfId="14883"/>
    <cellStyle name="Normal 22 30 6" xfId="14884"/>
    <cellStyle name="Normal 22 30 7" xfId="14885"/>
    <cellStyle name="Normal 22 30 8" xfId="14886"/>
    <cellStyle name="Normal 22 30 9" xfId="14887"/>
    <cellStyle name="Normal 22 31" xfId="14888"/>
    <cellStyle name="Normal 22 31 10" xfId="14889"/>
    <cellStyle name="Normal 22 31 11" xfId="14890"/>
    <cellStyle name="Normal 22 31 12" xfId="14891"/>
    <cellStyle name="Normal 22 31 13" xfId="14892"/>
    <cellStyle name="Normal 22 31 2" xfId="14893"/>
    <cellStyle name="Normal 22 31 3" xfId="14894"/>
    <cellStyle name="Normal 22 31 4" xfId="14895"/>
    <cellStyle name="Normal 22 31 5" xfId="14896"/>
    <cellStyle name="Normal 22 31 6" xfId="14897"/>
    <cellStyle name="Normal 22 31 7" xfId="14898"/>
    <cellStyle name="Normal 22 31 8" xfId="14899"/>
    <cellStyle name="Normal 22 31 9" xfId="14900"/>
    <cellStyle name="Normal 22 32" xfId="14901"/>
    <cellStyle name="Normal 22 32 10" xfId="14902"/>
    <cellStyle name="Normal 22 32 11" xfId="14903"/>
    <cellStyle name="Normal 22 32 12" xfId="14904"/>
    <cellStyle name="Normal 22 32 13" xfId="14905"/>
    <cellStyle name="Normal 22 32 2" xfId="14906"/>
    <cellStyle name="Normal 22 32 3" xfId="14907"/>
    <cellStyle name="Normal 22 32 4" xfId="14908"/>
    <cellStyle name="Normal 22 32 5" xfId="14909"/>
    <cellStyle name="Normal 22 32 6" xfId="14910"/>
    <cellStyle name="Normal 22 32 7" xfId="14911"/>
    <cellStyle name="Normal 22 32 8" xfId="14912"/>
    <cellStyle name="Normal 22 32 9" xfId="14913"/>
    <cellStyle name="Normal 22 33" xfId="14914"/>
    <cellStyle name="Normal 22 33 10" xfId="14915"/>
    <cellStyle name="Normal 22 33 11" xfId="14916"/>
    <cellStyle name="Normal 22 33 12" xfId="14917"/>
    <cellStyle name="Normal 22 33 13" xfId="14918"/>
    <cellStyle name="Normal 22 33 2" xfId="14919"/>
    <cellStyle name="Normal 22 33 3" xfId="14920"/>
    <cellStyle name="Normal 22 33 4" xfId="14921"/>
    <cellStyle name="Normal 22 33 5" xfId="14922"/>
    <cellStyle name="Normal 22 33 6" xfId="14923"/>
    <cellStyle name="Normal 22 33 7" xfId="14924"/>
    <cellStyle name="Normal 22 33 8" xfId="14925"/>
    <cellStyle name="Normal 22 33 9" xfId="14926"/>
    <cellStyle name="Normal 22 34" xfId="14927"/>
    <cellStyle name="Normal 22 34 10" xfId="14928"/>
    <cellStyle name="Normal 22 34 11" xfId="14929"/>
    <cellStyle name="Normal 22 34 12" xfId="14930"/>
    <cellStyle name="Normal 22 34 13" xfId="14931"/>
    <cellStyle name="Normal 22 34 2" xfId="14932"/>
    <cellStyle name="Normal 22 34 3" xfId="14933"/>
    <cellStyle name="Normal 22 34 4" xfId="14934"/>
    <cellStyle name="Normal 22 34 5" xfId="14935"/>
    <cellStyle name="Normal 22 34 6" xfId="14936"/>
    <cellStyle name="Normal 22 34 7" xfId="14937"/>
    <cellStyle name="Normal 22 34 8" xfId="14938"/>
    <cellStyle name="Normal 22 34 9" xfId="14939"/>
    <cellStyle name="Normal 22 35" xfId="14940"/>
    <cellStyle name="Normal 22 35 10" xfId="14941"/>
    <cellStyle name="Normal 22 35 11" xfId="14942"/>
    <cellStyle name="Normal 22 35 12" xfId="14943"/>
    <cellStyle name="Normal 22 35 13" xfId="14944"/>
    <cellStyle name="Normal 22 35 2" xfId="14945"/>
    <cellStyle name="Normal 22 35 3" xfId="14946"/>
    <cellStyle name="Normal 22 35 4" xfId="14947"/>
    <cellStyle name="Normal 22 35 5" xfId="14948"/>
    <cellStyle name="Normal 22 35 6" xfId="14949"/>
    <cellStyle name="Normal 22 35 7" xfId="14950"/>
    <cellStyle name="Normal 22 35 8" xfId="14951"/>
    <cellStyle name="Normal 22 35 9" xfId="14952"/>
    <cellStyle name="Normal 22 36" xfId="14953"/>
    <cellStyle name="Normal 22 36 10" xfId="14954"/>
    <cellStyle name="Normal 22 36 11" xfId="14955"/>
    <cellStyle name="Normal 22 36 12" xfId="14956"/>
    <cellStyle name="Normal 22 36 13" xfId="14957"/>
    <cellStyle name="Normal 22 36 2" xfId="14958"/>
    <cellStyle name="Normal 22 36 3" xfId="14959"/>
    <cellStyle name="Normal 22 36 4" xfId="14960"/>
    <cellStyle name="Normal 22 36 5" xfId="14961"/>
    <cellStyle name="Normal 22 36 6" xfId="14962"/>
    <cellStyle name="Normal 22 36 7" xfId="14963"/>
    <cellStyle name="Normal 22 36 8" xfId="14964"/>
    <cellStyle name="Normal 22 36 9" xfId="14965"/>
    <cellStyle name="Normal 22 37" xfId="14966"/>
    <cellStyle name="Normal 22 37 10" xfId="14967"/>
    <cellStyle name="Normal 22 37 11" xfId="14968"/>
    <cellStyle name="Normal 22 37 12" xfId="14969"/>
    <cellStyle name="Normal 22 37 13" xfId="14970"/>
    <cellStyle name="Normal 22 37 2" xfId="14971"/>
    <cellStyle name="Normal 22 37 3" xfId="14972"/>
    <cellStyle name="Normal 22 37 4" xfId="14973"/>
    <cellStyle name="Normal 22 37 5" xfId="14974"/>
    <cellStyle name="Normal 22 37 6" xfId="14975"/>
    <cellStyle name="Normal 22 37 7" xfId="14976"/>
    <cellStyle name="Normal 22 37 8" xfId="14977"/>
    <cellStyle name="Normal 22 37 9" xfId="14978"/>
    <cellStyle name="Normal 22 38" xfId="14979"/>
    <cellStyle name="Normal 22 38 10" xfId="14980"/>
    <cellStyle name="Normal 22 38 11" xfId="14981"/>
    <cellStyle name="Normal 22 38 12" xfId="14982"/>
    <cellStyle name="Normal 22 38 13" xfId="14983"/>
    <cellStyle name="Normal 22 38 2" xfId="14984"/>
    <cellStyle name="Normal 22 38 3" xfId="14985"/>
    <cellStyle name="Normal 22 38 4" xfId="14986"/>
    <cellStyle name="Normal 22 38 5" xfId="14987"/>
    <cellStyle name="Normal 22 38 6" xfId="14988"/>
    <cellStyle name="Normal 22 38 7" xfId="14989"/>
    <cellStyle name="Normal 22 38 8" xfId="14990"/>
    <cellStyle name="Normal 22 38 9" xfId="14991"/>
    <cellStyle name="Normal 22 39" xfId="14992"/>
    <cellStyle name="Normal 22 39 10" xfId="14993"/>
    <cellStyle name="Normal 22 39 11" xfId="14994"/>
    <cellStyle name="Normal 22 39 12" xfId="14995"/>
    <cellStyle name="Normal 22 39 13" xfId="14996"/>
    <cellStyle name="Normal 22 39 2" xfId="14997"/>
    <cellStyle name="Normal 22 39 3" xfId="14998"/>
    <cellStyle name="Normal 22 39 4" xfId="14999"/>
    <cellStyle name="Normal 22 39 5" xfId="15000"/>
    <cellStyle name="Normal 22 39 6" xfId="15001"/>
    <cellStyle name="Normal 22 39 7" xfId="15002"/>
    <cellStyle name="Normal 22 39 8" xfId="15003"/>
    <cellStyle name="Normal 22 39 9" xfId="15004"/>
    <cellStyle name="Normal 22 4" xfId="15005"/>
    <cellStyle name="Normal 22 4 10" xfId="15006"/>
    <cellStyle name="Normal 22 4 11" xfId="15007"/>
    <cellStyle name="Normal 22 4 12" xfId="15008"/>
    <cellStyle name="Normal 22 4 13" xfId="15009"/>
    <cellStyle name="Normal 22 4 2" xfId="15010"/>
    <cellStyle name="Normal 22 4 3" xfId="15011"/>
    <cellStyle name="Normal 22 4 4" xfId="15012"/>
    <cellStyle name="Normal 22 4 5" xfId="15013"/>
    <cellStyle name="Normal 22 4 6" xfId="15014"/>
    <cellStyle name="Normal 22 4 7" xfId="15015"/>
    <cellStyle name="Normal 22 4 8" xfId="15016"/>
    <cellStyle name="Normal 22 4 9" xfId="15017"/>
    <cellStyle name="Normal 22 40" xfId="15018"/>
    <cellStyle name="Normal 22 40 10" xfId="15019"/>
    <cellStyle name="Normal 22 40 11" xfId="15020"/>
    <cellStyle name="Normal 22 40 12" xfId="15021"/>
    <cellStyle name="Normal 22 40 13" xfId="15022"/>
    <cellStyle name="Normal 22 40 2" xfId="15023"/>
    <cellStyle name="Normal 22 40 3" xfId="15024"/>
    <cellStyle name="Normal 22 40 4" xfId="15025"/>
    <cellStyle name="Normal 22 40 5" xfId="15026"/>
    <cellStyle name="Normal 22 40 6" xfId="15027"/>
    <cellStyle name="Normal 22 40 7" xfId="15028"/>
    <cellStyle name="Normal 22 40 8" xfId="15029"/>
    <cellStyle name="Normal 22 40 9" xfId="15030"/>
    <cellStyle name="Normal 22 41" xfId="15031"/>
    <cellStyle name="Normal 22 41 10" xfId="15032"/>
    <cellStyle name="Normal 22 41 11" xfId="15033"/>
    <cellStyle name="Normal 22 41 12" xfId="15034"/>
    <cellStyle name="Normal 22 41 13" xfId="15035"/>
    <cellStyle name="Normal 22 41 2" xfId="15036"/>
    <cellStyle name="Normal 22 41 3" xfId="15037"/>
    <cellStyle name="Normal 22 41 4" xfId="15038"/>
    <cellStyle name="Normal 22 41 5" xfId="15039"/>
    <cellStyle name="Normal 22 41 6" xfId="15040"/>
    <cellStyle name="Normal 22 41 7" xfId="15041"/>
    <cellStyle name="Normal 22 41 8" xfId="15042"/>
    <cellStyle name="Normal 22 41 9" xfId="15043"/>
    <cellStyle name="Normal 22 42" xfId="15044"/>
    <cellStyle name="Normal 22 42 10" xfId="15045"/>
    <cellStyle name="Normal 22 42 11" xfId="15046"/>
    <cellStyle name="Normal 22 42 12" xfId="15047"/>
    <cellStyle name="Normal 22 42 13" xfId="15048"/>
    <cellStyle name="Normal 22 42 2" xfId="15049"/>
    <cellStyle name="Normal 22 42 3" xfId="15050"/>
    <cellStyle name="Normal 22 42 4" xfId="15051"/>
    <cellStyle name="Normal 22 42 5" xfId="15052"/>
    <cellStyle name="Normal 22 42 6" xfId="15053"/>
    <cellStyle name="Normal 22 42 7" xfId="15054"/>
    <cellStyle name="Normal 22 42 8" xfId="15055"/>
    <cellStyle name="Normal 22 42 9" xfId="15056"/>
    <cellStyle name="Normal 22 43" xfId="15057"/>
    <cellStyle name="Normal 22 43 10" xfId="15058"/>
    <cellStyle name="Normal 22 43 11" xfId="15059"/>
    <cellStyle name="Normal 22 43 12" xfId="15060"/>
    <cellStyle name="Normal 22 43 13" xfId="15061"/>
    <cellStyle name="Normal 22 43 2" xfId="15062"/>
    <cellStyle name="Normal 22 43 3" xfId="15063"/>
    <cellStyle name="Normal 22 43 4" xfId="15064"/>
    <cellStyle name="Normal 22 43 5" xfId="15065"/>
    <cellStyle name="Normal 22 43 6" xfId="15066"/>
    <cellStyle name="Normal 22 43 7" xfId="15067"/>
    <cellStyle name="Normal 22 43 8" xfId="15068"/>
    <cellStyle name="Normal 22 43 9" xfId="15069"/>
    <cellStyle name="Normal 22 44" xfId="15070"/>
    <cellStyle name="Normal 22 44 10" xfId="15071"/>
    <cellStyle name="Normal 22 44 11" xfId="15072"/>
    <cellStyle name="Normal 22 44 12" xfId="15073"/>
    <cellStyle name="Normal 22 44 13" xfId="15074"/>
    <cellStyle name="Normal 22 44 2" xfId="15075"/>
    <cellStyle name="Normal 22 44 3" xfId="15076"/>
    <cellStyle name="Normal 22 44 4" xfId="15077"/>
    <cellStyle name="Normal 22 44 5" xfId="15078"/>
    <cellStyle name="Normal 22 44 6" xfId="15079"/>
    <cellStyle name="Normal 22 44 7" xfId="15080"/>
    <cellStyle name="Normal 22 44 8" xfId="15081"/>
    <cellStyle name="Normal 22 44 9" xfId="15082"/>
    <cellStyle name="Normal 22 45" xfId="15083"/>
    <cellStyle name="Normal 22 45 10" xfId="15084"/>
    <cellStyle name="Normal 22 45 11" xfId="15085"/>
    <cellStyle name="Normal 22 45 12" xfId="15086"/>
    <cellStyle name="Normal 22 45 13" xfId="15087"/>
    <cellStyle name="Normal 22 45 2" xfId="15088"/>
    <cellStyle name="Normal 22 45 3" xfId="15089"/>
    <cellStyle name="Normal 22 45 4" xfId="15090"/>
    <cellStyle name="Normal 22 45 5" xfId="15091"/>
    <cellStyle name="Normal 22 45 6" xfId="15092"/>
    <cellStyle name="Normal 22 45 7" xfId="15093"/>
    <cellStyle name="Normal 22 45 8" xfId="15094"/>
    <cellStyle name="Normal 22 45 9" xfId="15095"/>
    <cellStyle name="Normal 22 46" xfId="15096"/>
    <cellStyle name="Normal 22 46 10" xfId="15097"/>
    <cellStyle name="Normal 22 46 11" xfId="15098"/>
    <cellStyle name="Normal 22 46 12" xfId="15099"/>
    <cellStyle name="Normal 22 46 13" xfId="15100"/>
    <cellStyle name="Normal 22 46 2" xfId="15101"/>
    <cellStyle name="Normal 22 46 3" xfId="15102"/>
    <cellStyle name="Normal 22 46 4" xfId="15103"/>
    <cellStyle name="Normal 22 46 5" xfId="15104"/>
    <cellStyle name="Normal 22 46 6" xfId="15105"/>
    <cellStyle name="Normal 22 46 7" xfId="15106"/>
    <cellStyle name="Normal 22 46 8" xfId="15107"/>
    <cellStyle name="Normal 22 46 9" xfId="15108"/>
    <cellStyle name="Normal 22 47" xfId="15109"/>
    <cellStyle name="Normal 22 47 10" xfId="15110"/>
    <cellStyle name="Normal 22 47 11" xfId="15111"/>
    <cellStyle name="Normal 22 47 12" xfId="15112"/>
    <cellStyle name="Normal 22 47 13" xfId="15113"/>
    <cellStyle name="Normal 22 47 2" xfId="15114"/>
    <cellStyle name="Normal 22 47 3" xfId="15115"/>
    <cellStyle name="Normal 22 47 4" xfId="15116"/>
    <cellStyle name="Normal 22 47 5" xfId="15117"/>
    <cellStyle name="Normal 22 47 6" xfId="15118"/>
    <cellStyle name="Normal 22 47 7" xfId="15119"/>
    <cellStyle name="Normal 22 47 8" xfId="15120"/>
    <cellStyle name="Normal 22 47 9" xfId="15121"/>
    <cellStyle name="Normal 22 48" xfId="15122"/>
    <cellStyle name="Normal 22 48 10" xfId="15123"/>
    <cellStyle name="Normal 22 48 11" xfId="15124"/>
    <cellStyle name="Normal 22 48 12" xfId="15125"/>
    <cellStyle name="Normal 22 48 13" xfId="15126"/>
    <cellStyle name="Normal 22 48 2" xfId="15127"/>
    <cellStyle name="Normal 22 48 3" xfId="15128"/>
    <cellStyle name="Normal 22 48 4" xfId="15129"/>
    <cellStyle name="Normal 22 48 5" xfId="15130"/>
    <cellStyle name="Normal 22 48 6" xfId="15131"/>
    <cellStyle name="Normal 22 48 7" xfId="15132"/>
    <cellStyle name="Normal 22 48 8" xfId="15133"/>
    <cellStyle name="Normal 22 48 9" xfId="15134"/>
    <cellStyle name="Normal 22 49" xfId="15135"/>
    <cellStyle name="Normal 22 49 10" xfId="15136"/>
    <cellStyle name="Normal 22 49 11" xfId="15137"/>
    <cellStyle name="Normal 22 49 12" xfId="15138"/>
    <cellStyle name="Normal 22 49 13" xfId="15139"/>
    <cellStyle name="Normal 22 49 2" xfId="15140"/>
    <cellStyle name="Normal 22 49 3" xfId="15141"/>
    <cellStyle name="Normal 22 49 4" xfId="15142"/>
    <cellStyle name="Normal 22 49 5" xfId="15143"/>
    <cellStyle name="Normal 22 49 6" xfId="15144"/>
    <cellStyle name="Normal 22 49 7" xfId="15145"/>
    <cellStyle name="Normal 22 49 8" xfId="15146"/>
    <cellStyle name="Normal 22 49 9" xfId="15147"/>
    <cellStyle name="Normal 22 5" xfId="15148"/>
    <cellStyle name="Normal 22 5 10" xfId="15149"/>
    <cellStyle name="Normal 22 5 11" xfId="15150"/>
    <cellStyle name="Normal 22 5 12" xfId="15151"/>
    <cellStyle name="Normal 22 5 13" xfId="15152"/>
    <cellStyle name="Normal 22 5 2" xfId="15153"/>
    <cellStyle name="Normal 22 5 3" xfId="15154"/>
    <cellStyle name="Normal 22 5 4" xfId="15155"/>
    <cellStyle name="Normal 22 5 5" xfId="15156"/>
    <cellStyle name="Normal 22 5 6" xfId="15157"/>
    <cellStyle name="Normal 22 5 7" xfId="15158"/>
    <cellStyle name="Normal 22 5 8" xfId="15159"/>
    <cellStyle name="Normal 22 5 9" xfId="15160"/>
    <cellStyle name="Normal 22 50" xfId="15161"/>
    <cellStyle name="Normal 22 50 10" xfId="15162"/>
    <cellStyle name="Normal 22 50 11" xfId="15163"/>
    <cellStyle name="Normal 22 50 12" xfId="15164"/>
    <cellStyle name="Normal 22 50 13" xfId="15165"/>
    <cellStyle name="Normal 22 50 2" xfId="15166"/>
    <cellStyle name="Normal 22 50 3" xfId="15167"/>
    <cellStyle name="Normal 22 50 4" xfId="15168"/>
    <cellStyle name="Normal 22 50 5" xfId="15169"/>
    <cellStyle name="Normal 22 50 6" xfId="15170"/>
    <cellStyle name="Normal 22 50 7" xfId="15171"/>
    <cellStyle name="Normal 22 50 8" xfId="15172"/>
    <cellStyle name="Normal 22 50 9" xfId="15173"/>
    <cellStyle name="Normal 22 51" xfId="15174"/>
    <cellStyle name="Normal 22 51 10" xfId="15175"/>
    <cellStyle name="Normal 22 51 11" xfId="15176"/>
    <cellStyle name="Normal 22 51 12" xfId="15177"/>
    <cellStyle name="Normal 22 51 13" xfId="15178"/>
    <cellStyle name="Normal 22 51 2" xfId="15179"/>
    <cellStyle name="Normal 22 51 3" xfId="15180"/>
    <cellStyle name="Normal 22 51 4" xfId="15181"/>
    <cellStyle name="Normal 22 51 5" xfId="15182"/>
    <cellStyle name="Normal 22 51 6" xfId="15183"/>
    <cellStyle name="Normal 22 51 7" xfId="15184"/>
    <cellStyle name="Normal 22 51 8" xfId="15185"/>
    <cellStyle name="Normal 22 51 9" xfId="15186"/>
    <cellStyle name="Normal 22 52" xfId="15187"/>
    <cellStyle name="Normal 22 52 10" xfId="15188"/>
    <cellStyle name="Normal 22 52 11" xfId="15189"/>
    <cellStyle name="Normal 22 52 12" xfId="15190"/>
    <cellStyle name="Normal 22 52 13" xfId="15191"/>
    <cellStyle name="Normal 22 52 2" xfId="15192"/>
    <cellStyle name="Normal 22 52 3" xfId="15193"/>
    <cellStyle name="Normal 22 52 4" xfId="15194"/>
    <cellStyle name="Normal 22 52 5" xfId="15195"/>
    <cellStyle name="Normal 22 52 6" xfId="15196"/>
    <cellStyle name="Normal 22 52 7" xfId="15197"/>
    <cellStyle name="Normal 22 52 8" xfId="15198"/>
    <cellStyle name="Normal 22 52 9" xfId="15199"/>
    <cellStyle name="Normal 22 53" xfId="15200"/>
    <cellStyle name="Normal 22 53 10" xfId="15201"/>
    <cellStyle name="Normal 22 53 11" xfId="15202"/>
    <cellStyle name="Normal 22 53 12" xfId="15203"/>
    <cellStyle name="Normal 22 53 13" xfId="15204"/>
    <cellStyle name="Normal 22 53 2" xfId="15205"/>
    <cellStyle name="Normal 22 53 3" xfId="15206"/>
    <cellStyle name="Normal 22 53 4" xfId="15207"/>
    <cellStyle name="Normal 22 53 5" xfId="15208"/>
    <cellStyle name="Normal 22 53 6" xfId="15209"/>
    <cellStyle name="Normal 22 53 7" xfId="15210"/>
    <cellStyle name="Normal 22 53 8" xfId="15211"/>
    <cellStyle name="Normal 22 53 9" xfId="15212"/>
    <cellStyle name="Normal 22 54" xfId="15213"/>
    <cellStyle name="Normal 22 54 10" xfId="15214"/>
    <cellStyle name="Normal 22 54 11" xfId="15215"/>
    <cellStyle name="Normal 22 54 12" xfId="15216"/>
    <cellStyle name="Normal 22 54 13" xfId="15217"/>
    <cellStyle name="Normal 22 54 2" xfId="15218"/>
    <cellStyle name="Normal 22 54 3" xfId="15219"/>
    <cellStyle name="Normal 22 54 4" xfId="15220"/>
    <cellStyle name="Normal 22 54 5" xfId="15221"/>
    <cellStyle name="Normal 22 54 6" xfId="15222"/>
    <cellStyle name="Normal 22 54 7" xfId="15223"/>
    <cellStyle name="Normal 22 54 8" xfId="15224"/>
    <cellStyle name="Normal 22 54 9" xfId="15225"/>
    <cellStyle name="Normal 22 55" xfId="15226"/>
    <cellStyle name="Normal 22 55 10" xfId="15227"/>
    <cellStyle name="Normal 22 55 11" xfId="15228"/>
    <cellStyle name="Normal 22 55 12" xfId="15229"/>
    <cellStyle name="Normal 22 55 13" xfId="15230"/>
    <cellStyle name="Normal 22 55 2" xfId="15231"/>
    <cellStyle name="Normal 22 55 3" xfId="15232"/>
    <cellStyle name="Normal 22 55 4" xfId="15233"/>
    <cellStyle name="Normal 22 55 5" xfId="15234"/>
    <cellStyle name="Normal 22 55 6" xfId="15235"/>
    <cellStyle name="Normal 22 55 7" xfId="15236"/>
    <cellStyle name="Normal 22 55 8" xfId="15237"/>
    <cellStyle name="Normal 22 55 9" xfId="15238"/>
    <cellStyle name="Normal 22 56" xfId="15239"/>
    <cellStyle name="Normal 22 56 10" xfId="15240"/>
    <cellStyle name="Normal 22 56 11" xfId="15241"/>
    <cellStyle name="Normal 22 56 12" xfId="15242"/>
    <cellStyle name="Normal 22 56 13" xfId="15243"/>
    <cellStyle name="Normal 22 56 2" xfId="15244"/>
    <cellStyle name="Normal 22 56 3" xfId="15245"/>
    <cellStyle name="Normal 22 56 4" xfId="15246"/>
    <cellStyle name="Normal 22 56 5" xfId="15247"/>
    <cellStyle name="Normal 22 56 6" xfId="15248"/>
    <cellStyle name="Normal 22 56 7" xfId="15249"/>
    <cellStyle name="Normal 22 56 8" xfId="15250"/>
    <cellStyle name="Normal 22 56 9" xfId="15251"/>
    <cellStyle name="Normal 22 57" xfId="15252"/>
    <cellStyle name="Normal 22 57 10" xfId="15253"/>
    <cellStyle name="Normal 22 57 11" xfId="15254"/>
    <cellStyle name="Normal 22 57 12" xfId="15255"/>
    <cellStyle name="Normal 22 57 13" xfId="15256"/>
    <cellStyle name="Normal 22 57 2" xfId="15257"/>
    <cellStyle name="Normal 22 57 3" xfId="15258"/>
    <cellStyle name="Normal 22 57 4" xfId="15259"/>
    <cellStyle name="Normal 22 57 5" xfId="15260"/>
    <cellStyle name="Normal 22 57 6" xfId="15261"/>
    <cellStyle name="Normal 22 57 7" xfId="15262"/>
    <cellStyle name="Normal 22 57 8" xfId="15263"/>
    <cellStyle name="Normal 22 57 9" xfId="15264"/>
    <cellStyle name="Normal 22 58" xfId="15265"/>
    <cellStyle name="Normal 22 58 10" xfId="15266"/>
    <cellStyle name="Normal 22 58 11" xfId="15267"/>
    <cellStyle name="Normal 22 58 12" xfId="15268"/>
    <cellStyle name="Normal 22 58 13" xfId="15269"/>
    <cellStyle name="Normal 22 58 2" xfId="15270"/>
    <cellStyle name="Normal 22 58 3" xfId="15271"/>
    <cellStyle name="Normal 22 58 4" xfId="15272"/>
    <cellStyle name="Normal 22 58 5" xfId="15273"/>
    <cellStyle name="Normal 22 58 6" xfId="15274"/>
    <cellStyle name="Normal 22 58 7" xfId="15275"/>
    <cellStyle name="Normal 22 58 8" xfId="15276"/>
    <cellStyle name="Normal 22 58 9" xfId="15277"/>
    <cellStyle name="Normal 22 59" xfId="15278"/>
    <cellStyle name="Normal 22 59 10" xfId="15279"/>
    <cellStyle name="Normal 22 59 11" xfId="15280"/>
    <cellStyle name="Normal 22 59 12" xfId="15281"/>
    <cellStyle name="Normal 22 59 13" xfId="15282"/>
    <cellStyle name="Normal 22 59 2" xfId="15283"/>
    <cellStyle name="Normal 22 59 3" xfId="15284"/>
    <cellStyle name="Normal 22 59 4" xfId="15285"/>
    <cellStyle name="Normal 22 59 5" xfId="15286"/>
    <cellStyle name="Normal 22 59 6" xfId="15287"/>
    <cellStyle name="Normal 22 59 7" xfId="15288"/>
    <cellStyle name="Normal 22 59 8" xfId="15289"/>
    <cellStyle name="Normal 22 59 9" xfId="15290"/>
    <cellStyle name="Normal 22 6" xfId="15291"/>
    <cellStyle name="Normal 22 6 10" xfId="15292"/>
    <cellStyle name="Normal 22 6 11" xfId="15293"/>
    <cellStyle name="Normal 22 6 12" xfId="15294"/>
    <cellStyle name="Normal 22 6 13" xfId="15295"/>
    <cellStyle name="Normal 22 6 2" xfId="15296"/>
    <cellStyle name="Normal 22 6 3" xfId="15297"/>
    <cellStyle name="Normal 22 6 4" xfId="15298"/>
    <cellStyle name="Normal 22 6 5" xfId="15299"/>
    <cellStyle name="Normal 22 6 6" xfId="15300"/>
    <cellStyle name="Normal 22 6 7" xfId="15301"/>
    <cellStyle name="Normal 22 6 8" xfId="15302"/>
    <cellStyle name="Normal 22 6 9" xfId="15303"/>
    <cellStyle name="Normal 22 60" xfId="15304"/>
    <cellStyle name="Normal 22 60 10" xfId="15305"/>
    <cellStyle name="Normal 22 60 11" xfId="15306"/>
    <cellStyle name="Normal 22 60 12" xfId="15307"/>
    <cellStyle name="Normal 22 60 13" xfId="15308"/>
    <cellStyle name="Normal 22 60 2" xfId="15309"/>
    <cellStyle name="Normal 22 60 3" xfId="15310"/>
    <cellStyle name="Normal 22 60 4" xfId="15311"/>
    <cellStyle name="Normal 22 60 5" xfId="15312"/>
    <cellStyle name="Normal 22 60 6" xfId="15313"/>
    <cellStyle name="Normal 22 60 7" xfId="15314"/>
    <cellStyle name="Normal 22 60 8" xfId="15315"/>
    <cellStyle name="Normal 22 60 9" xfId="15316"/>
    <cellStyle name="Normal 22 61" xfId="15317"/>
    <cellStyle name="Normal 22 61 10" xfId="15318"/>
    <cellStyle name="Normal 22 61 11" xfId="15319"/>
    <cellStyle name="Normal 22 61 12" xfId="15320"/>
    <cellStyle name="Normal 22 61 13" xfId="15321"/>
    <cellStyle name="Normal 22 61 2" xfId="15322"/>
    <cellStyle name="Normal 22 61 3" xfId="15323"/>
    <cellStyle name="Normal 22 61 4" xfId="15324"/>
    <cellStyle name="Normal 22 61 5" xfId="15325"/>
    <cellStyle name="Normal 22 61 6" xfId="15326"/>
    <cellStyle name="Normal 22 61 7" xfId="15327"/>
    <cellStyle name="Normal 22 61 8" xfId="15328"/>
    <cellStyle name="Normal 22 61 9" xfId="15329"/>
    <cellStyle name="Normal 22 62" xfId="15330"/>
    <cellStyle name="Normal 22 62 10" xfId="15331"/>
    <cellStyle name="Normal 22 62 11" xfId="15332"/>
    <cellStyle name="Normal 22 62 12" xfId="15333"/>
    <cellStyle name="Normal 22 62 13" xfId="15334"/>
    <cellStyle name="Normal 22 62 2" xfId="15335"/>
    <cellStyle name="Normal 22 62 3" xfId="15336"/>
    <cellStyle name="Normal 22 62 4" xfId="15337"/>
    <cellStyle name="Normal 22 62 5" xfId="15338"/>
    <cellStyle name="Normal 22 62 6" xfId="15339"/>
    <cellStyle name="Normal 22 62 7" xfId="15340"/>
    <cellStyle name="Normal 22 62 8" xfId="15341"/>
    <cellStyle name="Normal 22 62 9" xfId="15342"/>
    <cellStyle name="Normal 22 63" xfId="15343"/>
    <cellStyle name="Normal 22 63 10" xfId="15344"/>
    <cellStyle name="Normal 22 63 11" xfId="15345"/>
    <cellStyle name="Normal 22 63 12" xfId="15346"/>
    <cellStyle name="Normal 22 63 13" xfId="15347"/>
    <cellStyle name="Normal 22 63 2" xfId="15348"/>
    <cellStyle name="Normal 22 63 3" xfId="15349"/>
    <cellStyle name="Normal 22 63 4" xfId="15350"/>
    <cellStyle name="Normal 22 63 5" xfId="15351"/>
    <cellStyle name="Normal 22 63 6" xfId="15352"/>
    <cellStyle name="Normal 22 63 7" xfId="15353"/>
    <cellStyle name="Normal 22 63 8" xfId="15354"/>
    <cellStyle name="Normal 22 63 9" xfId="15355"/>
    <cellStyle name="Normal 22 64" xfId="15356"/>
    <cellStyle name="Normal 22 64 10" xfId="15357"/>
    <cellStyle name="Normal 22 64 11" xfId="15358"/>
    <cellStyle name="Normal 22 64 12" xfId="15359"/>
    <cellStyle name="Normal 22 64 13" xfId="15360"/>
    <cellStyle name="Normal 22 64 2" xfId="15361"/>
    <cellStyle name="Normal 22 64 3" xfId="15362"/>
    <cellStyle name="Normal 22 64 4" xfId="15363"/>
    <cellStyle name="Normal 22 64 5" xfId="15364"/>
    <cellStyle name="Normal 22 64 6" xfId="15365"/>
    <cellStyle name="Normal 22 64 7" xfId="15366"/>
    <cellStyle name="Normal 22 64 8" xfId="15367"/>
    <cellStyle name="Normal 22 64 9" xfId="15368"/>
    <cellStyle name="Normal 22 65" xfId="15369"/>
    <cellStyle name="Normal 22 65 10" xfId="15370"/>
    <cellStyle name="Normal 22 65 11" xfId="15371"/>
    <cellStyle name="Normal 22 65 12" xfId="15372"/>
    <cellStyle name="Normal 22 65 13" xfId="15373"/>
    <cellStyle name="Normal 22 65 2" xfId="15374"/>
    <cellStyle name="Normal 22 65 3" xfId="15375"/>
    <cellStyle name="Normal 22 65 4" xfId="15376"/>
    <cellStyle name="Normal 22 65 5" xfId="15377"/>
    <cellStyle name="Normal 22 65 6" xfId="15378"/>
    <cellStyle name="Normal 22 65 7" xfId="15379"/>
    <cellStyle name="Normal 22 65 8" xfId="15380"/>
    <cellStyle name="Normal 22 65 9" xfId="15381"/>
    <cellStyle name="Normal 22 66" xfId="15382"/>
    <cellStyle name="Normal 22 66 10" xfId="15383"/>
    <cellStyle name="Normal 22 66 11" xfId="15384"/>
    <cellStyle name="Normal 22 66 12" xfId="15385"/>
    <cellStyle name="Normal 22 66 13" xfId="15386"/>
    <cellStyle name="Normal 22 66 2" xfId="15387"/>
    <cellStyle name="Normal 22 66 3" xfId="15388"/>
    <cellStyle name="Normal 22 66 4" xfId="15389"/>
    <cellStyle name="Normal 22 66 5" xfId="15390"/>
    <cellStyle name="Normal 22 66 6" xfId="15391"/>
    <cellStyle name="Normal 22 66 7" xfId="15392"/>
    <cellStyle name="Normal 22 66 8" xfId="15393"/>
    <cellStyle name="Normal 22 66 9" xfId="15394"/>
    <cellStyle name="Normal 22 67" xfId="15395"/>
    <cellStyle name="Normal 22 67 10" xfId="15396"/>
    <cellStyle name="Normal 22 67 11" xfId="15397"/>
    <cellStyle name="Normal 22 67 12" xfId="15398"/>
    <cellStyle name="Normal 22 67 13" xfId="15399"/>
    <cellStyle name="Normal 22 67 2" xfId="15400"/>
    <cellStyle name="Normal 22 67 3" xfId="15401"/>
    <cellStyle name="Normal 22 67 4" xfId="15402"/>
    <cellStyle name="Normal 22 67 5" xfId="15403"/>
    <cellStyle name="Normal 22 67 6" xfId="15404"/>
    <cellStyle name="Normal 22 67 7" xfId="15405"/>
    <cellStyle name="Normal 22 67 8" xfId="15406"/>
    <cellStyle name="Normal 22 67 9" xfId="15407"/>
    <cellStyle name="Normal 22 68" xfId="15408"/>
    <cellStyle name="Normal 22 68 10" xfId="15409"/>
    <cellStyle name="Normal 22 68 11" xfId="15410"/>
    <cellStyle name="Normal 22 68 12" xfId="15411"/>
    <cellStyle name="Normal 22 68 13" xfId="15412"/>
    <cellStyle name="Normal 22 68 2" xfId="15413"/>
    <cellStyle name="Normal 22 68 3" xfId="15414"/>
    <cellStyle name="Normal 22 68 4" xfId="15415"/>
    <cellStyle name="Normal 22 68 5" xfId="15416"/>
    <cellStyle name="Normal 22 68 6" xfId="15417"/>
    <cellStyle name="Normal 22 68 7" xfId="15418"/>
    <cellStyle name="Normal 22 68 8" xfId="15419"/>
    <cellStyle name="Normal 22 68 9" xfId="15420"/>
    <cellStyle name="Normal 22 69" xfId="15421"/>
    <cellStyle name="Normal 22 69 10" xfId="15422"/>
    <cellStyle name="Normal 22 69 11" xfId="15423"/>
    <cellStyle name="Normal 22 69 12" xfId="15424"/>
    <cellStyle name="Normal 22 69 13" xfId="15425"/>
    <cellStyle name="Normal 22 69 2" xfId="15426"/>
    <cellStyle name="Normal 22 69 3" xfId="15427"/>
    <cellStyle name="Normal 22 69 4" xfId="15428"/>
    <cellStyle name="Normal 22 69 5" xfId="15429"/>
    <cellStyle name="Normal 22 69 6" xfId="15430"/>
    <cellStyle name="Normal 22 69 7" xfId="15431"/>
    <cellStyle name="Normal 22 69 8" xfId="15432"/>
    <cellStyle name="Normal 22 69 9" xfId="15433"/>
    <cellStyle name="Normal 22 7" xfId="15434"/>
    <cellStyle name="Normal 22 7 10" xfId="15435"/>
    <cellStyle name="Normal 22 7 11" xfId="15436"/>
    <cellStyle name="Normal 22 7 12" xfId="15437"/>
    <cellStyle name="Normal 22 7 13" xfId="15438"/>
    <cellStyle name="Normal 22 7 2" xfId="15439"/>
    <cellStyle name="Normal 22 7 3" xfId="15440"/>
    <cellStyle name="Normal 22 7 4" xfId="15441"/>
    <cellStyle name="Normal 22 7 5" xfId="15442"/>
    <cellStyle name="Normal 22 7 6" xfId="15443"/>
    <cellStyle name="Normal 22 7 7" xfId="15444"/>
    <cellStyle name="Normal 22 7 8" xfId="15445"/>
    <cellStyle name="Normal 22 7 9" xfId="15446"/>
    <cellStyle name="Normal 22 70" xfId="15447"/>
    <cellStyle name="Normal 22 70 10" xfId="15448"/>
    <cellStyle name="Normal 22 70 11" xfId="15449"/>
    <cellStyle name="Normal 22 70 12" xfId="15450"/>
    <cellStyle name="Normal 22 70 13" xfId="15451"/>
    <cellStyle name="Normal 22 70 2" xfId="15452"/>
    <cellStyle name="Normal 22 70 3" xfId="15453"/>
    <cellStyle name="Normal 22 70 4" xfId="15454"/>
    <cellStyle name="Normal 22 70 5" xfId="15455"/>
    <cellStyle name="Normal 22 70 6" xfId="15456"/>
    <cellStyle name="Normal 22 70 7" xfId="15457"/>
    <cellStyle name="Normal 22 70 8" xfId="15458"/>
    <cellStyle name="Normal 22 70 9" xfId="15459"/>
    <cellStyle name="Normal 22 71" xfId="15460"/>
    <cellStyle name="Normal 22 71 10" xfId="15461"/>
    <cellStyle name="Normal 22 71 11" xfId="15462"/>
    <cellStyle name="Normal 22 71 12" xfId="15463"/>
    <cellStyle name="Normal 22 71 13" xfId="15464"/>
    <cellStyle name="Normal 22 71 2" xfId="15465"/>
    <cellStyle name="Normal 22 71 3" xfId="15466"/>
    <cellStyle name="Normal 22 71 4" xfId="15467"/>
    <cellStyle name="Normal 22 71 5" xfId="15468"/>
    <cellStyle name="Normal 22 71 6" xfId="15469"/>
    <cellStyle name="Normal 22 71 7" xfId="15470"/>
    <cellStyle name="Normal 22 71 8" xfId="15471"/>
    <cellStyle name="Normal 22 71 9" xfId="15472"/>
    <cellStyle name="Normal 22 72" xfId="15473"/>
    <cellStyle name="Normal 22 72 10" xfId="15474"/>
    <cellStyle name="Normal 22 72 11" xfId="15475"/>
    <cellStyle name="Normal 22 72 12" xfId="15476"/>
    <cellStyle name="Normal 22 72 13" xfId="15477"/>
    <cellStyle name="Normal 22 72 2" xfId="15478"/>
    <cellStyle name="Normal 22 72 3" xfId="15479"/>
    <cellStyle name="Normal 22 72 4" xfId="15480"/>
    <cellStyle name="Normal 22 72 5" xfId="15481"/>
    <cellStyle name="Normal 22 72 6" xfId="15482"/>
    <cellStyle name="Normal 22 72 7" xfId="15483"/>
    <cellStyle name="Normal 22 72 8" xfId="15484"/>
    <cellStyle name="Normal 22 72 9" xfId="15485"/>
    <cellStyle name="Normal 22 73" xfId="15486"/>
    <cellStyle name="Normal 22 74" xfId="15487"/>
    <cellStyle name="Normal 22 75" xfId="15488"/>
    <cellStyle name="Normal 22 76" xfId="15489"/>
    <cellStyle name="Normal 22 77" xfId="15490"/>
    <cellStyle name="Normal 22 78" xfId="15491"/>
    <cellStyle name="Normal 22 79" xfId="15492"/>
    <cellStyle name="Normal 22 8" xfId="15493"/>
    <cellStyle name="Normal 22 8 10" xfId="15494"/>
    <cellStyle name="Normal 22 8 11" xfId="15495"/>
    <cellStyle name="Normal 22 8 12" xfId="15496"/>
    <cellStyle name="Normal 22 8 13" xfId="15497"/>
    <cellStyle name="Normal 22 8 2" xfId="15498"/>
    <cellStyle name="Normal 22 8 3" xfId="15499"/>
    <cellStyle name="Normal 22 8 4" xfId="15500"/>
    <cellStyle name="Normal 22 8 5" xfId="15501"/>
    <cellStyle name="Normal 22 8 6" xfId="15502"/>
    <cellStyle name="Normal 22 8 7" xfId="15503"/>
    <cellStyle name="Normal 22 8 8" xfId="15504"/>
    <cellStyle name="Normal 22 8 9" xfId="15505"/>
    <cellStyle name="Normal 22 80" xfId="15506"/>
    <cellStyle name="Normal 22 81" xfId="15507"/>
    <cellStyle name="Normal 22 82" xfId="15508"/>
    <cellStyle name="Normal 22 83" xfId="15509"/>
    <cellStyle name="Normal 22 84" xfId="15510"/>
    <cellStyle name="Normal 22 9" xfId="15511"/>
    <cellStyle name="Normal 22 9 10" xfId="15512"/>
    <cellStyle name="Normal 22 9 11" xfId="15513"/>
    <cellStyle name="Normal 22 9 12" xfId="15514"/>
    <cellStyle name="Normal 22 9 13" xfId="15515"/>
    <cellStyle name="Normal 22 9 2" xfId="15516"/>
    <cellStyle name="Normal 22 9 3" xfId="15517"/>
    <cellStyle name="Normal 22 9 4" xfId="15518"/>
    <cellStyle name="Normal 22 9 5" xfId="15519"/>
    <cellStyle name="Normal 22 9 6" xfId="15520"/>
    <cellStyle name="Normal 22 9 7" xfId="15521"/>
    <cellStyle name="Normal 22 9 8" xfId="15522"/>
    <cellStyle name="Normal 22 9 9" xfId="15523"/>
    <cellStyle name="Normal 23" xfId="15524"/>
    <cellStyle name="Normal 23 10" xfId="15525"/>
    <cellStyle name="Normal 23 10 10" xfId="15526"/>
    <cellStyle name="Normal 23 10 11" xfId="15527"/>
    <cellStyle name="Normal 23 10 12" xfId="15528"/>
    <cellStyle name="Normal 23 10 13" xfId="15529"/>
    <cellStyle name="Normal 23 10 2" xfId="15530"/>
    <cellStyle name="Normal 23 10 3" xfId="15531"/>
    <cellStyle name="Normal 23 10 4" xfId="15532"/>
    <cellStyle name="Normal 23 10 5" xfId="15533"/>
    <cellStyle name="Normal 23 10 6" xfId="15534"/>
    <cellStyle name="Normal 23 10 7" xfId="15535"/>
    <cellStyle name="Normal 23 10 8" xfId="15536"/>
    <cellStyle name="Normal 23 10 9" xfId="15537"/>
    <cellStyle name="Normal 23 11" xfId="15538"/>
    <cellStyle name="Normal 23 11 10" xfId="15539"/>
    <cellStyle name="Normal 23 11 11" xfId="15540"/>
    <cellStyle name="Normal 23 11 12" xfId="15541"/>
    <cellStyle name="Normal 23 11 13" xfId="15542"/>
    <cellStyle name="Normal 23 11 2" xfId="15543"/>
    <cellStyle name="Normal 23 11 3" xfId="15544"/>
    <cellStyle name="Normal 23 11 4" xfId="15545"/>
    <cellStyle name="Normal 23 11 5" xfId="15546"/>
    <cellStyle name="Normal 23 11 6" xfId="15547"/>
    <cellStyle name="Normal 23 11 7" xfId="15548"/>
    <cellStyle name="Normal 23 11 8" xfId="15549"/>
    <cellStyle name="Normal 23 11 9" xfId="15550"/>
    <cellStyle name="Normal 23 12" xfId="15551"/>
    <cellStyle name="Normal 23 12 10" xfId="15552"/>
    <cellStyle name="Normal 23 12 11" xfId="15553"/>
    <cellStyle name="Normal 23 12 12" xfId="15554"/>
    <cellStyle name="Normal 23 12 13" xfId="15555"/>
    <cellStyle name="Normal 23 12 2" xfId="15556"/>
    <cellStyle name="Normal 23 12 3" xfId="15557"/>
    <cellStyle name="Normal 23 12 4" xfId="15558"/>
    <cellStyle name="Normal 23 12 5" xfId="15559"/>
    <cellStyle name="Normal 23 12 6" xfId="15560"/>
    <cellStyle name="Normal 23 12 7" xfId="15561"/>
    <cellStyle name="Normal 23 12 8" xfId="15562"/>
    <cellStyle name="Normal 23 12 9" xfId="15563"/>
    <cellStyle name="Normal 23 13" xfId="15564"/>
    <cellStyle name="Normal 23 13 10" xfId="15565"/>
    <cellStyle name="Normal 23 13 11" xfId="15566"/>
    <cellStyle name="Normal 23 13 12" xfId="15567"/>
    <cellStyle name="Normal 23 13 13" xfId="15568"/>
    <cellStyle name="Normal 23 13 2" xfId="15569"/>
    <cellStyle name="Normal 23 13 3" xfId="15570"/>
    <cellStyle name="Normal 23 13 4" xfId="15571"/>
    <cellStyle name="Normal 23 13 5" xfId="15572"/>
    <cellStyle name="Normal 23 13 6" xfId="15573"/>
    <cellStyle name="Normal 23 13 7" xfId="15574"/>
    <cellStyle name="Normal 23 13 8" xfId="15575"/>
    <cellStyle name="Normal 23 13 9" xfId="15576"/>
    <cellStyle name="Normal 23 14" xfId="15577"/>
    <cellStyle name="Normal 23 14 10" xfId="15578"/>
    <cellStyle name="Normal 23 14 11" xfId="15579"/>
    <cellStyle name="Normal 23 14 12" xfId="15580"/>
    <cellStyle name="Normal 23 14 13" xfId="15581"/>
    <cellStyle name="Normal 23 14 2" xfId="15582"/>
    <cellStyle name="Normal 23 14 3" xfId="15583"/>
    <cellStyle name="Normal 23 14 4" xfId="15584"/>
    <cellStyle name="Normal 23 14 5" xfId="15585"/>
    <cellStyle name="Normal 23 14 6" xfId="15586"/>
    <cellStyle name="Normal 23 14 7" xfId="15587"/>
    <cellStyle name="Normal 23 14 8" xfId="15588"/>
    <cellStyle name="Normal 23 14 9" xfId="15589"/>
    <cellStyle name="Normal 23 15" xfId="15590"/>
    <cellStyle name="Normal 23 15 10" xfId="15591"/>
    <cellStyle name="Normal 23 15 11" xfId="15592"/>
    <cellStyle name="Normal 23 15 12" xfId="15593"/>
    <cellStyle name="Normal 23 15 13" xfId="15594"/>
    <cellStyle name="Normal 23 15 2" xfId="15595"/>
    <cellStyle name="Normal 23 15 3" xfId="15596"/>
    <cellStyle name="Normal 23 15 4" xfId="15597"/>
    <cellStyle name="Normal 23 15 5" xfId="15598"/>
    <cellStyle name="Normal 23 15 6" xfId="15599"/>
    <cellStyle name="Normal 23 15 7" xfId="15600"/>
    <cellStyle name="Normal 23 15 8" xfId="15601"/>
    <cellStyle name="Normal 23 15 9" xfId="15602"/>
    <cellStyle name="Normal 23 16" xfId="15603"/>
    <cellStyle name="Normal 23 16 10" xfId="15604"/>
    <cellStyle name="Normal 23 16 11" xfId="15605"/>
    <cellStyle name="Normal 23 16 12" xfId="15606"/>
    <cellStyle name="Normal 23 16 13" xfId="15607"/>
    <cellStyle name="Normal 23 16 2" xfId="15608"/>
    <cellStyle name="Normal 23 16 3" xfId="15609"/>
    <cellStyle name="Normal 23 16 4" xfId="15610"/>
    <cellStyle name="Normal 23 16 5" xfId="15611"/>
    <cellStyle name="Normal 23 16 6" xfId="15612"/>
    <cellStyle name="Normal 23 16 7" xfId="15613"/>
    <cellStyle name="Normal 23 16 8" xfId="15614"/>
    <cellStyle name="Normal 23 16 9" xfId="15615"/>
    <cellStyle name="Normal 23 17" xfId="15616"/>
    <cellStyle name="Normal 23 17 10" xfId="15617"/>
    <cellStyle name="Normal 23 17 11" xfId="15618"/>
    <cellStyle name="Normal 23 17 12" xfId="15619"/>
    <cellStyle name="Normal 23 17 13" xfId="15620"/>
    <cellStyle name="Normal 23 17 2" xfId="15621"/>
    <cellStyle name="Normal 23 17 3" xfId="15622"/>
    <cellStyle name="Normal 23 17 4" xfId="15623"/>
    <cellStyle name="Normal 23 17 5" xfId="15624"/>
    <cellStyle name="Normal 23 17 6" xfId="15625"/>
    <cellStyle name="Normal 23 17 7" xfId="15626"/>
    <cellStyle name="Normal 23 17 8" xfId="15627"/>
    <cellStyle name="Normal 23 17 9" xfId="15628"/>
    <cellStyle name="Normal 23 18" xfId="15629"/>
    <cellStyle name="Normal 23 18 10" xfId="15630"/>
    <cellStyle name="Normal 23 18 11" xfId="15631"/>
    <cellStyle name="Normal 23 18 12" xfId="15632"/>
    <cellStyle name="Normal 23 18 13" xfId="15633"/>
    <cellStyle name="Normal 23 18 2" xfId="15634"/>
    <cellStyle name="Normal 23 18 3" xfId="15635"/>
    <cellStyle name="Normal 23 18 4" xfId="15636"/>
    <cellStyle name="Normal 23 18 5" xfId="15637"/>
    <cellStyle name="Normal 23 18 6" xfId="15638"/>
    <cellStyle name="Normal 23 18 7" xfId="15639"/>
    <cellStyle name="Normal 23 18 8" xfId="15640"/>
    <cellStyle name="Normal 23 18 9" xfId="15641"/>
    <cellStyle name="Normal 23 19" xfId="15642"/>
    <cellStyle name="Normal 23 19 10" xfId="15643"/>
    <cellStyle name="Normal 23 19 11" xfId="15644"/>
    <cellStyle name="Normal 23 19 12" xfId="15645"/>
    <cellStyle name="Normal 23 19 13" xfId="15646"/>
    <cellStyle name="Normal 23 19 2" xfId="15647"/>
    <cellStyle name="Normal 23 19 3" xfId="15648"/>
    <cellStyle name="Normal 23 19 4" xfId="15649"/>
    <cellStyle name="Normal 23 19 5" xfId="15650"/>
    <cellStyle name="Normal 23 19 6" xfId="15651"/>
    <cellStyle name="Normal 23 19 7" xfId="15652"/>
    <cellStyle name="Normal 23 19 8" xfId="15653"/>
    <cellStyle name="Normal 23 19 9" xfId="15654"/>
    <cellStyle name="Normal 23 2" xfId="15655"/>
    <cellStyle name="Normal 23 2 10" xfId="15656"/>
    <cellStyle name="Normal 23 2 11" xfId="15657"/>
    <cellStyle name="Normal 23 2 12" xfId="15658"/>
    <cellStyle name="Normal 23 2 13" xfId="15659"/>
    <cellStyle name="Normal 23 2 2" xfId="15660"/>
    <cellStyle name="Normal 23 2 3" xfId="15661"/>
    <cellStyle name="Normal 23 2 4" xfId="15662"/>
    <cellStyle name="Normal 23 2 5" xfId="15663"/>
    <cellStyle name="Normal 23 2 6" xfId="15664"/>
    <cellStyle name="Normal 23 2 7" xfId="15665"/>
    <cellStyle name="Normal 23 2 8" xfId="15666"/>
    <cellStyle name="Normal 23 2 9" xfId="15667"/>
    <cellStyle name="Normal 23 20" xfId="15668"/>
    <cellStyle name="Normal 23 20 10" xfId="15669"/>
    <cellStyle name="Normal 23 20 11" xfId="15670"/>
    <cellStyle name="Normal 23 20 12" xfId="15671"/>
    <cellStyle name="Normal 23 20 13" xfId="15672"/>
    <cellStyle name="Normal 23 20 2" xfId="15673"/>
    <cellStyle name="Normal 23 20 3" xfId="15674"/>
    <cellStyle name="Normal 23 20 4" xfId="15675"/>
    <cellStyle name="Normal 23 20 5" xfId="15676"/>
    <cellStyle name="Normal 23 20 6" xfId="15677"/>
    <cellStyle name="Normal 23 20 7" xfId="15678"/>
    <cellStyle name="Normal 23 20 8" xfId="15679"/>
    <cellStyle name="Normal 23 20 9" xfId="15680"/>
    <cellStyle name="Normal 23 21" xfId="15681"/>
    <cellStyle name="Normal 23 21 10" xfId="15682"/>
    <cellStyle name="Normal 23 21 11" xfId="15683"/>
    <cellStyle name="Normal 23 21 12" xfId="15684"/>
    <cellStyle name="Normal 23 21 13" xfId="15685"/>
    <cellStyle name="Normal 23 21 2" xfId="15686"/>
    <cellStyle name="Normal 23 21 3" xfId="15687"/>
    <cellStyle name="Normal 23 21 4" xfId="15688"/>
    <cellStyle name="Normal 23 21 5" xfId="15689"/>
    <cellStyle name="Normal 23 21 6" xfId="15690"/>
    <cellStyle name="Normal 23 21 7" xfId="15691"/>
    <cellStyle name="Normal 23 21 8" xfId="15692"/>
    <cellStyle name="Normal 23 21 9" xfId="15693"/>
    <cellStyle name="Normal 23 22" xfId="15694"/>
    <cellStyle name="Normal 23 22 10" xfId="15695"/>
    <cellStyle name="Normal 23 22 11" xfId="15696"/>
    <cellStyle name="Normal 23 22 12" xfId="15697"/>
    <cellStyle name="Normal 23 22 13" xfId="15698"/>
    <cellStyle name="Normal 23 22 2" xfId="15699"/>
    <cellStyle name="Normal 23 22 3" xfId="15700"/>
    <cellStyle name="Normal 23 22 4" xfId="15701"/>
    <cellStyle name="Normal 23 22 5" xfId="15702"/>
    <cellStyle name="Normal 23 22 6" xfId="15703"/>
    <cellStyle name="Normal 23 22 7" xfId="15704"/>
    <cellStyle name="Normal 23 22 8" xfId="15705"/>
    <cellStyle name="Normal 23 22 9" xfId="15706"/>
    <cellStyle name="Normal 23 23" xfId="15707"/>
    <cellStyle name="Normal 23 23 10" xfId="15708"/>
    <cellStyle name="Normal 23 23 11" xfId="15709"/>
    <cellStyle name="Normal 23 23 12" xfId="15710"/>
    <cellStyle name="Normal 23 23 13" xfId="15711"/>
    <cellStyle name="Normal 23 23 2" xfId="15712"/>
    <cellStyle name="Normal 23 23 3" xfId="15713"/>
    <cellStyle name="Normal 23 23 4" xfId="15714"/>
    <cellStyle name="Normal 23 23 5" xfId="15715"/>
    <cellStyle name="Normal 23 23 6" xfId="15716"/>
    <cellStyle name="Normal 23 23 7" xfId="15717"/>
    <cellStyle name="Normal 23 23 8" xfId="15718"/>
    <cellStyle name="Normal 23 23 9" xfId="15719"/>
    <cellStyle name="Normal 23 24" xfId="15720"/>
    <cellStyle name="Normal 23 24 10" xfId="15721"/>
    <cellStyle name="Normal 23 24 11" xfId="15722"/>
    <cellStyle name="Normal 23 24 12" xfId="15723"/>
    <cellStyle name="Normal 23 24 13" xfId="15724"/>
    <cellStyle name="Normal 23 24 2" xfId="15725"/>
    <cellStyle name="Normal 23 24 3" xfId="15726"/>
    <cellStyle name="Normal 23 24 4" xfId="15727"/>
    <cellStyle name="Normal 23 24 5" xfId="15728"/>
    <cellStyle name="Normal 23 24 6" xfId="15729"/>
    <cellStyle name="Normal 23 24 7" xfId="15730"/>
    <cellStyle name="Normal 23 24 8" xfId="15731"/>
    <cellStyle name="Normal 23 24 9" xfId="15732"/>
    <cellStyle name="Normal 23 25" xfId="15733"/>
    <cellStyle name="Normal 23 25 10" xfId="15734"/>
    <cellStyle name="Normal 23 25 11" xfId="15735"/>
    <cellStyle name="Normal 23 25 12" xfId="15736"/>
    <cellStyle name="Normal 23 25 13" xfId="15737"/>
    <cellStyle name="Normal 23 25 2" xfId="15738"/>
    <cellStyle name="Normal 23 25 3" xfId="15739"/>
    <cellStyle name="Normal 23 25 4" xfId="15740"/>
    <cellStyle name="Normal 23 25 5" xfId="15741"/>
    <cellStyle name="Normal 23 25 6" xfId="15742"/>
    <cellStyle name="Normal 23 25 7" xfId="15743"/>
    <cellStyle name="Normal 23 25 8" xfId="15744"/>
    <cellStyle name="Normal 23 25 9" xfId="15745"/>
    <cellStyle name="Normal 23 26" xfId="15746"/>
    <cellStyle name="Normal 23 26 10" xfId="15747"/>
    <cellStyle name="Normal 23 26 11" xfId="15748"/>
    <cellStyle name="Normal 23 26 12" xfId="15749"/>
    <cellStyle name="Normal 23 26 13" xfId="15750"/>
    <cellStyle name="Normal 23 26 2" xfId="15751"/>
    <cellStyle name="Normal 23 26 3" xfId="15752"/>
    <cellStyle name="Normal 23 26 4" xfId="15753"/>
    <cellStyle name="Normal 23 26 5" xfId="15754"/>
    <cellStyle name="Normal 23 26 6" xfId="15755"/>
    <cellStyle name="Normal 23 26 7" xfId="15756"/>
    <cellStyle name="Normal 23 26 8" xfId="15757"/>
    <cellStyle name="Normal 23 26 9" xfId="15758"/>
    <cellStyle name="Normal 23 27" xfId="15759"/>
    <cellStyle name="Normal 23 27 10" xfId="15760"/>
    <cellStyle name="Normal 23 27 11" xfId="15761"/>
    <cellStyle name="Normal 23 27 12" xfId="15762"/>
    <cellStyle name="Normal 23 27 13" xfId="15763"/>
    <cellStyle name="Normal 23 27 2" xfId="15764"/>
    <cellStyle name="Normal 23 27 3" xfId="15765"/>
    <cellStyle name="Normal 23 27 4" xfId="15766"/>
    <cellStyle name="Normal 23 27 5" xfId="15767"/>
    <cellStyle name="Normal 23 27 6" xfId="15768"/>
    <cellStyle name="Normal 23 27 7" xfId="15769"/>
    <cellStyle name="Normal 23 27 8" xfId="15770"/>
    <cellStyle name="Normal 23 27 9" xfId="15771"/>
    <cellStyle name="Normal 23 28" xfId="15772"/>
    <cellStyle name="Normal 23 28 10" xfId="15773"/>
    <cellStyle name="Normal 23 28 11" xfId="15774"/>
    <cellStyle name="Normal 23 28 12" xfId="15775"/>
    <cellStyle name="Normal 23 28 13" xfId="15776"/>
    <cellStyle name="Normal 23 28 2" xfId="15777"/>
    <cellStyle name="Normal 23 28 3" xfId="15778"/>
    <cellStyle name="Normal 23 28 4" xfId="15779"/>
    <cellStyle name="Normal 23 28 5" xfId="15780"/>
    <cellStyle name="Normal 23 28 6" xfId="15781"/>
    <cellStyle name="Normal 23 28 7" xfId="15782"/>
    <cellStyle name="Normal 23 28 8" xfId="15783"/>
    <cellStyle name="Normal 23 28 9" xfId="15784"/>
    <cellStyle name="Normal 23 29" xfId="15785"/>
    <cellStyle name="Normal 23 29 10" xfId="15786"/>
    <cellStyle name="Normal 23 29 11" xfId="15787"/>
    <cellStyle name="Normal 23 29 12" xfId="15788"/>
    <cellStyle name="Normal 23 29 13" xfId="15789"/>
    <cellStyle name="Normal 23 29 2" xfId="15790"/>
    <cellStyle name="Normal 23 29 3" xfId="15791"/>
    <cellStyle name="Normal 23 29 4" xfId="15792"/>
    <cellStyle name="Normal 23 29 5" xfId="15793"/>
    <cellStyle name="Normal 23 29 6" xfId="15794"/>
    <cellStyle name="Normal 23 29 7" xfId="15795"/>
    <cellStyle name="Normal 23 29 8" xfId="15796"/>
    <cellStyle name="Normal 23 29 9" xfId="15797"/>
    <cellStyle name="Normal 23 3" xfId="15798"/>
    <cellStyle name="Normal 23 3 10" xfId="15799"/>
    <cellStyle name="Normal 23 3 11" xfId="15800"/>
    <cellStyle name="Normal 23 3 12" xfId="15801"/>
    <cellStyle name="Normal 23 3 13" xfId="15802"/>
    <cellStyle name="Normal 23 3 2" xfId="15803"/>
    <cellStyle name="Normal 23 3 3" xfId="15804"/>
    <cellStyle name="Normal 23 3 4" xfId="15805"/>
    <cellStyle name="Normal 23 3 5" xfId="15806"/>
    <cellStyle name="Normal 23 3 6" xfId="15807"/>
    <cellStyle name="Normal 23 3 7" xfId="15808"/>
    <cellStyle name="Normal 23 3 8" xfId="15809"/>
    <cellStyle name="Normal 23 3 9" xfId="15810"/>
    <cellStyle name="Normal 23 30" xfId="15811"/>
    <cellStyle name="Normal 23 30 10" xfId="15812"/>
    <cellStyle name="Normal 23 30 11" xfId="15813"/>
    <cellStyle name="Normal 23 30 12" xfId="15814"/>
    <cellStyle name="Normal 23 30 13" xfId="15815"/>
    <cellStyle name="Normal 23 30 2" xfId="15816"/>
    <cellStyle name="Normal 23 30 3" xfId="15817"/>
    <cellStyle name="Normal 23 30 4" xfId="15818"/>
    <cellStyle name="Normal 23 30 5" xfId="15819"/>
    <cellStyle name="Normal 23 30 6" xfId="15820"/>
    <cellStyle name="Normal 23 30 7" xfId="15821"/>
    <cellStyle name="Normal 23 30 8" xfId="15822"/>
    <cellStyle name="Normal 23 30 9" xfId="15823"/>
    <cellStyle name="Normal 23 31" xfId="15824"/>
    <cellStyle name="Normal 23 31 10" xfId="15825"/>
    <cellStyle name="Normal 23 31 11" xfId="15826"/>
    <cellStyle name="Normal 23 31 12" xfId="15827"/>
    <cellStyle name="Normal 23 31 13" xfId="15828"/>
    <cellStyle name="Normal 23 31 2" xfId="15829"/>
    <cellStyle name="Normal 23 31 3" xfId="15830"/>
    <cellStyle name="Normal 23 31 4" xfId="15831"/>
    <cellStyle name="Normal 23 31 5" xfId="15832"/>
    <cellStyle name="Normal 23 31 6" xfId="15833"/>
    <cellStyle name="Normal 23 31 7" xfId="15834"/>
    <cellStyle name="Normal 23 31 8" xfId="15835"/>
    <cellStyle name="Normal 23 31 9" xfId="15836"/>
    <cellStyle name="Normal 23 32" xfId="15837"/>
    <cellStyle name="Normal 23 32 10" xfId="15838"/>
    <cellStyle name="Normal 23 32 11" xfId="15839"/>
    <cellStyle name="Normal 23 32 12" xfId="15840"/>
    <cellStyle name="Normal 23 32 13" xfId="15841"/>
    <cellStyle name="Normal 23 32 2" xfId="15842"/>
    <cellStyle name="Normal 23 32 3" xfId="15843"/>
    <cellStyle name="Normal 23 32 4" xfId="15844"/>
    <cellStyle name="Normal 23 32 5" xfId="15845"/>
    <cellStyle name="Normal 23 32 6" xfId="15846"/>
    <cellStyle name="Normal 23 32 7" xfId="15847"/>
    <cellStyle name="Normal 23 32 8" xfId="15848"/>
    <cellStyle name="Normal 23 32 9" xfId="15849"/>
    <cellStyle name="Normal 23 33" xfId="15850"/>
    <cellStyle name="Normal 23 33 10" xfId="15851"/>
    <cellStyle name="Normal 23 33 11" xfId="15852"/>
    <cellStyle name="Normal 23 33 12" xfId="15853"/>
    <cellStyle name="Normal 23 33 13" xfId="15854"/>
    <cellStyle name="Normal 23 33 2" xfId="15855"/>
    <cellStyle name="Normal 23 33 3" xfId="15856"/>
    <cellStyle name="Normal 23 33 4" xfId="15857"/>
    <cellStyle name="Normal 23 33 5" xfId="15858"/>
    <cellStyle name="Normal 23 33 6" xfId="15859"/>
    <cellStyle name="Normal 23 33 7" xfId="15860"/>
    <cellStyle name="Normal 23 33 8" xfId="15861"/>
    <cellStyle name="Normal 23 33 9" xfId="15862"/>
    <cellStyle name="Normal 23 34" xfId="15863"/>
    <cellStyle name="Normal 23 34 10" xfId="15864"/>
    <cellStyle name="Normal 23 34 11" xfId="15865"/>
    <cellStyle name="Normal 23 34 12" xfId="15866"/>
    <cellStyle name="Normal 23 34 13" xfId="15867"/>
    <cellStyle name="Normal 23 34 2" xfId="15868"/>
    <cellStyle name="Normal 23 34 3" xfId="15869"/>
    <cellStyle name="Normal 23 34 4" xfId="15870"/>
    <cellStyle name="Normal 23 34 5" xfId="15871"/>
    <cellStyle name="Normal 23 34 6" xfId="15872"/>
    <cellStyle name="Normal 23 34 7" xfId="15873"/>
    <cellStyle name="Normal 23 34 8" xfId="15874"/>
    <cellStyle name="Normal 23 34 9" xfId="15875"/>
    <cellStyle name="Normal 23 35" xfId="15876"/>
    <cellStyle name="Normal 23 35 10" xfId="15877"/>
    <cellStyle name="Normal 23 35 11" xfId="15878"/>
    <cellStyle name="Normal 23 35 12" xfId="15879"/>
    <cellStyle name="Normal 23 35 13" xfId="15880"/>
    <cellStyle name="Normal 23 35 2" xfId="15881"/>
    <cellStyle name="Normal 23 35 3" xfId="15882"/>
    <cellStyle name="Normal 23 35 4" xfId="15883"/>
    <cellStyle name="Normal 23 35 5" xfId="15884"/>
    <cellStyle name="Normal 23 35 6" xfId="15885"/>
    <cellStyle name="Normal 23 35 7" xfId="15886"/>
    <cellStyle name="Normal 23 35 8" xfId="15887"/>
    <cellStyle name="Normal 23 35 9" xfId="15888"/>
    <cellStyle name="Normal 23 36" xfId="15889"/>
    <cellStyle name="Normal 23 36 10" xfId="15890"/>
    <cellStyle name="Normal 23 36 11" xfId="15891"/>
    <cellStyle name="Normal 23 36 12" xfId="15892"/>
    <cellStyle name="Normal 23 36 13" xfId="15893"/>
    <cellStyle name="Normal 23 36 2" xfId="15894"/>
    <cellStyle name="Normal 23 36 3" xfId="15895"/>
    <cellStyle name="Normal 23 36 4" xfId="15896"/>
    <cellStyle name="Normal 23 36 5" xfId="15897"/>
    <cellStyle name="Normal 23 36 6" xfId="15898"/>
    <cellStyle name="Normal 23 36 7" xfId="15899"/>
    <cellStyle name="Normal 23 36 8" xfId="15900"/>
    <cellStyle name="Normal 23 36 9" xfId="15901"/>
    <cellStyle name="Normal 23 37" xfId="15902"/>
    <cellStyle name="Normal 23 37 10" xfId="15903"/>
    <cellStyle name="Normal 23 37 11" xfId="15904"/>
    <cellStyle name="Normal 23 37 12" xfId="15905"/>
    <cellStyle name="Normal 23 37 13" xfId="15906"/>
    <cellStyle name="Normal 23 37 2" xfId="15907"/>
    <cellStyle name="Normal 23 37 3" xfId="15908"/>
    <cellStyle name="Normal 23 37 4" xfId="15909"/>
    <cellStyle name="Normal 23 37 5" xfId="15910"/>
    <cellStyle name="Normal 23 37 6" xfId="15911"/>
    <cellStyle name="Normal 23 37 7" xfId="15912"/>
    <cellStyle name="Normal 23 37 8" xfId="15913"/>
    <cellStyle name="Normal 23 37 9" xfId="15914"/>
    <cellStyle name="Normal 23 38" xfId="15915"/>
    <cellStyle name="Normal 23 38 10" xfId="15916"/>
    <cellStyle name="Normal 23 38 11" xfId="15917"/>
    <cellStyle name="Normal 23 38 12" xfId="15918"/>
    <cellStyle name="Normal 23 38 13" xfId="15919"/>
    <cellStyle name="Normal 23 38 2" xfId="15920"/>
    <cellStyle name="Normal 23 38 3" xfId="15921"/>
    <cellStyle name="Normal 23 38 4" xfId="15922"/>
    <cellStyle name="Normal 23 38 5" xfId="15923"/>
    <cellStyle name="Normal 23 38 6" xfId="15924"/>
    <cellStyle name="Normal 23 38 7" xfId="15925"/>
    <cellStyle name="Normal 23 38 8" xfId="15926"/>
    <cellStyle name="Normal 23 38 9" xfId="15927"/>
    <cellStyle name="Normal 23 39" xfId="15928"/>
    <cellStyle name="Normal 23 39 10" xfId="15929"/>
    <cellStyle name="Normal 23 39 11" xfId="15930"/>
    <cellStyle name="Normal 23 39 12" xfId="15931"/>
    <cellStyle name="Normal 23 39 13" xfId="15932"/>
    <cellStyle name="Normal 23 39 2" xfId="15933"/>
    <cellStyle name="Normal 23 39 3" xfId="15934"/>
    <cellStyle name="Normal 23 39 4" xfId="15935"/>
    <cellStyle name="Normal 23 39 5" xfId="15936"/>
    <cellStyle name="Normal 23 39 6" xfId="15937"/>
    <cellStyle name="Normal 23 39 7" xfId="15938"/>
    <cellStyle name="Normal 23 39 8" xfId="15939"/>
    <cellStyle name="Normal 23 39 9" xfId="15940"/>
    <cellStyle name="Normal 23 4" xfId="15941"/>
    <cellStyle name="Normal 23 4 10" xfId="15942"/>
    <cellStyle name="Normal 23 4 11" xfId="15943"/>
    <cellStyle name="Normal 23 4 12" xfId="15944"/>
    <cellStyle name="Normal 23 4 13" xfId="15945"/>
    <cellStyle name="Normal 23 4 2" xfId="15946"/>
    <cellStyle name="Normal 23 4 3" xfId="15947"/>
    <cellStyle name="Normal 23 4 4" xfId="15948"/>
    <cellStyle name="Normal 23 4 5" xfId="15949"/>
    <cellStyle name="Normal 23 4 6" xfId="15950"/>
    <cellStyle name="Normal 23 4 7" xfId="15951"/>
    <cellStyle name="Normal 23 4 8" xfId="15952"/>
    <cellStyle name="Normal 23 4 9" xfId="15953"/>
    <cellStyle name="Normal 23 40" xfId="15954"/>
    <cellStyle name="Normal 23 40 10" xfId="15955"/>
    <cellStyle name="Normal 23 40 11" xfId="15956"/>
    <cellStyle name="Normal 23 40 12" xfId="15957"/>
    <cellStyle name="Normal 23 40 13" xfId="15958"/>
    <cellStyle name="Normal 23 40 2" xfId="15959"/>
    <cellStyle name="Normal 23 40 3" xfId="15960"/>
    <cellStyle name="Normal 23 40 4" xfId="15961"/>
    <cellStyle name="Normal 23 40 5" xfId="15962"/>
    <cellStyle name="Normal 23 40 6" xfId="15963"/>
    <cellStyle name="Normal 23 40 7" xfId="15964"/>
    <cellStyle name="Normal 23 40 8" xfId="15965"/>
    <cellStyle name="Normal 23 40 9" xfId="15966"/>
    <cellStyle name="Normal 23 41" xfId="15967"/>
    <cellStyle name="Normal 23 41 10" xfId="15968"/>
    <cellStyle name="Normal 23 41 11" xfId="15969"/>
    <cellStyle name="Normal 23 41 12" xfId="15970"/>
    <cellStyle name="Normal 23 41 13" xfId="15971"/>
    <cellStyle name="Normal 23 41 2" xfId="15972"/>
    <cellStyle name="Normal 23 41 3" xfId="15973"/>
    <cellStyle name="Normal 23 41 4" xfId="15974"/>
    <cellStyle name="Normal 23 41 5" xfId="15975"/>
    <cellStyle name="Normal 23 41 6" xfId="15976"/>
    <cellStyle name="Normal 23 41 7" xfId="15977"/>
    <cellStyle name="Normal 23 41 8" xfId="15978"/>
    <cellStyle name="Normal 23 41 9" xfId="15979"/>
    <cellStyle name="Normal 23 42" xfId="15980"/>
    <cellStyle name="Normal 23 42 10" xfId="15981"/>
    <cellStyle name="Normal 23 42 11" xfId="15982"/>
    <cellStyle name="Normal 23 42 12" xfId="15983"/>
    <cellStyle name="Normal 23 42 13" xfId="15984"/>
    <cellStyle name="Normal 23 42 2" xfId="15985"/>
    <cellStyle name="Normal 23 42 3" xfId="15986"/>
    <cellStyle name="Normal 23 42 4" xfId="15987"/>
    <cellStyle name="Normal 23 42 5" xfId="15988"/>
    <cellStyle name="Normal 23 42 6" xfId="15989"/>
    <cellStyle name="Normal 23 42 7" xfId="15990"/>
    <cellStyle name="Normal 23 42 8" xfId="15991"/>
    <cellStyle name="Normal 23 42 9" xfId="15992"/>
    <cellStyle name="Normal 23 43" xfId="15993"/>
    <cellStyle name="Normal 23 43 10" xfId="15994"/>
    <cellStyle name="Normal 23 43 11" xfId="15995"/>
    <cellStyle name="Normal 23 43 12" xfId="15996"/>
    <cellStyle name="Normal 23 43 13" xfId="15997"/>
    <cellStyle name="Normal 23 43 2" xfId="15998"/>
    <cellStyle name="Normal 23 43 3" xfId="15999"/>
    <cellStyle name="Normal 23 43 4" xfId="16000"/>
    <cellStyle name="Normal 23 43 5" xfId="16001"/>
    <cellStyle name="Normal 23 43 6" xfId="16002"/>
    <cellStyle name="Normal 23 43 7" xfId="16003"/>
    <cellStyle name="Normal 23 43 8" xfId="16004"/>
    <cellStyle name="Normal 23 43 9" xfId="16005"/>
    <cellStyle name="Normal 23 44" xfId="16006"/>
    <cellStyle name="Normal 23 44 10" xfId="16007"/>
    <cellStyle name="Normal 23 44 11" xfId="16008"/>
    <cellStyle name="Normal 23 44 12" xfId="16009"/>
    <cellStyle name="Normal 23 44 13" xfId="16010"/>
    <cellStyle name="Normal 23 44 2" xfId="16011"/>
    <cellStyle name="Normal 23 44 3" xfId="16012"/>
    <cellStyle name="Normal 23 44 4" xfId="16013"/>
    <cellStyle name="Normal 23 44 5" xfId="16014"/>
    <cellStyle name="Normal 23 44 6" xfId="16015"/>
    <cellStyle name="Normal 23 44 7" xfId="16016"/>
    <cellStyle name="Normal 23 44 8" xfId="16017"/>
    <cellStyle name="Normal 23 44 9" xfId="16018"/>
    <cellStyle name="Normal 23 45" xfId="16019"/>
    <cellStyle name="Normal 23 45 10" xfId="16020"/>
    <cellStyle name="Normal 23 45 11" xfId="16021"/>
    <cellStyle name="Normal 23 45 12" xfId="16022"/>
    <cellStyle name="Normal 23 45 13" xfId="16023"/>
    <cellStyle name="Normal 23 45 2" xfId="16024"/>
    <cellStyle name="Normal 23 45 3" xfId="16025"/>
    <cellStyle name="Normal 23 45 4" xfId="16026"/>
    <cellStyle name="Normal 23 45 5" xfId="16027"/>
    <cellStyle name="Normal 23 45 6" xfId="16028"/>
    <cellStyle name="Normal 23 45 7" xfId="16029"/>
    <cellStyle name="Normal 23 45 8" xfId="16030"/>
    <cellStyle name="Normal 23 45 9" xfId="16031"/>
    <cellStyle name="Normal 23 46" xfId="16032"/>
    <cellStyle name="Normal 23 46 10" xfId="16033"/>
    <cellStyle name="Normal 23 46 11" xfId="16034"/>
    <cellStyle name="Normal 23 46 12" xfId="16035"/>
    <cellStyle name="Normal 23 46 13" xfId="16036"/>
    <cellStyle name="Normal 23 46 2" xfId="16037"/>
    <cellStyle name="Normal 23 46 3" xfId="16038"/>
    <cellStyle name="Normal 23 46 4" xfId="16039"/>
    <cellStyle name="Normal 23 46 5" xfId="16040"/>
    <cellStyle name="Normal 23 46 6" xfId="16041"/>
    <cellStyle name="Normal 23 46 7" xfId="16042"/>
    <cellStyle name="Normal 23 46 8" xfId="16043"/>
    <cellStyle name="Normal 23 46 9" xfId="16044"/>
    <cellStyle name="Normal 23 47" xfId="16045"/>
    <cellStyle name="Normal 23 47 10" xfId="16046"/>
    <cellStyle name="Normal 23 47 11" xfId="16047"/>
    <cellStyle name="Normal 23 47 12" xfId="16048"/>
    <cellStyle name="Normal 23 47 13" xfId="16049"/>
    <cellStyle name="Normal 23 47 2" xfId="16050"/>
    <cellStyle name="Normal 23 47 3" xfId="16051"/>
    <cellStyle name="Normal 23 47 4" xfId="16052"/>
    <cellStyle name="Normal 23 47 5" xfId="16053"/>
    <cellStyle name="Normal 23 47 6" xfId="16054"/>
    <cellStyle name="Normal 23 47 7" xfId="16055"/>
    <cellStyle name="Normal 23 47 8" xfId="16056"/>
    <cellStyle name="Normal 23 47 9" xfId="16057"/>
    <cellStyle name="Normal 23 48" xfId="16058"/>
    <cellStyle name="Normal 23 48 10" xfId="16059"/>
    <cellStyle name="Normal 23 48 11" xfId="16060"/>
    <cellStyle name="Normal 23 48 12" xfId="16061"/>
    <cellStyle name="Normal 23 48 13" xfId="16062"/>
    <cellStyle name="Normal 23 48 2" xfId="16063"/>
    <cellStyle name="Normal 23 48 3" xfId="16064"/>
    <cellStyle name="Normal 23 48 4" xfId="16065"/>
    <cellStyle name="Normal 23 48 5" xfId="16066"/>
    <cellStyle name="Normal 23 48 6" xfId="16067"/>
    <cellStyle name="Normal 23 48 7" xfId="16068"/>
    <cellStyle name="Normal 23 48 8" xfId="16069"/>
    <cellStyle name="Normal 23 48 9" xfId="16070"/>
    <cellStyle name="Normal 23 49" xfId="16071"/>
    <cellStyle name="Normal 23 49 10" xfId="16072"/>
    <cellStyle name="Normal 23 49 11" xfId="16073"/>
    <cellStyle name="Normal 23 49 12" xfId="16074"/>
    <cellStyle name="Normal 23 49 13" xfId="16075"/>
    <cellStyle name="Normal 23 49 2" xfId="16076"/>
    <cellStyle name="Normal 23 49 3" xfId="16077"/>
    <cellStyle name="Normal 23 49 4" xfId="16078"/>
    <cellStyle name="Normal 23 49 5" xfId="16079"/>
    <cellStyle name="Normal 23 49 6" xfId="16080"/>
    <cellStyle name="Normal 23 49 7" xfId="16081"/>
    <cellStyle name="Normal 23 49 8" xfId="16082"/>
    <cellStyle name="Normal 23 49 9" xfId="16083"/>
    <cellStyle name="Normal 23 5" xfId="16084"/>
    <cellStyle name="Normal 23 5 10" xfId="16085"/>
    <cellStyle name="Normal 23 5 11" xfId="16086"/>
    <cellStyle name="Normal 23 5 12" xfId="16087"/>
    <cellStyle name="Normal 23 5 13" xfId="16088"/>
    <cellStyle name="Normal 23 5 2" xfId="16089"/>
    <cellStyle name="Normal 23 5 3" xfId="16090"/>
    <cellStyle name="Normal 23 5 4" xfId="16091"/>
    <cellStyle name="Normal 23 5 5" xfId="16092"/>
    <cellStyle name="Normal 23 5 6" xfId="16093"/>
    <cellStyle name="Normal 23 5 7" xfId="16094"/>
    <cellStyle name="Normal 23 5 8" xfId="16095"/>
    <cellStyle name="Normal 23 5 9" xfId="16096"/>
    <cellStyle name="Normal 23 50" xfId="16097"/>
    <cellStyle name="Normal 23 50 10" xfId="16098"/>
    <cellStyle name="Normal 23 50 11" xfId="16099"/>
    <cellStyle name="Normal 23 50 12" xfId="16100"/>
    <cellStyle name="Normal 23 50 13" xfId="16101"/>
    <cellStyle name="Normal 23 50 2" xfId="16102"/>
    <cellStyle name="Normal 23 50 3" xfId="16103"/>
    <cellStyle name="Normal 23 50 4" xfId="16104"/>
    <cellStyle name="Normal 23 50 5" xfId="16105"/>
    <cellStyle name="Normal 23 50 6" xfId="16106"/>
    <cellStyle name="Normal 23 50 7" xfId="16107"/>
    <cellStyle name="Normal 23 50 8" xfId="16108"/>
    <cellStyle name="Normal 23 50 9" xfId="16109"/>
    <cellStyle name="Normal 23 51" xfId="16110"/>
    <cellStyle name="Normal 23 51 10" xfId="16111"/>
    <cellStyle name="Normal 23 51 11" xfId="16112"/>
    <cellStyle name="Normal 23 51 12" xfId="16113"/>
    <cellStyle name="Normal 23 51 13" xfId="16114"/>
    <cellStyle name="Normal 23 51 2" xfId="16115"/>
    <cellStyle name="Normal 23 51 3" xfId="16116"/>
    <cellStyle name="Normal 23 51 4" xfId="16117"/>
    <cellStyle name="Normal 23 51 5" xfId="16118"/>
    <cellStyle name="Normal 23 51 6" xfId="16119"/>
    <cellStyle name="Normal 23 51 7" xfId="16120"/>
    <cellStyle name="Normal 23 51 8" xfId="16121"/>
    <cellStyle name="Normal 23 51 9" xfId="16122"/>
    <cellStyle name="Normal 23 52" xfId="16123"/>
    <cellStyle name="Normal 23 52 10" xfId="16124"/>
    <cellStyle name="Normal 23 52 11" xfId="16125"/>
    <cellStyle name="Normal 23 52 12" xfId="16126"/>
    <cellStyle name="Normal 23 52 13" xfId="16127"/>
    <cellStyle name="Normal 23 52 2" xfId="16128"/>
    <cellStyle name="Normal 23 52 3" xfId="16129"/>
    <cellStyle name="Normal 23 52 4" xfId="16130"/>
    <cellStyle name="Normal 23 52 5" xfId="16131"/>
    <cellStyle name="Normal 23 52 6" xfId="16132"/>
    <cellStyle name="Normal 23 52 7" xfId="16133"/>
    <cellStyle name="Normal 23 52 8" xfId="16134"/>
    <cellStyle name="Normal 23 52 9" xfId="16135"/>
    <cellStyle name="Normal 23 53" xfId="16136"/>
    <cellStyle name="Normal 23 53 10" xfId="16137"/>
    <cellStyle name="Normal 23 53 11" xfId="16138"/>
    <cellStyle name="Normal 23 53 12" xfId="16139"/>
    <cellStyle name="Normal 23 53 13" xfId="16140"/>
    <cellStyle name="Normal 23 53 2" xfId="16141"/>
    <cellStyle name="Normal 23 53 3" xfId="16142"/>
    <cellStyle name="Normal 23 53 4" xfId="16143"/>
    <cellStyle name="Normal 23 53 5" xfId="16144"/>
    <cellStyle name="Normal 23 53 6" xfId="16145"/>
    <cellStyle name="Normal 23 53 7" xfId="16146"/>
    <cellStyle name="Normal 23 53 8" xfId="16147"/>
    <cellStyle name="Normal 23 53 9" xfId="16148"/>
    <cellStyle name="Normal 23 54" xfId="16149"/>
    <cellStyle name="Normal 23 54 10" xfId="16150"/>
    <cellStyle name="Normal 23 54 11" xfId="16151"/>
    <cellStyle name="Normal 23 54 12" xfId="16152"/>
    <cellStyle name="Normal 23 54 13" xfId="16153"/>
    <cellStyle name="Normal 23 54 2" xfId="16154"/>
    <cellStyle name="Normal 23 54 3" xfId="16155"/>
    <cellStyle name="Normal 23 54 4" xfId="16156"/>
    <cellStyle name="Normal 23 54 5" xfId="16157"/>
    <cellStyle name="Normal 23 54 6" xfId="16158"/>
    <cellStyle name="Normal 23 54 7" xfId="16159"/>
    <cellStyle name="Normal 23 54 8" xfId="16160"/>
    <cellStyle name="Normal 23 54 9" xfId="16161"/>
    <cellStyle name="Normal 23 55" xfId="16162"/>
    <cellStyle name="Normal 23 55 10" xfId="16163"/>
    <cellStyle name="Normal 23 55 11" xfId="16164"/>
    <cellStyle name="Normal 23 55 12" xfId="16165"/>
    <cellStyle name="Normal 23 55 13" xfId="16166"/>
    <cellStyle name="Normal 23 55 2" xfId="16167"/>
    <cellStyle name="Normal 23 55 3" xfId="16168"/>
    <cellStyle name="Normal 23 55 4" xfId="16169"/>
    <cellStyle name="Normal 23 55 5" xfId="16170"/>
    <cellStyle name="Normal 23 55 6" xfId="16171"/>
    <cellStyle name="Normal 23 55 7" xfId="16172"/>
    <cellStyle name="Normal 23 55 8" xfId="16173"/>
    <cellStyle name="Normal 23 55 9" xfId="16174"/>
    <cellStyle name="Normal 23 56" xfId="16175"/>
    <cellStyle name="Normal 23 56 10" xfId="16176"/>
    <cellStyle name="Normal 23 56 11" xfId="16177"/>
    <cellStyle name="Normal 23 56 12" xfId="16178"/>
    <cellStyle name="Normal 23 56 13" xfId="16179"/>
    <cellStyle name="Normal 23 56 2" xfId="16180"/>
    <cellStyle name="Normal 23 56 3" xfId="16181"/>
    <cellStyle name="Normal 23 56 4" xfId="16182"/>
    <cellStyle name="Normal 23 56 5" xfId="16183"/>
    <cellStyle name="Normal 23 56 6" xfId="16184"/>
    <cellStyle name="Normal 23 56 7" xfId="16185"/>
    <cellStyle name="Normal 23 56 8" xfId="16186"/>
    <cellStyle name="Normal 23 56 9" xfId="16187"/>
    <cellStyle name="Normal 23 57" xfId="16188"/>
    <cellStyle name="Normal 23 57 10" xfId="16189"/>
    <cellStyle name="Normal 23 57 11" xfId="16190"/>
    <cellStyle name="Normal 23 57 12" xfId="16191"/>
    <cellStyle name="Normal 23 57 13" xfId="16192"/>
    <cellStyle name="Normal 23 57 2" xfId="16193"/>
    <cellStyle name="Normal 23 57 3" xfId="16194"/>
    <cellStyle name="Normal 23 57 4" xfId="16195"/>
    <cellStyle name="Normal 23 57 5" xfId="16196"/>
    <cellStyle name="Normal 23 57 6" xfId="16197"/>
    <cellStyle name="Normal 23 57 7" xfId="16198"/>
    <cellStyle name="Normal 23 57 8" xfId="16199"/>
    <cellStyle name="Normal 23 57 9" xfId="16200"/>
    <cellStyle name="Normal 23 58" xfId="16201"/>
    <cellStyle name="Normal 23 58 10" xfId="16202"/>
    <cellStyle name="Normal 23 58 11" xfId="16203"/>
    <cellStyle name="Normal 23 58 12" xfId="16204"/>
    <cellStyle name="Normal 23 58 13" xfId="16205"/>
    <cellStyle name="Normal 23 58 2" xfId="16206"/>
    <cellStyle name="Normal 23 58 3" xfId="16207"/>
    <cellStyle name="Normal 23 58 4" xfId="16208"/>
    <cellStyle name="Normal 23 58 5" xfId="16209"/>
    <cellStyle name="Normal 23 58 6" xfId="16210"/>
    <cellStyle name="Normal 23 58 7" xfId="16211"/>
    <cellStyle name="Normal 23 58 8" xfId="16212"/>
    <cellStyle name="Normal 23 58 9" xfId="16213"/>
    <cellStyle name="Normal 23 59" xfId="16214"/>
    <cellStyle name="Normal 23 59 10" xfId="16215"/>
    <cellStyle name="Normal 23 59 11" xfId="16216"/>
    <cellStyle name="Normal 23 59 12" xfId="16217"/>
    <cellStyle name="Normal 23 59 13" xfId="16218"/>
    <cellStyle name="Normal 23 59 2" xfId="16219"/>
    <cellStyle name="Normal 23 59 3" xfId="16220"/>
    <cellStyle name="Normal 23 59 4" xfId="16221"/>
    <cellStyle name="Normal 23 59 5" xfId="16222"/>
    <cellStyle name="Normal 23 59 6" xfId="16223"/>
    <cellStyle name="Normal 23 59 7" xfId="16224"/>
    <cellStyle name="Normal 23 59 8" xfId="16225"/>
    <cellStyle name="Normal 23 59 9" xfId="16226"/>
    <cellStyle name="Normal 23 6" xfId="16227"/>
    <cellStyle name="Normal 23 6 10" xfId="16228"/>
    <cellStyle name="Normal 23 6 11" xfId="16229"/>
    <cellStyle name="Normal 23 6 12" xfId="16230"/>
    <cellStyle name="Normal 23 6 13" xfId="16231"/>
    <cellStyle name="Normal 23 6 2" xfId="16232"/>
    <cellStyle name="Normal 23 6 3" xfId="16233"/>
    <cellStyle name="Normal 23 6 4" xfId="16234"/>
    <cellStyle name="Normal 23 6 5" xfId="16235"/>
    <cellStyle name="Normal 23 6 6" xfId="16236"/>
    <cellStyle name="Normal 23 6 7" xfId="16237"/>
    <cellStyle name="Normal 23 6 8" xfId="16238"/>
    <cellStyle name="Normal 23 6 9" xfId="16239"/>
    <cellStyle name="Normal 23 60" xfId="16240"/>
    <cellStyle name="Normal 23 60 10" xfId="16241"/>
    <cellStyle name="Normal 23 60 11" xfId="16242"/>
    <cellStyle name="Normal 23 60 12" xfId="16243"/>
    <cellStyle name="Normal 23 60 13" xfId="16244"/>
    <cellStyle name="Normal 23 60 2" xfId="16245"/>
    <cellStyle name="Normal 23 60 3" xfId="16246"/>
    <cellStyle name="Normal 23 60 4" xfId="16247"/>
    <cellStyle name="Normal 23 60 5" xfId="16248"/>
    <cellStyle name="Normal 23 60 6" xfId="16249"/>
    <cellStyle name="Normal 23 60 7" xfId="16250"/>
    <cellStyle name="Normal 23 60 8" xfId="16251"/>
    <cellStyle name="Normal 23 60 9" xfId="16252"/>
    <cellStyle name="Normal 23 61" xfId="16253"/>
    <cellStyle name="Normal 23 61 10" xfId="16254"/>
    <cellStyle name="Normal 23 61 11" xfId="16255"/>
    <cellStyle name="Normal 23 61 12" xfId="16256"/>
    <cellStyle name="Normal 23 61 13" xfId="16257"/>
    <cellStyle name="Normal 23 61 2" xfId="16258"/>
    <cellStyle name="Normal 23 61 3" xfId="16259"/>
    <cellStyle name="Normal 23 61 4" xfId="16260"/>
    <cellStyle name="Normal 23 61 5" xfId="16261"/>
    <cellStyle name="Normal 23 61 6" xfId="16262"/>
    <cellStyle name="Normal 23 61 7" xfId="16263"/>
    <cellStyle name="Normal 23 61 8" xfId="16264"/>
    <cellStyle name="Normal 23 61 9" xfId="16265"/>
    <cellStyle name="Normal 23 62" xfId="16266"/>
    <cellStyle name="Normal 23 62 10" xfId="16267"/>
    <cellStyle name="Normal 23 62 11" xfId="16268"/>
    <cellStyle name="Normal 23 62 12" xfId="16269"/>
    <cellStyle name="Normal 23 62 13" xfId="16270"/>
    <cellStyle name="Normal 23 62 2" xfId="16271"/>
    <cellStyle name="Normal 23 62 3" xfId="16272"/>
    <cellStyle name="Normal 23 62 4" xfId="16273"/>
    <cellStyle name="Normal 23 62 5" xfId="16274"/>
    <cellStyle name="Normal 23 62 6" xfId="16275"/>
    <cellStyle name="Normal 23 62 7" xfId="16276"/>
    <cellStyle name="Normal 23 62 8" xfId="16277"/>
    <cellStyle name="Normal 23 62 9" xfId="16278"/>
    <cellStyle name="Normal 23 63" xfId="16279"/>
    <cellStyle name="Normal 23 63 10" xfId="16280"/>
    <cellStyle name="Normal 23 63 11" xfId="16281"/>
    <cellStyle name="Normal 23 63 12" xfId="16282"/>
    <cellStyle name="Normal 23 63 13" xfId="16283"/>
    <cellStyle name="Normal 23 63 2" xfId="16284"/>
    <cellStyle name="Normal 23 63 3" xfId="16285"/>
    <cellStyle name="Normal 23 63 4" xfId="16286"/>
    <cellStyle name="Normal 23 63 5" xfId="16287"/>
    <cellStyle name="Normal 23 63 6" xfId="16288"/>
    <cellStyle name="Normal 23 63 7" xfId="16289"/>
    <cellStyle name="Normal 23 63 8" xfId="16290"/>
    <cellStyle name="Normal 23 63 9" xfId="16291"/>
    <cellStyle name="Normal 23 64" xfId="16292"/>
    <cellStyle name="Normal 23 64 10" xfId="16293"/>
    <cellStyle name="Normal 23 64 11" xfId="16294"/>
    <cellStyle name="Normal 23 64 12" xfId="16295"/>
    <cellStyle name="Normal 23 64 13" xfId="16296"/>
    <cellStyle name="Normal 23 64 2" xfId="16297"/>
    <cellStyle name="Normal 23 64 3" xfId="16298"/>
    <cellStyle name="Normal 23 64 4" xfId="16299"/>
    <cellStyle name="Normal 23 64 5" xfId="16300"/>
    <cellStyle name="Normal 23 64 6" xfId="16301"/>
    <cellStyle name="Normal 23 64 7" xfId="16302"/>
    <cellStyle name="Normal 23 64 8" xfId="16303"/>
    <cellStyle name="Normal 23 64 9" xfId="16304"/>
    <cellStyle name="Normal 23 65" xfId="16305"/>
    <cellStyle name="Normal 23 65 10" xfId="16306"/>
    <cellStyle name="Normal 23 65 11" xfId="16307"/>
    <cellStyle name="Normal 23 65 12" xfId="16308"/>
    <cellStyle name="Normal 23 65 13" xfId="16309"/>
    <cellStyle name="Normal 23 65 2" xfId="16310"/>
    <cellStyle name="Normal 23 65 3" xfId="16311"/>
    <cellStyle name="Normal 23 65 4" xfId="16312"/>
    <cellStyle name="Normal 23 65 5" xfId="16313"/>
    <cellStyle name="Normal 23 65 6" xfId="16314"/>
    <cellStyle name="Normal 23 65 7" xfId="16315"/>
    <cellStyle name="Normal 23 65 8" xfId="16316"/>
    <cellStyle name="Normal 23 65 9" xfId="16317"/>
    <cellStyle name="Normal 23 66" xfId="16318"/>
    <cellStyle name="Normal 23 66 10" xfId="16319"/>
    <cellStyle name="Normal 23 66 11" xfId="16320"/>
    <cellStyle name="Normal 23 66 12" xfId="16321"/>
    <cellStyle name="Normal 23 66 13" xfId="16322"/>
    <cellStyle name="Normal 23 66 2" xfId="16323"/>
    <cellStyle name="Normal 23 66 3" xfId="16324"/>
    <cellStyle name="Normal 23 66 4" xfId="16325"/>
    <cellStyle name="Normal 23 66 5" xfId="16326"/>
    <cellStyle name="Normal 23 66 6" xfId="16327"/>
    <cellStyle name="Normal 23 66 7" xfId="16328"/>
    <cellStyle name="Normal 23 66 8" xfId="16329"/>
    <cellStyle name="Normal 23 66 9" xfId="16330"/>
    <cellStyle name="Normal 23 67" xfId="16331"/>
    <cellStyle name="Normal 23 67 10" xfId="16332"/>
    <cellStyle name="Normal 23 67 11" xfId="16333"/>
    <cellStyle name="Normal 23 67 12" xfId="16334"/>
    <cellStyle name="Normal 23 67 13" xfId="16335"/>
    <cellStyle name="Normal 23 67 2" xfId="16336"/>
    <cellStyle name="Normal 23 67 3" xfId="16337"/>
    <cellStyle name="Normal 23 67 4" xfId="16338"/>
    <cellStyle name="Normal 23 67 5" xfId="16339"/>
    <cellStyle name="Normal 23 67 6" xfId="16340"/>
    <cellStyle name="Normal 23 67 7" xfId="16341"/>
    <cellStyle name="Normal 23 67 8" xfId="16342"/>
    <cellStyle name="Normal 23 67 9" xfId="16343"/>
    <cellStyle name="Normal 23 68" xfId="16344"/>
    <cellStyle name="Normal 23 68 10" xfId="16345"/>
    <cellStyle name="Normal 23 68 11" xfId="16346"/>
    <cellStyle name="Normal 23 68 12" xfId="16347"/>
    <cellStyle name="Normal 23 68 13" xfId="16348"/>
    <cellStyle name="Normal 23 68 2" xfId="16349"/>
    <cellStyle name="Normal 23 68 3" xfId="16350"/>
    <cellStyle name="Normal 23 68 4" xfId="16351"/>
    <cellStyle name="Normal 23 68 5" xfId="16352"/>
    <cellStyle name="Normal 23 68 6" xfId="16353"/>
    <cellStyle name="Normal 23 68 7" xfId="16354"/>
    <cellStyle name="Normal 23 68 8" xfId="16355"/>
    <cellStyle name="Normal 23 68 9" xfId="16356"/>
    <cellStyle name="Normal 23 69" xfId="16357"/>
    <cellStyle name="Normal 23 69 10" xfId="16358"/>
    <cellStyle name="Normal 23 69 11" xfId="16359"/>
    <cellStyle name="Normal 23 69 12" xfId="16360"/>
    <cellStyle name="Normal 23 69 13" xfId="16361"/>
    <cellStyle name="Normal 23 69 2" xfId="16362"/>
    <cellStyle name="Normal 23 69 3" xfId="16363"/>
    <cellStyle name="Normal 23 69 4" xfId="16364"/>
    <cellStyle name="Normal 23 69 5" xfId="16365"/>
    <cellStyle name="Normal 23 69 6" xfId="16366"/>
    <cellStyle name="Normal 23 69 7" xfId="16367"/>
    <cellStyle name="Normal 23 69 8" xfId="16368"/>
    <cellStyle name="Normal 23 69 9" xfId="16369"/>
    <cellStyle name="Normal 23 7" xfId="16370"/>
    <cellStyle name="Normal 23 7 10" xfId="16371"/>
    <cellStyle name="Normal 23 7 11" xfId="16372"/>
    <cellStyle name="Normal 23 7 12" xfId="16373"/>
    <cellStyle name="Normal 23 7 13" xfId="16374"/>
    <cellStyle name="Normal 23 7 2" xfId="16375"/>
    <cellStyle name="Normal 23 7 3" xfId="16376"/>
    <cellStyle name="Normal 23 7 4" xfId="16377"/>
    <cellStyle name="Normal 23 7 5" xfId="16378"/>
    <cellStyle name="Normal 23 7 6" xfId="16379"/>
    <cellStyle name="Normal 23 7 7" xfId="16380"/>
    <cellStyle name="Normal 23 7 8" xfId="16381"/>
    <cellStyle name="Normal 23 7 9" xfId="16382"/>
    <cellStyle name="Normal 23 70" xfId="16383"/>
    <cellStyle name="Normal 23 70 10" xfId="16384"/>
    <cellStyle name="Normal 23 70 11" xfId="16385"/>
    <cellStyle name="Normal 23 70 12" xfId="16386"/>
    <cellStyle name="Normal 23 70 13" xfId="16387"/>
    <cellStyle name="Normal 23 70 2" xfId="16388"/>
    <cellStyle name="Normal 23 70 3" xfId="16389"/>
    <cellStyle name="Normal 23 70 4" xfId="16390"/>
    <cellStyle name="Normal 23 70 5" xfId="16391"/>
    <cellStyle name="Normal 23 70 6" xfId="16392"/>
    <cellStyle name="Normal 23 70 7" xfId="16393"/>
    <cellStyle name="Normal 23 70 8" xfId="16394"/>
    <cellStyle name="Normal 23 70 9" xfId="16395"/>
    <cellStyle name="Normal 23 71" xfId="16396"/>
    <cellStyle name="Normal 23 71 10" xfId="16397"/>
    <cellStyle name="Normal 23 71 11" xfId="16398"/>
    <cellStyle name="Normal 23 71 12" xfId="16399"/>
    <cellStyle name="Normal 23 71 13" xfId="16400"/>
    <cellStyle name="Normal 23 71 2" xfId="16401"/>
    <cellStyle name="Normal 23 71 3" xfId="16402"/>
    <cellStyle name="Normal 23 71 4" xfId="16403"/>
    <cellStyle name="Normal 23 71 5" xfId="16404"/>
    <cellStyle name="Normal 23 71 6" xfId="16405"/>
    <cellStyle name="Normal 23 71 7" xfId="16406"/>
    <cellStyle name="Normal 23 71 8" xfId="16407"/>
    <cellStyle name="Normal 23 71 9" xfId="16408"/>
    <cellStyle name="Normal 23 72" xfId="16409"/>
    <cellStyle name="Normal 23 73" xfId="16410"/>
    <cellStyle name="Normal 23 74" xfId="16411"/>
    <cellStyle name="Normal 23 75" xfId="16412"/>
    <cellStyle name="Normal 23 76" xfId="16413"/>
    <cellStyle name="Normal 23 77" xfId="16414"/>
    <cellStyle name="Normal 23 78" xfId="16415"/>
    <cellStyle name="Normal 23 79" xfId="16416"/>
    <cellStyle name="Normal 23 8" xfId="16417"/>
    <cellStyle name="Normal 23 8 10" xfId="16418"/>
    <cellStyle name="Normal 23 8 11" xfId="16419"/>
    <cellStyle name="Normal 23 8 12" xfId="16420"/>
    <cellStyle name="Normal 23 8 13" xfId="16421"/>
    <cellStyle name="Normal 23 8 2" xfId="16422"/>
    <cellStyle name="Normal 23 8 3" xfId="16423"/>
    <cellStyle name="Normal 23 8 4" xfId="16424"/>
    <cellStyle name="Normal 23 8 5" xfId="16425"/>
    <cellStyle name="Normal 23 8 6" xfId="16426"/>
    <cellStyle name="Normal 23 8 7" xfId="16427"/>
    <cellStyle name="Normal 23 8 8" xfId="16428"/>
    <cellStyle name="Normal 23 8 9" xfId="16429"/>
    <cellStyle name="Normal 23 80" xfId="16430"/>
    <cellStyle name="Normal 23 81" xfId="16431"/>
    <cellStyle name="Normal 23 82" xfId="16432"/>
    <cellStyle name="Normal 23 83" xfId="16433"/>
    <cellStyle name="Normal 23 9" xfId="16434"/>
    <cellStyle name="Normal 23 9 10" xfId="16435"/>
    <cellStyle name="Normal 23 9 11" xfId="16436"/>
    <cellStyle name="Normal 23 9 12" xfId="16437"/>
    <cellStyle name="Normal 23 9 13" xfId="16438"/>
    <cellStyle name="Normal 23 9 2" xfId="16439"/>
    <cellStyle name="Normal 23 9 3" xfId="16440"/>
    <cellStyle name="Normal 23 9 4" xfId="16441"/>
    <cellStyle name="Normal 23 9 5" xfId="16442"/>
    <cellStyle name="Normal 23 9 6" xfId="16443"/>
    <cellStyle name="Normal 23 9 7" xfId="16444"/>
    <cellStyle name="Normal 23 9 8" xfId="16445"/>
    <cellStyle name="Normal 23 9 9" xfId="16446"/>
    <cellStyle name="Normal 24" xfId="16447"/>
    <cellStyle name="Normal 24 10" xfId="16448"/>
    <cellStyle name="Normal 24 10 10" xfId="16449"/>
    <cellStyle name="Normal 24 10 11" xfId="16450"/>
    <cellStyle name="Normal 24 10 12" xfId="16451"/>
    <cellStyle name="Normal 24 10 13" xfId="16452"/>
    <cellStyle name="Normal 24 10 2" xfId="16453"/>
    <cellStyle name="Normal 24 10 3" xfId="16454"/>
    <cellStyle name="Normal 24 10 4" xfId="16455"/>
    <cellStyle name="Normal 24 10 5" xfId="16456"/>
    <cellStyle name="Normal 24 10 6" xfId="16457"/>
    <cellStyle name="Normal 24 10 7" xfId="16458"/>
    <cellStyle name="Normal 24 10 8" xfId="16459"/>
    <cellStyle name="Normal 24 10 9" xfId="16460"/>
    <cellStyle name="Normal 24 11" xfId="16461"/>
    <cellStyle name="Normal 24 11 10" xfId="16462"/>
    <cellStyle name="Normal 24 11 11" xfId="16463"/>
    <cellStyle name="Normal 24 11 12" xfId="16464"/>
    <cellStyle name="Normal 24 11 13" xfId="16465"/>
    <cellStyle name="Normal 24 11 2" xfId="16466"/>
    <cellStyle name="Normal 24 11 3" xfId="16467"/>
    <cellStyle name="Normal 24 11 4" xfId="16468"/>
    <cellStyle name="Normal 24 11 5" xfId="16469"/>
    <cellStyle name="Normal 24 11 6" xfId="16470"/>
    <cellStyle name="Normal 24 11 7" xfId="16471"/>
    <cellStyle name="Normal 24 11 8" xfId="16472"/>
    <cellStyle name="Normal 24 11 9" xfId="16473"/>
    <cellStyle name="Normal 24 12" xfId="16474"/>
    <cellStyle name="Normal 24 12 10" xfId="16475"/>
    <cellStyle name="Normal 24 12 11" xfId="16476"/>
    <cellStyle name="Normal 24 12 12" xfId="16477"/>
    <cellStyle name="Normal 24 12 13" xfId="16478"/>
    <cellStyle name="Normal 24 12 2" xfId="16479"/>
    <cellStyle name="Normal 24 12 3" xfId="16480"/>
    <cellStyle name="Normal 24 12 4" xfId="16481"/>
    <cellStyle name="Normal 24 12 5" xfId="16482"/>
    <cellStyle name="Normal 24 12 6" xfId="16483"/>
    <cellStyle name="Normal 24 12 7" xfId="16484"/>
    <cellStyle name="Normal 24 12 8" xfId="16485"/>
    <cellStyle name="Normal 24 12 9" xfId="16486"/>
    <cellStyle name="Normal 24 13" xfId="16487"/>
    <cellStyle name="Normal 24 13 10" xfId="16488"/>
    <cellStyle name="Normal 24 13 11" xfId="16489"/>
    <cellStyle name="Normal 24 13 12" xfId="16490"/>
    <cellStyle name="Normal 24 13 13" xfId="16491"/>
    <cellStyle name="Normal 24 13 2" xfId="16492"/>
    <cellStyle name="Normal 24 13 3" xfId="16493"/>
    <cellStyle name="Normal 24 13 4" xfId="16494"/>
    <cellStyle name="Normal 24 13 5" xfId="16495"/>
    <cellStyle name="Normal 24 13 6" xfId="16496"/>
    <cellStyle name="Normal 24 13 7" xfId="16497"/>
    <cellStyle name="Normal 24 13 8" xfId="16498"/>
    <cellStyle name="Normal 24 13 9" xfId="16499"/>
    <cellStyle name="Normal 24 14" xfId="16500"/>
    <cellStyle name="Normal 24 14 10" xfId="16501"/>
    <cellStyle name="Normal 24 14 11" xfId="16502"/>
    <cellStyle name="Normal 24 14 12" xfId="16503"/>
    <cellStyle name="Normal 24 14 13" xfId="16504"/>
    <cellStyle name="Normal 24 14 2" xfId="16505"/>
    <cellStyle name="Normal 24 14 3" xfId="16506"/>
    <cellStyle name="Normal 24 14 4" xfId="16507"/>
    <cellStyle name="Normal 24 14 5" xfId="16508"/>
    <cellStyle name="Normal 24 14 6" xfId="16509"/>
    <cellStyle name="Normal 24 14 7" xfId="16510"/>
    <cellStyle name="Normal 24 14 8" xfId="16511"/>
    <cellStyle name="Normal 24 14 9" xfId="16512"/>
    <cellStyle name="Normal 24 15" xfId="16513"/>
    <cellStyle name="Normal 24 15 10" xfId="16514"/>
    <cellStyle name="Normal 24 15 11" xfId="16515"/>
    <cellStyle name="Normal 24 15 12" xfId="16516"/>
    <cellStyle name="Normal 24 15 13" xfId="16517"/>
    <cellStyle name="Normal 24 15 2" xfId="16518"/>
    <cellStyle name="Normal 24 15 3" xfId="16519"/>
    <cellStyle name="Normal 24 15 4" xfId="16520"/>
    <cellStyle name="Normal 24 15 5" xfId="16521"/>
    <cellStyle name="Normal 24 15 6" xfId="16522"/>
    <cellStyle name="Normal 24 15 7" xfId="16523"/>
    <cellStyle name="Normal 24 15 8" xfId="16524"/>
    <cellStyle name="Normal 24 15 9" xfId="16525"/>
    <cellStyle name="Normal 24 16" xfId="16526"/>
    <cellStyle name="Normal 24 16 10" xfId="16527"/>
    <cellStyle name="Normal 24 16 11" xfId="16528"/>
    <cellStyle name="Normal 24 16 12" xfId="16529"/>
    <cellStyle name="Normal 24 16 13" xfId="16530"/>
    <cellStyle name="Normal 24 16 2" xfId="16531"/>
    <cellStyle name="Normal 24 16 3" xfId="16532"/>
    <cellStyle name="Normal 24 16 4" xfId="16533"/>
    <cellStyle name="Normal 24 16 5" xfId="16534"/>
    <cellStyle name="Normal 24 16 6" xfId="16535"/>
    <cellStyle name="Normal 24 16 7" xfId="16536"/>
    <cellStyle name="Normal 24 16 8" xfId="16537"/>
    <cellStyle name="Normal 24 16 9" xfId="16538"/>
    <cellStyle name="Normal 24 17" xfId="16539"/>
    <cellStyle name="Normal 24 17 10" xfId="16540"/>
    <cellStyle name="Normal 24 17 11" xfId="16541"/>
    <cellStyle name="Normal 24 17 12" xfId="16542"/>
    <cellStyle name="Normal 24 17 13" xfId="16543"/>
    <cellStyle name="Normal 24 17 2" xfId="16544"/>
    <cellStyle name="Normal 24 17 3" xfId="16545"/>
    <cellStyle name="Normal 24 17 4" xfId="16546"/>
    <cellStyle name="Normal 24 17 5" xfId="16547"/>
    <cellStyle name="Normal 24 17 6" xfId="16548"/>
    <cellStyle name="Normal 24 17 7" xfId="16549"/>
    <cellStyle name="Normal 24 17 8" xfId="16550"/>
    <cellStyle name="Normal 24 17 9" xfId="16551"/>
    <cellStyle name="Normal 24 18" xfId="16552"/>
    <cellStyle name="Normal 24 18 10" xfId="16553"/>
    <cellStyle name="Normal 24 18 11" xfId="16554"/>
    <cellStyle name="Normal 24 18 12" xfId="16555"/>
    <cellStyle name="Normal 24 18 13" xfId="16556"/>
    <cellStyle name="Normal 24 18 2" xfId="16557"/>
    <cellStyle name="Normal 24 18 3" xfId="16558"/>
    <cellStyle name="Normal 24 18 4" xfId="16559"/>
    <cellStyle name="Normal 24 18 5" xfId="16560"/>
    <cellStyle name="Normal 24 18 6" xfId="16561"/>
    <cellStyle name="Normal 24 18 7" xfId="16562"/>
    <cellStyle name="Normal 24 18 8" xfId="16563"/>
    <cellStyle name="Normal 24 18 9" xfId="16564"/>
    <cellStyle name="Normal 24 19" xfId="16565"/>
    <cellStyle name="Normal 24 19 10" xfId="16566"/>
    <cellStyle name="Normal 24 19 11" xfId="16567"/>
    <cellStyle name="Normal 24 19 12" xfId="16568"/>
    <cellStyle name="Normal 24 19 13" xfId="16569"/>
    <cellStyle name="Normal 24 19 2" xfId="16570"/>
    <cellStyle name="Normal 24 19 3" xfId="16571"/>
    <cellStyle name="Normal 24 19 4" xfId="16572"/>
    <cellStyle name="Normal 24 19 5" xfId="16573"/>
    <cellStyle name="Normal 24 19 6" xfId="16574"/>
    <cellStyle name="Normal 24 19 7" xfId="16575"/>
    <cellStyle name="Normal 24 19 8" xfId="16576"/>
    <cellStyle name="Normal 24 19 9" xfId="16577"/>
    <cellStyle name="Normal 24 2" xfId="16578"/>
    <cellStyle name="Normal 24 2 10" xfId="16579"/>
    <cellStyle name="Normal 24 2 11" xfId="16580"/>
    <cellStyle name="Normal 24 2 12" xfId="16581"/>
    <cellStyle name="Normal 24 2 13" xfId="16582"/>
    <cellStyle name="Normal 24 2 2" xfId="16583"/>
    <cellStyle name="Normal 24 2 3" xfId="16584"/>
    <cellStyle name="Normal 24 2 4" xfId="16585"/>
    <cellStyle name="Normal 24 2 5" xfId="16586"/>
    <cellStyle name="Normal 24 2 6" xfId="16587"/>
    <cellStyle name="Normal 24 2 7" xfId="16588"/>
    <cellStyle name="Normal 24 2 8" xfId="16589"/>
    <cellStyle name="Normal 24 2 9" xfId="16590"/>
    <cellStyle name="Normal 24 20" xfId="16591"/>
    <cellStyle name="Normal 24 20 10" xfId="16592"/>
    <cellStyle name="Normal 24 20 11" xfId="16593"/>
    <cellStyle name="Normal 24 20 12" xfId="16594"/>
    <cellStyle name="Normal 24 20 13" xfId="16595"/>
    <cellStyle name="Normal 24 20 2" xfId="16596"/>
    <cellStyle name="Normal 24 20 3" xfId="16597"/>
    <cellStyle name="Normal 24 20 4" xfId="16598"/>
    <cellStyle name="Normal 24 20 5" xfId="16599"/>
    <cellStyle name="Normal 24 20 6" xfId="16600"/>
    <cellStyle name="Normal 24 20 7" xfId="16601"/>
    <cellStyle name="Normal 24 20 8" xfId="16602"/>
    <cellStyle name="Normal 24 20 9" xfId="16603"/>
    <cellStyle name="Normal 24 21" xfId="16604"/>
    <cellStyle name="Normal 24 21 10" xfId="16605"/>
    <cellStyle name="Normal 24 21 11" xfId="16606"/>
    <cellStyle name="Normal 24 21 12" xfId="16607"/>
    <cellStyle name="Normal 24 21 13" xfId="16608"/>
    <cellStyle name="Normal 24 21 2" xfId="16609"/>
    <cellStyle name="Normal 24 21 3" xfId="16610"/>
    <cellStyle name="Normal 24 21 4" xfId="16611"/>
    <cellStyle name="Normal 24 21 5" xfId="16612"/>
    <cellStyle name="Normal 24 21 6" xfId="16613"/>
    <cellStyle name="Normal 24 21 7" xfId="16614"/>
    <cellStyle name="Normal 24 21 8" xfId="16615"/>
    <cellStyle name="Normal 24 21 9" xfId="16616"/>
    <cellStyle name="Normal 24 22" xfId="16617"/>
    <cellStyle name="Normal 24 22 10" xfId="16618"/>
    <cellStyle name="Normal 24 22 11" xfId="16619"/>
    <cellStyle name="Normal 24 22 12" xfId="16620"/>
    <cellStyle name="Normal 24 22 13" xfId="16621"/>
    <cellStyle name="Normal 24 22 2" xfId="16622"/>
    <cellStyle name="Normal 24 22 3" xfId="16623"/>
    <cellStyle name="Normal 24 22 4" xfId="16624"/>
    <cellStyle name="Normal 24 22 5" xfId="16625"/>
    <cellStyle name="Normal 24 22 6" xfId="16626"/>
    <cellStyle name="Normal 24 22 7" xfId="16627"/>
    <cellStyle name="Normal 24 22 8" xfId="16628"/>
    <cellStyle name="Normal 24 22 9" xfId="16629"/>
    <cellStyle name="Normal 24 23" xfId="16630"/>
    <cellStyle name="Normal 24 23 10" xfId="16631"/>
    <cellStyle name="Normal 24 23 11" xfId="16632"/>
    <cellStyle name="Normal 24 23 12" xfId="16633"/>
    <cellStyle name="Normal 24 23 13" xfId="16634"/>
    <cellStyle name="Normal 24 23 2" xfId="16635"/>
    <cellStyle name="Normal 24 23 3" xfId="16636"/>
    <cellStyle name="Normal 24 23 4" xfId="16637"/>
    <cellStyle name="Normal 24 23 5" xfId="16638"/>
    <cellStyle name="Normal 24 23 6" xfId="16639"/>
    <cellStyle name="Normal 24 23 7" xfId="16640"/>
    <cellStyle name="Normal 24 23 8" xfId="16641"/>
    <cellStyle name="Normal 24 23 9" xfId="16642"/>
    <cellStyle name="Normal 24 24" xfId="16643"/>
    <cellStyle name="Normal 24 24 10" xfId="16644"/>
    <cellStyle name="Normal 24 24 11" xfId="16645"/>
    <cellStyle name="Normal 24 24 12" xfId="16646"/>
    <cellStyle name="Normal 24 24 13" xfId="16647"/>
    <cellStyle name="Normal 24 24 2" xfId="16648"/>
    <cellStyle name="Normal 24 24 3" xfId="16649"/>
    <cellStyle name="Normal 24 24 4" xfId="16650"/>
    <cellStyle name="Normal 24 24 5" xfId="16651"/>
    <cellStyle name="Normal 24 24 6" xfId="16652"/>
    <cellStyle name="Normal 24 24 7" xfId="16653"/>
    <cellStyle name="Normal 24 24 8" xfId="16654"/>
    <cellStyle name="Normal 24 24 9" xfId="16655"/>
    <cellStyle name="Normal 24 25" xfId="16656"/>
    <cellStyle name="Normal 24 25 10" xfId="16657"/>
    <cellStyle name="Normal 24 25 11" xfId="16658"/>
    <cellStyle name="Normal 24 25 12" xfId="16659"/>
    <cellStyle name="Normal 24 25 13" xfId="16660"/>
    <cellStyle name="Normal 24 25 2" xfId="16661"/>
    <cellStyle name="Normal 24 25 3" xfId="16662"/>
    <cellStyle name="Normal 24 25 4" xfId="16663"/>
    <cellStyle name="Normal 24 25 5" xfId="16664"/>
    <cellStyle name="Normal 24 25 6" xfId="16665"/>
    <cellStyle name="Normal 24 25 7" xfId="16666"/>
    <cellStyle name="Normal 24 25 8" xfId="16667"/>
    <cellStyle name="Normal 24 25 9" xfId="16668"/>
    <cellStyle name="Normal 24 26" xfId="16669"/>
    <cellStyle name="Normal 24 26 10" xfId="16670"/>
    <cellStyle name="Normal 24 26 11" xfId="16671"/>
    <cellStyle name="Normal 24 26 12" xfId="16672"/>
    <cellStyle name="Normal 24 26 13" xfId="16673"/>
    <cellStyle name="Normal 24 26 2" xfId="16674"/>
    <cellStyle name="Normal 24 26 3" xfId="16675"/>
    <cellStyle name="Normal 24 26 4" xfId="16676"/>
    <cellStyle name="Normal 24 26 5" xfId="16677"/>
    <cellStyle name="Normal 24 26 6" xfId="16678"/>
    <cellStyle name="Normal 24 26 7" xfId="16679"/>
    <cellStyle name="Normal 24 26 8" xfId="16680"/>
    <cellStyle name="Normal 24 26 9" xfId="16681"/>
    <cellStyle name="Normal 24 27" xfId="16682"/>
    <cellStyle name="Normal 24 27 10" xfId="16683"/>
    <cellStyle name="Normal 24 27 11" xfId="16684"/>
    <cellStyle name="Normal 24 27 12" xfId="16685"/>
    <cellStyle name="Normal 24 27 13" xfId="16686"/>
    <cellStyle name="Normal 24 27 2" xfId="16687"/>
    <cellStyle name="Normal 24 27 3" xfId="16688"/>
    <cellStyle name="Normal 24 27 4" xfId="16689"/>
    <cellStyle name="Normal 24 27 5" xfId="16690"/>
    <cellStyle name="Normal 24 27 6" xfId="16691"/>
    <cellStyle name="Normal 24 27 7" xfId="16692"/>
    <cellStyle name="Normal 24 27 8" xfId="16693"/>
    <cellStyle name="Normal 24 27 9" xfId="16694"/>
    <cellStyle name="Normal 24 28" xfId="16695"/>
    <cellStyle name="Normal 24 28 10" xfId="16696"/>
    <cellStyle name="Normal 24 28 11" xfId="16697"/>
    <cellStyle name="Normal 24 28 12" xfId="16698"/>
    <cellStyle name="Normal 24 28 13" xfId="16699"/>
    <cellStyle name="Normal 24 28 2" xfId="16700"/>
    <cellStyle name="Normal 24 28 3" xfId="16701"/>
    <cellStyle name="Normal 24 28 4" xfId="16702"/>
    <cellStyle name="Normal 24 28 5" xfId="16703"/>
    <cellStyle name="Normal 24 28 6" xfId="16704"/>
    <cellStyle name="Normal 24 28 7" xfId="16705"/>
    <cellStyle name="Normal 24 28 8" xfId="16706"/>
    <cellStyle name="Normal 24 28 9" xfId="16707"/>
    <cellStyle name="Normal 24 29" xfId="16708"/>
    <cellStyle name="Normal 24 29 10" xfId="16709"/>
    <cellStyle name="Normal 24 29 11" xfId="16710"/>
    <cellStyle name="Normal 24 29 12" xfId="16711"/>
    <cellStyle name="Normal 24 29 13" xfId="16712"/>
    <cellStyle name="Normal 24 29 2" xfId="16713"/>
    <cellStyle name="Normal 24 29 3" xfId="16714"/>
    <cellStyle name="Normal 24 29 4" xfId="16715"/>
    <cellStyle name="Normal 24 29 5" xfId="16716"/>
    <cellStyle name="Normal 24 29 6" xfId="16717"/>
    <cellStyle name="Normal 24 29 7" xfId="16718"/>
    <cellStyle name="Normal 24 29 8" xfId="16719"/>
    <cellStyle name="Normal 24 29 9" xfId="16720"/>
    <cellStyle name="Normal 24 3" xfId="16721"/>
    <cellStyle name="Normal 24 3 10" xfId="16722"/>
    <cellStyle name="Normal 24 3 11" xfId="16723"/>
    <cellStyle name="Normal 24 3 12" xfId="16724"/>
    <cellStyle name="Normal 24 3 13" xfId="16725"/>
    <cellStyle name="Normal 24 3 2" xfId="16726"/>
    <cellStyle name="Normal 24 3 3" xfId="16727"/>
    <cellStyle name="Normal 24 3 4" xfId="16728"/>
    <cellStyle name="Normal 24 3 5" xfId="16729"/>
    <cellStyle name="Normal 24 3 6" xfId="16730"/>
    <cellStyle name="Normal 24 3 7" xfId="16731"/>
    <cellStyle name="Normal 24 3 8" xfId="16732"/>
    <cellStyle name="Normal 24 3 9" xfId="16733"/>
    <cellStyle name="Normal 24 30" xfId="16734"/>
    <cellStyle name="Normal 24 30 10" xfId="16735"/>
    <cellStyle name="Normal 24 30 11" xfId="16736"/>
    <cellStyle name="Normal 24 30 12" xfId="16737"/>
    <cellStyle name="Normal 24 30 13" xfId="16738"/>
    <cellStyle name="Normal 24 30 2" xfId="16739"/>
    <cellStyle name="Normal 24 30 3" xfId="16740"/>
    <cellStyle name="Normal 24 30 4" xfId="16741"/>
    <cellStyle name="Normal 24 30 5" xfId="16742"/>
    <cellStyle name="Normal 24 30 6" xfId="16743"/>
    <cellStyle name="Normal 24 30 7" xfId="16744"/>
    <cellStyle name="Normal 24 30 8" xfId="16745"/>
    <cellStyle name="Normal 24 30 9" xfId="16746"/>
    <cellStyle name="Normal 24 31" xfId="16747"/>
    <cellStyle name="Normal 24 31 10" xfId="16748"/>
    <cellStyle name="Normal 24 31 11" xfId="16749"/>
    <cellStyle name="Normal 24 31 12" xfId="16750"/>
    <cellStyle name="Normal 24 31 13" xfId="16751"/>
    <cellStyle name="Normal 24 31 2" xfId="16752"/>
    <cellStyle name="Normal 24 31 3" xfId="16753"/>
    <cellStyle name="Normal 24 31 4" xfId="16754"/>
    <cellStyle name="Normal 24 31 5" xfId="16755"/>
    <cellStyle name="Normal 24 31 6" xfId="16756"/>
    <cellStyle name="Normal 24 31 7" xfId="16757"/>
    <cellStyle name="Normal 24 31 8" xfId="16758"/>
    <cellStyle name="Normal 24 31 9" xfId="16759"/>
    <cellStyle name="Normal 24 32" xfId="16760"/>
    <cellStyle name="Normal 24 32 10" xfId="16761"/>
    <cellStyle name="Normal 24 32 11" xfId="16762"/>
    <cellStyle name="Normal 24 32 12" xfId="16763"/>
    <cellStyle name="Normal 24 32 13" xfId="16764"/>
    <cellStyle name="Normal 24 32 2" xfId="16765"/>
    <cellStyle name="Normal 24 32 3" xfId="16766"/>
    <cellStyle name="Normal 24 32 4" xfId="16767"/>
    <cellStyle name="Normal 24 32 5" xfId="16768"/>
    <cellStyle name="Normal 24 32 6" xfId="16769"/>
    <cellStyle name="Normal 24 32 7" xfId="16770"/>
    <cellStyle name="Normal 24 32 8" xfId="16771"/>
    <cellStyle name="Normal 24 32 9" xfId="16772"/>
    <cellStyle name="Normal 24 33" xfId="16773"/>
    <cellStyle name="Normal 24 33 10" xfId="16774"/>
    <cellStyle name="Normal 24 33 11" xfId="16775"/>
    <cellStyle name="Normal 24 33 12" xfId="16776"/>
    <cellStyle name="Normal 24 33 13" xfId="16777"/>
    <cellStyle name="Normal 24 33 2" xfId="16778"/>
    <cellStyle name="Normal 24 33 3" xfId="16779"/>
    <cellStyle name="Normal 24 33 4" xfId="16780"/>
    <cellStyle name="Normal 24 33 5" xfId="16781"/>
    <cellStyle name="Normal 24 33 6" xfId="16782"/>
    <cellStyle name="Normal 24 33 7" xfId="16783"/>
    <cellStyle name="Normal 24 33 8" xfId="16784"/>
    <cellStyle name="Normal 24 33 9" xfId="16785"/>
    <cellStyle name="Normal 24 34" xfId="16786"/>
    <cellStyle name="Normal 24 34 10" xfId="16787"/>
    <cellStyle name="Normal 24 34 11" xfId="16788"/>
    <cellStyle name="Normal 24 34 12" xfId="16789"/>
    <cellStyle name="Normal 24 34 13" xfId="16790"/>
    <cellStyle name="Normal 24 34 2" xfId="16791"/>
    <cellStyle name="Normal 24 34 3" xfId="16792"/>
    <cellStyle name="Normal 24 34 4" xfId="16793"/>
    <cellStyle name="Normal 24 34 5" xfId="16794"/>
    <cellStyle name="Normal 24 34 6" xfId="16795"/>
    <cellStyle name="Normal 24 34 7" xfId="16796"/>
    <cellStyle name="Normal 24 34 8" xfId="16797"/>
    <cellStyle name="Normal 24 34 9" xfId="16798"/>
    <cellStyle name="Normal 24 35" xfId="16799"/>
    <cellStyle name="Normal 24 35 10" xfId="16800"/>
    <cellStyle name="Normal 24 35 11" xfId="16801"/>
    <cellStyle name="Normal 24 35 12" xfId="16802"/>
    <cellStyle name="Normal 24 35 13" xfId="16803"/>
    <cellStyle name="Normal 24 35 2" xfId="16804"/>
    <cellStyle name="Normal 24 35 3" xfId="16805"/>
    <cellStyle name="Normal 24 35 4" xfId="16806"/>
    <cellStyle name="Normal 24 35 5" xfId="16807"/>
    <cellStyle name="Normal 24 35 6" xfId="16808"/>
    <cellStyle name="Normal 24 35 7" xfId="16809"/>
    <cellStyle name="Normal 24 35 8" xfId="16810"/>
    <cellStyle name="Normal 24 35 9" xfId="16811"/>
    <cellStyle name="Normal 24 36" xfId="16812"/>
    <cellStyle name="Normal 24 36 10" xfId="16813"/>
    <cellStyle name="Normal 24 36 11" xfId="16814"/>
    <cellStyle name="Normal 24 36 12" xfId="16815"/>
    <cellStyle name="Normal 24 36 13" xfId="16816"/>
    <cellStyle name="Normal 24 36 2" xfId="16817"/>
    <cellStyle name="Normal 24 36 3" xfId="16818"/>
    <cellStyle name="Normal 24 36 4" xfId="16819"/>
    <cellStyle name="Normal 24 36 5" xfId="16820"/>
    <cellStyle name="Normal 24 36 6" xfId="16821"/>
    <cellStyle name="Normal 24 36 7" xfId="16822"/>
    <cellStyle name="Normal 24 36 8" xfId="16823"/>
    <cellStyle name="Normal 24 36 9" xfId="16824"/>
    <cellStyle name="Normal 24 37" xfId="16825"/>
    <cellStyle name="Normal 24 37 10" xfId="16826"/>
    <cellStyle name="Normal 24 37 11" xfId="16827"/>
    <cellStyle name="Normal 24 37 12" xfId="16828"/>
    <cellStyle name="Normal 24 37 13" xfId="16829"/>
    <cellStyle name="Normal 24 37 2" xfId="16830"/>
    <cellStyle name="Normal 24 37 3" xfId="16831"/>
    <cellStyle name="Normal 24 37 4" xfId="16832"/>
    <cellStyle name="Normal 24 37 5" xfId="16833"/>
    <cellStyle name="Normal 24 37 6" xfId="16834"/>
    <cellStyle name="Normal 24 37 7" xfId="16835"/>
    <cellStyle name="Normal 24 37 8" xfId="16836"/>
    <cellStyle name="Normal 24 37 9" xfId="16837"/>
    <cellStyle name="Normal 24 38" xfId="16838"/>
    <cellStyle name="Normal 24 38 10" xfId="16839"/>
    <cellStyle name="Normal 24 38 11" xfId="16840"/>
    <cellStyle name="Normal 24 38 12" xfId="16841"/>
    <cellStyle name="Normal 24 38 13" xfId="16842"/>
    <cellStyle name="Normal 24 38 2" xfId="16843"/>
    <cellStyle name="Normal 24 38 3" xfId="16844"/>
    <cellStyle name="Normal 24 38 4" xfId="16845"/>
    <cellStyle name="Normal 24 38 5" xfId="16846"/>
    <cellStyle name="Normal 24 38 6" xfId="16847"/>
    <cellStyle name="Normal 24 38 7" xfId="16848"/>
    <cellStyle name="Normal 24 38 8" xfId="16849"/>
    <cellStyle name="Normal 24 38 9" xfId="16850"/>
    <cellStyle name="Normal 24 39" xfId="16851"/>
    <cellStyle name="Normal 24 39 10" xfId="16852"/>
    <cellStyle name="Normal 24 39 11" xfId="16853"/>
    <cellStyle name="Normal 24 39 12" xfId="16854"/>
    <cellStyle name="Normal 24 39 13" xfId="16855"/>
    <cellStyle name="Normal 24 39 2" xfId="16856"/>
    <cellStyle name="Normal 24 39 3" xfId="16857"/>
    <cellStyle name="Normal 24 39 4" xfId="16858"/>
    <cellStyle name="Normal 24 39 5" xfId="16859"/>
    <cellStyle name="Normal 24 39 6" xfId="16860"/>
    <cellStyle name="Normal 24 39 7" xfId="16861"/>
    <cellStyle name="Normal 24 39 8" xfId="16862"/>
    <cellStyle name="Normal 24 39 9" xfId="16863"/>
    <cellStyle name="Normal 24 4" xfId="16864"/>
    <cellStyle name="Normal 24 4 10" xfId="16865"/>
    <cellStyle name="Normal 24 4 11" xfId="16866"/>
    <cellStyle name="Normal 24 4 12" xfId="16867"/>
    <cellStyle name="Normal 24 4 13" xfId="16868"/>
    <cellStyle name="Normal 24 4 2" xfId="16869"/>
    <cellStyle name="Normal 24 4 3" xfId="16870"/>
    <cellStyle name="Normal 24 4 4" xfId="16871"/>
    <cellStyle name="Normal 24 4 5" xfId="16872"/>
    <cellStyle name="Normal 24 4 6" xfId="16873"/>
    <cellStyle name="Normal 24 4 7" xfId="16874"/>
    <cellStyle name="Normal 24 4 8" xfId="16875"/>
    <cellStyle name="Normal 24 4 9" xfId="16876"/>
    <cellStyle name="Normal 24 40" xfId="16877"/>
    <cellStyle name="Normal 24 40 10" xfId="16878"/>
    <cellStyle name="Normal 24 40 11" xfId="16879"/>
    <cellStyle name="Normal 24 40 12" xfId="16880"/>
    <cellStyle name="Normal 24 40 13" xfId="16881"/>
    <cellStyle name="Normal 24 40 2" xfId="16882"/>
    <cellStyle name="Normal 24 40 3" xfId="16883"/>
    <cellStyle name="Normal 24 40 4" xfId="16884"/>
    <cellStyle name="Normal 24 40 5" xfId="16885"/>
    <cellStyle name="Normal 24 40 6" xfId="16886"/>
    <cellStyle name="Normal 24 40 7" xfId="16887"/>
    <cellStyle name="Normal 24 40 8" xfId="16888"/>
    <cellStyle name="Normal 24 40 9" xfId="16889"/>
    <cellStyle name="Normal 24 41" xfId="16890"/>
    <cellStyle name="Normal 24 41 10" xfId="16891"/>
    <cellStyle name="Normal 24 41 11" xfId="16892"/>
    <cellStyle name="Normal 24 41 12" xfId="16893"/>
    <cellStyle name="Normal 24 41 13" xfId="16894"/>
    <cellStyle name="Normal 24 41 2" xfId="16895"/>
    <cellStyle name="Normal 24 41 3" xfId="16896"/>
    <cellStyle name="Normal 24 41 4" xfId="16897"/>
    <cellStyle name="Normal 24 41 5" xfId="16898"/>
    <cellStyle name="Normal 24 41 6" xfId="16899"/>
    <cellStyle name="Normal 24 41 7" xfId="16900"/>
    <cellStyle name="Normal 24 41 8" xfId="16901"/>
    <cellStyle name="Normal 24 41 9" xfId="16902"/>
    <cellStyle name="Normal 24 42" xfId="16903"/>
    <cellStyle name="Normal 24 42 10" xfId="16904"/>
    <cellStyle name="Normal 24 42 11" xfId="16905"/>
    <cellStyle name="Normal 24 42 12" xfId="16906"/>
    <cellStyle name="Normal 24 42 13" xfId="16907"/>
    <cellStyle name="Normal 24 42 2" xfId="16908"/>
    <cellStyle name="Normal 24 42 3" xfId="16909"/>
    <cellStyle name="Normal 24 42 4" xfId="16910"/>
    <cellStyle name="Normal 24 42 5" xfId="16911"/>
    <cellStyle name="Normal 24 42 6" xfId="16912"/>
    <cellStyle name="Normal 24 42 7" xfId="16913"/>
    <cellStyle name="Normal 24 42 8" xfId="16914"/>
    <cellStyle name="Normal 24 42 9" xfId="16915"/>
    <cellStyle name="Normal 24 43" xfId="16916"/>
    <cellStyle name="Normal 24 43 10" xfId="16917"/>
    <cellStyle name="Normal 24 43 11" xfId="16918"/>
    <cellStyle name="Normal 24 43 12" xfId="16919"/>
    <cellStyle name="Normal 24 43 13" xfId="16920"/>
    <cellStyle name="Normal 24 43 2" xfId="16921"/>
    <cellStyle name="Normal 24 43 3" xfId="16922"/>
    <cellStyle name="Normal 24 43 4" xfId="16923"/>
    <cellStyle name="Normal 24 43 5" xfId="16924"/>
    <cellStyle name="Normal 24 43 6" xfId="16925"/>
    <cellStyle name="Normal 24 43 7" xfId="16926"/>
    <cellStyle name="Normal 24 43 8" xfId="16927"/>
    <cellStyle name="Normal 24 43 9" xfId="16928"/>
    <cellStyle name="Normal 24 44" xfId="16929"/>
    <cellStyle name="Normal 24 44 10" xfId="16930"/>
    <cellStyle name="Normal 24 44 11" xfId="16931"/>
    <cellStyle name="Normal 24 44 12" xfId="16932"/>
    <cellStyle name="Normal 24 44 13" xfId="16933"/>
    <cellStyle name="Normal 24 44 2" xfId="16934"/>
    <cellStyle name="Normal 24 44 3" xfId="16935"/>
    <cellStyle name="Normal 24 44 4" xfId="16936"/>
    <cellStyle name="Normal 24 44 5" xfId="16937"/>
    <cellStyle name="Normal 24 44 6" xfId="16938"/>
    <cellStyle name="Normal 24 44 7" xfId="16939"/>
    <cellStyle name="Normal 24 44 8" xfId="16940"/>
    <cellStyle name="Normal 24 44 9" xfId="16941"/>
    <cellStyle name="Normal 24 45" xfId="16942"/>
    <cellStyle name="Normal 24 45 10" xfId="16943"/>
    <cellStyle name="Normal 24 45 11" xfId="16944"/>
    <cellStyle name="Normal 24 45 12" xfId="16945"/>
    <cellStyle name="Normal 24 45 13" xfId="16946"/>
    <cellStyle name="Normal 24 45 2" xfId="16947"/>
    <cellStyle name="Normal 24 45 3" xfId="16948"/>
    <cellStyle name="Normal 24 45 4" xfId="16949"/>
    <cellStyle name="Normal 24 45 5" xfId="16950"/>
    <cellStyle name="Normal 24 45 6" xfId="16951"/>
    <cellStyle name="Normal 24 45 7" xfId="16952"/>
    <cellStyle name="Normal 24 45 8" xfId="16953"/>
    <cellStyle name="Normal 24 45 9" xfId="16954"/>
    <cellStyle name="Normal 24 46" xfId="16955"/>
    <cellStyle name="Normal 24 46 10" xfId="16956"/>
    <cellStyle name="Normal 24 46 11" xfId="16957"/>
    <cellStyle name="Normal 24 46 12" xfId="16958"/>
    <cellStyle name="Normal 24 46 13" xfId="16959"/>
    <cellStyle name="Normal 24 46 2" xfId="16960"/>
    <cellStyle name="Normal 24 46 3" xfId="16961"/>
    <cellStyle name="Normal 24 46 4" xfId="16962"/>
    <cellStyle name="Normal 24 46 5" xfId="16963"/>
    <cellStyle name="Normal 24 46 6" xfId="16964"/>
    <cellStyle name="Normal 24 46 7" xfId="16965"/>
    <cellStyle name="Normal 24 46 8" xfId="16966"/>
    <cellStyle name="Normal 24 46 9" xfId="16967"/>
    <cellStyle name="Normal 24 47" xfId="16968"/>
    <cellStyle name="Normal 24 47 10" xfId="16969"/>
    <cellStyle name="Normal 24 47 11" xfId="16970"/>
    <cellStyle name="Normal 24 47 12" xfId="16971"/>
    <cellStyle name="Normal 24 47 13" xfId="16972"/>
    <cellStyle name="Normal 24 47 2" xfId="16973"/>
    <cellStyle name="Normal 24 47 3" xfId="16974"/>
    <cellStyle name="Normal 24 47 4" xfId="16975"/>
    <cellStyle name="Normal 24 47 5" xfId="16976"/>
    <cellStyle name="Normal 24 47 6" xfId="16977"/>
    <cellStyle name="Normal 24 47 7" xfId="16978"/>
    <cellStyle name="Normal 24 47 8" xfId="16979"/>
    <cellStyle name="Normal 24 47 9" xfId="16980"/>
    <cellStyle name="Normal 24 48" xfId="16981"/>
    <cellStyle name="Normal 24 48 10" xfId="16982"/>
    <cellStyle name="Normal 24 48 11" xfId="16983"/>
    <cellStyle name="Normal 24 48 12" xfId="16984"/>
    <cellStyle name="Normal 24 48 13" xfId="16985"/>
    <cellStyle name="Normal 24 48 2" xfId="16986"/>
    <cellStyle name="Normal 24 48 3" xfId="16987"/>
    <cellStyle name="Normal 24 48 4" xfId="16988"/>
    <cellStyle name="Normal 24 48 5" xfId="16989"/>
    <cellStyle name="Normal 24 48 6" xfId="16990"/>
    <cellStyle name="Normal 24 48 7" xfId="16991"/>
    <cellStyle name="Normal 24 48 8" xfId="16992"/>
    <cellStyle name="Normal 24 48 9" xfId="16993"/>
    <cellStyle name="Normal 24 49" xfId="16994"/>
    <cellStyle name="Normal 24 49 10" xfId="16995"/>
    <cellStyle name="Normal 24 49 11" xfId="16996"/>
    <cellStyle name="Normal 24 49 12" xfId="16997"/>
    <cellStyle name="Normal 24 49 13" xfId="16998"/>
    <cellStyle name="Normal 24 49 2" xfId="16999"/>
    <cellStyle name="Normal 24 49 3" xfId="17000"/>
    <cellStyle name="Normal 24 49 4" xfId="17001"/>
    <cellStyle name="Normal 24 49 5" xfId="17002"/>
    <cellStyle name="Normal 24 49 6" xfId="17003"/>
    <cellStyle name="Normal 24 49 7" xfId="17004"/>
    <cellStyle name="Normal 24 49 8" xfId="17005"/>
    <cellStyle name="Normal 24 49 9" xfId="17006"/>
    <cellStyle name="Normal 24 5" xfId="17007"/>
    <cellStyle name="Normal 24 5 10" xfId="17008"/>
    <cellStyle name="Normal 24 5 11" xfId="17009"/>
    <cellStyle name="Normal 24 5 12" xfId="17010"/>
    <cellStyle name="Normal 24 5 13" xfId="17011"/>
    <cellStyle name="Normal 24 5 2" xfId="17012"/>
    <cellStyle name="Normal 24 5 3" xfId="17013"/>
    <cellStyle name="Normal 24 5 4" xfId="17014"/>
    <cellStyle name="Normal 24 5 5" xfId="17015"/>
    <cellStyle name="Normal 24 5 6" xfId="17016"/>
    <cellStyle name="Normal 24 5 7" xfId="17017"/>
    <cellStyle name="Normal 24 5 8" xfId="17018"/>
    <cellStyle name="Normal 24 5 9" xfId="17019"/>
    <cellStyle name="Normal 24 50" xfId="17020"/>
    <cellStyle name="Normal 24 50 10" xfId="17021"/>
    <cellStyle name="Normal 24 50 11" xfId="17022"/>
    <cellStyle name="Normal 24 50 12" xfId="17023"/>
    <cellStyle name="Normal 24 50 13" xfId="17024"/>
    <cellStyle name="Normal 24 50 2" xfId="17025"/>
    <cellStyle name="Normal 24 50 3" xfId="17026"/>
    <cellStyle name="Normal 24 50 4" xfId="17027"/>
    <cellStyle name="Normal 24 50 5" xfId="17028"/>
    <cellStyle name="Normal 24 50 6" xfId="17029"/>
    <cellStyle name="Normal 24 50 7" xfId="17030"/>
    <cellStyle name="Normal 24 50 8" xfId="17031"/>
    <cellStyle name="Normal 24 50 9" xfId="17032"/>
    <cellStyle name="Normal 24 51" xfId="17033"/>
    <cellStyle name="Normal 24 51 10" xfId="17034"/>
    <cellStyle name="Normal 24 51 11" xfId="17035"/>
    <cellStyle name="Normal 24 51 12" xfId="17036"/>
    <cellStyle name="Normal 24 51 13" xfId="17037"/>
    <cellStyle name="Normal 24 51 2" xfId="17038"/>
    <cellStyle name="Normal 24 51 3" xfId="17039"/>
    <cellStyle name="Normal 24 51 4" xfId="17040"/>
    <cellStyle name="Normal 24 51 5" xfId="17041"/>
    <cellStyle name="Normal 24 51 6" xfId="17042"/>
    <cellStyle name="Normal 24 51 7" xfId="17043"/>
    <cellStyle name="Normal 24 51 8" xfId="17044"/>
    <cellStyle name="Normal 24 51 9" xfId="17045"/>
    <cellStyle name="Normal 24 52" xfId="17046"/>
    <cellStyle name="Normal 24 52 10" xfId="17047"/>
    <cellStyle name="Normal 24 52 11" xfId="17048"/>
    <cellStyle name="Normal 24 52 12" xfId="17049"/>
    <cellStyle name="Normal 24 52 13" xfId="17050"/>
    <cellStyle name="Normal 24 52 2" xfId="17051"/>
    <cellStyle name="Normal 24 52 3" xfId="17052"/>
    <cellStyle name="Normal 24 52 4" xfId="17053"/>
    <cellStyle name="Normal 24 52 5" xfId="17054"/>
    <cellStyle name="Normal 24 52 6" xfId="17055"/>
    <cellStyle name="Normal 24 52 7" xfId="17056"/>
    <cellStyle name="Normal 24 52 8" xfId="17057"/>
    <cellStyle name="Normal 24 52 9" xfId="17058"/>
    <cellStyle name="Normal 24 53" xfId="17059"/>
    <cellStyle name="Normal 24 53 10" xfId="17060"/>
    <cellStyle name="Normal 24 53 11" xfId="17061"/>
    <cellStyle name="Normal 24 53 12" xfId="17062"/>
    <cellStyle name="Normal 24 53 13" xfId="17063"/>
    <cellStyle name="Normal 24 53 2" xfId="17064"/>
    <cellStyle name="Normal 24 53 3" xfId="17065"/>
    <cellStyle name="Normal 24 53 4" xfId="17066"/>
    <cellStyle name="Normal 24 53 5" xfId="17067"/>
    <cellStyle name="Normal 24 53 6" xfId="17068"/>
    <cellStyle name="Normal 24 53 7" xfId="17069"/>
    <cellStyle name="Normal 24 53 8" xfId="17070"/>
    <cellStyle name="Normal 24 53 9" xfId="17071"/>
    <cellStyle name="Normal 24 54" xfId="17072"/>
    <cellStyle name="Normal 24 54 10" xfId="17073"/>
    <cellStyle name="Normal 24 54 11" xfId="17074"/>
    <cellStyle name="Normal 24 54 12" xfId="17075"/>
    <cellStyle name="Normal 24 54 13" xfId="17076"/>
    <cellStyle name="Normal 24 54 2" xfId="17077"/>
    <cellStyle name="Normal 24 54 3" xfId="17078"/>
    <cellStyle name="Normal 24 54 4" xfId="17079"/>
    <cellStyle name="Normal 24 54 5" xfId="17080"/>
    <cellStyle name="Normal 24 54 6" xfId="17081"/>
    <cellStyle name="Normal 24 54 7" xfId="17082"/>
    <cellStyle name="Normal 24 54 8" xfId="17083"/>
    <cellStyle name="Normal 24 54 9" xfId="17084"/>
    <cellStyle name="Normal 24 55" xfId="17085"/>
    <cellStyle name="Normal 24 55 10" xfId="17086"/>
    <cellStyle name="Normal 24 55 11" xfId="17087"/>
    <cellStyle name="Normal 24 55 12" xfId="17088"/>
    <cellStyle name="Normal 24 55 13" xfId="17089"/>
    <cellStyle name="Normal 24 55 2" xfId="17090"/>
    <cellStyle name="Normal 24 55 3" xfId="17091"/>
    <cellStyle name="Normal 24 55 4" xfId="17092"/>
    <cellStyle name="Normal 24 55 5" xfId="17093"/>
    <cellStyle name="Normal 24 55 6" xfId="17094"/>
    <cellStyle name="Normal 24 55 7" xfId="17095"/>
    <cellStyle name="Normal 24 55 8" xfId="17096"/>
    <cellStyle name="Normal 24 55 9" xfId="17097"/>
    <cellStyle name="Normal 24 56" xfId="17098"/>
    <cellStyle name="Normal 24 56 10" xfId="17099"/>
    <cellStyle name="Normal 24 56 11" xfId="17100"/>
    <cellStyle name="Normal 24 56 12" xfId="17101"/>
    <cellStyle name="Normal 24 56 13" xfId="17102"/>
    <cellStyle name="Normal 24 56 2" xfId="17103"/>
    <cellStyle name="Normal 24 56 3" xfId="17104"/>
    <cellStyle name="Normal 24 56 4" xfId="17105"/>
    <cellStyle name="Normal 24 56 5" xfId="17106"/>
    <cellStyle name="Normal 24 56 6" xfId="17107"/>
    <cellStyle name="Normal 24 56 7" xfId="17108"/>
    <cellStyle name="Normal 24 56 8" xfId="17109"/>
    <cellStyle name="Normal 24 56 9" xfId="17110"/>
    <cellStyle name="Normal 24 57" xfId="17111"/>
    <cellStyle name="Normal 24 57 10" xfId="17112"/>
    <cellStyle name="Normal 24 57 11" xfId="17113"/>
    <cellStyle name="Normal 24 57 12" xfId="17114"/>
    <cellStyle name="Normal 24 57 13" xfId="17115"/>
    <cellStyle name="Normal 24 57 2" xfId="17116"/>
    <cellStyle name="Normal 24 57 3" xfId="17117"/>
    <cellStyle name="Normal 24 57 4" xfId="17118"/>
    <cellStyle name="Normal 24 57 5" xfId="17119"/>
    <cellStyle name="Normal 24 57 6" xfId="17120"/>
    <cellStyle name="Normal 24 57 7" xfId="17121"/>
    <cellStyle name="Normal 24 57 8" xfId="17122"/>
    <cellStyle name="Normal 24 57 9" xfId="17123"/>
    <cellStyle name="Normal 24 58" xfId="17124"/>
    <cellStyle name="Normal 24 58 10" xfId="17125"/>
    <cellStyle name="Normal 24 58 11" xfId="17126"/>
    <cellStyle name="Normal 24 58 12" xfId="17127"/>
    <cellStyle name="Normal 24 58 13" xfId="17128"/>
    <cellStyle name="Normal 24 58 2" xfId="17129"/>
    <cellStyle name="Normal 24 58 3" xfId="17130"/>
    <cellStyle name="Normal 24 58 4" xfId="17131"/>
    <cellStyle name="Normal 24 58 5" xfId="17132"/>
    <cellStyle name="Normal 24 58 6" xfId="17133"/>
    <cellStyle name="Normal 24 58 7" xfId="17134"/>
    <cellStyle name="Normal 24 58 8" xfId="17135"/>
    <cellStyle name="Normal 24 58 9" xfId="17136"/>
    <cellStyle name="Normal 24 59" xfId="17137"/>
    <cellStyle name="Normal 24 59 10" xfId="17138"/>
    <cellStyle name="Normal 24 59 11" xfId="17139"/>
    <cellStyle name="Normal 24 59 12" xfId="17140"/>
    <cellStyle name="Normal 24 59 13" xfId="17141"/>
    <cellStyle name="Normal 24 59 2" xfId="17142"/>
    <cellStyle name="Normal 24 59 3" xfId="17143"/>
    <cellStyle name="Normal 24 59 4" xfId="17144"/>
    <cellStyle name="Normal 24 59 5" xfId="17145"/>
    <cellStyle name="Normal 24 59 6" xfId="17146"/>
    <cellStyle name="Normal 24 59 7" xfId="17147"/>
    <cellStyle name="Normal 24 59 8" xfId="17148"/>
    <cellStyle name="Normal 24 59 9" xfId="17149"/>
    <cellStyle name="Normal 24 6" xfId="17150"/>
    <cellStyle name="Normal 24 6 10" xfId="17151"/>
    <cellStyle name="Normal 24 6 11" xfId="17152"/>
    <cellStyle name="Normal 24 6 12" xfId="17153"/>
    <cellStyle name="Normal 24 6 13" xfId="17154"/>
    <cellStyle name="Normal 24 6 2" xfId="17155"/>
    <cellStyle name="Normal 24 6 3" xfId="17156"/>
    <cellStyle name="Normal 24 6 4" xfId="17157"/>
    <cellStyle name="Normal 24 6 5" xfId="17158"/>
    <cellStyle name="Normal 24 6 6" xfId="17159"/>
    <cellStyle name="Normal 24 6 7" xfId="17160"/>
    <cellStyle name="Normal 24 6 8" xfId="17161"/>
    <cellStyle name="Normal 24 6 9" xfId="17162"/>
    <cellStyle name="Normal 24 60" xfId="17163"/>
    <cellStyle name="Normal 24 60 10" xfId="17164"/>
    <cellStyle name="Normal 24 60 11" xfId="17165"/>
    <cellStyle name="Normal 24 60 12" xfId="17166"/>
    <cellStyle name="Normal 24 60 13" xfId="17167"/>
    <cellStyle name="Normal 24 60 2" xfId="17168"/>
    <cellStyle name="Normal 24 60 3" xfId="17169"/>
    <cellStyle name="Normal 24 60 4" xfId="17170"/>
    <cellStyle name="Normal 24 60 5" xfId="17171"/>
    <cellStyle name="Normal 24 60 6" xfId="17172"/>
    <cellStyle name="Normal 24 60 7" xfId="17173"/>
    <cellStyle name="Normal 24 60 8" xfId="17174"/>
    <cellStyle name="Normal 24 60 9" xfId="17175"/>
    <cellStyle name="Normal 24 61" xfId="17176"/>
    <cellStyle name="Normal 24 61 10" xfId="17177"/>
    <cellStyle name="Normal 24 61 11" xfId="17178"/>
    <cellStyle name="Normal 24 61 12" xfId="17179"/>
    <cellStyle name="Normal 24 61 13" xfId="17180"/>
    <cellStyle name="Normal 24 61 2" xfId="17181"/>
    <cellStyle name="Normal 24 61 3" xfId="17182"/>
    <cellStyle name="Normal 24 61 4" xfId="17183"/>
    <cellStyle name="Normal 24 61 5" xfId="17184"/>
    <cellStyle name="Normal 24 61 6" xfId="17185"/>
    <cellStyle name="Normal 24 61 7" xfId="17186"/>
    <cellStyle name="Normal 24 61 8" xfId="17187"/>
    <cellStyle name="Normal 24 61 9" xfId="17188"/>
    <cellStyle name="Normal 24 62" xfId="17189"/>
    <cellStyle name="Normal 24 62 10" xfId="17190"/>
    <cellStyle name="Normal 24 62 11" xfId="17191"/>
    <cellStyle name="Normal 24 62 12" xfId="17192"/>
    <cellStyle name="Normal 24 62 13" xfId="17193"/>
    <cellStyle name="Normal 24 62 2" xfId="17194"/>
    <cellStyle name="Normal 24 62 3" xfId="17195"/>
    <cellStyle name="Normal 24 62 4" xfId="17196"/>
    <cellStyle name="Normal 24 62 5" xfId="17197"/>
    <cellStyle name="Normal 24 62 6" xfId="17198"/>
    <cellStyle name="Normal 24 62 7" xfId="17199"/>
    <cellStyle name="Normal 24 62 8" xfId="17200"/>
    <cellStyle name="Normal 24 62 9" xfId="17201"/>
    <cellStyle name="Normal 24 63" xfId="17202"/>
    <cellStyle name="Normal 24 63 10" xfId="17203"/>
    <cellStyle name="Normal 24 63 11" xfId="17204"/>
    <cellStyle name="Normal 24 63 12" xfId="17205"/>
    <cellStyle name="Normal 24 63 13" xfId="17206"/>
    <cellStyle name="Normal 24 63 2" xfId="17207"/>
    <cellStyle name="Normal 24 63 3" xfId="17208"/>
    <cellStyle name="Normal 24 63 4" xfId="17209"/>
    <cellStyle name="Normal 24 63 5" xfId="17210"/>
    <cellStyle name="Normal 24 63 6" xfId="17211"/>
    <cellStyle name="Normal 24 63 7" xfId="17212"/>
    <cellStyle name="Normal 24 63 8" xfId="17213"/>
    <cellStyle name="Normal 24 63 9" xfId="17214"/>
    <cellStyle name="Normal 24 64" xfId="17215"/>
    <cellStyle name="Normal 24 64 10" xfId="17216"/>
    <cellStyle name="Normal 24 64 11" xfId="17217"/>
    <cellStyle name="Normal 24 64 12" xfId="17218"/>
    <cellStyle name="Normal 24 64 13" xfId="17219"/>
    <cellStyle name="Normal 24 64 2" xfId="17220"/>
    <cellStyle name="Normal 24 64 3" xfId="17221"/>
    <cellStyle name="Normal 24 64 4" xfId="17222"/>
    <cellStyle name="Normal 24 64 5" xfId="17223"/>
    <cellStyle name="Normal 24 64 6" xfId="17224"/>
    <cellStyle name="Normal 24 64 7" xfId="17225"/>
    <cellStyle name="Normal 24 64 8" xfId="17226"/>
    <cellStyle name="Normal 24 64 9" xfId="17227"/>
    <cellStyle name="Normal 24 65" xfId="17228"/>
    <cellStyle name="Normal 24 65 10" xfId="17229"/>
    <cellStyle name="Normal 24 65 11" xfId="17230"/>
    <cellStyle name="Normal 24 65 12" xfId="17231"/>
    <cellStyle name="Normal 24 65 13" xfId="17232"/>
    <cellStyle name="Normal 24 65 2" xfId="17233"/>
    <cellStyle name="Normal 24 65 3" xfId="17234"/>
    <cellStyle name="Normal 24 65 4" xfId="17235"/>
    <cellStyle name="Normal 24 65 5" xfId="17236"/>
    <cellStyle name="Normal 24 65 6" xfId="17237"/>
    <cellStyle name="Normal 24 65 7" xfId="17238"/>
    <cellStyle name="Normal 24 65 8" xfId="17239"/>
    <cellStyle name="Normal 24 65 9" xfId="17240"/>
    <cellStyle name="Normal 24 66" xfId="17241"/>
    <cellStyle name="Normal 24 66 10" xfId="17242"/>
    <cellStyle name="Normal 24 66 11" xfId="17243"/>
    <cellStyle name="Normal 24 66 12" xfId="17244"/>
    <cellStyle name="Normal 24 66 13" xfId="17245"/>
    <cellStyle name="Normal 24 66 2" xfId="17246"/>
    <cellStyle name="Normal 24 66 3" xfId="17247"/>
    <cellStyle name="Normal 24 66 4" xfId="17248"/>
    <cellStyle name="Normal 24 66 5" xfId="17249"/>
    <cellStyle name="Normal 24 66 6" xfId="17250"/>
    <cellStyle name="Normal 24 66 7" xfId="17251"/>
    <cellStyle name="Normal 24 66 8" xfId="17252"/>
    <cellStyle name="Normal 24 66 9" xfId="17253"/>
    <cellStyle name="Normal 24 67" xfId="17254"/>
    <cellStyle name="Normal 24 67 10" xfId="17255"/>
    <cellStyle name="Normal 24 67 11" xfId="17256"/>
    <cellStyle name="Normal 24 67 12" xfId="17257"/>
    <cellStyle name="Normal 24 67 13" xfId="17258"/>
    <cellStyle name="Normal 24 67 2" xfId="17259"/>
    <cellStyle name="Normal 24 67 3" xfId="17260"/>
    <cellStyle name="Normal 24 67 4" xfId="17261"/>
    <cellStyle name="Normal 24 67 5" xfId="17262"/>
    <cellStyle name="Normal 24 67 6" xfId="17263"/>
    <cellStyle name="Normal 24 67 7" xfId="17264"/>
    <cellStyle name="Normal 24 67 8" xfId="17265"/>
    <cellStyle name="Normal 24 67 9" xfId="17266"/>
    <cellStyle name="Normal 24 68" xfId="17267"/>
    <cellStyle name="Normal 24 68 10" xfId="17268"/>
    <cellStyle name="Normal 24 68 11" xfId="17269"/>
    <cellStyle name="Normal 24 68 12" xfId="17270"/>
    <cellStyle name="Normal 24 68 13" xfId="17271"/>
    <cellStyle name="Normal 24 68 2" xfId="17272"/>
    <cellStyle name="Normal 24 68 3" xfId="17273"/>
    <cellStyle name="Normal 24 68 4" xfId="17274"/>
    <cellStyle name="Normal 24 68 5" xfId="17275"/>
    <cellStyle name="Normal 24 68 6" xfId="17276"/>
    <cellStyle name="Normal 24 68 7" xfId="17277"/>
    <cellStyle name="Normal 24 68 8" xfId="17278"/>
    <cellStyle name="Normal 24 68 9" xfId="17279"/>
    <cellStyle name="Normal 24 69" xfId="17280"/>
    <cellStyle name="Normal 24 69 10" xfId="17281"/>
    <cellStyle name="Normal 24 69 11" xfId="17282"/>
    <cellStyle name="Normal 24 69 12" xfId="17283"/>
    <cellStyle name="Normal 24 69 13" xfId="17284"/>
    <cellStyle name="Normal 24 69 2" xfId="17285"/>
    <cellStyle name="Normal 24 69 3" xfId="17286"/>
    <cellStyle name="Normal 24 69 4" xfId="17287"/>
    <cellStyle name="Normal 24 69 5" xfId="17288"/>
    <cellStyle name="Normal 24 69 6" xfId="17289"/>
    <cellStyle name="Normal 24 69 7" xfId="17290"/>
    <cellStyle name="Normal 24 69 8" xfId="17291"/>
    <cellStyle name="Normal 24 69 9" xfId="17292"/>
    <cellStyle name="Normal 24 7" xfId="17293"/>
    <cellStyle name="Normal 24 7 10" xfId="17294"/>
    <cellStyle name="Normal 24 7 11" xfId="17295"/>
    <cellStyle name="Normal 24 7 12" xfId="17296"/>
    <cellStyle name="Normal 24 7 13" xfId="17297"/>
    <cellStyle name="Normal 24 7 2" xfId="17298"/>
    <cellStyle name="Normal 24 7 3" xfId="17299"/>
    <cellStyle name="Normal 24 7 4" xfId="17300"/>
    <cellStyle name="Normal 24 7 5" xfId="17301"/>
    <cellStyle name="Normal 24 7 6" xfId="17302"/>
    <cellStyle name="Normal 24 7 7" xfId="17303"/>
    <cellStyle name="Normal 24 7 8" xfId="17304"/>
    <cellStyle name="Normal 24 7 9" xfId="17305"/>
    <cellStyle name="Normal 24 70" xfId="17306"/>
    <cellStyle name="Normal 24 70 10" xfId="17307"/>
    <cellStyle name="Normal 24 70 11" xfId="17308"/>
    <cellStyle name="Normal 24 70 12" xfId="17309"/>
    <cellStyle name="Normal 24 70 13" xfId="17310"/>
    <cellStyle name="Normal 24 70 2" xfId="17311"/>
    <cellStyle name="Normal 24 70 3" xfId="17312"/>
    <cellStyle name="Normal 24 70 4" xfId="17313"/>
    <cellStyle name="Normal 24 70 5" xfId="17314"/>
    <cellStyle name="Normal 24 70 6" xfId="17315"/>
    <cellStyle name="Normal 24 70 7" xfId="17316"/>
    <cellStyle name="Normal 24 70 8" xfId="17317"/>
    <cellStyle name="Normal 24 70 9" xfId="17318"/>
    <cellStyle name="Normal 24 71" xfId="17319"/>
    <cellStyle name="Normal 24 71 10" xfId="17320"/>
    <cellStyle name="Normal 24 71 11" xfId="17321"/>
    <cellStyle name="Normal 24 71 12" xfId="17322"/>
    <cellStyle name="Normal 24 71 13" xfId="17323"/>
    <cellStyle name="Normal 24 71 2" xfId="17324"/>
    <cellStyle name="Normal 24 71 3" xfId="17325"/>
    <cellStyle name="Normal 24 71 4" xfId="17326"/>
    <cellStyle name="Normal 24 71 5" xfId="17327"/>
    <cellStyle name="Normal 24 71 6" xfId="17328"/>
    <cellStyle name="Normal 24 71 7" xfId="17329"/>
    <cellStyle name="Normal 24 71 8" xfId="17330"/>
    <cellStyle name="Normal 24 71 9" xfId="17331"/>
    <cellStyle name="Normal 24 72" xfId="17332"/>
    <cellStyle name="Normal 24 73" xfId="17333"/>
    <cellStyle name="Normal 24 74" xfId="17334"/>
    <cellStyle name="Normal 24 75" xfId="17335"/>
    <cellStyle name="Normal 24 76" xfId="17336"/>
    <cellStyle name="Normal 24 77" xfId="17337"/>
    <cellStyle name="Normal 24 78" xfId="17338"/>
    <cellStyle name="Normal 24 79" xfId="17339"/>
    <cellStyle name="Normal 24 8" xfId="17340"/>
    <cellStyle name="Normal 24 8 10" xfId="17341"/>
    <cellStyle name="Normal 24 8 11" xfId="17342"/>
    <cellStyle name="Normal 24 8 12" xfId="17343"/>
    <cellStyle name="Normal 24 8 13" xfId="17344"/>
    <cellStyle name="Normal 24 8 2" xfId="17345"/>
    <cellStyle name="Normal 24 8 3" xfId="17346"/>
    <cellStyle name="Normal 24 8 4" xfId="17347"/>
    <cellStyle name="Normal 24 8 5" xfId="17348"/>
    <cellStyle name="Normal 24 8 6" xfId="17349"/>
    <cellStyle name="Normal 24 8 7" xfId="17350"/>
    <cellStyle name="Normal 24 8 8" xfId="17351"/>
    <cellStyle name="Normal 24 8 9" xfId="17352"/>
    <cellStyle name="Normal 24 80" xfId="17353"/>
    <cellStyle name="Normal 24 81" xfId="17354"/>
    <cellStyle name="Normal 24 82" xfId="17355"/>
    <cellStyle name="Normal 24 83" xfId="17356"/>
    <cellStyle name="Normal 24 9" xfId="17357"/>
    <cellStyle name="Normal 24 9 10" xfId="17358"/>
    <cellStyle name="Normal 24 9 11" xfId="17359"/>
    <cellStyle name="Normal 24 9 12" xfId="17360"/>
    <cellStyle name="Normal 24 9 13" xfId="17361"/>
    <cellStyle name="Normal 24 9 2" xfId="17362"/>
    <cellStyle name="Normal 24 9 3" xfId="17363"/>
    <cellStyle name="Normal 24 9 4" xfId="17364"/>
    <cellStyle name="Normal 24 9 5" xfId="17365"/>
    <cellStyle name="Normal 24 9 6" xfId="17366"/>
    <cellStyle name="Normal 24 9 7" xfId="17367"/>
    <cellStyle name="Normal 24 9 8" xfId="17368"/>
    <cellStyle name="Normal 24 9 9" xfId="17369"/>
    <cellStyle name="Normal 25" xfId="17370"/>
    <cellStyle name="Normal 25 10" xfId="17371"/>
    <cellStyle name="Normal 25 10 10" xfId="17372"/>
    <cellStyle name="Normal 25 10 11" xfId="17373"/>
    <cellStyle name="Normal 25 10 12" xfId="17374"/>
    <cellStyle name="Normal 25 10 13" xfId="17375"/>
    <cellStyle name="Normal 25 10 2" xfId="17376"/>
    <cellStyle name="Normal 25 10 3" xfId="17377"/>
    <cellStyle name="Normal 25 10 4" xfId="17378"/>
    <cellStyle name="Normal 25 10 5" xfId="17379"/>
    <cellStyle name="Normal 25 10 6" xfId="17380"/>
    <cellStyle name="Normal 25 10 7" xfId="17381"/>
    <cellStyle name="Normal 25 10 8" xfId="17382"/>
    <cellStyle name="Normal 25 10 9" xfId="17383"/>
    <cellStyle name="Normal 25 11" xfId="17384"/>
    <cellStyle name="Normal 25 11 10" xfId="17385"/>
    <cellStyle name="Normal 25 11 11" xfId="17386"/>
    <cellStyle name="Normal 25 11 12" xfId="17387"/>
    <cellStyle name="Normal 25 11 13" xfId="17388"/>
    <cellStyle name="Normal 25 11 2" xfId="17389"/>
    <cellStyle name="Normal 25 11 3" xfId="17390"/>
    <cellStyle name="Normal 25 11 4" xfId="17391"/>
    <cellStyle name="Normal 25 11 5" xfId="17392"/>
    <cellStyle name="Normal 25 11 6" xfId="17393"/>
    <cellStyle name="Normal 25 11 7" xfId="17394"/>
    <cellStyle name="Normal 25 11 8" xfId="17395"/>
    <cellStyle name="Normal 25 11 9" xfId="17396"/>
    <cellStyle name="Normal 25 12" xfId="17397"/>
    <cellStyle name="Normal 25 12 10" xfId="17398"/>
    <cellStyle name="Normal 25 12 11" xfId="17399"/>
    <cellStyle name="Normal 25 12 12" xfId="17400"/>
    <cellStyle name="Normal 25 12 13" xfId="17401"/>
    <cellStyle name="Normal 25 12 2" xfId="17402"/>
    <cellStyle name="Normal 25 12 3" xfId="17403"/>
    <cellStyle name="Normal 25 12 4" xfId="17404"/>
    <cellStyle name="Normal 25 12 5" xfId="17405"/>
    <cellStyle name="Normal 25 12 6" xfId="17406"/>
    <cellStyle name="Normal 25 12 7" xfId="17407"/>
    <cellStyle name="Normal 25 12 8" xfId="17408"/>
    <cellStyle name="Normal 25 12 9" xfId="17409"/>
    <cellStyle name="Normal 25 13" xfId="17410"/>
    <cellStyle name="Normal 25 13 10" xfId="17411"/>
    <cellStyle name="Normal 25 13 11" xfId="17412"/>
    <cellStyle name="Normal 25 13 12" xfId="17413"/>
    <cellStyle name="Normal 25 13 13" xfId="17414"/>
    <cellStyle name="Normal 25 13 2" xfId="17415"/>
    <cellStyle name="Normal 25 13 3" xfId="17416"/>
    <cellStyle name="Normal 25 13 4" xfId="17417"/>
    <cellStyle name="Normal 25 13 5" xfId="17418"/>
    <cellStyle name="Normal 25 13 6" xfId="17419"/>
    <cellStyle name="Normal 25 13 7" xfId="17420"/>
    <cellStyle name="Normal 25 13 8" xfId="17421"/>
    <cellStyle name="Normal 25 13 9" xfId="17422"/>
    <cellStyle name="Normal 25 14" xfId="17423"/>
    <cellStyle name="Normal 25 14 10" xfId="17424"/>
    <cellStyle name="Normal 25 14 11" xfId="17425"/>
    <cellStyle name="Normal 25 14 12" xfId="17426"/>
    <cellStyle name="Normal 25 14 13" xfId="17427"/>
    <cellStyle name="Normal 25 14 2" xfId="17428"/>
    <cellStyle name="Normal 25 14 3" xfId="17429"/>
    <cellStyle name="Normal 25 14 4" xfId="17430"/>
    <cellStyle name="Normal 25 14 5" xfId="17431"/>
    <cellStyle name="Normal 25 14 6" xfId="17432"/>
    <cellStyle name="Normal 25 14 7" xfId="17433"/>
    <cellStyle name="Normal 25 14 8" xfId="17434"/>
    <cellStyle name="Normal 25 14 9" xfId="17435"/>
    <cellStyle name="Normal 25 15" xfId="17436"/>
    <cellStyle name="Normal 25 15 10" xfId="17437"/>
    <cellStyle name="Normal 25 15 11" xfId="17438"/>
    <cellStyle name="Normal 25 15 12" xfId="17439"/>
    <cellStyle name="Normal 25 15 13" xfId="17440"/>
    <cellStyle name="Normal 25 15 2" xfId="17441"/>
    <cellStyle name="Normal 25 15 3" xfId="17442"/>
    <cellStyle name="Normal 25 15 4" xfId="17443"/>
    <cellStyle name="Normal 25 15 5" xfId="17444"/>
    <cellStyle name="Normal 25 15 6" xfId="17445"/>
    <cellStyle name="Normal 25 15 7" xfId="17446"/>
    <cellStyle name="Normal 25 15 8" xfId="17447"/>
    <cellStyle name="Normal 25 15 9" xfId="17448"/>
    <cellStyle name="Normal 25 16" xfId="17449"/>
    <cellStyle name="Normal 25 16 10" xfId="17450"/>
    <cellStyle name="Normal 25 16 11" xfId="17451"/>
    <cellStyle name="Normal 25 16 12" xfId="17452"/>
    <cellStyle name="Normal 25 16 13" xfId="17453"/>
    <cellStyle name="Normal 25 16 2" xfId="17454"/>
    <cellStyle name="Normal 25 16 3" xfId="17455"/>
    <cellStyle name="Normal 25 16 4" xfId="17456"/>
    <cellStyle name="Normal 25 16 5" xfId="17457"/>
    <cellStyle name="Normal 25 16 6" xfId="17458"/>
    <cellStyle name="Normal 25 16 7" xfId="17459"/>
    <cellStyle name="Normal 25 16 8" xfId="17460"/>
    <cellStyle name="Normal 25 16 9" xfId="17461"/>
    <cellStyle name="Normal 25 17" xfId="17462"/>
    <cellStyle name="Normal 25 17 10" xfId="17463"/>
    <cellStyle name="Normal 25 17 11" xfId="17464"/>
    <cellStyle name="Normal 25 17 12" xfId="17465"/>
    <cellStyle name="Normal 25 17 13" xfId="17466"/>
    <cellStyle name="Normal 25 17 2" xfId="17467"/>
    <cellStyle name="Normal 25 17 3" xfId="17468"/>
    <cellStyle name="Normal 25 17 4" xfId="17469"/>
    <cellStyle name="Normal 25 17 5" xfId="17470"/>
    <cellStyle name="Normal 25 17 6" xfId="17471"/>
    <cellStyle name="Normal 25 17 7" xfId="17472"/>
    <cellStyle name="Normal 25 17 8" xfId="17473"/>
    <cellStyle name="Normal 25 17 9" xfId="17474"/>
    <cellStyle name="Normal 25 18" xfId="17475"/>
    <cellStyle name="Normal 25 18 10" xfId="17476"/>
    <cellStyle name="Normal 25 18 11" xfId="17477"/>
    <cellStyle name="Normal 25 18 12" xfId="17478"/>
    <cellStyle name="Normal 25 18 13" xfId="17479"/>
    <cellStyle name="Normal 25 18 2" xfId="17480"/>
    <cellStyle name="Normal 25 18 3" xfId="17481"/>
    <cellStyle name="Normal 25 18 4" xfId="17482"/>
    <cellStyle name="Normal 25 18 5" xfId="17483"/>
    <cellStyle name="Normal 25 18 6" xfId="17484"/>
    <cellStyle name="Normal 25 18 7" xfId="17485"/>
    <cellStyle name="Normal 25 18 8" xfId="17486"/>
    <cellStyle name="Normal 25 18 9" xfId="17487"/>
    <cellStyle name="Normal 25 19" xfId="17488"/>
    <cellStyle name="Normal 25 19 10" xfId="17489"/>
    <cellStyle name="Normal 25 19 11" xfId="17490"/>
    <cellStyle name="Normal 25 19 12" xfId="17491"/>
    <cellStyle name="Normal 25 19 13" xfId="17492"/>
    <cellStyle name="Normal 25 19 2" xfId="17493"/>
    <cellStyle name="Normal 25 19 3" xfId="17494"/>
    <cellStyle name="Normal 25 19 4" xfId="17495"/>
    <cellStyle name="Normal 25 19 5" xfId="17496"/>
    <cellStyle name="Normal 25 19 6" xfId="17497"/>
    <cellStyle name="Normal 25 19 7" xfId="17498"/>
    <cellStyle name="Normal 25 19 8" xfId="17499"/>
    <cellStyle name="Normal 25 19 9" xfId="17500"/>
    <cellStyle name="Normal 25 2" xfId="17501"/>
    <cellStyle name="Normal 25 2 10" xfId="17502"/>
    <cellStyle name="Normal 25 2 11" xfId="17503"/>
    <cellStyle name="Normal 25 2 12" xfId="17504"/>
    <cellStyle name="Normal 25 2 13" xfId="17505"/>
    <cellStyle name="Normal 25 2 2" xfId="17506"/>
    <cellStyle name="Normal 25 2 3" xfId="17507"/>
    <cellStyle name="Normal 25 2 4" xfId="17508"/>
    <cellStyle name="Normal 25 2 5" xfId="17509"/>
    <cellStyle name="Normal 25 2 6" xfId="17510"/>
    <cellStyle name="Normal 25 2 7" xfId="17511"/>
    <cellStyle name="Normal 25 2 8" xfId="17512"/>
    <cellStyle name="Normal 25 2 9" xfId="17513"/>
    <cellStyle name="Normal 25 20" xfId="17514"/>
    <cellStyle name="Normal 25 20 10" xfId="17515"/>
    <cellStyle name="Normal 25 20 11" xfId="17516"/>
    <cellStyle name="Normal 25 20 12" xfId="17517"/>
    <cellStyle name="Normal 25 20 13" xfId="17518"/>
    <cellStyle name="Normal 25 20 2" xfId="17519"/>
    <cellStyle name="Normal 25 20 3" xfId="17520"/>
    <cellStyle name="Normal 25 20 4" xfId="17521"/>
    <cellStyle name="Normal 25 20 5" xfId="17522"/>
    <cellStyle name="Normal 25 20 6" xfId="17523"/>
    <cellStyle name="Normal 25 20 7" xfId="17524"/>
    <cellStyle name="Normal 25 20 8" xfId="17525"/>
    <cellStyle name="Normal 25 20 9" xfId="17526"/>
    <cellStyle name="Normal 25 21" xfId="17527"/>
    <cellStyle name="Normal 25 21 10" xfId="17528"/>
    <cellStyle name="Normal 25 21 11" xfId="17529"/>
    <cellStyle name="Normal 25 21 12" xfId="17530"/>
    <cellStyle name="Normal 25 21 13" xfId="17531"/>
    <cellStyle name="Normal 25 21 2" xfId="17532"/>
    <cellStyle name="Normal 25 21 3" xfId="17533"/>
    <cellStyle name="Normal 25 21 4" xfId="17534"/>
    <cellStyle name="Normal 25 21 5" xfId="17535"/>
    <cellStyle name="Normal 25 21 6" xfId="17536"/>
    <cellStyle name="Normal 25 21 7" xfId="17537"/>
    <cellStyle name="Normal 25 21 8" xfId="17538"/>
    <cellStyle name="Normal 25 21 9" xfId="17539"/>
    <cellStyle name="Normal 25 22" xfId="17540"/>
    <cellStyle name="Normal 25 22 10" xfId="17541"/>
    <cellStyle name="Normal 25 22 11" xfId="17542"/>
    <cellStyle name="Normal 25 22 12" xfId="17543"/>
    <cellStyle name="Normal 25 22 13" xfId="17544"/>
    <cellStyle name="Normal 25 22 2" xfId="17545"/>
    <cellStyle name="Normal 25 22 3" xfId="17546"/>
    <cellStyle name="Normal 25 22 4" xfId="17547"/>
    <cellStyle name="Normal 25 22 5" xfId="17548"/>
    <cellStyle name="Normal 25 22 6" xfId="17549"/>
    <cellStyle name="Normal 25 22 7" xfId="17550"/>
    <cellStyle name="Normal 25 22 8" xfId="17551"/>
    <cellStyle name="Normal 25 22 9" xfId="17552"/>
    <cellStyle name="Normal 25 23" xfId="17553"/>
    <cellStyle name="Normal 25 23 10" xfId="17554"/>
    <cellStyle name="Normal 25 23 11" xfId="17555"/>
    <cellStyle name="Normal 25 23 12" xfId="17556"/>
    <cellStyle name="Normal 25 23 13" xfId="17557"/>
    <cellStyle name="Normal 25 23 2" xfId="17558"/>
    <cellStyle name="Normal 25 23 3" xfId="17559"/>
    <cellStyle name="Normal 25 23 4" xfId="17560"/>
    <cellStyle name="Normal 25 23 5" xfId="17561"/>
    <cellStyle name="Normal 25 23 6" xfId="17562"/>
    <cellStyle name="Normal 25 23 7" xfId="17563"/>
    <cellStyle name="Normal 25 23 8" xfId="17564"/>
    <cellStyle name="Normal 25 23 9" xfId="17565"/>
    <cellStyle name="Normal 25 24" xfId="17566"/>
    <cellStyle name="Normal 25 24 10" xfId="17567"/>
    <cellStyle name="Normal 25 24 11" xfId="17568"/>
    <cellStyle name="Normal 25 24 12" xfId="17569"/>
    <cellStyle name="Normal 25 24 13" xfId="17570"/>
    <cellStyle name="Normal 25 24 2" xfId="17571"/>
    <cellStyle name="Normal 25 24 3" xfId="17572"/>
    <cellStyle name="Normal 25 24 4" xfId="17573"/>
    <cellStyle name="Normal 25 24 5" xfId="17574"/>
    <cellStyle name="Normal 25 24 6" xfId="17575"/>
    <cellStyle name="Normal 25 24 7" xfId="17576"/>
    <cellStyle name="Normal 25 24 8" xfId="17577"/>
    <cellStyle name="Normal 25 24 9" xfId="17578"/>
    <cellStyle name="Normal 25 25" xfId="17579"/>
    <cellStyle name="Normal 25 25 10" xfId="17580"/>
    <cellStyle name="Normal 25 25 11" xfId="17581"/>
    <cellStyle name="Normal 25 25 12" xfId="17582"/>
    <cellStyle name="Normal 25 25 13" xfId="17583"/>
    <cellStyle name="Normal 25 25 2" xfId="17584"/>
    <cellStyle name="Normal 25 25 3" xfId="17585"/>
    <cellStyle name="Normal 25 25 4" xfId="17586"/>
    <cellStyle name="Normal 25 25 5" xfId="17587"/>
    <cellStyle name="Normal 25 25 6" xfId="17588"/>
    <cellStyle name="Normal 25 25 7" xfId="17589"/>
    <cellStyle name="Normal 25 25 8" xfId="17590"/>
    <cellStyle name="Normal 25 25 9" xfId="17591"/>
    <cellStyle name="Normal 25 26" xfId="17592"/>
    <cellStyle name="Normal 25 26 10" xfId="17593"/>
    <cellStyle name="Normal 25 26 11" xfId="17594"/>
    <cellStyle name="Normal 25 26 12" xfId="17595"/>
    <cellStyle name="Normal 25 26 13" xfId="17596"/>
    <cellStyle name="Normal 25 26 2" xfId="17597"/>
    <cellStyle name="Normal 25 26 3" xfId="17598"/>
    <cellStyle name="Normal 25 26 4" xfId="17599"/>
    <cellStyle name="Normal 25 26 5" xfId="17600"/>
    <cellStyle name="Normal 25 26 6" xfId="17601"/>
    <cellStyle name="Normal 25 26 7" xfId="17602"/>
    <cellStyle name="Normal 25 26 8" xfId="17603"/>
    <cellStyle name="Normal 25 26 9" xfId="17604"/>
    <cellStyle name="Normal 25 27" xfId="17605"/>
    <cellStyle name="Normal 25 27 10" xfId="17606"/>
    <cellStyle name="Normal 25 27 11" xfId="17607"/>
    <cellStyle name="Normal 25 27 12" xfId="17608"/>
    <cellStyle name="Normal 25 27 13" xfId="17609"/>
    <cellStyle name="Normal 25 27 2" xfId="17610"/>
    <cellStyle name="Normal 25 27 3" xfId="17611"/>
    <cellStyle name="Normal 25 27 4" xfId="17612"/>
    <cellStyle name="Normal 25 27 5" xfId="17613"/>
    <cellStyle name="Normal 25 27 6" xfId="17614"/>
    <cellStyle name="Normal 25 27 7" xfId="17615"/>
    <cellStyle name="Normal 25 27 8" xfId="17616"/>
    <cellStyle name="Normal 25 27 9" xfId="17617"/>
    <cellStyle name="Normal 25 28" xfId="17618"/>
    <cellStyle name="Normal 25 28 10" xfId="17619"/>
    <cellStyle name="Normal 25 28 11" xfId="17620"/>
    <cellStyle name="Normal 25 28 12" xfId="17621"/>
    <cellStyle name="Normal 25 28 13" xfId="17622"/>
    <cellStyle name="Normal 25 28 2" xfId="17623"/>
    <cellStyle name="Normal 25 28 3" xfId="17624"/>
    <cellStyle name="Normal 25 28 4" xfId="17625"/>
    <cellStyle name="Normal 25 28 5" xfId="17626"/>
    <cellStyle name="Normal 25 28 6" xfId="17627"/>
    <cellStyle name="Normal 25 28 7" xfId="17628"/>
    <cellStyle name="Normal 25 28 8" xfId="17629"/>
    <cellStyle name="Normal 25 28 9" xfId="17630"/>
    <cellStyle name="Normal 25 29" xfId="17631"/>
    <cellStyle name="Normal 25 29 10" xfId="17632"/>
    <cellStyle name="Normal 25 29 11" xfId="17633"/>
    <cellStyle name="Normal 25 29 12" xfId="17634"/>
    <cellStyle name="Normal 25 29 13" xfId="17635"/>
    <cellStyle name="Normal 25 29 2" xfId="17636"/>
    <cellStyle name="Normal 25 29 3" xfId="17637"/>
    <cellStyle name="Normal 25 29 4" xfId="17638"/>
    <cellStyle name="Normal 25 29 5" xfId="17639"/>
    <cellStyle name="Normal 25 29 6" xfId="17640"/>
    <cellStyle name="Normal 25 29 7" xfId="17641"/>
    <cellStyle name="Normal 25 29 8" xfId="17642"/>
    <cellStyle name="Normal 25 29 9" xfId="17643"/>
    <cellStyle name="Normal 25 3" xfId="17644"/>
    <cellStyle name="Normal 25 3 10" xfId="17645"/>
    <cellStyle name="Normal 25 3 11" xfId="17646"/>
    <cellStyle name="Normal 25 3 12" xfId="17647"/>
    <cellStyle name="Normal 25 3 13" xfId="17648"/>
    <cellStyle name="Normal 25 3 2" xfId="17649"/>
    <cellStyle name="Normal 25 3 3" xfId="17650"/>
    <cellStyle name="Normal 25 3 4" xfId="17651"/>
    <cellStyle name="Normal 25 3 5" xfId="17652"/>
    <cellStyle name="Normal 25 3 6" xfId="17653"/>
    <cellStyle name="Normal 25 3 7" xfId="17654"/>
    <cellStyle name="Normal 25 3 8" xfId="17655"/>
    <cellStyle name="Normal 25 3 9" xfId="17656"/>
    <cellStyle name="Normal 25 30" xfId="17657"/>
    <cellStyle name="Normal 25 30 10" xfId="17658"/>
    <cellStyle name="Normal 25 30 11" xfId="17659"/>
    <cellStyle name="Normal 25 30 12" xfId="17660"/>
    <cellStyle name="Normal 25 30 13" xfId="17661"/>
    <cellStyle name="Normal 25 30 2" xfId="17662"/>
    <cellStyle name="Normal 25 30 3" xfId="17663"/>
    <cellStyle name="Normal 25 30 4" xfId="17664"/>
    <cellStyle name="Normal 25 30 5" xfId="17665"/>
    <cellStyle name="Normal 25 30 6" xfId="17666"/>
    <cellStyle name="Normal 25 30 7" xfId="17667"/>
    <cellStyle name="Normal 25 30 8" xfId="17668"/>
    <cellStyle name="Normal 25 30 9" xfId="17669"/>
    <cellStyle name="Normal 25 31" xfId="17670"/>
    <cellStyle name="Normal 25 31 10" xfId="17671"/>
    <cellStyle name="Normal 25 31 11" xfId="17672"/>
    <cellStyle name="Normal 25 31 12" xfId="17673"/>
    <cellStyle name="Normal 25 31 13" xfId="17674"/>
    <cellStyle name="Normal 25 31 2" xfId="17675"/>
    <cellStyle name="Normal 25 31 3" xfId="17676"/>
    <cellStyle name="Normal 25 31 4" xfId="17677"/>
    <cellStyle name="Normal 25 31 5" xfId="17678"/>
    <cellStyle name="Normal 25 31 6" xfId="17679"/>
    <cellStyle name="Normal 25 31 7" xfId="17680"/>
    <cellStyle name="Normal 25 31 8" xfId="17681"/>
    <cellStyle name="Normal 25 31 9" xfId="17682"/>
    <cellStyle name="Normal 25 32" xfId="17683"/>
    <cellStyle name="Normal 25 32 10" xfId="17684"/>
    <cellStyle name="Normal 25 32 11" xfId="17685"/>
    <cellStyle name="Normal 25 32 12" xfId="17686"/>
    <cellStyle name="Normal 25 32 13" xfId="17687"/>
    <cellStyle name="Normal 25 32 2" xfId="17688"/>
    <cellStyle name="Normal 25 32 3" xfId="17689"/>
    <cellStyle name="Normal 25 32 4" xfId="17690"/>
    <cellStyle name="Normal 25 32 5" xfId="17691"/>
    <cellStyle name="Normal 25 32 6" xfId="17692"/>
    <cellStyle name="Normal 25 32 7" xfId="17693"/>
    <cellStyle name="Normal 25 32 8" xfId="17694"/>
    <cellStyle name="Normal 25 32 9" xfId="17695"/>
    <cellStyle name="Normal 25 33" xfId="17696"/>
    <cellStyle name="Normal 25 33 10" xfId="17697"/>
    <cellStyle name="Normal 25 33 11" xfId="17698"/>
    <cellStyle name="Normal 25 33 12" xfId="17699"/>
    <cellStyle name="Normal 25 33 13" xfId="17700"/>
    <cellStyle name="Normal 25 33 2" xfId="17701"/>
    <cellStyle name="Normal 25 33 3" xfId="17702"/>
    <cellStyle name="Normal 25 33 4" xfId="17703"/>
    <cellStyle name="Normal 25 33 5" xfId="17704"/>
    <cellStyle name="Normal 25 33 6" xfId="17705"/>
    <cellStyle name="Normal 25 33 7" xfId="17706"/>
    <cellStyle name="Normal 25 33 8" xfId="17707"/>
    <cellStyle name="Normal 25 33 9" xfId="17708"/>
    <cellStyle name="Normal 25 34" xfId="17709"/>
    <cellStyle name="Normal 25 34 10" xfId="17710"/>
    <cellStyle name="Normal 25 34 11" xfId="17711"/>
    <cellStyle name="Normal 25 34 12" xfId="17712"/>
    <cellStyle name="Normal 25 34 13" xfId="17713"/>
    <cellStyle name="Normal 25 34 2" xfId="17714"/>
    <cellStyle name="Normal 25 34 3" xfId="17715"/>
    <cellStyle name="Normal 25 34 4" xfId="17716"/>
    <cellStyle name="Normal 25 34 5" xfId="17717"/>
    <cellStyle name="Normal 25 34 6" xfId="17718"/>
    <cellStyle name="Normal 25 34 7" xfId="17719"/>
    <cellStyle name="Normal 25 34 8" xfId="17720"/>
    <cellStyle name="Normal 25 34 9" xfId="17721"/>
    <cellStyle name="Normal 25 35" xfId="17722"/>
    <cellStyle name="Normal 25 35 10" xfId="17723"/>
    <cellStyle name="Normal 25 35 11" xfId="17724"/>
    <cellStyle name="Normal 25 35 12" xfId="17725"/>
    <cellStyle name="Normal 25 35 13" xfId="17726"/>
    <cellStyle name="Normal 25 35 2" xfId="17727"/>
    <cellStyle name="Normal 25 35 3" xfId="17728"/>
    <cellStyle name="Normal 25 35 4" xfId="17729"/>
    <cellStyle name="Normal 25 35 5" xfId="17730"/>
    <cellStyle name="Normal 25 35 6" xfId="17731"/>
    <cellStyle name="Normal 25 35 7" xfId="17732"/>
    <cellStyle name="Normal 25 35 8" xfId="17733"/>
    <cellStyle name="Normal 25 35 9" xfId="17734"/>
    <cellStyle name="Normal 25 36" xfId="17735"/>
    <cellStyle name="Normal 25 36 10" xfId="17736"/>
    <cellStyle name="Normal 25 36 11" xfId="17737"/>
    <cellStyle name="Normal 25 36 12" xfId="17738"/>
    <cellStyle name="Normal 25 36 13" xfId="17739"/>
    <cellStyle name="Normal 25 36 2" xfId="17740"/>
    <cellStyle name="Normal 25 36 3" xfId="17741"/>
    <cellStyle name="Normal 25 36 4" xfId="17742"/>
    <cellStyle name="Normal 25 36 5" xfId="17743"/>
    <cellStyle name="Normal 25 36 6" xfId="17744"/>
    <cellStyle name="Normal 25 36 7" xfId="17745"/>
    <cellStyle name="Normal 25 36 8" xfId="17746"/>
    <cellStyle name="Normal 25 36 9" xfId="17747"/>
    <cellStyle name="Normal 25 37" xfId="17748"/>
    <cellStyle name="Normal 25 37 10" xfId="17749"/>
    <cellStyle name="Normal 25 37 11" xfId="17750"/>
    <cellStyle name="Normal 25 37 12" xfId="17751"/>
    <cellStyle name="Normal 25 37 13" xfId="17752"/>
    <cellStyle name="Normal 25 37 2" xfId="17753"/>
    <cellStyle name="Normal 25 37 3" xfId="17754"/>
    <cellStyle name="Normal 25 37 4" xfId="17755"/>
    <cellStyle name="Normal 25 37 5" xfId="17756"/>
    <cellStyle name="Normal 25 37 6" xfId="17757"/>
    <cellStyle name="Normal 25 37 7" xfId="17758"/>
    <cellStyle name="Normal 25 37 8" xfId="17759"/>
    <cellStyle name="Normal 25 37 9" xfId="17760"/>
    <cellStyle name="Normal 25 38" xfId="17761"/>
    <cellStyle name="Normal 25 38 10" xfId="17762"/>
    <cellStyle name="Normal 25 38 11" xfId="17763"/>
    <cellStyle name="Normal 25 38 12" xfId="17764"/>
    <cellStyle name="Normal 25 38 13" xfId="17765"/>
    <cellStyle name="Normal 25 38 2" xfId="17766"/>
    <cellStyle name="Normal 25 38 3" xfId="17767"/>
    <cellStyle name="Normal 25 38 4" xfId="17768"/>
    <cellStyle name="Normal 25 38 5" xfId="17769"/>
    <cellStyle name="Normal 25 38 6" xfId="17770"/>
    <cellStyle name="Normal 25 38 7" xfId="17771"/>
    <cellStyle name="Normal 25 38 8" xfId="17772"/>
    <cellStyle name="Normal 25 38 9" xfId="17773"/>
    <cellStyle name="Normal 25 39" xfId="17774"/>
    <cellStyle name="Normal 25 39 10" xfId="17775"/>
    <cellStyle name="Normal 25 39 11" xfId="17776"/>
    <cellStyle name="Normal 25 39 12" xfId="17777"/>
    <cellStyle name="Normal 25 39 13" xfId="17778"/>
    <cellStyle name="Normal 25 39 2" xfId="17779"/>
    <cellStyle name="Normal 25 39 3" xfId="17780"/>
    <cellStyle name="Normal 25 39 4" xfId="17781"/>
    <cellStyle name="Normal 25 39 5" xfId="17782"/>
    <cellStyle name="Normal 25 39 6" xfId="17783"/>
    <cellStyle name="Normal 25 39 7" xfId="17784"/>
    <cellStyle name="Normal 25 39 8" xfId="17785"/>
    <cellStyle name="Normal 25 39 9" xfId="17786"/>
    <cellStyle name="Normal 25 4" xfId="17787"/>
    <cellStyle name="Normal 25 4 10" xfId="17788"/>
    <cellStyle name="Normal 25 4 11" xfId="17789"/>
    <cellStyle name="Normal 25 4 12" xfId="17790"/>
    <cellStyle name="Normal 25 4 13" xfId="17791"/>
    <cellStyle name="Normal 25 4 2" xfId="17792"/>
    <cellStyle name="Normal 25 4 3" xfId="17793"/>
    <cellStyle name="Normal 25 4 4" xfId="17794"/>
    <cellStyle name="Normal 25 4 5" xfId="17795"/>
    <cellStyle name="Normal 25 4 6" xfId="17796"/>
    <cellStyle name="Normal 25 4 7" xfId="17797"/>
    <cellStyle name="Normal 25 4 8" xfId="17798"/>
    <cellStyle name="Normal 25 4 9" xfId="17799"/>
    <cellStyle name="Normal 25 40" xfId="17800"/>
    <cellStyle name="Normal 25 40 10" xfId="17801"/>
    <cellStyle name="Normal 25 40 11" xfId="17802"/>
    <cellStyle name="Normal 25 40 12" xfId="17803"/>
    <cellStyle name="Normal 25 40 13" xfId="17804"/>
    <cellStyle name="Normal 25 40 2" xfId="17805"/>
    <cellStyle name="Normal 25 40 3" xfId="17806"/>
    <cellStyle name="Normal 25 40 4" xfId="17807"/>
    <cellStyle name="Normal 25 40 5" xfId="17808"/>
    <cellStyle name="Normal 25 40 6" xfId="17809"/>
    <cellStyle name="Normal 25 40 7" xfId="17810"/>
    <cellStyle name="Normal 25 40 8" xfId="17811"/>
    <cellStyle name="Normal 25 40 9" xfId="17812"/>
    <cellStyle name="Normal 25 41" xfId="17813"/>
    <cellStyle name="Normal 25 41 10" xfId="17814"/>
    <cellStyle name="Normal 25 41 11" xfId="17815"/>
    <cellStyle name="Normal 25 41 12" xfId="17816"/>
    <cellStyle name="Normal 25 41 13" xfId="17817"/>
    <cellStyle name="Normal 25 41 2" xfId="17818"/>
    <cellStyle name="Normal 25 41 3" xfId="17819"/>
    <cellStyle name="Normal 25 41 4" xfId="17820"/>
    <cellStyle name="Normal 25 41 5" xfId="17821"/>
    <cellStyle name="Normal 25 41 6" xfId="17822"/>
    <cellStyle name="Normal 25 41 7" xfId="17823"/>
    <cellStyle name="Normal 25 41 8" xfId="17824"/>
    <cellStyle name="Normal 25 41 9" xfId="17825"/>
    <cellStyle name="Normal 25 42" xfId="17826"/>
    <cellStyle name="Normal 25 42 10" xfId="17827"/>
    <cellStyle name="Normal 25 42 11" xfId="17828"/>
    <cellStyle name="Normal 25 42 12" xfId="17829"/>
    <cellStyle name="Normal 25 42 13" xfId="17830"/>
    <cellStyle name="Normal 25 42 2" xfId="17831"/>
    <cellStyle name="Normal 25 42 3" xfId="17832"/>
    <cellStyle name="Normal 25 42 4" xfId="17833"/>
    <cellStyle name="Normal 25 42 5" xfId="17834"/>
    <cellStyle name="Normal 25 42 6" xfId="17835"/>
    <cellStyle name="Normal 25 42 7" xfId="17836"/>
    <cellStyle name="Normal 25 42 8" xfId="17837"/>
    <cellStyle name="Normal 25 42 9" xfId="17838"/>
    <cellStyle name="Normal 25 43" xfId="17839"/>
    <cellStyle name="Normal 25 43 10" xfId="17840"/>
    <cellStyle name="Normal 25 43 11" xfId="17841"/>
    <cellStyle name="Normal 25 43 12" xfId="17842"/>
    <cellStyle name="Normal 25 43 13" xfId="17843"/>
    <cellStyle name="Normal 25 43 2" xfId="17844"/>
    <cellStyle name="Normal 25 43 3" xfId="17845"/>
    <cellStyle name="Normal 25 43 4" xfId="17846"/>
    <cellStyle name="Normal 25 43 5" xfId="17847"/>
    <cellStyle name="Normal 25 43 6" xfId="17848"/>
    <cellStyle name="Normal 25 43 7" xfId="17849"/>
    <cellStyle name="Normal 25 43 8" xfId="17850"/>
    <cellStyle name="Normal 25 43 9" xfId="17851"/>
    <cellStyle name="Normal 25 44" xfId="17852"/>
    <cellStyle name="Normal 25 44 10" xfId="17853"/>
    <cellStyle name="Normal 25 44 11" xfId="17854"/>
    <cellStyle name="Normal 25 44 12" xfId="17855"/>
    <cellStyle name="Normal 25 44 13" xfId="17856"/>
    <cellStyle name="Normal 25 44 2" xfId="17857"/>
    <cellStyle name="Normal 25 44 3" xfId="17858"/>
    <cellStyle name="Normal 25 44 4" xfId="17859"/>
    <cellStyle name="Normal 25 44 5" xfId="17860"/>
    <cellStyle name="Normal 25 44 6" xfId="17861"/>
    <cellStyle name="Normal 25 44 7" xfId="17862"/>
    <cellStyle name="Normal 25 44 8" xfId="17863"/>
    <cellStyle name="Normal 25 44 9" xfId="17864"/>
    <cellStyle name="Normal 25 45" xfId="17865"/>
    <cellStyle name="Normal 25 45 10" xfId="17866"/>
    <cellStyle name="Normal 25 45 11" xfId="17867"/>
    <cellStyle name="Normal 25 45 12" xfId="17868"/>
    <cellStyle name="Normal 25 45 13" xfId="17869"/>
    <cellStyle name="Normal 25 45 2" xfId="17870"/>
    <cellStyle name="Normal 25 45 3" xfId="17871"/>
    <cellStyle name="Normal 25 45 4" xfId="17872"/>
    <cellStyle name="Normal 25 45 5" xfId="17873"/>
    <cellStyle name="Normal 25 45 6" xfId="17874"/>
    <cellStyle name="Normal 25 45 7" xfId="17875"/>
    <cellStyle name="Normal 25 45 8" xfId="17876"/>
    <cellStyle name="Normal 25 45 9" xfId="17877"/>
    <cellStyle name="Normal 25 46" xfId="17878"/>
    <cellStyle name="Normal 25 46 10" xfId="17879"/>
    <cellStyle name="Normal 25 46 11" xfId="17880"/>
    <cellStyle name="Normal 25 46 12" xfId="17881"/>
    <cellStyle name="Normal 25 46 13" xfId="17882"/>
    <cellStyle name="Normal 25 46 2" xfId="17883"/>
    <cellStyle name="Normal 25 46 3" xfId="17884"/>
    <cellStyle name="Normal 25 46 4" xfId="17885"/>
    <cellStyle name="Normal 25 46 5" xfId="17886"/>
    <cellStyle name="Normal 25 46 6" xfId="17887"/>
    <cellStyle name="Normal 25 46 7" xfId="17888"/>
    <cellStyle name="Normal 25 46 8" xfId="17889"/>
    <cellStyle name="Normal 25 46 9" xfId="17890"/>
    <cellStyle name="Normal 25 47" xfId="17891"/>
    <cellStyle name="Normal 25 47 10" xfId="17892"/>
    <cellStyle name="Normal 25 47 11" xfId="17893"/>
    <cellStyle name="Normal 25 47 12" xfId="17894"/>
    <cellStyle name="Normal 25 47 13" xfId="17895"/>
    <cellStyle name="Normal 25 47 2" xfId="17896"/>
    <cellStyle name="Normal 25 47 3" xfId="17897"/>
    <cellStyle name="Normal 25 47 4" xfId="17898"/>
    <cellStyle name="Normal 25 47 5" xfId="17899"/>
    <cellStyle name="Normal 25 47 6" xfId="17900"/>
    <cellStyle name="Normal 25 47 7" xfId="17901"/>
    <cellStyle name="Normal 25 47 8" xfId="17902"/>
    <cellStyle name="Normal 25 47 9" xfId="17903"/>
    <cellStyle name="Normal 25 48" xfId="17904"/>
    <cellStyle name="Normal 25 48 10" xfId="17905"/>
    <cellStyle name="Normal 25 48 11" xfId="17906"/>
    <cellStyle name="Normal 25 48 12" xfId="17907"/>
    <cellStyle name="Normal 25 48 13" xfId="17908"/>
    <cellStyle name="Normal 25 48 2" xfId="17909"/>
    <cellStyle name="Normal 25 48 3" xfId="17910"/>
    <cellStyle name="Normal 25 48 4" xfId="17911"/>
    <cellStyle name="Normal 25 48 5" xfId="17912"/>
    <cellStyle name="Normal 25 48 6" xfId="17913"/>
    <cellStyle name="Normal 25 48 7" xfId="17914"/>
    <cellStyle name="Normal 25 48 8" xfId="17915"/>
    <cellStyle name="Normal 25 48 9" xfId="17916"/>
    <cellStyle name="Normal 25 49" xfId="17917"/>
    <cellStyle name="Normal 25 49 10" xfId="17918"/>
    <cellStyle name="Normal 25 49 11" xfId="17919"/>
    <cellStyle name="Normal 25 49 12" xfId="17920"/>
    <cellStyle name="Normal 25 49 13" xfId="17921"/>
    <cellStyle name="Normal 25 49 2" xfId="17922"/>
    <cellStyle name="Normal 25 49 3" xfId="17923"/>
    <cellStyle name="Normal 25 49 4" xfId="17924"/>
    <cellStyle name="Normal 25 49 5" xfId="17925"/>
    <cellStyle name="Normal 25 49 6" xfId="17926"/>
    <cellStyle name="Normal 25 49 7" xfId="17927"/>
    <cellStyle name="Normal 25 49 8" xfId="17928"/>
    <cellStyle name="Normal 25 49 9" xfId="17929"/>
    <cellStyle name="Normal 25 5" xfId="17930"/>
    <cellStyle name="Normal 25 5 10" xfId="17931"/>
    <cellStyle name="Normal 25 5 11" xfId="17932"/>
    <cellStyle name="Normal 25 5 12" xfId="17933"/>
    <cellStyle name="Normal 25 5 13" xfId="17934"/>
    <cellStyle name="Normal 25 5 2" xfId="17935"/>
    <cellStyle name="Normal 25 5 3" xfId="17936"/>
    <cellStyle name="Normal 25 5 4" xfId="17937"/>
    <cellStyle name="Normal 25 5 5" xfId="17938"/>
    <cellStyle name="Normal 25 5 6" xfId="17939"/>
    <cellStyle name="Normal 25 5 7" xfId="17940"/>
    <cellStyle name="Normal 25 5 8" xfId="17941"/>
    <cellStyle name="Normal 25 5 9" xfId="17942"/>
    <cellStyle name="Normal 25 50" xfId="17943"/>
    <cellStyle name="Normal 25 50 10" xfId="17944"/>
    <cellStyle name="Normal 25 50 11" xfId="17945"/>
    <cellStyle name="Normal 25 50 12" xfId="17946"/>
    <cellStyle name="Normal 25 50 13" xfId="17947"/>
    <cellStyle name="Normal 25 50 2" xfId="17948"/>
    <cellStyle name="Normal 25 50 3" xfId="17949"/>
    <cellStyle name="Normal 25 50 4" xfId="17950"/>
    <cellStyle name="Normal 25 50 5" xfId="17951"/>
    <cellStyle name="Normal 25 50 6" xfId="17952"/>
    <cellStyle name="Normal 25 50 7" xfId="17953"/>
    <cellStyle name="Normal 25 50 8" xfId="17954"/>
    <cellStyle name="Normal 25 50 9" xfId="17955"/>
    <cellStyle name="Normal 25 51" xfId="17956"/>
    <cellStyle name="Normal 25 51 10" xfId="17957"/>
    <cellStyle name="Normal 25 51 11" xfId="17958"/>
    <cellStyle name="Normal 25 51 12" xfId="17959"/>
    <cellStyle name="Normal 25 51 13" xfId="17960"/>
    <cellStyle name="Normal 25 51 2" xfId="17961"/>
    <cellStyle name="Normal 25 51 3" xfId="17962"/>
    <cellStyle name="Normal 25 51 4" xfId="17963"/>
    <cellStyle name="Normal 25 51 5" xfId="17964"/>
    <cellStyle name="Normal 25 51 6" xfId="17965"/>
    <cellStyle name="Normal 25 51 7" xfId="17966"/>
    <cellStyle name="Normal 25 51 8" xfId="17967"/>
    <cellStyle name="Normal 25 51 9" xfId="17968"/>
    <cellStyle name="Normal 25 52" xfId="17969"/>
    <cellStyle name="Normal 25 52 10" xfId="17970"/>
    <cellStyle name="Normal 25 52 11" xfId="17971"/>
    <cellStyle name="Normal 25 52 12" xfId="17972"/>
    <cellStyle name="Normal 25 52 13" xfId="17973"/>
    <cellStyle name="Normal 25 52 2" xfId="17974"/>
    <cellStyle name="Normal 25 52 3" xfId="17975"/>
    <cellStyle name="Normal 25 52 4" xfId="17976"/>
    <cellStyle name="Normal 25 52 5" xfId="17977"/>
    <cellStyle name="Normal 25 52 6" xfId="17978"/>
    <cellStyle name="Normal 25 52 7" xfId="17979"/>
    <cellStyle name="Normal 25 52 8" xfId="17980"/>
    <cellStyle name="Normal 25 52 9" xfId="17981"/>
    <cellStyle name="Normal 25 53" xfId="17982"/>
    <cellStyle name="Normal 25 53 10" xfId="17983"/>
    <cellStyle name="Normal 25 53 11" xfId="17984"/>
    <cellStyle name="Normal 25 53 12" xfId="17985"/>
    <cellStyle name="Normal 25 53 13" xfId="17986"/>
    <cellStyle name="Normal 25 53 2" xfId="17987"/>
    <cellStyle name="Normal 25 53 3" xfId="17988"/>
    <cellStyle name="Normal 25 53 4" xfId="17989"/>
    <cellStyle name="Normal 25 53 5" xfId="17990"/>
    <cellStyle name="Normal 25 53 6" xfId="17991"/>
    <cellStyle name="Normal 25 53 7" xfId="17992"/>
    <cellStyle name="Normal 25 53 8" xfId="17993"/>
    <cellStyle name="Normal 25 53 9" xfId="17994"/>
    <cellStyle name="Normal 25 54" xfId="17995"/>
    <cellStyle name="Normal 25 54 10" xfId="17996"/>
    <cellStyle name="Normal 25 54 11" xfId="17997"/>
    <cellStyle name="Normal 25 54 12" xfId="17998"/>
    <cellStyle name="Normal 25 54 13" xfId="17999"/>
    <cellStyle name="Normal 25 54 2" xfId="18000"/>
    <cellStyle name="Normal 25 54 3" xfId="18001"/>
    <cellStyle name="Normal 25 54 4" xfId="18002"/>
    <cellStyle name="Normal 25 54 5" xfId="18003"/>
    <cellStyle name="Normal 25 54 6" xfId="18004"/>
    <cellStyle name="Normal 25 54 7" xfId="18005"/>
    <cellStyle name="Normal 25 54 8" xfId="18006"/>
    <cellStyle name="Normal 25 54 9" xfId="18007"/>
    <cellStyle name="Normal 25 55" xfId="18008"/>
    <cellStyle name="Normal 25 55 10" xfId="18009"/>
    <cellStyle name="Normal 25 55 11" xfId="18010"/>
    <cellStyle name="Normal 25 55 12" xfId="18011"/>
    <cellStyle name="Normal 25 55 13" xfId="18012"/>
    <cellStyle name="Normal 25 55 2" xfId="18013"/>
    <cellStyle name="Normal 25 55 3" xfId="18014"/>
    <cellStyle name="Normal 25 55 4" xfId="18015"/>
    <cellStyle name="Normal 25 55 5" xfId="18016"/>
    <cellStyle name="Normal 25 55 6" xfId="18017"/>
    <cellStyle name="Normal 25 55 7" xfId="18018"/>
    <cellStyle name="Normal 25 55 8" xfId="18019"/>
    <cellStyle name="Normal 25 55 9" xfId="18020"/>
    <cellStyle name="Normal 25 56" xfId="18021"/>
    <cellStyle name="Normal 25 56 10" xfId="18022"/>
    <cellStyle name="Normal 25 56 11" xfId="18023"/>
    <cellStyle name="Normal 25 56 12" xfId="18024"/>
    <cellStyle name="Normal 25 56 13" xfId="18025"/>
    <cellStyle name="Normal 25 56 2" xfId="18026"/>
    <cellStyle name="Normal 25 56 3" xfId="18027"/>
    <cellStyle name="Normal 25 56 4" xfId="18028"/>
    <cellStyle name="Normal 25 56 5" xfId="18029"/>
    <cellStyle name="Normal 25 56 6" xfId="18030"/>
    <cellStyle name="Normal 25 56 7" xfId="18031"/>
    <cellStyle name="Normal 25 56 8" xfId="18032"/>
    <cellStyle name="Normal 25 56 9" xfId="18033"/>
    <cellStyle name="Normal 25 57" xfId="18034"/>
    <cellStyle name="Normal 25 57 10" xfId="18035"/>
    <cellStyle name="Normal 25 57 11" xfId="18036"/>
    <cellStyle name="Normal 25 57 12" xfId="18037"/>
    <cellStyle name="Normal 25 57 13" xfId="18038"/>
    <cellStyle name="Normal 25 57 2" xfId="18039"/>
    <cellStyle name="Normal 25 57 3" xfId="18040"/>
    <cellStyle name="Normal 25 57 4" xfId="18041"/>
    <cellStyle name="Normal 25 57 5" xfId="18042"/>
    <cellStyle name="Normal 25 57 6" xfId="18043"/>
    <cellStyle name="Normal 25 57 7" xfId="18044"/>
    <cellStyle name="Normal 25 57 8" xfId="18045"/>
    <cellStyle name="Normal 25 57 9" xfId="18046"/>
    <cellStyle name="Normal 25 58" xfId="18047"/>
    <cellStyle name="Normal 25 58 10" xfId="18048"/>
    <cellStyle name="Normal 25 58 11" xfId="18049"/>
    <cellStyle name="Normal 25 58 12" xfId="18050"/>
    <cellStyle name="Normal 25 58 13" xfId="18051"/>
    <cellStyle name="Normal 25 58 2" xfId="18052"/>
    <cellStyle name="Normal 25 58 3" xfId="18053"/>
    <cellStyle name="Normal 25 58 4" xfId="18054"/>
    <cellStyle name="Normal 25 58 5" xfId="18055"/>
    <cellStyle name="Normal 25 58 6" xfId="18056"/>
    <cellStyle name="Normal 25 58 7" xfId="18057"/>
    <cellStyle name="Normal 25 58 8" xfId="18058"/>
    <cellStyle name="Normal 25 58 9" xfId="18059"/>
    <cellStyle name="Normal 25 59" xfId="18060"/>
    <cellStyle name="Normal 25 59 10" xfId="18061"/>
    <cellStyle name="Normal 25 59 11" xfId="18062"/>
    <cellStyle name="Normal 25 59 12" xfId="18063"/>
    <cellStyle name="Normal 25 59 13" xfId="18064"/>
    <cellStyle name="Normal 25 59 2" xfId="18065"/>
    <cellStyle name="Normal 25 59 3" xfId="18066"/>
    <cellStyle name="Normal 25 59 4" xfId="18067"/>
    <cellStyle name="Normal 25 59 5" xfId="18068"/>
    <cellStyle name="Normal 25 59 6" xfId="18069"/>
    <cellStyle name="Normal 25 59 7" xfId="18070"/>
    <cellStyle name="Normal 25 59 8" xfId="18071"/>
    <cellStyle name="Normal 25 59 9" xfId="18072"/>
    <cellStyle name="Normal 25 6" xfId="18073"/>
    <cellStyle name="Normal 25 6 10" xfId="18074"/>
    <cellStyle name="Normal 25 6 11" xfId="18075"/>
    <cellStyle name="Normal 25 6 12" xfId="18076"/>
    <cellStyle name="Normal 25 6 13" xfId="18077"/>
    <cellStyle name="Normal 25 6 2" xfId="18078"/>
    <cellStyle name="Normal 25 6 3" xfId="18079"/>
    <cellStyle name="Normal 25 6 4" xfId="18080"/>
    <cellStyle name="Normal 25 6 5" xfId="18081"/>
    <cellStyle name="Normal 25 6 6" xfId="18082"/>
    <cellStyle name="Normal 25 6 7" xfId="18083"/>
    <cellStyle name="Normal 25 6 8" xfId="18084"/>
    <cellStyle name="Normal 25 6 9" xfId="18085"/>
    <cellStyle name="Normal 25 60" xfId="18086"/>
    <cellStyle name="Normal 25 60 10" xfId="18087"/>
    <cellStyle name="Normal 25 60 11" xfId="18088"/>
    <cellStyle name="Normal 25 60 12" xfId="18089"/>
    <cellStyle name="Normal 25 60 13" xfId="18090"/>
    <cellStyle name="Normal 25 60 2" xfId="18091"/>
    <cellStyle name="Normal 25 60 3" xfId="18092"/>
    <cellStyle name="Normal 25 60 4" xfId="18093"/>
    <cellStyle name="Normal 25 60 5" xfId="18094"/>
    <cellStyle name="Normal 25 60 6" xfId="18095"/>
    <cellStyle name="Normal 25 60 7" xfId="18096"/>
    <cellStyle name="Normal 25 60 8" xfId="18097"/>
    <cellStyle name="Normal 25 60 9" xfId="18098"/>
    <cellStyle name="Normal 25 61" xfId="18099"/>
    <cellStyle name="Normal 25 61 10" xfId="18100"/>
    <cellStyle name="Normal 25 61 11" xfId="18101"/>
    <cellStyle name="Normal 25 61 12" xfId="18102"/>
    <cellStyle name="Normal 25 61 13" xfId="18103"/>
    <cellStyle name="Normal 25 61 2" xfId="18104"/>
    <cellStyle name="Normal 25 61 3" xfId="18105"/>
    <cellStyle name="Normal 25 61 4" xfId="18106"/>
    <cellStyle name="Normal 25 61 5" xfId="18107"/>
    <cellStyle name="Normal 25 61 6" xfId="18108"/>
    <cellStyle name="Normal 25 61 7" xfId="18109"/>
    <cellStyle name="Normal 25 61 8" xfId="18110"/>
    <cellStyle name="Normal 25 61 9" xfId="18111"/>
    <cellStyle name="Normal 25 62" xfId="18112"/>
    <cellStyle name="Normal 25 62 10" xfId="18113"/>
    <cellStyle name="Normal 25 62 11" xfId="18114"/>
    <cellStyle name="Normal 25 62 12" xfId="18115"/>
    <cellStyle name="Normal 25 62 13" xfId="18116"/>
    <cellStyle name="Normal 25 62 2" xfId="18117"/>
    <cellStyle name="Normal 25 62 3" xfId="18118"/>
    <cellStyle name="Normal 25 62 4" xfId="18119"/>
    <cellStyle name="Normal 25 62 5" xfId="18120"/>
    <cellStyle name="Normal 25 62 6" xfId="18121"/>
    <cellStyle name="Normal 25 62 7" xfId="18122"/>
    <cellStyle name="Normal 25 62 8" xfId="18123"/>
    <cellStyle name="Normal 25 62 9" xfId="18124"/>
    <cellStyle name="Normal 25 63" xfId="18125"/>
    <cellStyle name="Normal 25 63 10" xfId="18126"/>
    <cellStyle name="Normal 25 63 11" xfId="18127"/>
    <cellStyle name="Normal 25 63 12" xfId="18128"/>
    <cellStyle name="Normal 25 63 13" xfId="18129"/>
    <cellStyle name="Normal 25 63 2" xfId="18130"/>
    <cellStyle name="Normal 25 63 3" xfId="18131"/>
    <cellStyle name="Normal 25 63 4" xfId="18132"/>
    <cellStyle name="Normal 25 63 5" xfId="18133"/>
    <cellStyle name="Normal 25 63 6" xfId="18134"/>
    <cellStyle name="Normal 25 63 7" xfId="18135"/>
    <cellStyle name="Normal 25 63 8" xfId="18136"/>
    <cellStyle name="Normal 25 63 9" xfId="18137"/>
    <cellStyle name="Normal 25 64" xfId="18138"/>
    <cellStyle name="Normal 25 64 10" xfId="18139"/>
    <cellStyle name="Normal 25 64 11" xfId="18140"/>
    <cellStyle name="Normal 25 64 12" xfId="18141"/>
    <cellStyle name="Normal 25 64 13" xfId="18142"/>
    <cellStyle name="Normal 25 64 2" xfId="18143"/>
    <cellStyle name="Normal 25 64 3" xfId="18144"/>
    <cellStyle name="Normal 25 64 4" xfId="18145"/>
    <cellStyle name="Normal 25 64 5" xfId="18146"/>
    <cellStyle name="Normal 25 64 6" xfId="18147"/>
    <cellStyle name="Normal 25 64 7" xfId="18148"/>
    <cellStyle name="Normal 25 64 8" xfId="18149"/>
    <cellStyle name="Normal 25 64 9" xfId="18150"/>
    <cellStyle name="Normal 25 65" xfId="18151"/>
    <cellStyle name="Normal 25 65 10" xfId="18152"/>
    <cellStyle name="Normal 25 65 11" xfId="18153"/>
    <cellStyle name="Normal 25 65 12" xfId="18154"/>
    <cellStyle name="Normal 25 65 13" xfId="18155"/>
    <cellStyle name="Normal 25 65 2" xfId="18156"/>
    <cellStyle name="Normal 25 65 3" xfId="18157"/>
    <cellStyle name="Normal 25 65 4" xfId="18158"/>
    <cellStyle name="Normal 25 65 5" xfId="18159"/>
    <cellStyle name="Normal 25 65 6" xfId="18160"/>
    <cellStyle name="Normal 25 65 7" xfId="18161"/>
    <cellStyle name="Normal 25 65 8" xfId="18162"/>
    <cellStyle name="Normal 25 65 9" xfId="18163"/>
    <cellStyle name="Normal 25 66" xfId="18164"/>
    <cellStyle name="Normal 25 66 10" xfId="18165"/>
    <cellStyle name="Normal 25 66 11" xfId="18166"/>
    <cellStyle name="Normal 25 66 12" xfId="18167"/>
    <cellStyle name="Normal 25 66 13" xfId="18168"/>
    <cellStyle name="Normal 25 66 2" xfId="18169"/>
    <cellStyle name="Normal 25 66 3" xfId="18170"/>
    <cellStyle name="Normal 25 66 4" xfId="18171"/>
    <cellStyle name="Normal 25 66 5" xfId="18172"/>
    <cellStyle name="Normal 25 66 6" xfId="18173"/>
    <cellStyle name="Normal 25 66 7" xfId="18174"/>
    <cellStyle name="Normal 25 66 8" xfId="18175"/>
    <cellStyle name="Normal 25 66 9" xfId="18176"/>
    <cellStyle name="Normal 25 67" xfId="18177"/>
    <cellStyle name="Normal 25 67 10" xfId="18178"/>
    <cellStyle name="Normal 25 67 11" xfId="18179"/>
    <cellStyle name="Normal 25 67 12" xfId="18180"/>
    <cellStyle name="Normal 25 67 13" xfId="18181"/>
    <cellStyle name="Normal 25 67 2" xfId="18182"/>
    <cellStyle name="Normal 25 67 3" xfId="18183"/>
    <cellStyle name="Normal 25 67 4" xfId="18184"/>
    <cellStyle name="Normal 25 67 5" xfId="18185"/>
    <cellStyle name="Normal 25 67 6" xfId="18186"/>
    <cellStyle name="Normal 25 67 7" xfId="18187"/>
    <cellStyle name="Normal 25 67 8" xfId="18188"/>
    <cellStyle name="Normal 25 67 9" xfId="18189"/>
    <cellStyle name="Normal 25 68" xfId="18190"/>
    <cellStyle name="Normal 25 68 10" xfId="18191"/>
    <cellStyle name="Normal 25 68 11" xfId="18192"/>
    <cellStyle name="Normal 25 68 12" xfId="18193"/>
    <cellStyle name="Normal 25 68 13" xfId="18194"/>
    <cellStyle name="Normal 25 68 2" xfId="18195"/>
    <cellStyle name="Normal 25 68 3" xfId="18196"/>
    <cellStyle name="Normal 25 68 4" xfId="18197"/>
    <cellStyle name="Normal 25 68 5" xfId="18198"/>
    <cellStyle name="Normal 25 68 6" xfId="18199"/>
    <cellStyle name="Normal 25 68 7" xfId="18200"/>
    <cellStyle name="Normal 25 68 8" xfId="18201"/>
    <cellStyle name="Normal 25 68 9" xfId="18202"/>
    <cellStyle name="Normal 25 69" xfId="18203"/>
    <cellStyle name="Normal 25 69 10" xfId="18204"/>
    <cellStyle name="Normal 25 69 11" xfId="18205"/>
    <cellStyle name="Normal 25 69 12" xfId="18206"/>
    <cellStyle name="Normal 25 69 13" xfId="18207"/>
    <cellStyle name="Normal 25 69 2" xfId="18208"/>
    <cellStyle name="Normal 25 69 3" xfId="18209"/>
    <cellStyle name="Normal 25 69 4" xfId="18210"/>
    <cellStyle name="Normal 25 69 5" xfId="18211"/>
    <cellStyle name="Normal 25 69 6" xfId="18212"/>
    <cellStyle name="Normal 25 69 7" xfId="18213"/>
    <cellStyle name="Normal 25 69 8" xfId="18214"/>
    <cellStyle name="Normal 25 69 9" xfId="18215"/>
    <cellStyle name="Normal 25 7" xfId="18216"/>
    <cellStyle name="Normal 25 7 10" xfId="18217"/>
    <cellStyle name="Normal 25 7 11" xfId="18218"/>
    <cellStyle name="Normal 25 7 12" xfId="18219"/>
    <cellStyle name="Normal 25 7 13" xfId="18220"/>
    <cellStyle name="Normal 25 7 2" xfId="18221"/>
    <cellStyle name="Normal 25 7 3" xfId="18222"/>
    <cellStyle name="Normal 25 7 4" xfId="18223"/>
    <cellStyle name="Normal 25 7 5" xfId="18224"/>
    <cellStyle name="Normal 25 7 6" xfId="18225"/>
    <cellStyle name="Normal 25 7 7" xfId="18226"/>
    <cellStyle name="Normal 25 7 8" xfId="18227"/>
    <cellStyle name="Normal 25 7 9" xfId="18228"/>
    <cellStyle name="Normal 25 70" xfId="18229"/>
    <cellStyle name="Normal 25 70 10" xfId="18230"/>
    <cellStyle name="Normal 25 70 11" xfId="18231"/>
    <cellStyle name="Normal 25 70 12" xfId="18232"/>
    <cellStyle name="Normal 25 70 13" xfId="18233"/>
    <cellStyle name="Normal 25 70 2" xfId="18234"/>
    <cellStyle name="Normal 25 70 3" xfId="18235"/>
    <cellStyle name="Normal 25 70 4" xfId="18236"/>
    <cellStyle name="Normal 25 70 5" xfId="18237"/>
    <cellStyle name="Normal 25 70 6" xfId="18238"/>
    <cellStyle name="Normal 25 70 7" xfId="18239"/>
    <cellStyle name="Normal 25 70 8" xfId="18240"/>
    <cellStyle name="Normal 25 70 9" xfId="18241"/>
    <cellStyle name="Normal 25 71" xfId="18242"/>
    <cellStyle name="Normal 25 71 10" xfId="18243"/>
    <cellStyle name="Normal 25 71 11" xfId="18244"/>
    <cellStyle name="Normal 25 71 12" xfId="18245"/>
    <cellStyle name="Normal 25 71 13" xfId="18246"/>
    <cellStyle name="Normal 25 71 2" xfId="18247"/>
    <cellStyle name="Normal 25 71 3" xfId="18248"/>
    <cellStyle name="Normal 25 71 4" xfId="18249"/>
    <cellStyle name="Normal 25 71 5" xfId="18250"/>
    <cellStyle name="Normal 25 71 6" xfId="18251"/>
    <cellStyle name="Normal 25 71 7" xfId="18252"/>
    <cellStyle name="Normal 25 71 8" xfId="18253"/>
    <cellStyle name="Normal 25 71 9" xfId="18254"/>
    <cellStyle name="Normal 25 72" xfId="18255"/>
    <cellStyle name="Normal 25 73" xfId="18256"/>
    <cellStyle name="Normal 25 74" xfId="18257"/>
    <cellStyle name="Normal 25 75" xfId="18258"/>
    <cellStyle name="Normal 25 76" xfId="18259"/>
    <cellStyle name="Normal 25 77" xfId="18260"/>
    <cellStyle name="Normal 25 78" xfId="18261"/>
    <cellStyle name="Normal 25 79" xfId="18262"/>
    <cellStyle name="Normal 25 8" xfId="18263"/>
    <cellStyle name="Normal 25 8 10" xfId="18264"/>
    <cellStyle name="Normal 25 8 11" xfId="18265"/>
    <cellStyle name="Normal 25 8 12" xfId="18266"/>
    <cellStyle name="Normal 25 8 13" xfId="18267"/>
    <cellStyle name="Normal 25 8 2" xfId="18268"/>
    <cellStyle name="Normal 25 8 3" xfId="18269"/>
    <cellStyle name="Normal 25 8 4" xfId="18270"/>
    <cellStyle name="Normal 25 8 5" xfId="18271"/>
    <cellStyle name="Normal 25 8 6" xfId="18272"/>
    <cellStyle name="Normal 25 8 7" xfId="18273"/>
    <cellStyle name="Normal 25 8 8" xfId="18274"/>
    <cellStyle name="Normal 25 8 9" xfId="18275"/>
    <cellStyle name="Normal 25 80" xfId="18276"/>
    <cellStyle name="Normal 25 81" xfId="18277"/>
    <cellStyle name="Normal 25 82" xfId="18278"/>
    <cellStyle name="Normal 25 83" xfId="18279"/>
    <cellStyle name="Normal 25 9" xfId="18280"/>
    <cellStyle name="Normal 25 9 10" xfId="18281"/>
    <cellStyle name="Normal 25 9 11" xfId="18282"/>
    <cellStyle name="Normal 25 9 12" xfId="18283"/>
    <cellStyle name="Normal 25 9 13" xfId="18284"/>
    <cellStyle name="Normal 25 9 2" xfId="18285"/>
    <cellStyle name="Normal 25 9 3" xfId="18286"/>
    <cellStyle name="Normal 25 9 4" xfId="18287"/>
    <cellStyle name="Normal 25 9 5" xfId="18288"/>
    <cellStyle name="Normal 25 9 6" xfId="18289"/>
    <cellStyle name="Normal 25 9 7" xfId="18290"/>
    <cellStyle name="Normal 25 9 8" xfId="18291"/>
    <cellStyle name="Normal 25 9 9" xfId="18292"/>
    <cellStyle name="Normal 26" xfId="18293"/>
    <cellStyle name="Normal 26 10" xfId="18294"/>
    <cellStyle name="Normal 26 10 10" xfId="18295"/>
    <cellStyle name="Normal 26 10 11" xfId="18296"/>
    <cellStyle name="Normal 26 10 12" xfId="18297"/>
    <cellStyle name="Normal 26 10 13" xfId="18298"/>
    <cellStyle name="Normal 26 10 2" xfId="18299"/>
    <cellStyle name="Normal 26 10 3" xfId="18300"/>
    <cellStyle name="Normal 26 10 4" xfId="18301"/>
    <cellStyle name="Normal 26 10 5" xfId="18302"/>
    <cellStyle name="Normal 26 10 6" xfId="18303"/>
    <cellStyle name="Normal 26 10 7" xfId="18304"/>
    <cellStyle name="Normal 26 10 8" xfId="18305"/>
    <cellStyle name="Normal 26 10 9" xfId="18306"/>
    <cellStyle name="Normal 26 11" xfId="18307"/>
    <cellStyle name="Normal 26 11 10" xfId="18308"/>
    <cellStyle name="Normal 26 11 11" xfId="18309"/>
    <cellStyle name="Normal 26 11 12" xfId="18310"/>
    <cellStyle name="Normal 26 11 13" xfId="18311"/>
    <cellStyle name="Normal 26 11 2" xfId="18312"/>
    <cellStyle name="Normal 26 11 3" xfId="18313"/>
    <cellStyle name="Normal 26 11 4" xfId="18314"/>
    <cellStyle name="Normal 26 11 5" xfId="18315"/>
    <cellStyle name="Normal 26 11 6" xfId="18316"/>
    <cellStyle name="Normal 26 11 7" xfId="18317"/>
    <cellStyle name="Normal 26 11 8" xfId="18318"/>
    <cellStyle name="Normal 26 11 9" xfId="18319"/>
    <cellStyle name="Normal 26 12" xfId="18320"/>
    <cellStyle name="Normal 26 12 10" xfId="18321"/>
    <cellStyle name="Normal 26 12 11" xfId="18322"/>
    <cellStyle name="Normal 26 12 12" xfId="18323"/>
    <cellStyle name="Normal 26 12 13" xfId="18324"/>
    <cellStyle name="Normal 26 12 2" xfId="18325"/>
    <cellStyle name="Normal 26 12 3" xfId="18326"/>
    <cellStyle name="Normal 26 12 4" xfId="18327"/>
    <cellStyle name="Normal 26 12 5" xfId="18328"/>
    <cellStyle name="Normal 26 12 6" xfId="18329"/>
    <cellStyle name="Normal 26 12 7" xfId="18330"/>
    <cellStyle name="Normal 26 12 8" xfId="18331"/>
    <cellStyle name="Normal 26 12 9" xfId="18332"/>
    <cellStyle name="Normal 26 13" xfId="18333"/>
    <cellStyle name="Normal 26 13 10" xfId="18334"/>
    <cellStyle name="Normal 26 13 11" xfId="18335"/>
    <cellStyle name="Normal 26 13 12" xfId="18336"/>
    <cellStyle name="Normal 26 13 13" xfId="18337"/>
    <cellStyle name="Normal 26 13 2" xfId="18338"/>
    <cellStyle name="Normal 26 13 3" xfId="18339"/>
    <cellStyle name="Normal 26 13 4" xfId="18340"/>
    <cellStyle name="Normal 26 13 5" xfId="18341"/>
    <cellStyle name="Normal 26 13 6" xfId="18342"/>
    <cellStyle name="Normal 26 13 7" xfId="18343"/>
    <cellStyle name="Normal 26 13 8" xfId="18344"/>
    <cellStyle name="Normal 26 13 9" xfId="18345"/>
    <cellStyle name="Normal 26 14" xfId="18346"/>
    <cellStyle name="Normal 26 14 10" xfId="18347"/>
    <cellStyle name="Normal 26 14 11" xfId="18348"/>
    <cellStyle name="Normal 26 14 12" xfId="18349"/>
    <cellStyle name="Normal 26 14 13" xfId="18350"/>
    <cellStyle name="Normal 26 14 2" xfId="18351"/>
    <cellStyle name="Normal 26 14 3" xfId="18352"/>
    <cellStyle name="Normal 26 14 4" xfId="18353"/>
    <cellStyle name="Normal 26 14 5" xfId="18354"/>
    <cellStyle name="Normal 26 14 6" xfId="18355"/>
    <cellStyle name="Normal 26 14 7" xfId="18356"/>
    <cellStyle name="Normal 26 14 8" xfId="18357"/>
    <cellStyle name="Normal 26 14 9" xfId="18358"/>
    <cellStyle name="Normal 26 15" xfId="18359"/>
    <cellStyle name="Normal 26 15 10" xfId="18360"/>
    <cellStyle name="Normal 26 15 11" xfId="18361"/>
    <cellStyle name="Normal 26 15 12" xfId="18362"/>
    <cellStyle name="Normal 26 15 13" xfId="18363"/>
    <cellStyle name="Normal 26 15 2" xfId="18364"/>
    <cellStyle name="Normal 26 15 3" xfId="18365"/>
    <cellStyle name="Normal 26 15 4" xfId="18366"/>
    <cellStyle name="Normal 26 15 5" xfId="18367"/>
    <cellStyle name="Normal 26 15 6" xfId="18368"/>
    <cellStyle name="Normal 26 15 7" xfId="18369"/>
    <cellStyle name="Normal 26 15 8" xfId="18370"/>
    <cellStyle name="Normal 26 15 9" xfId="18371"/>
    <cellStyle name="Normal 26 16" xfId="18372"/>
    <cellStyle name="Normal 26 16 10" xfId="18373"/>
    <cellStyle name="Normal 26 16 11" xfId="18374"/>
    <cellStyle name="Normal 26 16 12" xfId="18375"/>
    <cellStyle name="Normal 26 16 13" xfId="18376"/>
    <cellStyle name="Normal 26 16 2" xfId="18377"/>
    <cellStyle name="Normal 26 16 3" xfId="18378"/>
    <cellStyle name="Normal 26 16 4" xfId="18379"/>
    <cellStyle name="Normal 26 16 5" xfId="18380"/>
    <cellStyle name="Normal 26 16 6" xfId="18381"/>
    <cellStyle name="Normal 26 16 7" xfId="18382"/>
    <cellStyle name="Normal 26 16 8" xfId="18383"/>
    <cellStyle name="Normal 26 16 9" xfId="18384"/>
    <cellStyle name="Normal 26 17" xfId="18385"/>
    <cellStyle name="Normal 26 17 10" xfId="18386"/>
    <cellStyle name="Normal 26 17 11" xfId="18387"/>
    <cellStyle name="Normal 26 17 12" xfId="18388"/>
    <cellStyle name="Normal 26 17 13" xfId="18389"/>
    <cellStyle name="Normal 26 17 2" xfId="18390"/>
    <cellStyle name="Normal 26 17 3" xfId="18391"/>
    <cellStyle name="Normal 26 17 4" xfId="18392"/>
    <cellStyle name="Normal 26 17 5" xfId="18393"/>
    <cellStyle name="Normal 26 17 6" xfId="18394"/>
    <cellStyle name="Normal 26 17 7" xfId="18395"/>
    <cellStyle name="Normal 26 17 8" xfId="18396"/>
    <cellStyle name="Normal 26 17 9" xfId="18397"/>
    <cellStyle name="Normal 26 18" xfId="18398"/>
    <cellStyle name="Normal 26 18 10" xfId="18399"/>
    <cellStyle name="Normal 26 18 11" xfId="18400"/>
    <cellStyle name="Normal 26 18 12" xfId="18401"/>
    <cellStyle name="Normal 26 18 13" xfId="18402"/>
    <cellStyle name="Normal 26 18 2" xfId="18403"/>
    <cellStyle name="Normal 26 18 3" xfId="18404"/>
    <cellStyle name="Normal 26 18 4" xfId="18405"/>
    <cellStyle name="Normal 26 18 5" xfId="18406"/>
    <cellStyle name="Normal 26 18 6" xfId="18407"/>
    <cellStyle name="Normal 26 18 7" xfId="18408"/>
    <cellStyle name="Normal 26 18 8" xfId="18409"/>
    <cellStyle name="Normal 26 18 9" xfId="18410"/>
    <cellStyle name="Normal 26 19" xfId="18411"/>
    <cellStyle name="Normal 26 19 10" xfId="18412"/>
    <cellStyle name="Normal 26 19 11" xfId="18413"/>
    <cellStyle name="Normal 26 19 12" xfId="18414"/>
    <cellStyle name="Normal 26 19 13" xfId="18415"/>
    <cellStyle name="Normal 26 19 2" xfId="18416"/>
    <cellStyle name="Normal 26 19 3" xfId="18417"/>
    <cellStyle name="Normal 26 19 4" xfId="18418"/>
    <cellStyle name="Normal 26 19 5" xfId="18419"/>
    <cellStyle name="Normal 26 19 6" xfId="18420"/>
    <cellStyle name="Normal 26 19 7" xfId="18421"/>
    <cellStyle name="Normal 26 19 8" xfId="18422"/>
    <cellStyle name="Normal 26 19 9" xfId="18423"/>
    <cellStyle name="Normal 26 2" xfId="18424"/>
    <cellStyle name="Normal 26 2 10" xfId="18425"/>
    <cellStyle name="Normal 26 2 11" xfId="18426"/>
    <cellStyle name="Normal 26 2 12" xfId="18427"/>
    <cellStyle name="Normal 26 2 13" xfId="18428"/>
    <cellStyle name="Normal 26 2 2" xfId="18429"/>
    <cellStyle name="Normal 26 2 3" xfId="18430"/>
    <cellStyle name="Normal 26 2 4" xfId="18431"/>
    <cellStyle name="Normal 26 2 5" xfId="18432"/>
    <cellStyle name="Normal 26 2 6" xfId="18433"/>
    <cellStyle name="Normal 26 2 7" xfId="18434"/>
    <cellStyle name="Normal 26 2 8" xfId="18435"/>
    <cellStyle name="Normal 26 2 9" xfId="18436"/>
    <cellStyle name="Normal 26 20" xfId="18437"/>
    <cellStyle name="Normal 26 20 10" xfId="18438"/>
    <cellStyle name="Normal 26 20 11" xfId="18439"/>
    <cellStyle name="Normal 26 20 12" xfId="18440"/>
    <cellStyle name="Normal 26 20 13" xfId="18441"/>
    <cellStyle name="Normal 26 20 2" xfId="18442"/>
    <cellStyle name="Normal 26 20 3" xfId="18443"/>
    <cellStyle name="Normal 26 20 4" xfId="18444"/>
    <cellStyle name="Normal 26 20 5" xfId="18445"/>
    <cellStyle name="Normal 26 20 6" xfId="18446"/>
    <cellStyle name="Normal 26 20 7" xfId="18447"/>
    <cellStyle name="Normal 26 20 8" xfId="18448"/>
    <cellStyle name="Normal 26 20 9" xfId="18449"/>
    <cellStyle name="Normal 26 21" xfId="18450"/>
    <cellStyle name="Normal 26 21 10" xfId="18451"/>
    <cellStyle name="Normal 26 21 11" xfId="18452"/>
    <cellStyle name="Normal 26 21 12" xfId="18453"/>
    <cellStyle name="Normal 26 21 13" xfId="18454"/>
    <cellStyle name="Normal 26 21 2" xfId="18455"/>
    <cellStyle name="Normal 26 21 3" xfId="18456"/>
    <cellStyle name="Normal 26 21 4" xfId="18457"/>
    <cellStyle name="Normal 26 21 5" xfId="18458"/>
    <cellStyle name="Normal 26 21 6" xfId="18459"/>
    <cellStyle name="Normal 26 21 7" xfId="18460"/>
    <cellStyle name="Normal 26 21 8" xfId="18461"/>
    <cellStyle name="Normal 26 21 9" xfId="18462"/>
    <cellStyle name="Normal 26 22" xfId="18463"/>
    <cellStyle name="Normal 26 22 10" xfId="18464"/>
    <cellStyle name="Normal 26 22 11" xfId="18465"/>
    <cellStyle name="Normal 26 22 12" xfId="18466"/>
    <cellStyle name="Normal 26 22 13" xfId="18467"/>
    <cellStyle name="Normal 26 22 2" xfId="18468"/>
    <cellStyle name="Normal 26 22 3" xfId="18469"/>
    <cellStyle name="Normal 26 22 4" xfId="18470"/>
    <cellStyle name="Normal 26 22 5" xfId="18471"/>
    <cellStyle name="Normal 26 22 6" xfId="18472"/>
    <cellStyle name="Normal 26 22 7" xfId="18473"/>
    <cellStyle name="Normal 26 22 8" xfId="18474"/>
    <cellStyle name="Normal 26 22 9" xfId="18475"/>
    <cellStyle name="Normal 26 23" xfId="18476"/>
    <cellStyle name="Normal 26 23 10" xfId="18477"/>
    <cellStyle name="Normal 26 23 11" xfId="18478"/>
    <cellStyle name="Normal 26 23 12" xfId="18479"/>
    <cellStyle name="Normal 26 23 13" xfId="18480"/>
    <cellStyle name="Normal 26 23 2" xfId="18481"/>
    <cellStyle name="Normal 26 23 3" xfId="18482"/>
    <cellStyle name="Normal 26 23 4" xfId="18483"/>
    <cellStyle name="Normal 26 23 5" xfId="18484"/>
    <cellStyle name="Normal 26 23 6" xfId="18485"/>
    <cellStyle name="Normal 26 23 7" xfId="18486"/>
    <cellStyle name="Normal 26 23 8" xfId="18487"/>
    <cellStyle name="Normal 26 23 9" xfId="18488"/>
    <cellStyle name="Normal 26 24" xfId="18489"/>
    <cellStyle name="Normal 26 24 10" xfId="18490"/>
    <cellStyle name="Normal 26 24 11" xfId="18491"/>
    <cellStyle name="Normal 26 24 12" xfId="18492"/>
    <cellStyle name="Normal 26 24 13" xfId="18493"/>
    <cellStyle name="Normal 26 24 2" xfId="18494"/>
    <cellStyle name="Normal 26 24 3" xfId="18495"/>
    <cellStyle name="Normal 26 24 4" xfId="18496"/>
    <cellStyle name="Normal 26 24 5" xfId="18497"/>
    <cellStyle name="Normal 26 24 6" xfId="18498"/>
    <cellStyle name="Normal 26 24 7" xfId="18499"/>
    <cellStyle name="Normal 26 24 8" xfId="18500"/>
    <cellStyle name="Normal 26 24 9" xfId="18501"/>
    <cellStyle name="Normal 26 25" xfId="18502"/>
    <cellStyle name="Normal 26 25 10" xfId="18503"/>
    <cellStyle name="Normal 26 25 11" xfId="18504"/>
    <cellStyle name="Normal 26 25 12" xfId="18505"/>
    <cellStyle name="Normal 26 25 13" xfId="18506"/>
    <cellStyle name="Normal 26 25 2" xfId="18507"/>
    <cellStyle name="Normal 26 25 3" xfId="18508"/>
    <cellStyle name="Normal 26 25 4" xfId="18509"/>
    <cellStyle name="Normal 26 25 5" xfId="18510"/>
    <cellStyle name="Normal 26 25 6" xfId="18511"/>
    <cellStyle name="Normal 26 25 7" xfId="18512"/>
    <cellStyle name="Normal 26 25 8" xfId="18513"/>
    <cellStyle name="Normal 26 25 9" xfId="18514"/>
    <cellStyle name="Normal 26 26" xfId="18515"/>
    <cellStyle name="Normal 26 26 10" xfId="18516"/>
    <cellStyle name="Normal 26 26 11" xfId="18517"/>
    <cellStyle name="Normal 26 26 12" xfId="18518"/>
    <cellStyle name="Normal 26 26 13" xfId="18519"/>
    <cellStyle name="Normal 26 26 2" xfId="18520"/>
    <cellStyle name="Normal 26 26 3" xfId="18521"/>
    <cellStyle name="Normal 26 26 4" xfId="18522"/>
    <cellStyle name="Normal 26 26 5" xfId="18523"/>
    <cellStyle name="Normal 26 26 6" xfId="18524"/>
    <cellStyle name="Normal 26 26 7" xfId="18525"/>
    <cellStyle name="Normal 26 26 8" xfId="18526"/>
    <cellStyle name="Normal 26 26 9" xfId="18527"/>
    <cellStyle name="Normal 26 27" xfId="18528"/>
    <cellStyle name="Normal 26 27 10" xfId="18529"/>
    <cellStyle name="Normal 26 27 11" xfId="18530"/>
    <cellStyle name="Normal 26 27 12" xfId="18531"/>
    <cellStyle name="Normal 26 27 13" xfId="18532"/>
    <cellStyle name="Normal 26 27 2" xfId="18533"/>
    <cellStyle name="Normal 26 27 3" xfId="18534"/>
    <cellStyle name="Normal 26 27 4" xfId="18535"/>
    <cellStyle name="Normal 26 27 5" xfId="18536"/>
    <cellStyle name="Normal 26 27 6" xfId="18537"/>
    <cellStyle name="Normal 26 27 7" xfId="18538"/>
    <cellStyle name="Normal 26 27 8" xfId="18539"/>
    <cellStyle name="Normal 26 27 9" xfId="18540"/>
    <cellStyle name="Normal 26 28" xfId="18541"/>
    <cellStyle name="Normal 26 28 10" xfId="18542"/>
    <cellStyle name="Normal 26 28 11" xfId="18543"/>
    <cellStyle name="Normal 26 28 12" xfId="18544"/>
    <cellStyle name="Normal 26 28 13" xfId="18545"/>
    <cellStyle name="Normal 26 28 2" xfId="18546"/>
    <cellStyle name="Normal 26 28 3" xfId="18547"/>
    <cellStyle name="Normal 26 28 4" xfId="18548"/>
    <cellStyle name="Normal 26 28 5" xfId="18549"/>
    <cellStyle name="Normal 26 28 6" xfId="18550"/>
    <cellStyle name="Normal 26 28 7" xfId="18551"/>
    <cellStyle name="Normal 26 28 8" xfId="18552"/>
    <cellStyle name="Normal 26 28 9" xfId="18553"/>
    <cellStyle name="Normal 26 29" xfId="18554"/>
    <cellStyle name="Normal 26 29 10" xfId="18555"/>
    <cellStyle name="Normal 26 29 11" xfId="18556"/>
    <cellStyle name="Normal 26 29 12" xfId="18557"/>
    <cellStyle name="Normal 26 29 13" xfId="18558"/>
    <cellStyle name="Normal 26 29 2" xfId="18559"/>
    <cellStyle name="Normal 26 29 3" xfId="18560"/>
    <cellStyle name="Normal 26 29 4" xfId="18561"/>
    <cellStyle name="Normal 26 29 5" xfId="18562"/>
    <cellStyle name="Normal 26 29 6" xfId="18563"/>
    <cellStyle name="Normal 26 29 7" xfId="18564"/>
    <cellStyle name="Normal 26 29 8" xfId="18565"/>
    <cellStyle name="Normal 26 29 9" xfId="18566"/>
    <cellStyle name="Normal 26 3" xfId="18567"/>
    <cellStyle name="Normal 26 3 10" xfId="18568"/>
    <cellStyle name="Normal 26 3 11" xfId="18569"/>
    <cellStyle name="Normal 26 3 12" xfId="18570"/>
    <cellStyle name="Normal 26 3 13" xfId="18571"/>
    <cellStyle name="Normal 26 3 2" xfId="18572"/>
    <cellStyle name="Normal 26 3 3" xfId="18573"/>
    <cellStyle name="Normal 26 3 4" xfId="18574"/>
    <cellStyle name="Normal 26 3 5" xfId="18575"/>
    <cellStyle name="Normal 26 3 6" xfId="18576"/>
    <cellStyle name="Normal 26 3 7" xfId="18577"/>
    <cellStyle name="Normal 26 3 8" xfId="18578"/>
    <cellStyle name="Normal 26 3 9" xfId="18579"/>
    <cellStyle name="Normal 26 30" xfId="18580"/>
    <cellStyle name="Normal 26 30 10" xfId="18581"/>
    <cellStyle name="Normal 26 30 11" xfId="18582"/>
    <cellStyle name="Normal 26 30 12" xfId="18583"/>
    <cellStyle name="Normal 26 30 13" xfId="18584"/>
    <cellStyle name="Normal 26 30 2" xfId="18585"/>
    <cellStyle name="Normal 26 30 3" xfId="18586"/>
    <cellStyle name="Normal 26 30 4" xfId="18587"/>
    <cellStyle name="Normal 26 30 5" xfId="18588"/>
    <cellStyle name="Normal 26 30 6" xfId="18589"/>
    <cellStyle name="Normal 26 30 7" xfId="18590"/>
    <cellStyle name="Normal 26 30 8" xfId="18591"/>
    <cellStyle name="Normal 26 30 9" xfId="18592"/>
    <cellStyle name="Normal 26 31" xfId="18593"/>
    <cellStyle name="Normal 26 31 10" xfId="18594"/>
    <cellStyle name="Normal 26 31 11" xfId="18595"/>
    <cellStyle name="Normal 26 31 12" xfId="18596"/>
    <cellStyle name="Normal 26 31 13" xfId="18597"/>
    <cellStyle name="Normal 26 31 2" xfId="18598"/>
    <cellStyle name="Normal 26 31 3" xfId="18599"/>
    <cellStyle name="Normal 26 31 4" xfId="18600"/>
    <cellStyle name="Normal 26 31 5" xfId="18601"/>
    <cellStyle name="Normal 26 31 6" xfId="18602"/>
    <cellStyle name="Normal 26 31 7" xfId="18603"/>
    <cellStyle name="Normal 26 31 8" xfId="18604"/>
    <cellStyle name="Normal 26 31 9" xfId="18605"/>
    <cellStyle name="Normal 26 32" xfId="18606"/>
    <cellStyle name="Normal 26 32 10" xfId="18607"/>
    <cellStyle name="Normal 26 32 11" xfId="18608"/>
    <cellStyle name="Normal 26 32 12" xfId="18609"/>
    <cellStyle name="Normal 26 32 13" xfId="18610"/>
    <cellStyle name="Normal 26 32 2" xfId="18611"/>
    <cellStyle name="Normal 26 32 3" xfId="18612"/>
    <cellStyle name="Normal 26 32 4" xfId="18613"/>
    <cellStyle name="Normal 26 32 5" xfId="18614"/>
    <cellStyle name="Normal 26 32 6" xfId="18615"/>
    <cellStyle name="Normal 26 32 7" xfId="18616"/>
    <cellStyle name="Normal 26 32 8" xfId="18617"/>
    <cellStyle name="Normal 26 32 9" xfId="18618"/>
    <cellStyle name="Normal 26 33" xfId="18619"/>
    <cellStyle name="Normal 26 33 10" xfId="18620"/>
    <cellStyle name="Normal 26 33 11" xfId="18621"/>
    <cellStyle name="Normal 26 33 12" xfId="18622"/>
    <cellStyle name="Normal 26 33 13" xfId="18623"/>
    <cellStyle name="Normal 26 33 2" xfId="18624"/>
    <cellStyle name="Normal 26 33 3" xfId="18625"/>
    <cellStyle name="Normal 26 33 4" xfId="18626"/>
    <cellStyle name="Normal 26 33 5" xfId="18627"/>
    <cellStyle name="Normal 26 33 6" xfId="18628"/>
    <cellStyle name="Normal 26 33 7" xfId="18629"/>
    <cellStyle name="Normal 26 33 8" xfId="18630"/>
    <cellStyle name="Normal 26 33 9" xfId="18631"/>
    <cellStyle name="Normal 26 34" xfId="18632"/>
    <cellStyle name="Normal 26 34 10" xfId="18633"/>
    <cellStyle name="Normal 26 34 11" xfId="18634"/>
    <cellStyle name="Normal 26 34 12" xfId="18635"/>
    <cellStyle name="Normal 26 34 13" xfId="18636"/>
    <cellStyle name="Normal 26 34 2" xfId="18637"/>
    <cellStyle name="Normal 26 34 3" xfId="18638"/>
    <cellStyle name="Normal 26 34 4" xfId="18639"/>
    <cellStyle name="Normal 26 34 5" xfId="18640"/>
    <cellStyle name="Normal 26 34 6" xfId="18641"/>
    <cellStyle name="Normal 26 34 7" xfId="18642"/>
    <cellStyle name="Normal 26 34 8" xfId="18643"/>
    <cellStyle name="Normal 26 34 9" xfId="18644"/>
    <cellStyle name="Normal 26 35" xfId="18645"/>
    <cellStyle name="Normal 26 35 10" xfId="18646"/>
    <cellStyle name="Normal 26 35 11" xfId="18647"/>
    <cellStyle name="Normal 26 35 12" xfId="18648"/>
    <cellStyle name="Normal 26 35 13" xfId="18649"/>
    <cellStyle name="Normal 26 35 2" xfId="18650"/>
    <cellStyle name="Normal 26 35 3" xfId="18651"/>
    <cellStyle name="Normal 26 35 4" xfId="18652"/>
    <cellStyle name="Normal 26 35 5" xfId="18653"/>
    <cellStyle name="Normal 26 35 6" xfId="18654"/>
    <cellStyle name="Normal 26 35 7" xfId="18655"/>
    <cellStyle name="Normal 26 35 8" xfId="18656"/>
    <cellStyle name="Normal 26 35 9" xfId="18657"/>
    <cellStyle name="Normal 26 36" xfId="18658"/>
    <cellStyle name="Normal 26 36 10" xfId="18659"/>
    <cellStyle name="Normal 26 36 11" xfId="18660"/>
    <cellStyle name="Normal 26 36 12" xfId="18661"/>
    <cellStyle name="Normal 26 36 13" xfId="18662"/>
    <cellStyle name="Normal 26 36 2" xfId="18663"/>
    <cellStyle name="Normal 26 36 3" xfId="18664"/>
    <cellStyle name="Normal 26 36 4" xfId="18665"/>
    <cellStyle name="Normal 26 36 5" xfId="18666"/>
    <cellStyle name="Normal 26 36 6" xfId="18667"/>
    <cellStyle name="Normal 26 36 7" xfId="18668"/>
    <cellStyle name="Normal 26 36 8" xfId="18669"/>
    <cellStyle name="Normal 26 36 9" xfId="18670"/>
    <cellStyle name="Normal 26 37" xfId="18671"/>
    <cellStyle name="Normal 26 37 10" xfId="18672"/>
    <cellStyle name="Normal 26 37 11" xfId="18673"/>
    <cellStyle name="Normal 26 37 12" xfId="18674"/>
    <cellStyle name="Normal 26 37 13" xfId="18675"/>
    <cellStyle name="Normal 26 37 2" xfId="18676"/>
    <cellStyle name="Normal 26 37 3" xfId="18677"/>
    <cellStyle name="Normal 26 37 4" xfId="18678"/>
    <cellStyle name="Normal 26 37 5" xfId="18679"/>
    <cellStyle name="Normal 26 37 6" xfId="18680"/>
    <cellStyle name="Normal 26 37 7" xfId="18681"/>
    <cellStyle name="Normal 26 37 8" xfId="18682"/>
    <cellStyle name="Normal 26 37 9" xfId="18683"/>
    <cellStyle name="Normal 26 38" xfId="18684"/>
    <cellStyle name="Normal 26 38 10" xfId="18685"/>
    <cellStyle name="Normal 26 38 11" xfId="18686"/>
    <cellStyle name="Normal 26 38 12" xfId="18687"/>
    <cellStyle name="Normal 26 38 13" xfId="18688"/>
    <cellStyle name="Normal 26 38 2" xfId="18689"/>
    <cellStyle name="Normal 26 38 3" xfId="18690"/>
    <cellStyle name="Normal 26 38 4" xfId="18691"/>
    <cellStyle name="Normal 26 38 5" xfId="18692"/>
    <cellStyle name="Normal 26 38 6" xfId="18693"/>
    <cellStyle name="Normal 26 38 7" xfId="18694"/>
    <cellStyle name="Normal 26 38 8" xfId="18695"/>
    <cellStyle name="Normal 26 38 9" xfId="18696"/>
    <cellStyle name="Normal 26 39" xfId="18697"/>
    <cellStyle name="Normal 26 39 10" xfId="18698"/>
    <cellStyle name="Normal 26 39 11" xfId="18699"/>
    <cellStyle name="Normal 26 39 12" xfId="18700"/>
    <cellStyle name="Normal 26 39 13" xfId="18701"/>
    <cellStyle name="Normal 26 39 2" xfId="18702"/>
    <cellStyle name="Normal 26 39 3" xfId="18703"/>
    <cellStyle name="Normal 26 39 4" xfId="18704"/>
    <cellStyle name="Normal 26 39 5" xfId="18705"/>
    <cellStyle name="Normal 26 39 6" xfId="18706"/>
    <cellStyle name="Normal 26 39 7" xfId="18707"/>
    <cellStyle name="Normal 26 39 8" xfId="18708"/>
    <cellStyle name="Normal 26 39 9" xfId="18709"/>
    <cellStyle name="Normal 26 4" xfId="18710"/>
    <cellStyle name="Normal 26 4 10" xfId="18711"/>
    <cellStyle name="Normal 26 4 11" xfId="18712"/>
    <cellStyle name="Normal 26 4 12" xfId="18713"/>
    <cellStyle name="Normal 26 4 13" xfId="18714"/>
    <cellStyle name="Normal 26 4 2" xfId="18715"/>
    <cellStyle name="Normal 26 4 3" xfId="18716"/>
    <cellStyle name="Normal 26 4 4" xfId="18717"/>
    <cellStyle name="Normal 26 4 5" xfId="18718"/>
    <cellStyle name="Normal 26 4 6" xfId="18719"/>
    <cellStyle name="Normal 26 4 7" xfId="18720"/>
    <cellStyle name="Normal 26 4 8" xfId="18721"/>
    <cellStyle name="Normal 26 4 9" xfId="18722"/>
    <cellStyle name="Normal 26 40" xfId="18723"/>
    <cellStyle name="Normal 26 40 10" xfId="18724"/>
    <cellStyle name="Normal 26 40 11" xfId="18725"/>
    <cellStyle name="Normal 26 40 12" xfId="18726"/>
    <cellStyle name="Normal 26 40 13" xfId="18727"/>
    <cellStyle name="Normal 26 40 2" xfId="18728"/>
    <cellStyle name="Normal 26 40 3" xfId="18729"/>
    <cellStyle name="Normal 26 40 4" xfId="18730"/>
    <cellStyle name="Normal 26 40 5" xfId="18731"/>
    <cellStyle name="Normal 26 40 6" xfId="18732"/>
    <cellStyle name="Normal 26 40 7" xfId="18733"/>
    <cellStyle name="Normal 26 40 8" xfId="18734"/>
    <cellStyle name="Normal 26 40 9" xfId="18735"/>
    <cellStyle name="Normal 26 41" xfId="18736"/>
    <cellStyle name="Normal 26 41 10" xfId="18737"/>
    <cellStyle name="Normal 26 41 11" xfId="18738"/>
    <cellStyle name="Normal 26 41 12" xfId="18739"/>
    <cellStyle name="Normal 26 41 13" xfId="18740"/>
    <cellStyle name="Normal 26 41 2" xfId="18741"/>
    <cellStyle name="Normal 26 41 3" xfId="18742"/>
    <cellStyle name="Normal 26 41 4" xfId="18743"/>
    <cellStyle name="Normal 26 41 5" xfId="18744"/>
    <cellStyle name="Normal 26 41 6" xfId="18745"/>
    <cellStyle name="Normal 26 41 7" xfId="18746"/>
    <cellStyle name="Normal 26 41 8" xfId="18747"/>
    <cellStyle name="Normal 26 41 9" xfId="18748"/>
    <cellStyle name="Normal 26 42" xfId="18749"/>
    <cellStyle name="Normal 26 42 10" xfId="18750"/>
    <cellStyle name="Normal 26 42 11" xfId="18751"/>
    <cellStyle name="Normal 26 42 12" xfId="18752"/>
    <cellStyle name="Normal 26 42 13" xfId="18753"/>
    <cellStyle name="Normal 26 42 2" xfId="18754"/>
    <cellStyle name="Normal 26 42 3" xfId="18755"/>
    <cellStyle name="Normal 26 42 4" xfId="18756"/>
    <cellStyle name="Normal 26 42 5" xfId="18757"/>
    <cellStyle name="Normal 26 42 6" xfId="18758"/>
    <cellStyle name="Normal 26 42 7" xfId="18759"/>
    <cellStyle name="Normal 26 42 8" xfId="18760"/>
    <cellStyle name="Normal 26 42 9" xfId="18761"/>
    <cellStyle name="Normal 26 43" xfId="18762"/>
    <cellStyle name="Normal 26 43 10" xfId="18763"/>
    <cellStyle name="Normal 26 43 11" xfId="18764"/>
    <cellStyle name="Normal 26 43 12" xfId="18765"/>
    <cellStyle name="Normal 26 43 13" xfId="18766"/>
    <cellStyle name="Normal 26 43 2" xfId="18767"/>
    <cellStyle name="Normal 26 43 3" xfId="18768"/>
    <cellStyle name="Normal 26 43 4" xfId="18769"/>
    <cellStyle name="Normal 26 43 5" xfId="18770"/>
    <cellStyle name="Normal 26 43 6" xfId="18771"/>
    <cellStyle name="Normal 26 43 7" xfId="18772"/>
    <cellStyle name="Normal 26 43 8" xfId="18773"/>
    <cellStyle name="Normal 26 43 9" xfId="18774"/>
    <cellStyle name="Normal 26 44" xfId="18775"/>
    <cellStyle name="Normal 26 44 10" xfId="18776"/>
    <cellStyle name="Normal 26 44 11" xfId="18777"/>
    <cellStyle name="Normal 26 44 12" xfId="18778"/>
    <cellStyle name="Normal 26 44 13" xfId="18779"/>
    <cellStyle name="Normal 26 44 2" xfId="18780"/>
    <cellStyle name="Normal 26 44 3" xfId="18781"/>
    <cellStyle name="Normal 26 44 4" xfId="18782"/>
    <cellStyle name="Normal 26 44 5" xfId="18783"/>
    <cellStyle name="Normal 26 44 6" xfId="18784"/>
    <cellStyle name="Normal 26 44 7" xfId="18785"/>
    <cellStyle name="Normal 26 44 8" xfId="18786"/>
    <cellStyle name="Normal 26 44 9" xfId="18787"/>
    <cellStyle name="Normal 26 45" xfId="18788"/>
    <cellStyle name="Normal 26 45 10" xfId="18789"/>
    <cellStyle name="Normal 26 45 11" xfId="18790"/>
    <cellStyle name="Normal 26 45 12" xfId="18791"/>
    <cellStyle name="Normal 26 45 13" xfId="18792"/>
    <cellStyle name="Normal 26 45 2" xfId="18793"/>
    <cellStyle name="Normal 26 45 3" xfId="18794"/>
    <cellStyle name="Normal 26 45 4" xfId="18795"/>
    <cellStyle name="Normal 26 45 5" xfId="18796"/>
    <cellStyle name="Normal 26 45 6" xfId="18797"/>
    <cellStyle name="Normal 26 45 7" xfId="18798"/>
    <cellStyle name="Normal 26 45 8" xfId="18799"/>
    <cellStyle name="Normal 26 45 9" xfId="18800"/>
    <cellStyle name="Normal 26 46" xfId="18801"/>
    <cellStyle name="Normal 26 46 10" xfId="18802"/>
    <cellStyle name="Normal 26 46 11" xfId="18803"/>
    <cellStyle name="Normal 26 46 12" xfId="18804"/>
    <cellStyle name="Normal 26 46 13" xfId="18805"/>
    <cellStyle name="Normal 26 46 2" xfId="18806"/>
    <cellStyle name="Normal 26 46 3" xfId="18807"/>
    <cellStyle name="Normal 26 46 4" xfId="18808"/>
    <cellStyle name="Normal 26 46 5" xfId="18809"/>
    <cellStyle name="Normal 26 46 6" xfId="18810"/>
    <cellStyle name="Normal 26 46 7" xfId="18811"/>
    <cellStyle name="Normal 26 46 8" xfId="18812"/>
    <cellStyle name="Normal 26 46 9" xfId="18813"/>
    <cellStyle name="Normal 26 47" xfId="18814"/>
    <cellStyle name="Normal 26 47 10" xfId="18815"/>
    <cellStyle name="Normal 26 47 11" xfId="18816"/>
    <cellStyle name="Normal 26 47 12" xfId="18817"/>
    <cellStyle name="Normal 26 47 13" xfId="18818"/>
    <cellStyle name="Normal 26 47 2" xfId="18819"/>
    <cellStyle name="Normal 26 47 3" xfId="18820"/>
    <cellStyle name="Normal 26 47 4" xfId="18821"/>
    <cellStyle name="Normal 26 47 5" xfId="18822"/>
    <cellStyle name="Normal 26 47 6" xfId="18823"/>
    <cellStyle name="Normal 26 47 7" xfId="18824"/>
    <cellStyle name="Normal 26 47 8" xfId="18825"/>
    <cellStyle name="Normal 26 47 9" xfId="18826"/>
    <cellStyle name="Normal 26 48" xfId="18827"/>
    <cellStyle name="Normal 26 48 10" xfId="18828"/>
    <cellStyle name="Normal 26 48 11" xfId="18829"/>
    <cellStyle name="Normal 26 48 12" xfId="18830"/>
    <cellStyle name="Normal 26 48 13" xfId="18831"/>
    <cellStyle name="Normal 26 48 2" xfId="18832"/>
    <cellStyle name="Normal 26 48 3" xfId="18833"/>
    <cellStyle name="Normal 26 48 4" xfId="18834"/>
    <cellStyle name="Normal 26 48 5" xfId="18835"/>
    <cellStyle name="Normal 26 48 6" xfId="18836"/>
    <cellStyle name="Normal 26 48 7" xfId="18837"/>
    <cellStyle name="Normal 26 48 8" xfId="18838"/>
    <cellStyle name="Normal 26 48 9" xfId="18839"/>
    <cellStyle name="Normal 26 49" xfId="18840"/>
    <cellStyle name="Normal 26 49 10" xfId="18841"/>
    <cellStyle name="Normal 26 49 11" xfId="18842"/>
    <cellStyle name="Normal 26 49 12" xfId="18843"/>
    <cellStyle name="Normal 26 49 13" xfId="18844"/>
    <cellStyle name="Normal 26 49 2" xfId="18845"/>
    <cellStyle name="Normal 26 49 3" xfId="18846"/>
    <cellStyle name="Normal 26 49 4" xfId="18847"/>
    <cellStyle name="Normal 26 49 5" xfId="18848"/>
    <cellStyle name="Normal 26 49 6" xfId="18849"/>
    <cellStyle name="Normal 26 49 7" xfId="18850"/>
    <cellStyle name="Normal 26 49 8" xfId="18851"/>
    <cellStyle name="Normal 26 49 9" xfId="18852"/>
    <cellStyle name="Normal 26 5" xfId="18853"/>
    <cellStyle name="Normal 26 5 10" xfId="18854"/>
    <cellStyle name="Normal 26 5 11" xfId="18855"/>
    <cellStyle name="Normal 26 5 12" xfId="18856"/>
    <cellStyle name="Normal 26 5 13" xfId="18857"/>
    <cellStyle name="Normal 26 5 2" xfId="18858"/>
    <cellStyle name="Normal 26 5 3" xfId="18859"/>
    <cellStyle name="Normal 26 5 4" xfId="18860"/>
    <cellStyle name="Normal 26 5 5" xfId="18861"/>
    <cellStyle name="Normal 26 5 6" xfId="18862"/>
    <cellStyle name="Normal 26 5 7" xfId="18863"/>
    <cellStyle name="Normal 26 5 8" xfId="18864"/>
    <cellStyle name="Normal 26 5 9" xfId="18865"/>
    <cellStyle name="Normal 26 50" xfId="18866"/>
    <cellStyle name="Normal 26 50 10" xfId="18867"/>
    <cellStyle name="Normal 26 50 11" xfId="18868"/>
    <cellStyle name="Normal 26 50 12" xfId="18869"/>
    <cellStyle name="Normal 26 50 13" xfId="18870"/>
    <cellStyle name="Normal 26 50 2" xfId="18871"/>
    <cellStyle name="Normal 26 50 3" xfId="18872"/>
    <cellStyle name="Normal 26 50 4" xfId="18873"/>
    <cellStyle name="Normal 26 50 5" xfId="18874"/>
    <cellStyle name="Normal 26 50 6" xfId="18875"/>
    <cellStyle name="Normal 26 50 7" xfId="18876"/>
    <cellStyle name="Normal 26 50 8" xfId="18877"/>
    <cellStyle name="Normal 26 50 9" xfId="18878"/>
    <cellStyle name="Normal 26 51" xfId="18879"/>
    <cellStyle name="Normal 26 51 10" xfId="18880"/>
    <cellStyle name="Normal 26 51 11" xfId="18881"/>
    <cellStyle name="Normal 26 51 12" xfId="18882"/>
    <cellStyle name="Normal 26 51 13" xfId="18883"/>
    <cellStyle name="Normal 26 51 2" xfId="18884"/>
    <cellStyle name="Normal 26 51 3" xfId="18885"/>
    <cellStyle name="Normal 26 51 4" xfId="18886"/>
    <cellStyle name="Normal 26 51 5" xfId="18887"/>
    <cellStyle name="Normal 26 51 6" xfId="18888"/>
    <cellStyle name="Normal 26 51 7" xfId="18889"/>
    <cellStyle name="Normal 26 51 8" xfId="18890"/>
    <cellStyle name="Normal 26 51 9" xfId="18891"/>
    <cellStyle name="Normal 26 52" xfId="18892"/>
    <cellStyle name="Normal 26 52 10" xfId="18893"/>
    <cellStyle name="Normal 26 52 11" xfId="18894"/>
    <cellStyle name="Normal 26 52 12" xfId="18895"/>
    <cellStyle name="Normal 26 52 13" xfId="18896"/>
    <cellStyle name="Normal 26 52 2" xfId="18897"/>
    <cellStyle name="Normal 26 52 3" xfId="18898"/>
    <cellStyle name="Normal 26 52 4" xfId="18899"/>
    <cellStyle name="Normal 26 52 5" xfId="18900"/>
    <cellStyle name="Normal 26 52 6" xfId="18901"/>
    <cellStyle name="Normal 26 52 7" xfId="18902"/>
    <cellStyle name="Normal 26 52 8" xfId="18903"/>
    <cellStyle name="Normal 26 52 9" xfId="18904"/>
    <cellStyle name="Normal 26 53" xfId="18905"/>
    <cellStyle name="Normal 26 53 10" xfId="18906"/>
    <cellStyle name="Normal 26 53 11" xfId="18907"/>
    <cellStyle name="Normal 26 53 12" xfId="18908"/>
    <cellStyle name="Normal 26 53 13" xfId="18909"/>
    <cellStyle name="Normal 26 53 2" xfId="18910"/>
    <cellStyle name="Normal 26 53 3" xfId="18911"/>
    <cellStyle name="Normal 26 53 4" xfId="18912"/>
    <cellStyle name="Normal 26 53 5" xfId="18913"/>
    <cellStyle name="Normal 26 53 6" xfId="18914"/>
    <cellStyle name="Normal 26 53 7" xfId="18915"/>
    <cellStyle name="Normal 26 53 8" xfId="18916"/>
    <cellStyle name="Normal 26 53 9" xfId="18917"/>
    <cellStyle name="Normal 26 54" xfId="18918"/>
    <cellStyle name="Normal 26 54 10" xfId="18919"/>
    <cellStyle name="Normal 26 54 11" xfId="18920"/>
    <cellStyle name="Normal 26 54 12" xfId="18921"/>
    <cellStyle name="Normal 26 54 13" xfId="18922"/>
    <cellStyle name="Normal 26 54 2" xfId="18923"/>
    <cellStyle name="Normal 26 54 3" xfId="18924"/>
    <cellStyle name="Normal 26 54 4" xfId="18925"/>
    <cellStyle name="Normal 26 54 5" xfId="18926"/>
    <cellStyle name="Normal 26 54 6" xfId="18927"/>
    <cellStyle name="Normal 26 54 7" xfId="18928"/>
    <cellStyle name="Normal 26 54 8" xfId="18929"/>
    <cellStyle name="Normal 26 54 9" xfId="18930"/>
    <cellStyle name="Normal 26 55" xfId="18931"/>
    <cellStyle name="Normal 26 55 10" xfId="18932"/>
    <cellStyle name="Normal 26 55 11" xfId="18933"/>
    <cellStyle name="Normal 26 55 12" xfId="18934"/>
    <cellStyle name="Normal 26 55 13" xfId="18935"/>
    <cellStyle name="Normal 26 55 2" xfId="18936"/>
    <cellStyle name="Normal 26 55 3" xfId="18937"/>
    <cellStyle name="Normal 26 55 4" xfId="18938"/>
    <cellStyle name="Normal 26 55 5" xfId="18939"/>
    <cellStyle name="Normal 26 55 6" xfId="18940"/>
    <cellStyle name="Normal 26 55 7" xfId="18941"/>
    <cellStyle name="Normal 26 55 8" xfId="18942"/>
    <cellStyle name="Normal 26 55 9" xfId="18943"/>
    <cellStyle name="Normal 26 56" xfId="18944"/>
    <cellStyle name="Normal 26 56 10" xfId="18945"/>
    <cellStyle name="Normal 26 56 11" xfId="18946"/>
    <cellStyle name="Normal 26 56 12" xfId="18947"/>
    <cellStyle name="Normal 26 56 13" xfId="18948"/>
    <cellStyle name="Normal 26 56 2" xfId="18949"/>
    <cellStyle name="Normal 26 56 3" xfId="18950"/>
    <cellStyle name="Normal 26 56 4" xfId="18951"/>
    <cellStyle name="Normal 26 56 5" xfId="18952"/>
    <cellStyle name="Normal 26 56 6" xfId="18953"/>
    <cellStyle name="Normal 26 56 7" xfId="18954"/>
    <cellStyle name="Normal 26 56 8" xfId="18955"/>
    <cellStyle name="Normal 26 56 9" xfId="18956"/>
    <cellStyle name="Normal 26 57" xfId="18957"/>
    <cellStyle name="Normal 26 57 10" xfId="18958"/>
    <cellStyle name="Normal 26 57 11" xfId="18959"/>
    <cellStyle name="Normal 26 57 12" xfId="18960"/>
    <cellStyle name="Normal 26 57 13" xfId="18961"/>
    <cellStyle name="Normal 26 57 2" xfId="18962"/>
    <cellStyle name="Normal 26 57 3" xfId="18963"/>
    <cellStyle name="Normal 26 57 4" xfId="18964"/>
    <cellStyle name="Normal 26 57 5" xfId="18965"/>
    <cellStyle name="Normal 26 57 6" xfId="18966"/>
    <cellStyle name="Normal 26 57 7" xfId="18967"/>
    <cellStyle name="Normal 26 57 8" xfId="18968"/>
    <cellStyle name="Normal 26 57 9" xfId="18969"/>
    <cellStyle name="Normal 26 58" xfId="18970"/>
    <cellStyle name="Normal 26 58 10" xfId="18971"/>
    <cellStyle name="Normal 26 58 11" xfId="18972"/>
    <cellStyle name="Normal 26 58 12" xfId="18973"/>
    <cellStyle name="Normal 26 58 13" xfId="18974"/>
    <cellStyle name="Normal 26 58 2" xfId="18975"/>
    <cellStyle name="Normal 26 58 3" xfId="18976"/>
    <cellStyle name="Normal 26 58 4" xfId="18977"/>
    <cellStyle name="Normal 26 58 5" xfId="18978"/>
    <cellStyle name="Normal 26 58 6" xfId="18979"/>
    <cellStyle name="Normal 26 58 7" xfId="18980"/>
    <cellStyle name="Normal 26 58 8" xfId="18981"/>
    <cellStyle name="Normal 26 58 9" xfId="18982"/>
    <cellStyle name="Normal 26 59" xfId="18983"/>
    <cellStyle name="Normal 26 59 10" xfId="18984"/>
    <cellStyle name="Normal 26 59 11" xfId="18985"/>
    <cellStyle name="Normal 26 59 12" xfId="18986"/>
    <cellStyle name="Normal 26 59 13" xfId="18987"/>
    <cellStyle name="Normal 26 59 2" xfId="18988"/>
    <cellStyle name="Normal 26 59 3" xfId="18989"/>
    <cellStyle name="Normal 26 59 4" xfId="18990"/>
    <cellStyle name="Normal 26 59 5" xfId="18991"/>
    <cellStyle name="Normal 26 59 6" xfId="18992"/>
    <cellStyle name="Normal 26 59 7" xfId="18993"/>
    <cellStyle name="Normal 26 59 8" xfId="18994"/>
    <cellStyle name="Normal 26 59 9" xfId="18995"/>
    <cellStyle name="Normal 26 6" xfId="18996"/>
    <cellStyle name="Normal 26 6 10" xfId="18997"/>
    <cellStyle name="Normal 26 6 11" xfId="18998"/>
    <cellStyle name="Normal 26 6 12" xfId="18999"/>
    <cellStyle name="Normal 26 6 13" xfId="19000"/>
    <cellStyle name="Normal 26 6 2" xfId="19001"/>
    <cellStyle name="Normal 26 6 3" xfId="19002"/>
    <cellStyle name="Normal 26 6 4" xfId="19003"/>
    <cellStyle name="Normal 26 6 5" xfId="19004"/>
    <cellStyle name="Normal 26 6 6" xfId="19005"/>
    <cellStyle name="Normal 26 6 7" xfId="19006"/>
    <cellStyle name="Normal 26 6 8" xfId="19007"/>
    <cellStyle name="Normal 26 6 9" xfId="19008"/>
    <cellStyle name="Normal 26 60" xfId="19009"/>
    <cellStyle name="Normal 26 60 10" xfId="19010"/>
    <cellStyle name="Normal 26 60 11" xfId="19011"/>
    <cellStyle name="Normal 26 60 12" xfId="19012"/>
    <cellStyle name="Normal 26 60 13" xfId="19013"/>
    <cellStyle name="Normal 26 60 2" xfId="19014"/>
    <cellStyle name="Normal 26 60 3" xfId="19015"/>
    <cellStyle name="Normal 26 60 4" xfId="19016"/>
    <cellStyle name="Normal 26 60 5" xfId="19017"/>
    <cellStyle name="Normal 26 60 6" xfId="19018"/>
    <cellStyle name="Normal 26 60 7" xfId="19019"/>
    <cellStyle name="Normal 26 60 8" xfId="19020"/>
    <cellStyle name="Normal 26 60 9" xfId="19021"/>
    <cellStyle name="Normal 26 61" xfId="19022"/>
    <cellStyle name="Normal 26 61 10" xfId="19023"/>
    <cellStyle name="Normal 26 61 11" xfId="19024"/>
    <cellStyle name="Normal 26 61 12" xfId="19025"/>
    <cellStyle name="Normal 26 61 13" xfId="19026"/>
    <cellStyle name="Normal 26 61 2" xfId="19027"/>
    <cellStyle name="Normal 26 61 3" xfId="19028"/>
    <cellStyle name="Normal 26 61 4" xfId="19029"/>
    <cellStyle name="Normal 26 61 5" xfId="19030"/>
    <cellStyle name="Normal 26 61 6" xfId="19031"/>
    <cellStyle name="Normal 26 61 7" xfId="19032"/>
    <cellStyle name="Normal 26 61 8" xfId="19033"/>
    <cellStyle name="Normal 26 61 9" xfId="19034"/>
    <cellStyle name="Normal 26 62" xfId="19035"/>
    <cellStyle name="Normal 26 62 10" xfId="19036"/>
    <cellStyle name="Normal 26 62 11" xfId="19037"/>
    <cellStyle name="Normal 26 62 12" xfId="19038"/>
    <cellStyle name="Normal 26 62 13" xfId="19039"/>
    <cellStyle name="Normal 26 62 2" xfId="19040"/>
    <cellStyle name="Normal 26 62 3" xfId="19041"/>
    <cellStyle name="Normal 26 62 4" xfId="19042"/>
    <cellStyle name="Normal 26 62 5" xfId="19043"/>
    <cellStyle name="Normal 26 62 6" xfId="19044"/>
    <cellStyle name="Normal 26 62 7" xfId="19045"/>
    <cellStyle name="Normal 26 62 8" xfId="19046"/>
    <cellStyle name="Normal 26 62 9" xfId="19047"/>
    <cellStyle name="Normal 26 63" xfId="19048"/>
    <cellStyle name="Normal 26 63 10" xfId="19049"/>
    <cellStyle name="Normal 26 63 11" xfId="19050"/>
    <cellStyle name="Normal 26 63 12" xfId="19051"/>
    <cellStyle name="Normal 26 63 13" xfId="19052"/>
    <cellStyle name="Normal 26 63 2" xfId="19053"/>
    <cellStyle name="Normal 26 63 3" xfId="19054"/>
    <cellStyle name="Normal 26 63 4" xfId="19055"/>
    <cellStyle name="Normal 26 63 5" xfId="19056"/>
    <cellStyle name="Normal 26 63 6" xfId="19057"/>
    <cellStyle name="Normal 26 63 7" xfId="19058"/>
    <cellStyle name="Normal 26 63 8" xfId="19059"/>
    <cellStyle name="Normal 26 63 9" xfId="19060"/>
    <cellStyle name="Normal 26 64" xfId="19061"/>
    <cellStyle name="Normal 26 64 10" xfId="19062"/>
    <cellStyle name="Normal 26 64 11" xfId="19063"/>
    <cellStyle name="Normal 26 64 12" xfId="19064"/>
    <cellStyle name="Normal 26 64 13" xfId="19065"/>
    <cellStyle name="Normal 26 64 2" xfId="19066"/>
    <cellStyle name="Normal 26 64 3" xfId="19067"/>
    <cellStyle name="Normal 26 64 4" xfId="19068"/>
    <cellStyle name="Normal 26 64 5" xfId="19069"/>
    <cellStyle name="Normal 26 64 6" xfId="19070"/>
    <cellStyle name="Normal 26 64 7" xfId="19071"/>
    <cellStyle name="Normal 26 64 8" xfId="19072"/>
    <cellStyle name="Normal 26 64 9" xfId="19073"/>
    <cellStyle name="Normal 26 65" xfId="19074"/>
    <cellStyle name="Normal 26 65 10" xfId="19075"/>
    <cellStyle name="Normal 26 65 11" xfId="19076"/>
    <cellStyle name="Normal 26 65 12" xfId="19077"/>
    <cellStyle name="Normal 26 65 13" xfId="19078"/>
    <cellStyle name="Normal 26 65 2" xfId="19079"/>
    <cellStyle name="Normal 26 65 3" xfId="19080"/>
    <cellStyle name="Normal 26 65 4" xfId="19081"/>
    <cellStyle name="Normal 26 65 5" xfId="19082"/>
    <cellStyle name="Normal 26 65 6" xfId="19083"/>
    <cellStyle name="Normal 26 65 7" xfId="19084"/>
    <cellStyle name="Normal 26 65 8" xfId="19085"/>
    <cellStyle name="Normal 26 65 9" xfId="19086"/>
    <cellStyle name="Normal 26 66" xfId="19087"/>
    <cellStyle name="Normal 26 66 10" xfId="19088"/>
    <cellStyle name="Normal 26 66 11" xfId="19089"/>
    <cellStyle name="Normal 26 66 12" xfId="19090"/>
    <cellStyle name="Normal 26 66 13" xfId="19091"/>
    <cellStyle name="Normal 26 66 2" xfId="19092"/>
    <cellStyle name="Normal 26 66 3" xfId="19093"/>
    <cellStyle name="Normal 26 66 4" xfId="19094"/>
    <cellStyle name="Normal 26 66 5" xfId="19095"/>
    <cellStyle name="Normal 26 66 6" xfId="19096"/>
    <cellStyle name="Normal 26 66 7" xfId="19097"/>
    <cellStyle name="Normal 26 66 8" xfId="19098"/>
    <cellStyle name="Normal 26 66 9" xfId="19099"/>
    <cellStyle name="Normal 26 67" xfId="19100"/>
    <cellStyle name="Normal 26 67 10" xfId="19101"/>
    <cellStyle name="Normal 26 67 11" xfId="19102"/>
    <cellStyle name="Normal 26 67 12" xfId="19103"/>
    <cellStyle name="Normal 26 67 13" xfId="19104"/>
    <cellStyle name="Normal 26 67 2" xfId="19105"/>
    <cellStyle name="Normal 26 67 3" xfId="19106"/>
    <cellStyle name="Normal 26 67 4" xfId="19107"/>
    <cellStyle name="Normal 26 67 5" xfId="19108"/>
    <cellStyle name="Normal 26 67 6" xfId="19109"/>
    <cellStyle name="Normal 26 67 7" xfId="19110"/>
    <cellStyle name="Normal 26 67 8" xfId="19111"/>
    <cellStyle name="Normal 26 67 9" xfId="19112"/>
    <cellStyle name="Normal 26 68" xfId="19113"/>
    <cellStyle name="Normal 26 68 10" xfId="19114"/>
    <cellStyle name="Normal 26 68 11" xfId="19115"/>
    <cellStyle name="Normal 26 68 12" xfId="19116"/>
    <cellStyle name="Normal 26 68 13" xfId="19117"/>
    <cellStyle name="Normal 26 68 2" xfId="19118"/>
    <cellStyle name="Normal 26 68 3" xfId="19119"/>
    <cellStyle name="Normal 26 68 4" xfId="19120"/>
    <cellStyle name="Normal 26 68 5" xfId="19121"/>
    <cellStyle name="Normal 26 68 6" xfId="19122"/>
    <cellStyle name="Normal 26 68 7" xfId="19123"/>
    <cellStyle name="Normal 26 68 8" xfId="19124"/>
    <cellStyle name="Normal 26 68 9" xfId="19125"/>
    <cellStyle name="Normal 26 69" xfId="19126"/>
    <cellStyle name="Normal 26 69 10" xfId="19127"/>
    <cellStyle name="Normal 26 69 11" xfId="19128"/>
    <cellStyle name="Normal 26 69 12" xfId="19129"/>
    <cellStyle name="Normal 26 69 13" xfId="19130"/>
    <cellStyle name="Normal 26 69 2" xfId="19131"/>
    <cellStyle name="Normal 26 69 3" xfId="19132"/>
    <cellStyle name="Normal 26 69 4" xfId="19133"/>
    <cellStyle name="Normal 26 69 5" xfId="19134"/>
    <cellStyle name="Normal 26 69 6" xfId="19135"/>
    <cellStyle name="Normal 26 69 7" xfId="19136"/>
    <cellStyle name="Normal 26 69 8" xfId="19137"/>
    <cellStyle name="Normal 26 69 9" xfId="19138"/>
    <cellStyle name="Normal 26 7" xfId="19139"/>
    <cellStyle name="Normal 26 7 10" xfId="19140"/>
    <cellStyle name="Normal 26 7 11" xfId="19141"/>
    <cellStyle name="Normal 26 7 12" xfId="19142"/>
    <cellStyle name="Normal 26 7 13" xfId="19143"/>
    <cellStyle name="Normal 26 7 2" xfId="19144"/>
    <cellStyle name="Normal 26 7 3" xfId="19145"/>
    <cellStyle name="Normal 26 7 4" xfId="19146"/>
    <cellStyle name="Normal 26 7 5" xfId="19147"/>
    <cellStyle name="Normal 26 7 6" xfId="19148"/>
    <cellStyle name="Normal 26 7 7" xfId="19149"/>
    <cellStyle name="Normal 26 7 8" xfId="19150"/>
    <cellStyle name="Normal 26 7 9" xfId="19151"/>
    <cellStyle name="Normal 26 70" xfId="19152"/>
    <cellStyle name="Normal 26 70 10" xfId="19153"/>
    <cellStyle name="Normal 26 70 11" xfId="19154"/>
    <cellStyle name="Normal 26 70 12" xfId="19155"/>
    <cellStyle name="Normal 26 70 13" xfId="19156"/>
    <cellStyle name="Normal 26 70 2" xfId="19157"/>
    <cellStyle name="Normal 26 70 3" xfId="19158"/>
    <cellStyle name="Normal 26 70 4" xfId="19159"/>
    <cellStyle name="Normal 26 70 5" xfId="19160"/>
    <cellStyle name="Normal 26 70 6" xfId="19161"/>
    <cellStyle name="Normal 26 70 7" xfId="19162"/>
    <cellStyle name="Normal 26 70 8" xfId="19163"/>
    <cellStyle name="Normal 26 70 9" xfId="19164"/>
    <cellStyle name="Normal 26 71" xfId="19165"/>
    <cellStyle name="Normal 26 71 10" xfId="19166"/>
    <cellStyle name="Normal 26 71 11" xfId="19167"/>
    <cellStyle name="Normal 26 71 12" xfId="19168"/>
    <cellStyle name="Normal 26 71 13" xfId="19169"/>
    <cellStyle name="Normal 26 71 2" xfId="19170"/>
    <cellStyle name="Normal 26 71 3" xfId="19171"/>
    <cellStyle name="Normal 26 71 4" xfId="19172"/>
    <cellStyle name="Normal 26 71 5" xfId="19173"/>
    <cellStyle name="Normal 26 71 6" xfId="19174"/>
    <cellStyle name="Normal 26 71 7" xfId="19175"/>
    <cellStyle name="Normal 26 71 8" xfId="19176"/>
    <cellStyle name="Normal 26 71 9" xfId="19177"/>
    <cellStyle name="Normal 26 72" xfId="19178"/>
    <cellStyle name="Normal 26 73" xfId="19179"/>
    <cellStyle name="Normal 26 74" xfId="19180"/>
    <cellStyle name="Normal 26 75" xfId="19181"/>
    <cellStyle name="Normal 26 76" xfId="19182"/>
    <cellStyle name="Normal 26 77" xfId="19183"/>
    <cellStyle name="Normal 26 78" xfId="19184"/>
    <cellStyle name="Normal 26 79" xfId="19185"/>
    <cellStyle name="Normal 26 8" xfId="19186"/>
    <cellStyle name="Normal 26 8 10" xfId="19187"/>
    <cellStyle name="Normal 26 8 11" xfId="19188"/>
    <cellStyle name="Normal 26 8 12" xfId="19189"/>
    <cellStyle name="Normal 26 8 13" xfId="19190"/>
    <cellStyle name="Normal 26 8 2" xfId="19191"/>
    <cellStyle name="Normal 26 8 3" xfId="19192"/>
    <cellStyle name="Normal 26 8 4" xfId="19193"/>
    <cellStyle name="Normal 26 8 5" xfId="19194"/>
    <cellStyle name="Normal 26 8 6" xfId="19195"/>
    <cellStyle name="Normal 26 8 7" xfId="19196"/>
    <cellStyle name="Normal 26 8 8" xfId="19197"/>
    <cellStyle name="Normal 26 8 9" xfId="19198"/>
    <cellStyle name="Normal 26 80" xfId="19199"/>
    <cellStyle name="Normal 26 81" xfId="19200"/>
    <cellStyle name="Normal 26 82" xfId="19201"/>
    <cellStyle name="Normal 26 83" xfId="19202"/>
    <cellStyle name="Normal 26 9" xfId="19203"/>
    <cellStyle name="Normal 26 9 10" xfId="19204"/>
    <cellStyle name="Normal 26 9 11" xfId="19205"/>
    <cellStyle name="Normal 26 9 12" xfId="19206"/>
    <cellStyle name="Normal 26 9 13" xfId="19207"/>
    <cellStyle name="Normal 26 9 2" xfId="19208"/>
    <cellStyle name="Normal 26 9 3" xfId="19209"/>
    <cellStyle name="Normal 26 9 4" xfId="19210"/>
    <cellStyle name="Normal 26 9 5" xfId="19211"/>
    <cellStyle name="Normal 26 9 6" xfId="19212"/>
    <cellStyle name="Normal 26 9 7" xfId="19213"/>
    <cellStyle name="Normal 26 9 8" xfId="19214"/>
    <cellStyle name="Normal 26 9 9" xfId="19215"/>
    <cellStyle name="Normal 27" xfId="19216"/>
    <cellStyle name="Normal 27 10" xfId="19217"/>
    <cellStyle name="Normal 27 10 10" xfId="19218"/>
    <cellStyle name="Normal 27 10 11" xfId="19219"/>
    <cellStyle name="Normal 27 10 12" xfId="19220"/>
    <cellStyle name="Normal 27 10 13" xfId="19221"/>
    <cellStyle name="Normal 27 10 2" xfId="19222"/>
    <cellStyle name="Normal 27 10 3" xfId="19223"/>
    <cellStyle name="Normal 27 10 4" xfId="19224"/>
    <cellStyle name="Normal 27 10 5" xfId="19225"/>
    <cellStyle name="Normal 27 10 6" xfId="19226"/>
    <cellStyle name="Normal 27 10 7" xfId="19227"/>
    <cellStyle name="Normal 27 10 8" xfId="19228"/>
    <cellStyle name="Normal 27 10 9" xfId="19229"/>
    <cellStyle name="Normal 27 11" xfId="19230"/>
    <cellStyle name="Normal 27 11 10" xfId="19231"/>
    <cellStyle name="Normal 27 11 11" xfId="19232"/>
    <cellStyle name="Normal 27 11 12" xfId="19233"/>
    <cellStyle name="Normal 27 11 13" xfId="19234"/>
    <cellStyle name="Normal 27 11 2" xfId="19235"/>
    <cellStyle name="Normal 27 11 3" xfId="19236"/>
    <cellStyle name="Normal 27 11 4" xfId="19237"/>
    <cellStyle name="Normal 27 11 5" xfId="19238"/>
    <cellStyle name="Normal 27 11 6" xfId="19239"/>
    <cellStyle name="Normal 27 11 7" xfId="19240"/>
    <cellStyle name="Normal 27 11 8" xfId="19241"/>
    <cellStyle name="Normal 27 11 9" xfId="19242"/>
    <cellStyle name="Normal 27 12" xfId="19243"/>
    <cellStyle name="Normal 27 12 10" xfId="19244"/>
    <cellStyle name="Normal 27 12 11" xfId="19245"/>
    <cellStyle name="Normal 27 12 12" xfId="19246"/>
    <cellStyle name="Normal 27 12 13" xfId="19247"/>
    <cellStyle name="Normal 27 12 2" xfId="19248"/>
    <cellStyle name="Normal 27 12 3" xfId="19249"/>
    <cellStyle name="Normal 27 12 4" xfId="19250"/>
    <cellStyle name="Normal 27 12 5" xfId="19251"/>
    <cellStyle name="Normal 27 12 6" xfId="19252"/>
    <cellStyle name="Normal 27 12 7" xfId="19253"/>
    <cellStyle name="Normal 27 12 8" xfId="19254"/>
    <cellStyle name="Normal 27 12 9" xfId="19255"/>
    <cellStyle name="Normal 27 13" xfId="19256"/>
    <cellStyle name="Normal 27 13 10" xfId="19257"/>
    <cellStyle name="Normal 27 13 11" xfId="19258"/>
    <cellStyle name="Normal 27 13 12" xfId="19259"/>
    <cellStyle name="Normal 27 13 13" xfId="19260"/>
    <cellStyle name="Normal 27 13 2" xfId="19261"/>
    <cellStyle name="Normal 27 13 3" xfId="19262"/>
    <cellStyle name="Normal 27 13 4" xfId="19263"/>
    <cellStyle name="Normal 27 13 5" xfId="19264"/>
    <cellStyle name="Normal 27 13 6" xfId="19265"/>
    <cellStyle name="Normal 27 13 7" xfId="19266"/>
    <cellStyle name="Normal 27 13 8" xfId="19267"/>
    <cellStyle name="Normal 27 13 9" xfId="19268"/>
    <cellStyle name="Normal 27 14" xfId="19269"/>
    <cellStyle name="Normal 27 14 10" xfId="19270"/>
    <cellStyle name="Normal 27 14 11" xfId="19271"/>
    <cellStyle name="Normal 27 14 12" xfId="19272"/>
    <cellStyle name="Normal 27 14 13" xfId="19273"/>
    <cellStyle name="Normal 27 14 2" xfId="19274"/>
    <cellStyle name="Normal 27 14 3" xfId="19275"/>
    <cellStyle name="Normal 27 14 4" xfId="19276"/>
    <cellStyle name="Normal 27 14 5" xfId="19277"/>
    <cellStyle name="Normal 27 14 6" xfId="19278"/>
    <cellStyle name="Normal 27 14 7" xfId="19279"/>
    <cellStyle name="Normal 27 14 8" xfId="19280"/>
    <cellStyle name="Normal 27 14 9" xfId="19281"/>
    <cellStyle name="Normal 27 15" xfId="19282"/>
    <cellStyle name="Normal 27 15 10" xfId="19283"/>
    <cellStyle name="Normal 27 15 11" xfId="19284"/>
    <cellStyle name="Normal 27 15 12" xfId="19285"/>
    <cellStyle name="Normal 27 15 13" xfId="19286"/>
    <cellStyle name="Normal 27 15 2" xfId="19287"/>
    <cellStyle name="Normal 27 15 3" xfId="19288"/>
    <cellStyle name="Normal 27 15 4" xfId="19289"/>
    <cellStyle name="Normal 27 15 5" xfId="19290"/>
    <cellStyle name="Normal 27 15 6" xfId="19291"/>
    <cellStyle name="Normal 27 15 7" xfId="19292"/>
    <cellStyle name="Normal 27 15 8" xfId="19293"/>
    <cellStyle name="Normal 27 15 9" xfId="19294"/>
    <cellStyle name="Normal 27 16" xfId="19295"/>
    <cellStyle name="Normal 27 16 10" xfId="19296"/>
    <cellStyle name="Normal 27 16 11" xfId="19297"/>
    <cellStyle name="Normal 27 16 12" xfId="19298"/>
    <cellStyle name="Normal 27 16 13" xfId="19299"/>
    <cellStyle name="Normal 27 16 2" xfId="19300"/>
    <cellStyle name="Normal 27 16 3" xfId="19301"/>
    <cellStyle name="Normal 27 16 4" xfId="19302"/>
    <cellStyle name="Normal 27 16 5" xfId="19303"/>
    <cellStyle name="Normal 27 16 6" xfId="19304"/>
    <cellStyle name="Normal 27 16 7" xfId="19305"/>
    <cellStyle name="Normal 27 16 8" xfId="19306"/>
    <cellStyle name="Normal 27 16 9" xfId="19307"/>
    <cellStyle name="Normal 27 17" xfId="19308"/>
    <cellStyle name="Normal 27 17 10" xfId="19309"/>
    <cellStyle name="Normal 27 17 11" xfId="19310"/>
    <cellStyle name="Normal 27 17 12" xfId="19311"/>
    <cellStyle name="Normal 27 17 13" xfId="19312"/>
    <cellStyle name="Normal 27 17 2" xfId="19313"/>
    <cellStyle name="Normal 27 17 3" xfId="19314"/>
    <cellStyle name="Normal 27 17 4" xfId="19315"/>
    <cellStyle name="Normal 27 17 5" xfId="19316"/>
    <cellStyle name="Normal 27 17 6" xfId="19317"/>
    <cellStyle name="Normal 27 17 7" xfId="19318"/>
    <cellStyle name="Normal 27 17 8" xfId="19319"/>
    <cellStyle name="Normal 27 17 9" xfId="19320"/>
    <cellStyle name="Normal 27 18" xfId="19321"/>
    <cellStyle name="Normal 27 18 10" xfId="19322"/>
    <cellStyle name="Normal 27 18 11" xfId="19323"/>
    <cellStyle name="Normal 27 18 12" xfId="19324"/>
    <cellStyle name="Normal 27 18 13" xfId="19325"/>
    <cellStyle name="Normal 27 18 2" xfId="19326"/>
    <cellStyle name="Normal 27 18 3" xfId="19327"/>
    <cellStyle name="Normal 27 18 4" xfId="19328"/>
    <cellStyle name="Normal 27 18 5" xfId="19329"/>
    <cellStyle name="Normal 27 18 6" xfId="19330"/>
    <cellStyle name="Normal 27 18 7" xfId="19331"/>
    <cellStyle name="Normal 27 18 8" xfId="19332"/>
    <cellStyle name="Normal 27 18 9" xfId="19333"/>
    <cellStyle name="Normal 27 19" xfId="19334"/>
    <cellStyle name="Normal 27 19 10" xfId="19335"/>
    <cellStyle name="Normal 27 19 11" xfId="19336"/>
    <cellStyle name="Normal 27 19 12" xfId="19337"/>
    <cellStyle name="Normal 27 19 13" xfId="19338"/>
    <cellStyle name="Normal 27 19 2" xfId="19339"/>
    <cellStyle name="Normal 27 19 3" xfId="19340"/>
    <cellStyle name="Normal 27 19 4" xfId="19341"/>
    <cellStyle name="Normal 27 19 5" xfId="19342"/>
    <cellStyle name="Normal 27 19 6" xfId="19343"/>
    <cellStyle name="Normal 27 19 7" xfId="19344"/>
    <cellStyle name="Normal 27 19 8" xfId="19345"/>
    <cellStyle name="Normal 27 19 9" xfId="19346"/>
    <cellStyle name="Normal 27 2" xfId="19347"/>
    <cellStyle name="Normal 27 2 10" xfId="19348"/>
    <cellStyle name="Normal 27 2 11" xfId="19349"/>
    <cellStyle name="Normal 27 2 12" xfId="19350"/>
    <cellStyle name="Normal 27 2 13" xfId="19351"/>
    <cellStyle name="Normal 27 2 2" xfId="19352"/>
    <cellStyle name="Normal 27 2 3" xfId="19353"/>
    <cellStyle name="Normal 27 2 4" xfId="19354"/>
    <cellStyle name="Normal 27 2 5" xfId="19355"/>
    <cellStyle name="Normal 27 2 6" xfId="19356"/>
    <cellStyle name="Normal 27 2 7" xfId="19357"/>
    <cellStyle name="Normal 27 2 8" xfId="19358"/>
    <cellStyle name="Normal 27 2 9" xfId="19359"/>
    <cellStyle name="Normal 27 20" xfId="19360"/>
    <cellStyle name="Normal 27 20 10" xfId="19361"/>
    <cellStyle name="Normal 27 20 11" xfId="19362"/>
    <cellStyle name="Normal 27 20 12" xfId="19363"/>
    <cellStyle name="Normal 27 20 13" xfId="19364"/>
    <cellStyle name="Normal 27 20 2" xfId="19365"/>
    <cellStyle name="Normal 27 20 3" xfId="19366"/>
    <cellStyle name="Normal 27 20 4" xfId="19367"/>
    <cellStyle name="Normal 27 20 5" xfId="19368"/>
    <cellStyle name="Normal 27 20 6" xfId="19369"/>
    <cellStyle name="Normal 27 20 7" xfId="19370"/>
    <cellStyle name="Normal 27 20 8" xfId="19371"/>
    <cellStyle name="Normal 27 20 9" xfId="19372"/>
    <cellStyle name="Normal 27 21" xfId="19373"/>
    <cellStyle name="Normal 27 21 10" xfId="19374"/>
    <cellStyle name="Normal 27 21 11" xfId="19375"/>
    <cellStyle name="Normal 27 21 12" xfId="19376"/>
    <cellStyle name="Normal 27 21 13" xfId="19377"/>
    <cellStyle name="Normal 27 21 2" xfId="19378"/>
    <cellStyle name="Normal 27 21 3" xfId="19379"/>
    <cellStyle name="Normal 27 21 4" xfId="19380"/>
    <cellStyle name="Normal 27 21 5" xfId="19381"/>
    <cellStyle name="Normal 27 21 6" xfId="19382"/>
    <cellStyle name="Normal 27 21 7" xfId="19383"/>
    <cellStyle name="Normal 27 21 8" xfId="19384"/>
    <cellStyle name="Normal 27 21 9" xfId="19385"/>
    <cellStyle name="Normal 27 22" xfId="19386"/>
    <cellStyle name="Normal 27 22 10" xfId="19387"/>
    <cellStyle name="Normal 27 22 11" xfId="19388"/>
    <cellStyle name="Normal 27 22 12" xfId="19389"/>
    <cellStyle name="Normal 27 22 13" xfId="19390"/>
    <cellStyle name="Normal 27 22 2" xfId="19391"/>
    <cellStyle name="Normal 27 22 3" xfId="19392"/>
    <cellStyle name="Normal 27 22 4" xfId="19393"/>
    <cellStyle name="Normal 27 22 5" xfId="19394"/>
    <cellStyle name="Normal 27 22 6" xfId="19395"/>
    <cellStyle name="Normal 27 22 7" xfId="19396"/>
    <cellStyle name="Normal 27 22 8" xfId="19397"/>
    <cellStyle name="Normal 27 22 9" xfId="19398"/>
    <cellStyle name="Normal 27 23" xfId="19399"/>
    <cellStyle name="Normal 27 23 10" xfId="19400"/>
    <cellStyle name="Normal 27 23 11" xfId="19401"/>
    <cellStyle name="Normal 27 23 12" xfId="19402"/>
    <cellStyle name="Normal 27 23 13" xfId="19403"/>
    <cellStyle name="Normal 27 23 2" xfId="19404"/>
    <cellStyle name="Normal 27 23 3" xfId="19405"/>
    <cellStyle name="Normal 27 23 4" xfId="19406"/>
    <cellStyle name="Normal 27 23 5" xfId="19407"/>
    <cellStyle name="Normal 27 23 6" xfId="19408"/>
    <cellStyle name="Normal 27 23 7" xfId="19409"/>
    <cellStyle name="Normal 27 23 8" xfId="19410"/>
    <cellStyle name="Normal 27 23 9" xfId="19411"/>
    <cellStyle name="Normal 27 24" xfId="19412"/>
    <cellStyle name="Normal 27 24 10" xfId="19413"/>
    <cellStyle name="Normal 27 24 11" xfId="19414"/>
    <cellStyle name="Normal 27 24 12" xfId="19415"/>
    <cellStyle name="Normal 27 24 13" xfId="19416"/>
    <cellStyle name="Normal 27 24 2" xfId="19417"/>
    <cellStyle name="Normal 27 24 3" xfId="19418"/>
    <cellStyle name="Normal 27 24 4" xfId="19419"/>
    <cellStyle name="Normal 27 24 5" xfId="19420"/>
    <cellStyle name="Normal 27 24 6" xfId="19421"/>
    <cellStyle name="Normal 27 24 7" xfId="19422"/>
    <cellStyle name="Normal 27 24 8" xfId="19423"/>
    <cellStyle name="Normal 27 24 9" xfId="19424"/>
    <cellStyle name="Normal 27 25" xfId="19425"/>
    <cellStyle name="Normal 27 25 10" xfId="19426"/>
    <cellStyle name="Normal 27 25 11" xfId="19427"/>
    <cellStyle name="Normal 27 25 12" xfId="19428"/>
    <cellStyle name="Normal 27 25 13" xfId="19429"/>
    <cellStyle name="Normal 27 25 2" xfId="19430"/>
    <cellStyle name="Normal 27 25 3" xfId="19431"/>
    <cellStyle name="Normal 27 25 4" xfId="19432"/>
    <cellStyle name="Normal 27 25 5" xfId="19433"/>
    <cellStyle name="Normal 27 25 6" xfId="19434"/>
    <cellStyle name="Normal 27 25 7" xfId="19435"/>
    <cellStyle name="Normal 27 25 8" xfId="19436"/>
    <cellStyle name="Normal 27 25 9" xfId="19437"/>
    <cellStyle name="Normal 27 26" xfId="19438"/>
    <cellStyle name="Normal 27 26 10" xfId="19439"/>
    <cellStyle name="Normal 27 26 11" xfId="19440"/>
    <cellStyle name="Normal 27 26 12" xfId="19441"/>
    <cellStyle name="Normal 27 26 13" xfId="19442"/>
    <cellStyle name="Normal 27 26 2" xfId="19443"/>
    <cellStyle name="Normal 27 26 3" xfId="19444"/>
    <cellStyle name="Normal 27 26 4" xfId="19445"/>
    <cellStyle name="Normal 27 26 5" xfId="19446"/>
    <cellStyle name="Normal 27 26 6" xfId="19447"/>
    <cellStyle name="Normal 27 26 7" xfId="19448"/>
    <cellStyle name="Normal 27 26 8" xfId="19449"/>
    <cellStyle name="Normal 27 26 9" xfId="19450"/>
    <cellStyle name="Normal 27 27" xfId="19451"/>
    <cellStyle name="Normal 27 27 10" xfId="19452"/>
    <cellStyle name="Normal 27 27 11" xfId="19453"/>
    <cellStyle name="Normal 27 27 12" xfId="19454"/>
    <cellStyle name="Normal 27 27 13" xfId="19455"/>
    <cellStyle name="Normal 27 27 2" xfId="19456"/>
    <cellStyle name="Normal 27 27 3" xfId="19457"/>
    <cellStyle name="Normal 27 27 4" xfId="19458"/>
    <cellStyle name="Normal 27 27 5" xfId="19459"/>
    <cellStyle name="Normal 27 27 6" xfId="19460"/>
    <cellStyle name="Normal 27 27 7" xfId="19461"/>
    <cellStyle name="Normal 27 27 8" xfId="19462"/>
    <cellStyle name="Normal 27 27 9" xfId="19463"/>
    <cellStyle name="Normal 27 28" xfId="19464"/>
    <cellStyle name="Normal 27 28 10" xfId="19465"/>
    <cellStyle name="Normal 27 28 11" xfId="19466"/>
    <cellStyle name="Normal 27 28 12" xfId="19467"/>
    <cellStyle name="Normal 27 28 13" xfId="19468"/>
    <cellStyle name="Normal 27 28 2" xfId="19469"/>
    <cellStyle name="Normal 27 28 3" xfId="19470"/>
    <cellStyle name="Normal 27 28 4" xfId="19471"/>
    <cellStyle name="Normal 27 28 5" xfId="19472"/>
    <cellStyle name="Normal 27 28 6" xfId="19473"/>
    <cellStyle name="Normal 27 28 7" xfId="19474"/>
    <cellStyle name="Normal 27 28 8" xfId="19475"/>
    <cellStyle name="Normal 27 28 9" xfId="19476"/>
    <cellStyle name="Normal 27 29" xfId="19477"/>
    <cellStyle name="Normal 27 29 10" xfId="19478"/>
    <cellStyle name="Normal 27 29 11" xfId="19479"/>
    <cellStyle name="Normal 27 29 12" xfId="19480"/>
    <cellStyle name="Normal 27 29 13" xfId="19481"/>
    <cellStyle name="Normal 27 29 2" xfId="19482"/>
    <cellStyle name="Normal 27 29 3" xfId="19483"/>
    <cellStyle name="Normal 27 29 4" xfId="19484"/>
    <cellStyle name="Normal 27 29 5" xfId="19485"/>
    <cellStyle name="Normal 27 29 6" xfId="19486"/>
    <cellStyle name="Normal 27 29 7" xfId="19487"/>
    <cellStyle name="Normal 27 29 8" xfId="19488"/>
    <cellStyle name="Normal 27 29 9" xfId="19489"/>
    <cellStyle name="Normal 27 3" xfId="19490"/>
    <cellStyle name="Normal 27 3 10" xfId="19491"/>
    <cellStyle name="Normal 27 3 11" xfId="19492"/>
    <cellStyle name="Normal 27 3 12" xfId="19493"/>
    <cellStyle name="Normal 27 3 13" xfId="19494"/>
    <cellStyle name="Normal 27 3 2" xfId="19495"/>
    <cellStyle name="Normal 27 3 3" xfId="19496"/>
    <cellStyle name="Normal 27 3 4" xfId="19497"/>
    <cellStyle name="Normal 27 3 5" xfId="19498"/>
    <cellStyle name="Normal 27 3 6" xfId="19499"/>
    <cellStyle name="Normal 27 3 7" xfId="19500"/>
    <cellStyle name="Normal 27 3 8" xfId="19501"/>
    <cellStyle name="Normal 27 3 9" xfId="19502"/>
    <cellStyle name="Normal 27 30" xfId="19503"/>
    <cellStyle name="Normal 27 30 10" xfId="19504"/>
    <cellStyle name="Normal 27 30 11" xfId="19505"/>
    <cellStyle name="Normal 27 30 12" xfId="19506"/>
    <cellStyle name="Normal 27 30 13" xfId="19507"/>
    <cellStyle name="Normal 27 30 2" xfId="19508"/>
    <cellStyle name="Normal 27 30 3" xfId="19509"/>
    <cellStyle name="Normal 27 30 4" xfId="19510"/>
    <cellStyle name="Normal 27 30 5" xfId="19511"/>
    <cellStyle name="Normal 27 30 6" xfId="19512"/>
    <cellStyle name="Normal 27 30 7" xfId="19513"/>
    <cellStyle name="Normal 27 30 8" xfId="19514"/>
    <cellStyle name="Normal 27 30 9" xfId="19515"/>
    <cellStyle name="Normal 27 31" xfId="19516"/>
    <cellStyle name="Normal 27 31 10" xfId="19517"/>
    <cellStyle name="Normal 27 31 11" xfId="19518"/>
    <cellStyle name="Normal 27 31 12" xfId="19519"/>
    <cellStyle name="Normal 27 31 13" xfId="19520"/>
    <cellStyle name="Normal 27 31 2" xfId="19521"/>
    <cellStyle name="Normal 27 31 3" xfId="19522"/>
    <cellStyle name="Normal 27 31 4" xfId="19523"/>
    <cellStyle name="Normal 27 31 5" xfId="19524"/>
    <cellStyle name="Normal 27 31 6" xfId="19525"/>
    <cellStyle name="Normal 27 31 7" xfId="19526"/>
    <cellStyle name="Normal 27 31 8" xfId="19527"/>
    <cellStyle name="Normal 27 31 9" xfId="19528"/>
    <cellStyle name="Normal 27 32" xfId="19529"/>
    <cellStyle name="Normal 27 32 10" xfId="19530"/>
    <cellStyle name="Normal 27 32 11" xfId="19531"/>
    <cellStyle name="Normal 27 32 12" xfId="19532"/>
    <cellStyle name="Normal 27 32 13" xfId="19533"/>
    <cellStyle name="Normal 27 32 2" xfId="19534"/>
    <cellStyle name="Normal 27 32 3" xfId="19535"/>
    <cellStyle name="Normal 27 32 4" xfId="19536"/>
    <cellStyle name="Normal 27 32 5" xfId="19537"/>
    <cellStyle name="Normal 27 32 6" xfId="19538"/>
    <cellStyle name="Normal 27 32 7" xfId="19539"/>
    <cellStyle name="Normal 27 32 8" xfId="19540"/>
    <cellStyle name="Normal 27 32 9" xfId="19541"/>
    <cellStyle name="Normal 27 33" xfId="19542"/>
    <cellStyle name="Normal 27 33 10" xfId="19543"/>
    <cellStyle name="Normal 27 33 11" xfId="19544"/>
    <cellStyle name="Normal 27 33 12" xfId="19545"/>
    <cellStyle name="Normal 27 33 13" xfId="19546"/>
    <cellStyle name="Normal 27 33 2" xfId="19547"/>
    <cellStyle name="Normal 27 33 3" xfId="19548"/>
    <cellStyle name="Normal 27 33 4" xfId="19549"/>
    <cellStyle name="Normal 27 33 5" xfId="19550"/>
    <cellStyle name="Normal 27 33 6" xfId="19551"/>
    <cellStyle name="Normal 27 33 7" xfId="19552"/>
    <cellStyle name="Normal 27 33 8" xfId="19553"/>
    <cellStyle name="Normal 27 33 9" xfId="19554"/>
    <cellStyle name="Normal 27 34" xfId="19555"/>
    <cellStyle name="Normal 27 34 10" xfId="19556"/>
    <cellStyle name="Normal 27 34 11" xfId="19557"/>
    <cellStyle name="Normal 27 34 12" xfId="19558"/>
    <cellStyle name="Normal 27 34 13" xfId="19559"/>
    <cellStyle name="Normal 27 34 2" xfId="19560"/>
    <cellStyle name="Normal 27 34 3" xfId="19561"/>
    <cellStyle name="Normal 27 34 4" xfId="19562"/>
    <cellStyle name="Normal 27 34 5" xfId="19563"/>
    <cellStyle name="Normal 27 34 6" xfId="19564"/>
    <cellStyle name="Normal 27 34 7" xfId="19565"/>
    <cellStyle name="Normal 27 34 8" xfId="19566"/>
    <cellStyle name="Normal 27 34 9" xfId="19567"/>
    <cellStyle name="Normal 27 35" xfId="19568"/>
    <cellStyle name="Normal 27 35 10" xfId="19569"/>
    <cellStyle name="Normal 27 35 11" xfId="19570"/>
    <cellStyle name="Normal 27 35 12" xfId="19571"/>
    <cellStyle name="Normal 27 35 13" xfId="19572"/>
    <cellStyle name="Normal 27 35 2" xfId="19573"/>
    <cellStyle name="Normal 27 35 3" xfId="19574"/>
    <cellStyle name="Normal 27 35 4" xfId="19575"/>
    <cellStyle name="Normal 27 35 5" xfId="19576"/>
    <cellStyle name="Normal 27 35 6" xfId="19577"/>
    <cellStyle name="Normal 27 35 7" xfId="19578"/>
    <cellStyle name="Normal 27 35 8" xfId="19579"/>
    <cellStyle name="Normal 27 35 9" xfId="19580"/>
    <cellStyle name="Normal 27 36" xfId="19581"/>
    <cellStyle name="Normal 27 36 10" xfId="19582"/>
    <cellStyle name="Normal 27 36 11" xfId="19583"/>
    <cellStyle name="Normal 27 36 12" xfId="19584"/>
    <cellStyle name="Normal 27 36 13" xfId="19585"/>
    <cellStyle name="Normal 27 36 2" xfId="19586"/>
    <cellStyle name="Normal 27 36 3" xfId="19587"/>
    <cellStyle name="Normal 27 36 4" xfId="19588"/>
    <cellStyle name="Normal 27 36 5" xfId="19589"/>
    <cellStyle name="Normal 27 36 6" xfId="19590"/>
    <cellStyle name="Normal 27 36 7" xfId="19591"/>
    <cellStyle name="Normal 27 36 8" xfId="19592"/>
    <cellStyle name="Normal 27 36 9" xfId="19593"/>
    <cellStyle name="Normal 27 37" xfId="19594"/>
    <cellStyle name="Normal 27 37 10" xfId="19595"/>
    <cellStyle name="Normal 27 37 11" xfId="19596"/>
    <cellStyle name="Normal 27 37 12" xfId="19597"/>
    <cellStyle name="Normal 27 37 13" xfId="19598"/>
    <cellStyle name="Normal 27 37 2" xfId="19599"/>
    <cellStyle name="Normal 27 37 3" xfId="19600"/>
    <cellStyle name="Normal 27 37 4" xfId="19601"/>
    <cellStyle name="Normal 27 37 5" xfId="19602"/>
    <cellStyle name="Normal 27 37 6" xfId="19603"/>
    <cellStyle name="Normal 27 37 7" xfId="19604"/>
    <cellStyle name="Normal 27 37 8" xfId="19605"/>
    <cellStyle name="Normal 27 37 9" xfId="19606"/>
    <cellStyle name="Normal 27 38" xfId="19607"/>
    <cellStyle name="Normal 27 38 10" xfId="19608"/>
    <cellStyle name="Normal 27 38 11" xfId="19609"/>
    <cellStyle name="Normal 27 38 12" xfId="19610"/>
    <cellStyle name="Normal 27 38 13" xfId="19611"/>
    <cellStyle name="Normal 27 38 2" xfId="19612"/>
    <cellStyle name="Normal 27 38 3" xfId="19613"/>
    <cellStyle name="Normal 27 38 4" xfId="19614"/>
    <cellStyle name="Normal 27 38 5" xfId="19615"/>
    <cellStyle name="Normal 27 38 6" xfId="19616"/>
    <cellStyle name="Normal 27 38 7" xfId="19617"/>
    <cellStyle name="Normal 27 38 8" xfId="19618"/>
    <cellStyle name="Normal 27 38 9" xfId="19619"/>
    <cellStyle name="Normal 27 39" xfId="19620"/>
    <cellStyle name="Normal 27 39 10" xfId="19621"/>
    <cellStyle name="Normal 27 39 11" xfId="19622"/>
    <cellStyle name="Normal 27 39 12" xfId="19623"/>
    <cellStyle name="Normal 27 39 13" xfId="19624"/>
    <cellStyle name="Normal 27 39 2" xfId="19625"/>
    <cellStyle name="Normal 27 39 3" xfId="19626"/>
    <cellStyle name="Normal 27 39 4" xfId="19627"/>
    <cellStyle name="Normal 27 39 5" xfId="19628"/>
    <cellStyle name="Normal 27 39 6" xfId="19629"/>
    <cellStyle name="Normal 27 39 7" xfId="19630"/>
    <cellStyle name="Normal 27 39 8" xfId="19631"/>
    <cellStyle name="Normal 27 39 9" xfId="19632"/>
    <cellStyle name="Normal 27 4" xfId="19633"/>
    <cellStyle name="Normal 27 4 10" xfId="19634"/>
    <cellStyle name="Normal 27 4 11" xfId="19635"/>
    <cellStyle name="Normal 27 4 12" xfId="19636"/>
    <cellStyle name="Normal 27 4 13" xfId="19637"/>
    <cellStyle name="Normal 27 4 2" xfId="19638"/>
    <cellStyle name="Normal 27 4 3" xfId="19639"/>
    <cellStyle name="Normal 27 4 4" xfId="19640"/>
    <cellStyle name="Normal 27 4 5" xfId="19641"/>
    <cellStyle name="Normal 27 4 6" xfId="19642"/>
    <cellStyle name="Normal 27 4 7" xfId="19643"/>
    <cellStyle name="Normal 27 4 8" xfId="19644"/>
    <cellStyle name="Normal 27 4 9" xfId="19645"/>
    <cellStyle name="Normal 27 40" xfId="19646"/>
    <cellStyle name="Normal 27 40 10" xfId="19647"/>
    <cellStyle name="Normal 27 40 11" xfId="19648"/>
    <cellStyle name="Normal 27 40 12" xfId="19649"/>
    <cellStyle name="Normal 27 40 13" xfId="19650"/>
    <cellStyle name="Normal 27 40 2" xfId="19651"/>
    <cellStyle name="Normal 27 40 3" xfId="19652"/>
    <cellStyle name="Normal 27 40 4" xfId="19653"/>
    <cellStyle name="Normal 27 40 5" xfId="19654"/>
    <cellStyle name="Normal 27 40 6" xfId="19655"/>
    <cellStyle name="Normal 27 40 7" xfId="19656"/>
    <cellStyle name="Normal 27 40 8" xfId="19657"/>
    <cellStyle name="Normal 27 40 9" xfId="19658"/>
    <cellStyle name="Normal 27 41" xfId="19659"/>
    <cellStyle name="Normal 27 41 10" xfId="19660"/>
    <cellStyle name="Normal 27 41 11" xfId="19661"/>
    <cellStyle name="Normal 27 41 12" xfId="19662"/>
    <cellStyle name="Normal 27 41 13" xfId="19663"/>
    <cellStyle name="Normal 27 41 2" xfId="19664"/>
    <cellStyle name="Normal 27 41 3" xfId="19665"/>
    <cellStyle name="Normal 27 41 4" xfId="19666"/>
    <cellStyle name="Normal 27 41 5" xfId="19667"/>
    <cellStyle name="Normal 27 41 6" xfId="19668"/>
    <cellStyle name="Normal 27 41 7" xfId="19669"/>
    <cellStyle name="Normal 27 41 8" xfId="19670"/>
    <cellStyle name="Normal 27 41 9" xfId="19671"/>
    <cellStyle name="Normal 27 42" xfId="19672"/>
    <cellStyle name="Normal 27 42 10" xfId="19673"/>
    <cellStyle name="Normal 27 42 11" xfId="19674"/>
    <cellStyle name="Normal 27 42 12" xfId="19675"/>
    <cellStyle name="Normal 27 42 13" xfId="19676"/>
    <cellStyle name="Normal 27 42 2" xfId="19677"/>
    <cellStyle name="Normal 27 42 3" xfId="19678"/>
    <cellStyle name="Normal 27 42 4" xfId="19679"/>
    <cellStyle name="Normal 27 42 5" xfId="19680"/>
    <cellStyle name="Normal 27 42 6" xfId="19681"/>
    <cellStyle name="Normal 27 42 7" xfId="19682"/>
    <cellStyle name="Normal 27 42 8" xfId="19683"/>
    <cellStyle name="Normal 27 42 9" xfId="19684"/>
    <cellStyle name="Normal 27 43" xfId="19685"/>
    <cellStyle name="Normal 27 43 10" xfId="19686"/>
    <cellStyle name="Normal 27 43 11" xfId="19687"/>
    <cellStyle name="Normal 27 43 12" xfId="19688"/>
    <cellStyle name="Normal 27 43 13" xfId="19689"/>
    <cellStyle name="Normal 27 43 2" xfId="19690"/>
    <cellStyle name="Normal 27 43 3" xfId="19691"/>
    <cellStyle name="Normal 27 43 4" xfId="19692"/>
    <cellStyle name="Normal 27 43 5" xfId="19693"/>
    <cellStyle name="Normal 27 43 6" xfId="19694"/>
    <cellStyle name="Normal 27 43 7" xfId="19695"/>
    <cellStyle name="Normal 27 43 8" xfId="19696"/>
    <cellStyle name="Normal 27 43 9" xfId="19697"/>
    <cellStyle name="Normal 27 44" xfId="19698"/>
    <cellStyle name="Normal 27 44 10" xfId="19699"/>
    <cellStyle name="Normal 27 44 11" xfId="19700"/>
    <cellStyle name="Normal 27 44 12" xfId="19701"/>
    <cellStyle name="Normal 27 44 13" xfId="19702"/>
    <cellStyle name="Normal 27 44 2" xfId="19703"/>
    <cellStyle name="Normal 27 44 3" xfId="19704"/>
    <cellStyle name="Normal 27 44 4" xfId="19705"/>
    <cellStyle name="Normal 27 44 5" xfId="19706"/>
    <cellStyle name="Normal 27 44 6" xfId="19707"/>
    <cellStyle name="Normal 27 44 7" xfId="19708"/>
    <cellStyle name="Normal 27 44 8" xfId="19709"/>
    <cellStyle name="Normal 27 44 9" xfId="19710"/>
    <cellStyle name="Normal 27 45" xfId="19711"/>
    <cellStyle name="Normal 27 45 10" xfId="19712"/>
    <cellStyle name="Normal 27 45 11" xfId="19713"/>
    <cellStyle name="Normal 27 45 12" xfId="19714"/>
    <cellStyle name="Normal 27 45 13" xfId="19715"/>
    <cellStyle name="Normal 27 45 2" xfId="19716"/>
    <cellStyle name="Normal 27 45 3" xfId="19717"/>
    <cellStyle name="Normal 27 45 4" xfId="19718"/>
    <cellStyle name="Normal 27 45 5" xfId="19719"/>
    <cellStyle name="Normal 27 45 6" xfId="19720"/>
    <cellStyle name="Normal 27 45 7" xfId="19721"/>
    <cellStyle name="Normal 27 45 8" xfId="19722"/>
    <cellStyle name="Normal 27 45 9" xfId="19723"/>
    <cellStyle name="Normal 27 46" xfId="19724"/>
    <cellStyle name="Normal 27 46 10" xfId="19725"/>
    <cellStyle name="Normal 27 46 11" xfId="19726"/>
    <cellStyle name="Normal 27 46 12" xfId="19727"/>
    <cellStyle name="Normal 27 46 13" xfId="19728"/>
    <cellStyle name="Normal 27 46 2" xfId="19729"/>
    <cellStyle name="Normal 27 46 3" xfId="19730"/>
    <cellStyle name="Normal 27 46 4" xfId="19731"/>
    <cellStyle name="Normal 27 46 5" xfId="19732"/>
    <cellStyle name="Normal 27 46 6" xfId="19733"/>
    <cellStyle name="Normal 27 46 7" xfId="19734"/>
    <cellStyle name="Normal 27 46 8" xfId="19735"/>
    <cellStyle name="Normal 27 46 9" xfId="19736"/>
    <cellStyle name="Normal 27 47" xfId="19737"/>
    <cellStyle name="Normal 27 47 10" xfId="19738"/>
    <cellStyle name="Normal 27 47 11" xfId="19739"/>
    <cellStyle name="Normal 27 47 12" xfId="19740"/>
    <cellStyle name="Normal 27 47 13" xfId="19741"/>
    <cellStyle name="Normal 27 47 2" xfId="19742"/>
    <cellStyle name="Normal 27 47 3" xfId="19743"/>
    <cellStyle name="Normal 27 47 4" xfId="19744"/>
    <cellStyle name="Normal 27 47 5" xfId="19745"/>
    <cellStyle name="Normal 27 47 6" xfId="19746"/>
    <cellStyle name="Normal 27 47 7" xfId="19747"/>
    <cellStyle name="Normal 27 47 8" xfId="19748"/>
    <cellStyle name="Normal 27 47 9" xfId="19749"/>
    <cellStyle name="Normal 27 48" xfId="19750"/>
    <cellStyle name="Normal 27 48 10" xfId="19751"/>
    <cellStyle name="Normal 27 48 11" xfId="19752"/>
    <cellStyle name="Normal 27 48 12" xfId="19753"/>
    <cellStyle name="Normal 27 48 13" xfId="19754"/>
    <cellStyle name="Normal 27 48 2" xfId="19755"/>
    <cellStyle name="Normal 27 48 3" xfId="19756"/>
    <cellStyle name="Normal 27 48 4" xfId="19757"/>
    <cellStyle name="Normal 27 48 5" xfId="19758"/>
    <cellStyle name="Normal 27 48 6" xfId="19759"/>
    <cellStyle name="Normal 27 48 7" xfId="19760"/>
    <cellStyle name="Normal 27 48 8" xfId="19761"/>
    <cellStyle name="Normal 27 48 9" xfId="19762"/>
    <cellStyle name="Normal 27 49" xfId="19763"/>
    <cellStyle name="Normal 27 49 10" xfId="19764"/>
    <cellStyle name="Normal 27 49 11" xfId="19765"/>
    <cellStyle name="Normal 27 49 12" xfId="19766"/>
    <cellStyle name="Normal 27 49 13" xfId="19767"/>
    <cellStyle name="Normal 27 49 2" xfId="19768"/>
    <cellStyle name="Normal 27 49 3" xfId="19769"/>
    <cellStyle name="Normal 27 49 4" xfId="19770"/>
    <cellStyle name="Normal 27 49 5" xfId="19771"/>
    <cellStyle name="Normal 27 49 6" xfId="19772"/>
    <cellStyle name="Normal 27 49 7" xfId="19773"/>
    <cellStyle name="Normal 27 49 8" xfId="19774"/>
    <cellStyle name="Normal 27 49 9" xfId="19775"/>
    <cellStyle name="Normal 27 5" xfId="19776"/>
    <cellStyle name="Normal 27 5 10" xfId="19777"/>
    <cellStyle name="Normal 27 5 11" xfId="19778"/>
    <cellStyle name="Normal 27 5 12" xfId="19779"/>
    <cellStyle name="Normal 27 5 13" xfId="19780"/>
    <cellStyle name="Normal 27 5 2" xfId="19781"/>
    <cellStyle name="Normal 27 5 3" xfId="19782"/>
    <cellStyle name="Normal 27 5 4" xfId="19783"/>
    <cellStyle name="Normal 27 5 5" xfId="19784"/>
    <cellStyle name="Normal 27 5 6" xfId="19785"/>
    <cellStyle name="Normal 27 5 7" xfId="19786"/>
    <cellStyle name="Normal 27 5 8" xfId="19787"/>
    <cellStyle name="Normal 27 5 9" xfId="19788"/>
    <cellStyle name="Normal 27 50" xfId="19789"/>
    <cellStyle name="Normal 27 50 10" xfId="19790"/>
    <cellStyle name="Normal 27 50 11" xfId="19791"/>
    <cellStyle name="Normal 27 50 12" xfId="19792"/>
    <cellStyle name="Normal 27 50 13" xfId="19793"/>
    <cellStyle name="Normal 27 50 2" xfId="19794"/>
    <cellStyle name="Normal 27 50 3" xfId="19795"/>
    <cellStyle name="Normal 27 50 4" xfId="19796"/>
    <cellStyle name="Normal 27 50 5" xfId="19797"/>
    <cellStyle name="Normal 27 50 6" xfId="19798"/>
    <cellStyle name="Normal 27 50 7" xfId="19799"/>
    <cellStyle name="Normal 27 50 8" xfId="19800"/>
    <cellStyle name="Normal 27 50 9" xfId="19801"/>
    <cellStyle name="Normal 27 51" xfId="19802"/>
    <cellStyle name="Normal 27 51 10" xfId="19803"/>
    <cellStyle name="Normal 27 51 11" xfId="19804"/>
    <cellStyle name="Normal 27 51 12" xfId="19805"/>
    <cellStyle name="Normal 27 51 13" xfId="19806"/>
    <cellStyle name="Normal 27 51 2" xfId="19807"/>
    <cellStyle name="Normal 27 51 3" xfId="19808"/>
    <cellStyle name="Normal 27 51 4" xfId="19809"/>
    <cellStyle name="Normal 27 51 5" xfId="19810"/>
    <cellStyle name="Normal 27 51 6" xfId="19811"/>
    <cellStyle name="Normal 27 51 7" xfId="19812"/>
    <cellStyle name="Normal 27 51 8" xfId="19813"/>
    <cellStyle name="Normal 27 51 9" xfId="19814"/>
    <cellStyle name="Normal 27 52" xfId="19815"/>
    <cellStyle name="Normal 27 52 10" xfId="19816"/>
    <cellStyle name="Normal 27 52 11" xfId="19817"/>
    <cellStyle name="Normal 27 52 12" xfId="19818"/>
    <cellStyle name="Normal 27 52 13" xfId="19819"/>
    <cellStyle name="Normal 27 52 2" xfId="19820"/>
    <cellStyle name="Normal 27 52 3" xfId="19821"/>
    <cellStyle name="Normal 27 52 4" xfId="19822"/>
    <cellStyle name="Normal 27 52 5" xfId="19823"/>
    <cellStyle name="Normal 27 52 6" xfId="19824"/>
    <cellStyle name="Normal 27 52 7" xfId="19825"/>
    <cellStyle name="Normal 27 52 8" xfId="19826"/>
    <cellStyle name="Normal 27 52 9" xfId="19827"/>
    <cellStyle name="Normal 27 53" xfId="19828"/>
    <cellStyle name="Normal 27 53 10" xfId="19829"/>
    <cellStyle name="Normal 27 53 11" xfId="19830"/>
    <cellStyle name="Normal 27 53 12" xfId="19831"/>
    <cellStyle name="Normal 27 53 13" xfId="19832"/>
    <cellStyle name="Normal 27 53 2" xfId="19833"/>
    <cellStyle name="Normal 27 53 3" xfId="19834"/>
    <cellStyle name="Normal 27 53 4" xfId="19835"/>
    <cellStyle name="Normal 27 53 5" xfId="19836"/>
    <cellStyle name="Normal 27 53 6" xfId="19837"/>
    <cellStyle name="Normal 27 53 7" xfId="19838"/>
    <cellStyle name="Normal 27 53 8" xfId="19839"/>
    <cellStyle name="Normal 27 53 9" xfId="19840"/>
    <cellStyle name="Normal 27 54" xfId="19841"/>
    <cellStyle name="Normal 27 54 10" xfId="19842"/>
    <cellStyle name="Normal 27 54 11" xfId="19843"/>
    <cellStyle name="Normal 27 54 12" xfId="19844"/>
    <cellStyle name="Normal 27 54 13" xfId="19845"/>
    <cellStyle name="Normal 27 54 2" xfId="19846"/>
    <cellStyle name="Normal 27 54 3" xfId="19847"/>
    <cellStyle name="Normal 27 54 4" xfId="19848"/>
    <cellStyle name="Normal 27 54 5" xfId="19849"/>
    <cellStyle name="Normal 27 54 6" xfId="19850"/>
    <cellStyle name="Normal 27 54 7" xfId="19851"/>
    <cellStyle name="Normal 27 54 8" xfId="19852"/>
    <cellStyle name="Normal 27 54 9" xfId="19853"/>
    <cellStyle name="Normal 27 55" xfId="19854"/>
    <cellStyle name="Normal 27 55 10" xfId="19855"/>
    <cellStyle name="Normal 27 55 11" xfId="19856"/>
    <cellStyle name="Normal 27 55 12" xfId="19857"/>
    <cellStyle name="Normal 27 55 13" xfId="19858"/>
    <cellStyle name="Normal 27 55 2" xfId="19859"/>
    <cellStyle name="Normal 27 55 3" xfId="19860"/>
    <cellStyle name="Normal 27 55 4" xfId="19861"/>
    <cellStyle name="Normal 27 55 5" xfId="19862"/>
    <cellStyle name="Normal 27 55 6" xfId="19863"/>
    <cellStyle name="Normal 27 55 7" xfId="19864"/>
    <cellStyle name="Normal 27 55 8" xfId="19865"/>
    <cellStyle name="Normal 27 55 9" xfId="19866"/>
    <cellStyle name="Normal 27 56" xfId="19867"/>
    <cellStyle name="Normal 27 56 10" xfId="19868"/>
    <cellStyle name="Normal 27 56 11" xfId="19869"/>
    <cellStyle name="Normal 27 56 12" xfId="19870"/>
    <cellStyle name="Normal 27 56 13" xfId="19871"/>
    <cellStyle name="Normal 27 56 2" xfId="19872"/>
    <cellStyle name="Normal 27 56 3" xfId="19873"/>
    <cellStyle name="Normal 27 56 4" xfId="19874"/>
    <cellStyle name="Normal 27 56 5" xfId="19875"/>
    <cellStyle name="Normal 27 56 6" xfId="19876"/>
    <cellStyle name="Normal 27 56 7" xfId="19877"/>
    <cellStyle name="Normal 27 56 8" xfId="19878"/>
    <cellStyle name="Normal 27 56 9" xfId="19879"/>
    <cellStyle name="Normal 27 57" xfId="19880"/>
    <cellStyle name="Normal 27 57 10" xfId="19881"/>
    <cellStyle name="Normal 27 57 11" xfId="19882"/>
    <cellStyle name="Normal 27 57 12" xfId="19883"/>
    <cellStyle name="Normal 27 57 13" xfId="19884"/>
    <cellStyle name="Normal 27 57 2" xfId="19885"/>
    <cellStyle name="Normal 27 57 3" xfId="19886"/>
    <cellStyle name="Normal 27 57 4" xfId="19887"/>
    <cellStyle name="Normal 27 57 5" xfId="19888"/>
    <cellStyle name="Normal 27 57 6" xfId="19889"/>
    <cellStyle name="Normal 27 57 7" xfId="19890"/>
    <cellStyle name="Normal 27 57 8" xfId="19891"/>
    <cellStyle name="Normal 27 57 9" xfId="19892"/>
    <cellStyle name="Normal 27 58" xfId="19893"/>
    <cellStyle name="Normal 27 58 10" xfId="19894"/>
    <cellStyle name="Normal 27 58 11" xfId="19895"/>
    <cellStyle name="Normal 27 58 12" xfId="19896"/>
    <cellStyle name="Normal 27 58 13" xfId="19897"/>
    <cellStyle name="Normal 27 58 2" xfId="19898"/>
    <cellStyle name="Normal 27 58 3" xfId="19899"/>
    <cellStyle name="Normal 27 58 4" xfId="19900"/>
    <cellStyle name="Normal 27 58 5" xfId="19901"/>
    <cellStyle name="Normal 27 58 6" xfId="19902"/>
    <cellStyle name="Normal 27 58 7" xfId="19903"/>
    <cellStyle name="Normal 27 58 8" xfId="19904"/>
    <cellStyle name="Normal 27 58 9" xfId="19905"/>
    <cellStyle name="Normal 27 59" xfId="19906"/>
    <cellStyle name="Normal 27 59 10" xfId="19907"/>
    <cellStyle name="Normal 27 59 11" xfId="19908"/>
    <cellStyle name="Normal 27 59 12" xfId="19909"/>
    <cellStyle name="Normal 27 59 13" xfId="19910"/>
    <cellStyle name="Normal 27 59 2" xfId="19911"/>
    <cellStyle name="Normal 27 59 3" xfId="19912"/>
    <cellStyle name="Normal 27 59 4" xfId="19913"/>
    <cellStyle name="Normal 27 59 5" xfId="19914"/>
    <cellStyle name="Normal 27 59 6" xfId="19915"/>
    <cellStyle name="Normal 27 59 7" xfId="19916"/>
    <cellStyle name="Normal 27 59 8" xfId="19917"/>
    <cellStyle name="Normal 27 59 9" xfId="19918"/>
    <cellStyle name="Normal 27 6" xfId="19919"/>
    <cellStyle name="Normal 27 6 10" xfId="19920"/>
    <cellStyle name="Normal 27 6 11" xfId="19921"/>
    <cellStyle name="Normal 27 6 12" xfId="19922"/>
    <cellStyle name="Normal 27 6 13" xfId="19923"/>
    <cellStyle name="Normal 27 6 2" xfId="19924"/>
    <cellStyle name="Normal 27 6 3" xfId="19925"/>
    <cellStyle name="Normal 27 6 4" xfId="19926"/>
    <cellStyle name="Normal 27 6 5" xfId="19927"/>
    <cellStyle name="Normal 27 6 6" xfId="19928"/>
    <cellStyle name="Normal 27 6 7" xfId="19929"/>
    <cellStyle name="Normal 27 6 8" xfId="19930"/>
    <cellStyle name="Normal 27 6 9" xfId="19931"/>
    <cellStyle name="Normal 27 60" xfId="19932"/>
    <cellStyle name="Normal 27 60 10" xfId="19933"/>
    <cellStyle name="Normal 27 60 11" xfId="19934"/>
    <cellStyle name="Normal 27 60 12" xfId="19935"/>
    <cellStyle name="Normal 27 60 13" xfId="19936"/>
    <cellStyle name="Normal 27 60 2" xfId="19937"/>
    <cellStyle name="Normal 27 60 3" xfId="19938"/>
    <cellStyle name="Normal 27 60 4" xfId="19939"/>
    <cellStyle name="Normal 27 60 5" xfId="19940"/>
    <cellStyle name="Normal 27 60 6" xfId="19941"/>
    <cellStyle name="Normal 27 60 7" xfId="19942"/>
    <cellStyle name="Normal 27 60 8" xfId="19943"/>
    <cellStyle name="Normal 27 60 9" xfId="19944"/>
    <cellStyle name="Normal 27 61" xfId="19945"/>
    <cellStyle name="Normal 27 61 10" xfId="19946"/>
    <cellStyle name="Normal 27 61 11" xfId="19947"/>
    <cellStyle name="Normal 27 61 12" xfId="19948"/>
    <cellStyle name="Normal 27 61 13" xfId="19949"/>
    <cellStyle name="Normal 27 61 2" xfId="19950"/>
    <cellStyle name="Normal 27 61 3" xfId="19951"/>
    <cellStyle name="Normal 27 61 4" xfId="19952"/>
    <cellStyle name="Normal 27 61 5" xfId="19953"/>
    <cellStyle name="Normal 27 61 6" xfId="19954"/>
    <cellStyle name="Normal 27 61 7" xfId="19955"/>
    <cellStyle name="Normal 27 61 8" xfId="19956"/>
    <cellStyle name="Normal 27 61 9" xfId="19957"/>
    <cellStyle name="Normal 27 62" xfId="19958"/>
    <cellStyle name="Normal 27 62 10" xfId="19959"/>
    <cellStyle name="Normal 27 62 11" xfId="19960"/>
    <cellStyle name="Normal 27 62 12" xfId="19961"/>
    <cellStyle name="Normal 27 62 13" xfId="19962"/>
    <cellStyle name="Normal 27 62 2" xfId="19963"/>
    <cellStyle name="Normal 27 62 3" xfId="19964"/>
    <cellStyle name="Normal 27 62 4" xfId="19965"/>
    <cellStyle name="Normal 27 62 5" xfId="19966"/>
    <cellStyle name="Normal 27 62 6" xfId="19967"/>
    <cellStyle name="Normal 27 62 7" xfId="19968"/>
    <cellStyle name="Normal 27 62 8" xfId="19969"/>
    <cellStyle name="Normal 27 62 9" xfId="19970"/>
    <cellStyle name="Normal 27 63" xfId="19971"/>
    <cellStyle name="Normal 27 63 10" xfId="19972"/>
    <cellStyle name="Normal 27 63 11" xfId="19973"/>
    <cellStyle name="Normal 27 63 12" xfId="19974"/>
    <cellStyle name="Normal 27 63 13" xfId="19975"/>
    <cellStyle name="Normal 27 63 2" xfId="19976"/>
    <cellStyle name="Normal 27 63 3" xfId="19977"/>
    <cellStyle name="Normal 27 63 4" xfId="19978"/>
    <cellStyle name="Normal 27 63 5" xfId="19979"/>
    <cellStyle name="Normal 27 63 6" xfId="19980"/>
    <cellStyle name="Normal 27 63 7" xfId="19981"/>
    <cellStyle name="Normal 27 63 8" xfId="19982"/>
    <cellStyle name="Normal 27 63 9" xfId="19983"/>
    <cellStyle name="Normal 27 64" xfId="19984"/>
    <cellStyle name="Normal 27 64 10" xfId="19985"/>
    <cellStyle name="Normal 27 64 11" xfId="19986"/>
    <cellStyle name="Normal 27 64 12" xfId="19987"/>
    <cellStyle name="Normal 27 64 13" xfId="19988"/>
    <cellStyle name="Normal 27 64 2" xfId="19989"/>
    <cellStyle name="Normal 27 64 3" xfId="19990"/>
    <cellStyle name="Normal 27 64 4" xfId="19991"/>
    <cellStyle name="Normal 27 64 5" xfId="19992"/>
    <cellStyle name="Normal 27 64 6" xfId="19993"/>
    <cellStyle name="Normal 27 64 7" xfId="19994"/>
    <cellStyle name="Normal 27 64 8" xfId="19995"/>
    <cellStyle name="Normal 27 64 9" xfId="19996"/>
    <cellStyle name="Normal 27 65" xfId="19997"/>
    <cellStyle name="Normal 27 65 10" xfId="19998"/>
    <cellStyle name="Normal 27 65 11" xfId="19999"/>
    <cellStyle name="Normal 27 65 12" xfId="20000"/>
    <cellStyle name="Normal 27 65 13" xfId="20001"/>
    <cellStyle name="Normal 27 65 2" xfId="20002"/>
    <cellStyle name="Normal 27 65 3" xfId="20003"/>
    <cellStyle name="Normal 27 65 4" xfId="20004"/>
    <cellStyle name="Normal 27 65 5" xfId="20005"/>
    <cellStyle name="Normal 27 65 6" xfId="20006"/>
    <cellStyle name="Normal 27 65 7" xfId="20007"/>
    <cellStyle name="Normal 27 65 8" xfId="20008"/>
    <cellStyle name="Normal 27 65 9" xfId="20009"/>
    <cellStyle name="Normal 27 66" xfId="20010"/>
    <cellStyle name="Normal 27 66 10" xfId="20011"/>
    <cellStyle name="Normal 27 66 11" xfId="20012"/>
    <cellStyle name="Normal 27 66 12" xfId="20013"/>
    <cellStyle name="Normal 27 66 13" xfId="20014"/>
    <cellStyle name="Normal 27 66 2" xfId="20015"/>
    <cellStyle name="Normal 27 66 3" xfId="20016"/>
    <cellStyle name="Normal 27 66 4" xfId="20017"/>
    <cellStyle name="Normal 27 66 5" xfId="20018"/>
    <cellStyle name="Normal 27 66 6" xfId="20019"/>
    <cellStyle name="Normal 27 66 7" xfId="20020"/>
    <cellStyle name="Normal 27 66 8" xfId="20021"/>
    <cellStyle name="Normal 27 66 9" xfId="20022"/>
    <cellStyle name="Normal 27 67" xfId="20023"/>
    <cellStyle name="Normal 27 67 10" xfId="20024"/>
    <cellStyle name="Normal 27 67 11" xfId="20025"/>
    <cellStyle name="Normal 27 67 12" xfId="20026"/>
    <cellStyle name="Normal 27 67 13" xfId="20027"/>
    <cellStyle name="Normal 27 67 2" xfId="20028"/>
    <cellStyle name="Normal 27 67 3" xfId="20029"/>
    <cellStyle name="Normal 27 67 4" xfId="20030"/>
    <cellStyle name="Normal 27 67 5" xfId="20031"/>
    <cellStyle name="Normal 27 67 6" xfId="20032"/>
    <cellStyle name="Normal 27 67 7" xfId="20033"/>
    <cellStyle name="Normal 27 67 8" xfId="20034"/>
    <cellStyle name="Normal 27 67 9" xfId="20035"/>
    <cellStyle name="Normal 27 68" xfId="20036"/>
    <cellStyle name="Normal 27 68 10" xfId="20037"/>
    <cellStyle name="Normal 27 68 11" xfId="20038"/>
    <cellStyle name="Normal 27 68 12" xfId="20039"/>
    <cellStyle name="Normal 27 68 13" xfId="20040"/>
    <cellStyle name="Normal 27 68 2" xfId="20041"/>
    <cellStyle name="Normal 27 68 3" xfId="20042"/>
    <cellStyle name="Normal 27 68 4" xfId="20043"/>
    <cellStyle name="Normal 27 68 5" xfId="20044"/>
    <cellStyle name="Normal 27 68 6" xfId="20045"/>
    <cellStyle name="Normal 27 68 7" xfId="20046"/>
    <cellStyle name="Normal 27 68 8" xfId="20047"/>
    <cellStyle name="Normal 27 68 9" xfId="20048"/>
    <cellStyle name="Normal 27 69" xfId="20049"/>
    <cellStyle name="Normal 27 69 10" xfId="20050"/>
    <cellStyle name="Normal 27 69 11" xfId="20051"/>
    <cellStyle name="Normal 27 69 12" xfId="20052"/>
    <cellStyle name="Normal 27 69 13" xfId="20053"/>
    <cellStyle name="Normal 27 69 2" xfId="20054"/>
    <cellStyle name="Normal 27 69 3" xfId="20055"/>
    <cellStyle name="Normal 27 69 4" xfId="20056"/>
    <cellStyle name="Normal 27 69 5" xfId="20057"/>
    <cellStyle name="Normal 27 69 6" xfId="20058"/>
    <cellStyle name="Normal 27 69 7" xfId="20059"/>
    <cellStyle name="Normal 27 69 8" xfId="20060"/>
    <cellStyle name="Normal 27 69 9" xfId="20061"/>
    <cellStyle name="Normal 27 7" xfId="20062"/>
    <cellStyle name="Normal 27 7 10" xfId="20063"/>
    <cellStyle name="Normal 27 7 11" xfId="20064"/>
    <cellStyle name="Normal 27 7 12" xfId="20065"/>
    <cellStyle name="Normal 27 7 13" xfId="20066"/>
    <cellStyle name="Normal 27 7 2" xfId="20067"/>
    <cellStyle name="Normal 27 7 3" xfId="20068"/>
    <cellStyle name="Normal 27 7 4" xfId="20069"/>
    <cellStyle name="Normal 27 7 5" xfId="20070"/>
    <cellStyle name="Normal 27 7 6" xfId="20071"/>
    <cellStyle name="Normal 27 7 7" xfId="20072"/>
    <cellStyle name="Normal 27 7 8" xfId="20073"/>
    <cellStyle name="Normal 27 7 9" xfId="20074"/>
    <cellStyle name="Normal 27 70" xfId="20075"/>
    <cellStyle name="Normal 27 70 10" xfId="20076"/>
    <cellStyle name="Normal 27 70 11" xfId="20077"/>
    <cellStyle name="Normal 27 70 12" xfId="20078"/>
    <cellStyle name="Normal 27 70 13" xfId="20079"/>
    <cellStyle name="Normal 27 70 2" xfId="20080"/>
    <cellStyle name="Normal 27 70 3" xfId="20081"/>
    <cellStyle name="Normal 27 70 4" xfId="20082"/>
    <cellStyle name="Normal 27 70 5" xfId="20083"/>
    <cellStyle name="Normal 27 70 6" xfId="20084"/>
    <cellStyle name="Normal 27 70 7" xfId="20085"/>
    <cellStyle name="Normal 27 70 8" xfId="20086"/>
    <cellStyle name="Normal 27 70 9" xfId="20087"/>
    <cellStyle name="Normal 27 71" xfId="20088"/>
    <cellStyle name="Normal 27 71 10" xfId="20089"/>
    <cellStyle name="Normal 27 71 11" xfId="20090"/>
    <cellStyle name="Normal 27 71 12" xfId="20091"/>
    <cellStyle name="Normal 27 71 13" xfId="20092"/>
    <cellStyle name="Normal 27 71 2" xfId="20093"/>
    <cellStyle name="Normal 27 71 3" xfId="20094"/>
    <cellStyle name="Normal 27 71 4" xfId="20095"/>
    <cellStyle name="Normal 27 71 5" xfId="20096"/>
    <cellStyle name="Normal 27 71 6" xfId="20097"/>
    <cellStyle name="Normal 27 71 7" xfId="20098"/>
    <cellStyle name="Normal 27 71 8" xfId="20099"/>
    <cellStyle name="Normal 27 71 9" xfId="20100"/>
    <cellStyle name="Normal 27 72" xfId="20101"/>
    <cellStyle name="Normal 27 73" xfId="20102"/>
    <cellStyle name="Normal 27 74" xfId="20103"/>
    <cellStyle name="Normal 27 75" xfId="20104"/>
    <cellStyle name="Normal 27 76" xfId="20105"/>
    <cellStyle name="Normal 27 77" xfId="20106"/>
    <cellStyle name="Normal 27 78" xfId="20107"/>
    <cellStyle name="Normal 27 79" xfId="20108"/>
    <cellStyle name="Normal 27 8" xfId="20109"/>
    <cellStyle name="Normal 27 8 10" xfId="20110"/>
    <cellStyle name="Normal 27 8 11" xfId="20111"/>
    <cellStyle name="Normal 27 8 12" xfId="20112"/>
    <cellStyle name="Normal 27 8 13" xfId="20113"/>
    <cellStyle name="Normal 27 8 2" xfId="20114"/>
    <cellStyle name="Normal 27 8 3" xfId="20115"/>
    <cellStyle name="Normal 27 8 4" xfId="20116"/>
    <cellStyle name="Normal 27 8 5" xfId="20117"/>
    <cellStyle name="Normal 27 8 6" xfId="20118"/>
    <cellStyle name="Normal 27 8 7" xfId="20119"/>
    <cellStyle name="Normal 27 8 8" xfId="20120"/>
    <cellStyle name="Normal 27 8 9" xfId="20121"/>
    <cellStyle name="Normal 27 80" xfId="20122"/>
    <cellStyle name="Normal 27 81" xfId="20123"/>
    <cellStyle name="Normal 27 82" xfId="20124"/>
    <cellStyle name="Normal 27 83" xfId="20125"/>
    <cellStyle name="Normal 27 9" xfId="20126"/>
    <cellStyle name="Normal 27 9 10" xfId="20127"/>
    <cellStyle name="Normal 27 9 11" xfId="20128"/>
    <cellStyle name="Normal 27 9 12" xfId="20129"/>
    <cellStyle name="Normal 27 9 13" xfId="20130"/>
    <cellStyle name="Normal 27 9 2" xfId="20131"/>
    <cellStyle name="Normal 27 9 3" xfId="20132"/>
    <cellStyle name="Normal 27 9 4" xfId="20133"/>
    <cellStyle name="Normal 27 9 5" xfId="20134"/>
    <cellStyle name="Normal 27 9 6" xfId="20135"/>
    <cellStyle name="Normal 27 9 7" xfId="20136"/>
    <cellStyle name="Normal 27 9 8" xfId="20137"/>
    <cellStyle name="Normal 27 9 9" xfId="20138"/>
    <cellStyle name="Normal 28" xfId="20139"/>
    <cellStyle name="Normal 28 10" xfId="20140"/>
    <cellStyle name="Normal 28 10 10" xfId="20141"/>
    <cellStyle name="Normal 28 10 11" xfId="20142"/>
    <cellStyle name="Normal 28 10 12" xfId="20143"/>
    <cellStyle name="Normal 28 10 13" xfId="20144"/>
    <cellStyle name="Normal 28 10 2" xfId="20145"/>
    <cellStyle name="Normal 28 10 3" xfId="20146"/>
    <cellStyle name="Normal 28 10 4" xfId="20147"/>
    <cellStyle name="Normal 28 10 5" xfId="20148"/>
    <cellStyle name="Normal 28 10 6" xfId="20149"/>
    <cellStyle name="Normal 28 10 7" xfId="20150"/>
    <cellStyle name="Normal 28 10 8" xfId="20151"/>
    <cellStyle name="Normal 28 10 9" xfId="20152"/>
    <cellStyle name="Normal 28 11" xfId="20153"/>
    <cellStyle name="Normal 28 11 10" xfId="20154"/>
    <cellStyle name="Normal 28 11 11" xfId="20155"/>
    <cellStyle name="Normal 28 11 12" xfId="20156"/>
    <cellStyle name="Normal 28 11 13" xfId="20157"/>
    <cellStyle name="Normal 28 11 2" xfId="20158"/>
    <cellStyle name="Normal 28 11 3" xfId="20159"/>
    <cellStyle name="Normal 28 11 4" xfId="20160"/>
    <cellStyle name="Normal 28 11 5" xfId="20161"/>
    <cellStyle name="Normal 28 11 6" xfId="20162"/>
    <cellStyle name="Normal 28 11 7" xfId="20163"/>
    <cellStyle name="Normal 28 11 8" xfId="20164"/>
    <cellStyle name="Normal 28 11 9" xfId="20165"/>
    <cellStyle name="Normal 28 12" xfId="20166"/>
    <cellStyle name="Normal 28 12 10" xfId="20167"/>
    <cellStyle name="Normal 28 12 11" xfId="20168"/>
    <cellStyle name="Normal 28 12 12" xfId="20169"/>
    <cellStyle name="Normal 28 12 13" xfId="20170"/>
    <cellStyle name="Normal 28 12 2" xfId="20171"/>
    <cellStyle name="Normal 28 12 3" xfId="20172"/>
    <cellStyle name="Normal 28 12 4" xfId="20173"/>
    <cellStyle name="Normal 28 12 5" xfId="20174"/>
    <cellStyle name="Normal 28 12 6" xfId="20175"/>
    <cellStyle name="Normal 28 12 7" xfId="20176"/>
    <cellStyle name="Normal 28 12 8" xfId="20177"/>
    <cellStyle name="Normal 28 12 9" xfId="20178"/>
    <cellStyle name="Normal 28 13" xfId="20179"/>
    <cellStyle name="Normal 28 13 10" xfId="20180"/>
    <cellStyle name="Normal 28 13 11" xfId="20181"/>
    <cellStyle name="Normal 28 13 12" xfId="20182"/>
    <cellStyle name="Normal 28 13 13" xfId="20183"/>
    <cellStyle name="Normal 28 13 2" xfId="20184"/>
    <cellStyle name="Normal 28 13 3" xfId="20185"/>
    <cellStyle name="Normal 28 13 4" xfId="20186"/>
    <cellStyle name="Normal 28 13 5" xfId="20187"/>
    <cellStyle name="Normal 28 13 6" xfId="20188"/>
    <cellStyle name="Normal 28 13 7" xfId="20189"/>
    <cellStyle name="Normal 28 13 8" xfId="20190"/>
    <cellStyle name="Normal 28 13 9" xfId="20191"/>
    <cellStyle name="Normal 28 14" xfId="20192"/>
    <cellStyle name="Normal 28 14 10" xfId="20193"/>
    <cellStyle name="Normal 28 14 11" xfId="20194"/>
    <cellStyle name="Normal 28 14 12" xfId="20195"/>
    <cellStyle name="Normal 28 14 13" xfId="20196"/>
    <cellStyle name="Normal 28 14 2" xfId="20197"/>
    <cellStyle name="Normal 28 14 3" xfId="20198"/>
    <cellStyle name="Normal 28 14 4" xfId="20199"/>
    <cellStyle name="Normal 28 14 5" xfId="20200"/>
    <cellStyle name="Normal 28 14 6" xfId="20201"/>
    <cellStyle name="Normal 28 14 7" xfId="20202"/>
    <cellStyle name="Normal 28 14 8" xfId="20203"/>
    <cellStyle name="Normal 28 14 9" xfId="20204"/>
    <cellStyle name="Normal 28 15" xfId="20205"/>
    <cellStyle name="Normal 28 15 10" xfId="20206"/>
    <cellStyle name="Normal 28 15 11" xfId="20207"/>
    <cellStyle name="Normal 28 15 12" xfId="20208"/>
    <cellStyle name="Normal 28 15 13" xfId="20209"/>
    <cellStyle name="Normal 28 15 2" xfId="20210"/>
    <cellStyle name="Normal 28 15 3" xfId="20211"/>
    <cellStyle name="Normal 28 15 4" xfId="20212"/>
    <cellStyle name="Normal 28 15 5" xfId="20213"/>
    <cellStyle name="Normal 28 15 6" xfId="20214"/>
    <cellStyle name="Normal 28 15 7" xfId="20215"/>
    <cellStyle name="Normal 28 15 8" xfId="20216"/>
    <cellStyle name="Normal 28 15 9" xfId="20217"/>
    <cellStyle name="Normal 28 16" xfId="20218"/>
    <cellStyle name="Normal 28 16 10" xfId="20219"/>
    <cellStyle name="Normal 28 16 11" xfId="20220"/>
    <cellStyle name="Normal 28 16 12" xfId="20221"/>
    <cellStyle name="Normal 28 16 13" xfId="20222"/>
    <cellStyle name="Normal 28 16 2" xfId="20223"/>
    <cellStyle name="Normal 28 16 3" xfId="20224"/>
    <cellStyle name="Normal 28 16 4" xfId="20225"/>
    <cellStyle name="Normal 28 16 5" xfId="20226"/>
    <cellStyle name="Normal 28 16 6" xfId="20227"/>
    <cellStyle name="Normal 28 16 7" xfId="20228"/>
    <cellStyle name="Normal 28 16 8" xfId="20229"/>
    <cellStyle name="Normal 28 16 9" xfId="20230"/>
    <cellStyle name="Normal 28 17" xfId="20231"/>
    <cellStyle name="Normal 28 17 10" xfId="20232"/>
    <cellStyle name="Normal 28 17 11" xfId="20233"/>
    <cellStyle name="Normal 28 17 12" xfId="20234"/>
    <cellStyle name="Normal 28 17 13" xfId="20235"/>
    <cellStyle name="Normal 28 17 2" xfId="20236"/>
    <cellStyle name="Normal 28 17 3" xfId="20237"/>
    <cellStyle name="Normal 28 17 4" xfId="20238"/>
    <cellStyle name="Normal 28 17 5" xfId="20239"/>
    <cellStyle name="Normal 28 17 6" xfId="20240"/>
    <cellStyle name="Normal 28 17 7" xfId="20241"/>
    <cellStyle name="Normal 28 17 8" xfId="20242"/>
    <cellStyle name="Normal 28 17 9" xfId="20243"/>
    <cellStyle name="Normal 28 18" xfId="20244"/>
    <cellStyle name="Normal 28 18 10" xfId="20245"/>
    <cellStyle name="Normal 28 18 11" xfId="20246"/>
    <cellStyle name="Normal 28 18 12" xfId="20247"/>
    <cellStyle name="Normal 28 18 13" xfId="20248"/>
    <cellStyle name="Normal 28 18 2" xfId="20249"/>
    <cellStyle name="Normal 28 18 3" xfId="20250"/>
    <cellStyle name="Normal 28 18 4" xfId="20251"/>
    <cellStyle name="Normal 28 18 5" xfId="20252"/>
    <cellStyle name="Normal 28 18 6" xfId="20253"/>
    <cellStyle name="Normal 28 18 7" xfId="20254"/>
    <cellStyle name="Normal 28 18 8" xfId="20255"/>
    <cellStyle name="Normal 28 18 9" xfId="20256"/>
    <cellStyle name="Normal 28 19" xfId="20257"/>
    <cellStyle name="Normal 28 19 10" xfId="20258"/>
    <cellStyle name="Normal 28 19 11" xfId="20259"/>
    <cellStyle name="Normal 28 19 12" xfId="20260"/>
    <cellStyle name="Normal 28 19 13" xfId="20261"/>
    <cellStyle name="Normal 28 19 2" xfId="20262"/>
    <cellStyle name="Normal 28 19 3" xfId="20263"/>
    <cellStyle name="Normal 28 19 4" xfId="20264"/>
    <cellStyle name="Normal 28 19 5" xfId="20265"/>
    <cellStyle name="Normal 28 19 6" xfId="20266"/>
    <cellStyle name="Normal 28 19 7" xfId="20267"/>
    <cellStyle name="Normal 28 19 8" xfId="20268"/>
    <cellStyle name="Normal 28 19 9" xfId="20269"/>
    <cellStyle name="Normal 28 2" xfId="20270"/>
    <cellStyle name="Normal 28 2 10" xfId="20271"/>
    <cellStyle name="Normal 28 2 11" xfId="20272"/>
    <cellStyle name="Normal 28 2 12" xfId="20273"/>
    <cellStyle name="Normal 28 2 13" xfId="20274"/>
    <cellStyle name="Normal 28 2 2" xfId="20275"/>
    <cellStyle name="Normal 28 2 3" xfId="20276"/>
    <cellStyle name="Normal 28 2 4" xfId="20277"/>
    <cellStyle name="Normal 28 2 5" xfId="20278"/>
    <cellStyle name="Normal 28 2 6" xfId="20279"/>
    <cellStyle name="Normal 28 2 7" xfId="20280"/>
    <cellStyle name="Normal 28 2 8" xfId="20281"/>
    <cellStyle name="Normal 28 2 9" xfId="20282"/>
    <cellStyle name="Normal 28 20" xfId="20283"/>
    <cellStyle name="Normal 28 20 10" xfId="20284"/>
    <cellStyle name="Normal 28 20 11" xfId="20285"/>
    <cellStyle name="Normal 28 20 12" xfId="20286"/>
    <cellStyle name="Normal 28 20 13" xfId="20287"/>
    <cellStyle name="Normal 28 20 2" xfId="20288"/>
    <cellStyle name="Normal 28 20 3" xfId="20289"/>
    <cellStyle name="Normal 28 20 4" xfId="20290"/>
    <cellStyle name="Normal 28 20 5" xfId="20291"/>
    <cellStyle name="Normal 28 20 6" xfId="20292"/>
    <cellStyle name="Normal 28 20 7" xfId="20293"/>
    <cellStyle name="Normal 28 20 8" xfId="20294"/>
    <cellStyle name="Normal 28 20 9" xfId="20295"/>
    <cellStyle name="Normal 28 21" xfId="20296"/>
    <cellStyle name="Normal 28 21 10" xfId="20297"/>
    <cellStyle name="Normal 28 21 11" xfId="20298"/>
    <cellStyle name="Normal 28 21 12" xfId="20299"/>
    <cellStyle name="Normal 28 21 13" xfId="20300"/>
    <cellStyle name="Normal 28 21 2" xfId="20301"/>
    <cellStyle name="Normal 28 21 3" xfId="20302"/>
    <cellStyle name="Normal 28 21 4" xfId="20303"/>
    <cellStyle name="Normal 28 21 5" xfId="20304"/>
    <cellStyle name="Normal 28 21 6" xfId="20305"/>
    <cellStyle name="Normal 28 21 7" xfId="20306"/>
    <cellStyle name="Normal 28 21 8" xfId="20307"/>
    <cellStyle name="Normal 28 21 9" xfId="20308"/>
    <cellStyle name="Normal 28 22" xfId="20309"/>
    <cellStyle name="Normal 28 22 10" xfId="20310"/>
    <cellStyle name="Normal 28 22 11" xfId="20311"/>
    <cellStyle name="Normal 28 22 12" xfId="20312"/>
    <cellStyle name="Normal 28 22 13" xfId="20313"/>
    <cellStyle name="Normal 28 22 2" xfId="20314"/>
    <cellStyle name="Normal 28 22 3" xfId="20315"/>
    <cellStyle name="Normal 28 22 4" xfId="20316"/>
    <cellStyle name="Normal 28 22 5" xfId="20317"/>
    <cellStyle name="Normal 28 22 6" xfId="20318"/>
    <cellStyle name="Normal 28 22 7" xfId="20319"/>
    <cellStyle name="Normal 28 22 8" xfId="20320"/>
    <cellStyle name="Normal 28 22 9" xfId="20321"/>
    <cellStyle name="Normal 28 23" xfId="20322"/>
    <cellStyle name="Normal 28 23 10" xfId="20323"/>
    <cellStyle name="Normal 28 23 11" xfId="20324"/>
    <cellStyle name="Normal 28 23 12" xfId="20325"/>
    <cellStyle name="Normal 28 23 13" xfId="20326"/>
    <cellStyle name="Normal 28 23 2" xfId="20327"/>
    <cellStyle name="Normal 28 23 3" xfId="20328"/>
    <cellStyle name="Normal 28 23 4" xfId="20329"/>
    <cellStyle name="Normal 28 23 5" xfId="20330"/>
    <cellStyle name="Normal 28 23 6" xfId="20331"/>
    <cellStyle name="Normal 28 23 7" xfId="20332"/>
    <cellStyle name="Normal 28 23 8" xfId="20333"/>
    <cellStyle name="Normal 28 23 9" xfId="20334"/>
    <cellStyle name="Normal 28 24" xfId="20335"/>
    <cellStyle name="Normal 28 24 10" xfId="20336"/>
    <cellStyle name="Normal 28 24 11" xfId="20337"/>
    <cellStyle name="Normal 28 24 12" xfId="20338"/>
    <cellStyle name="Normal 28 24 13" xfId="20339"/>
    <cellStyle name="Normal 28 24 2" xfId="20340"/>
    <cellStyle name="Normal 28 24 3" xfId="20341"/>
    <cellStyle name="Normal 28 24 4" xfId="20342"/>
    <cellStyle name="Normal 28 24 5" xfId="20343"/>
    <cellStyle name="Normal 28 24 6" xfId="20344"/>
    <cellStyle name="Normal 28 24 7" xfId="20345"/>
    <cellStyle name="Normal 28 24 8" xfId="20346"/>
    <cellStyle name="Normal 28 24 9" xfId="20347"/>
    <cellStyle name="Normal 28 25" xfId="20348"/>
    <cellStyle name="Normal 28 25 10" xfId="20349"/>
    <cellStyle name="Normal 28 25 11" xfId="20350"/>
    <cellStyle name="Normal 28 25 12" xfId="20351"/>
    <cellStyle name="Normal 28 25 13" xfId="20352"/>
    <cellStyle name="Normal 28 25 2" xfId="20353"/>
    <cellStyle name="Normal 28 25 3" xfId="20354"/>
    <cellStyle name="Normal 28 25 4" xfId="20355"/>
    <cellStyle name="Normal 28 25 5" xfId="20356"/>
    <cellStyle name="Normal 28 25 6" xfId="20357"/>
    <cellStyle name="Normal 28 25 7" xfId="20358"/>
    <cellStyle name="Normal 28 25 8" xfId="20359"/>
    <cellStyle name="Normal 28 25 9" xfId="20360"/>
    <cellStyle name="Normal 28 26" xfId="20361"/>
    <cellStyle name="Normal 28 26 10" xfId="20362"/>
    <cellStyle name="Normal 28 26 11" xfId="20363"/>
    <cellStyle name="Normal 28 26 12" xfId="20364"/>
    <cellStyle name="Normal 28 26 13" xfId="20365"/>
    <cellStyle name="Normal 28 26 2" xfId="20366"/>
    <cellStyle name="Normal 28 26 3" xfId="20367"/>
    <cellStyle name="Normal 28 26 4" xfId="20368"/>
    <cellStyle name="Normal 28 26 5" xfId="20369"/>
    <cellStyle name="Normal 28 26 6" xfId="20370"/>
    <cellStyle name="Normal 28 26 7" xfId="20371"/>
    <cellStyle name="Normal 28 26 8" xfId="20372"/>
    <cellStyle name="Normal 28 26 9" xfId="20373"/>
    <cellStyle name="Normal 28 27" xfId="20374"/>
    <cellStyle name="Normal 28 27 10" xfId="20375"/>
    <cellStyle name="Normal 28 27 11" xfId="20376"/>
    <cellStyle name="Normal 28 27 12" xfId="20377"/>
    <cellStyle name="Normal 28 27 13" xfId="20378"/>
    <cellStyle name="Normal 28 27 2" xfId="20379"/>
    <cellStyle name="Normal 28 27 3" xfId="20380"/>
    <cellStyle name="Normal 28 27 4" xfId="20381"/>
    <cellStyle name="Normal 28 27 5" xfId="20382"/>
    <cellStyle name="Normal 28 27 6" xfId="20383"/>
    <cellStyle name="Normal 28 27 7" xfId="20384"/>
    <cellStyle name="Normal 28 27 8" xfId="20385"/>
    <cellStyle name="Normal 28 27 9" xfId="20386"/>
    <cellStyle name="Normal 28 28" xfId="20387"/>
    <cellStyle name="Normal 28 28 10" xfId="20388"/>
    <cellStyle name="Normal 28 28 11" xfId="20389"/>
    <cellStyle name="Normal 28 28 12" xfId="20390"/>
    <cellStyle name="Normal 28 28 13" xfId="20391"/>
    <cellStyle name="Normal 28 28 2" xfId="20392"/>
    <cellStyle name="Normal 28 28 3" xfId="20393"/>
    <cellStyle name="Normal 28 28 4" xfId="20394"/>
    <cellStyle name="Normal 28 28 5" xfId="20395"/>
    <cellStyle name="Normal 28 28 6" xfId="20396"/>
    <cellStyle name="Normal 28 28 7" xfId="20397"/>
    <cellStyle name="Normal 28 28 8" xfId="20398"/>
    <cellStyle name="Normal 28 28 9" xfId="20399"/>
    <cellStyle name="Normal 28 29" xfId="20400"/>
    <cellStyle name="Normal 28 29 10" xfId="20401"/>
    <cellStyle name="Normal 28 29 11" xfId="20402"/>
    <cellStyle name="Normal 28 29 12" xfId="20403"/>
    <cellStyle name="Normal 28 29 13" xfId="20404"/>
    <cellStyle name="Normal 28 29 2" xfId="20405"/>
    <cellStyle name="Normal 28 29 3" xfId="20406"/>
    <cellStyle name="Normal 28 29 4" xfId="20407"/>
    <cellStyle name="Normal 28 29 5" xfId="20408"/>
    <cellStyle name="Normal 28 29 6" xfId="20409"/>
    <cellStyle name="Normal 28 29 7" xfId="20410"/>
    <cellStyle name="Normal 28 29 8" xfId="20411"/>
    <cellStyle name="Normal 28 29 9" xfId="20412"/>
    <cellStyle name="Normal 28 3" xfId="20413"/>
    <cellStyle name="Normal 28 3 10" xfId="20414"/>
    <cellStyle name="Normal 28 3 11" xfId="20415"/>
    <cellStyle name="Normal 28 3 12" xfId="20416"/>
    <cellStyle name="Normal 28 3 13" xfId="20417"/>
    <cellStyle name="Normal 28 3 2" xfId="20418"/>
    <cellStyle name="Normal 28 3 3" xfId="20419"/>
    <cellStyle name="Normal 28 3 4" xfId="20420"/>
    <cellStyle name="Normal 28 3 5" xfId="20421"/>
    <cellStyle name="Normal 28 3 6" xfId="20422"/>
    <cellStyle name="Normal 28 3 7" xfId="20423"/>
    <cellStyle name="Normal 28 3 8" xfId="20424"/>
    <cellStyle name="Normal 28 3 9" xfId="20425"/>
    <cellStyle name="Normal 28 30" xfId="20426"/>
    <cellStyle name="Normal 28 30 10" xfId="20427"/>
    <cellStyle name="Normal 28 30 11" xfId="20428"/>
    <cellStyle name="Normal 28 30 12" xfId="20429"/>
    <cellStyle name="Normal 28 30 13" xfId="20430"/>
    <cellStyle name="Normal 28 30 2" xfId="20431"/>
    <cellStyle name="Normal 28 30 3" xfId="20432"/>
    <cellStyle name="Normal 28 30 4" xfId="20433"/>
    <cellStyle name="Normal 28 30 5" xfId="20434"/>
    <cellStyle name="Normal 28 30 6" xfId="20435"/>
    <cellStyle name="Normal 28 30 7" xfId="20436"/>
    <cellStyle name="Normal 28 30 8" xfId="20437"/>
    <cellStyle name="Normal 28 30 9" xfId="20438"/>
    <cellStyle name="Normal 28 31" xfId="20439"/>
    <cellStyle name="Normal 28 31 10" xfId="20440"/>
    <cellStyle name="Normal 28 31 11" xfId="20441"/>
    <cellStyle name="Normal 28 31 12" xfId="20442"/>
    <cellStyle name="Normal 28 31 13" xfId="20443"/>
    <cellStyle name="Normal 28 31 2" xfId="20444"/>
    <cellStyle name="Normal 28 31 3" xfId="20445"/>
    <cellStyle name="Normal 28 31 4" xfId="20446"/>
    <cellStyle name="Normal 28 31 5" xfId="20447"/>
    <cellStyle name="Normal 28 31 6" xfId="20448"/>
    <cellStyle name="Normal 28 31 7" xfId="20449"/>
    <cellStyle name="Normal 28 31 8" xfId="20450"/>
    <cellStyle name="Normal 28 31 9" xfId="20451"/>
    <cellStyle name="Normal 28 32" xfId="20452"/>
    <cellStyle name="Normal 28 32 10" xfId="20453"/>
    <cellStyle name="Normal 28 32 11" xfId="20454"/>
    <cellStyle name="Normal 28 32 12" xfId="20455"/>
    <cellStyle name="Normal 28 32 13" xfId="20456"/>
    <cellStyle name="Normal 28 32 2" xfId="20457"/>
    <cellStyle name="Normal 28 32 3" xfId="20458"/>
    <cellStyle name="Normal 28 32 4" xfId="20459"/>
    <cellStyle name="Normal 28 32 5" xfId="20460"/>
    <cellStyle name="Normal 28 32 6" xfId="20461"/>
    <cellStyle name="Normal 28 32 7" xfId="20462"/>
    <cellStyle name="Normal 28 32 8" xfId="20463"/>
    <cellStyle name="Normal 28 32 9" xfId="20464"/>
    <cellStyle name="Normal 28 33" xfId="20465"/>
    <cellStyle name="Normal 28 33 10" xfId="20466"/>
    <cellStyle name="Normal 28 33 11" xfId="20467"/>
    <cellStyle name="Normal 28 33 12" xfId="20468"/>
    <cellStyle name="Normal 28 33 13" xfId="20469"/>
    <cellStyle name="Normal 28 33 2" xfId="20470"/>
    <cellStyle name="Normal 28 33 3" xfId="20471"/>
    <cellStyle name="Normal 28 33 4" xfId="20472"/>
    <cellStyle name="Normal 28 33 5" xfId="20473"/>
    <cellStyle name="Normal 28 33 6" xfId="20474"/>
    <cellStyle name="Normal 28 33 7" xfId="20475"/>
    <cellStyle name="Normal 28 33 8" xfId="20476"/>
    <cellStyle name="Normal 28 33 9" xfId="20477"/>
    <cellStyle name="Normal 28 34" xfId="20478"/>
    <cellStyle name="Normal 28 34 10" xfId="20479"/>
    <cellStyle name="Normal 28 34 11" xfId="20480"/>
    <cellStyle name="Normal 28 34 12" xfId="20481"/>
    <cellStyle name="Normal 28 34 13" xfId="20482"/>
    <cellStyle name="Normal 28 34 2" xfId="20483"/>
    <cellStyle name="Normal 28 34 3" xfId="20484"/>
    <cellStyle name="Normal 28 34 4" xfId="20485"/>
    <cellStyle name="Normal 28 34 5" xfId="20486"/>
    <cellStyle name="Normal 28 34 6" xfId="20487"/>
    <cellStyle name="Normal 28 34 7" xfId="20488"/>
    <cellStyle name="Normal 28 34 8" xfId="20489"/>
    <cellStyle name="Normal 28 34 9" xfId="20490"/>
    <cellStyle name="Normal 28 35" xfId="20491"/>
    <cellStyle name="Normal 28 35 10" xfId="20492"/>
    <cellStyle name="Normal 28 35 11" xfId="20493"/>
    <cellStyle name="Normal 28 35 12" xfId="20494"/>
    <cellStyle name="Normal 28 35 13" xfId="20495"/>
    <cellStyle name="Normal 28 35 2" xfId="20496"/>
    <cellStyle name="Normal 28 35 3" xfId="20497"/>
    <cellStyle name="Normal 28 35 4" xfId="20498"/>
    <cellStyle name="Normal 28 35 5" xfId="20499"/>
    <cellStyle name="Normal 28 35 6" xfId="20500"/>
    <cellStyle name="Normal 28 35 7" xfId="20501"/>
    <cellStyle name="Normal 28 35 8" xfId="20502"/>
    <cellStyle name="Normal 28 35 9" xfId="20503"/>
    <cellStyle name="Normal 28 36" xfId="20504"/>
    <cellStyle name="Normal 28 36 10" xfId="20505"/>
    <cellStyle name="Normal 28 36 11" xfId="20506"/>
    <cellStyle name="Normal 28 36 12" xfId="20507"/>
    <cellStyle name="Normal 28 36 13" xfId="20508"/>
    <cellStyle name="Normal 28 36 2" xfId="20509"/>
    <cellStyle name="Normal 28 36 3" xfId="20510"/>
    <cellStyle name="Normal 28 36 4" xfId="20511"/>
    <cellStyle name="Normal 28 36 5" xfId="20512"/>
    <cellStyle name="Normal 28 36 6" xfId="20513"/>
    <cellStyle name="Normal 28 36 7" xfId="20514"/>
    <cellStyle name="Normal 28 36 8" xfId="20515"/>
    <cellStyle name="Normal 28 36 9" xfId="20516"/>
    <cellStyle name="Normal 28 37" xfId="20517"/>
    <cellStyle name="Normal 28 37 10" xfId="20518"/>
    <cellStyle name="Normal 28 37 11" xfId="20519"/>
    <cellStyle name="Normal 28 37 12" xfId="20520"/>
    <cellStyle name="Normal 28 37 13" xfId="20521"/>
    <cellStyle name="Normal 28 37 2" xfId="20522"/>
    <cellStyle name="Normal 28 37 3" xfId="20523"/>
    <cellStyle name="Normal 28 37 4" xfId="20524"/>
    <cellStyle name="Normal 28 37 5" xfId="20525"/>
    <cellStyle name="Normal 28 37 6" xfId="20526"/>
    <cellStyle name="Normal 28 37 7" xfId="20527"/>
    <cellStyle name="Normal 28 37 8" xfId="20528"/>
    <cellStyle name="Normal 28 37 9" xfId="20529"/>
    <cellStyle name="Normal 28 38" xfId="20530"/>
    <cellStyle name="Normal 28 38 10" xfId="20531"/>
    <cellStyle name="Normal 28 38 11" xfId="20532"/>
    <cellStyle name="Normal 28 38 12" xfId="20533"/>
    <cellStyle name="Normal 28 38 13" xfId="20534"/>
    <cellStyle name="Normal 28 38 2" xfId="20535"/>
    <cellStyle name="Normal 28 38 3" xfId="20536"/>
    <cellStyle name="Normal 28 38 4" xfId="20537"/>
    <cellStyle name="Normal 28 38 5" xfId="20538"/>
    <cellStyle name="Normal 28 38 6" xfId="20539"/>
    <cellStyle name="Normal 28 38 7" xfId="20540"/>
    <cellStyle name="Normal 28 38 8" xfId="20541"/>
    <cellStyle name="Normal 28 38 9" xfId="20542"/>
    <cellStyle name="Normal 28 39" xfId="20543"/>
    <cellStyle name="Normal 28 39 10" xfId="20544"/>
    <cellStyle name="Normal 28 39 11" xfId="20545"/>
    <cellStyle name="Normal 28 39 12" xfId="20546"/>
    <cellStyle name="Normal 28 39 13" xfId="20547"/>
    <cellStyle name="Normal 28 39 2" xfId="20548"/>
    <cellStyle name="Normal 28 39 3" xfId="20549"/>
    <cellStyle name="Normal 28 39 4" xfId="20550"/>
    <cellStyle name="Normal 28 39 5" xfId="20551"/>
    <cellStyle name="Normal 28 39 6" xfId="20552"/>
    <cellStyle name="Normal 28 39 7" xfId="20553"/>
    <cellStyle name="Normal 28 39 8" xfId="20554"/>
    <cellStyle name="Normal 28 39 9" xfId="20555"/>
    <cellStyle name="Normal 28 4" xfId="20556"/>
    <cellStyle name="Normal 28 4 10" xfId="20557"/>
    <cellStyle name="Normal 28 4 11" xfId="20558"/>
    <cellStyle name="Normal 28 4 12" xfId="20559"/>
    <cellStyle name="Normal 28 4 13" xfId="20560"/>
    <cellStyle name="Normal 28 4 2" xfId="20561"/>
    <cellStyle name="Normal 28 4 3" xfId="20562"/>
    <cellStyle name="Normal 28 4 4" xfId="20563"/>
    <cellStyle name="Normal 28 4 5" xfId="20564"/>
    <cellStyle name="Normal 28 4 6" xfId="20565"/>
    <cellStyle name="Normal 28 4 7" xfId="20566"/>
    <cellStyle name="Normal 28 4 8" xfId="20567"/>
    <cellStyle name="Normal 28 4 9" xfId="20568"/>
    <cellStyle name="Normal 28 40" xfId="20569"/>
    <cellStyle name="Normal 28 40 10" xfId="20570"/>
    <cellStyle name="Normal 28 40 11" xfId="20571"/>
    <cellStyle name="Normal 28 40 12" xfId="20572"/>
    <cellStyle name="Normal 28 40 13" xfId="20573"/>
    <cellStyle name="Normal 28 40 2" xfId="20574"/>
    <cellStyle name="Normal 28 40 3" xfId="20575"/>
    <cellStyle name="Normal 28 40 4" xfId="20576"/>
    <cellStyle name="Normal 28 40 5" xfId="20577"/>
    <cellStyle name="Normal 28 40 6" xfId="20578"/>
    <cellStyle name="Normal 28 40 7" xfId="20579"/>
    <cellStyle name="Normal 28 40 8" xfId="20580"/>
    <cellStyle name="Normal 28 40 9" xfId="20581"/>
    <cellStyle name="Normal 28 41" xfId="20582"/>
    <cellStyle name="Normal 28 41 10" xfId="20583"/>
    <cellStyle name="Normal 28 41 11" xfId="20584"/>
    <cellStyle name="Normal 28 41 12" xfId="20585"/>
    <cellStyle name="Normal 28 41 13" xfId="20586"/>
    <cellStyle name="Normal 28 41 2" xfId="20587"/>
    <cellStyle name="Normal 28 41 3" xfId="20588"/>
    <cellStyle name="Normal 28 41 4" xfId="20589"/>
    <cellStyle name="Normal 28 41 5" xfId="20590"/>
    <cellStyle name="Normal 28 41 6" xfId="20591"/>
    <cellStyle name="Normal 28 41 7" xfId="20592"/>
    <cellStyle name="Normal 28 41 8" xfId="20593"/>
    <cellStyle name="Normal 28 41 9" xfId="20594"/>
    <cellStyle name="Normal 28 42" xfId="20595"/>
    <cellStyle name="Normal 28 42 10" xfId="20596"/>
    <cellStyle name="Normal 28 42 11" xfId="20597"/>
    <cellStyle name="Normal 28 42 12" xfId="20598"/>
    <cellStyle name="Normal 28 42 13" xfId="20599"/>
    <cellStyle name="Normal 28 42 2" xfId="20600"/>
    <cellStyle name="Normal 28 42 3" xfId="20601"/>
    <cellStyle name="Normal 28 42 4" xfId="20602"/>
    <cellStyle name="Normal 28 42 5" xfId="20603"/>
    <cellStyle name="Normal 28 42 6" xfId="20604"/>
    <cellStyle name="Normal 28 42 7" xfId="20605"/>
    <cellStyle name="Normal 28 42 8" xfId="20606"/>
    <cellStyle name="Normal 28 42 9" xfId="20607"/>
    <cellStyle name="Normal 28 43" xfId="20608"/>
    <cellStyle name="Normal 28 43 10" xfId="20609"/>
    <cellStyle name="Normal 28 43 11" xfId="20610"/>
    <cellStyle name="Normal 28 43 12" xfId="20611"/>
    <cellStyle name="Normal 28 43 13" xfId="20612"/>
    <cellStyle name="Normal 28 43 2" xfId="20613"/>
    <cellStyle name="Normal 28 43 3" xfId="20614"/>
    <cellStyle name="Normal 28 43 4" xfId="20615"/>
    <cellStyle name="Normal 28 43 5" xfId="20616"/>
    <cellStyle name="Normal 28 43 6" xfId="20617"/>
    <cellStyle name="Normal 28 43 7" xfId="20618"/>
    <cellStyle name="Normal 28 43 8" xfId="20619"/>
    <cellStyle name="Normal 28 43 9" xfId="20620"/>
    <cellStyle name="Normal 28 44" xfId="20621"/>
    <cellStyle name="Normal 28 44 10" xfId="20622"/>
    <cellStyle name="Normal 28 44 11" xfId="20623"/>
    <cellStyle name="Normal 28 44 12" xfId="20624"/>
    <cellStyle name="Normal 28 44 13" xfId="20625"/>
    <cellStyle name="Normal 28 44 2" xfId="20626"/>
    <cellStyle name="Normal 28 44 3" xfId="20627"/>
    <cellStyle name="Normal 28 44 4" xfId="20628"/>
    <cellStyle name="Normal 28 44 5" xfId="20629"/>
    <cellStyle name="Normal 28 44 6" xfId="20630"/>
    <cellStyle name="Normal 28 44 7" xfId="20631"/>
    <cellStyle name="Normal 28 44 8" xfId="20632"/>
    <cellStyle name="Normal 28 44 9" xfId="20633"/>
    <cellStyle name="Normal 28 45" xfId="20634"/>
    <cellStyle name="Normal 28 45 10" xfId="20635"/>
    <cellStyle name="Normal 28 45 11" xfId="20636"/>
    <cellStyle name="Normal 28 45 12" xfId="20637"/>
    <cellStyle name="Normal 28 45 13" xfId="20638"/>
    <cellStyle name="Normal 28 45 2" xfId="20639"/>
    <cellStyle name="Normal 28 45 3" xfId="20640"/>
    <cellStyle name="Normal 28 45 4" xfId="20641"/>
    <cellStyle name="Normal 28 45 5" xfId="20642"/>
    <cellStyle name="Normal 28 45 6" xfId="20643"/>
    <cellStyle name="Normal 28 45 7" xfId="20644"/>
    <cellStyle name="Normal 28 45 8" xfId="20645"/>
    <cellStyle name="Normal 28 45 9" xfId="20646"/>
    <cellStyle name="Normal 28 46" xfId="20647"/>
    <cellStyle name="Normal 28 46 10" xfId="20648"/>
    <cellStyle name="Normal 28 46 11" xfId="20649"/>
    <cellStyle name="Normal 28 46 12" xfId="20650"/>
    <cellStyle name="Normal 28 46 13" xfId="20651"/>
    <cellStyle name="Normal 28 46 2" xfId="20652"/>
    <cellStyle name="Normal 28 46 3" xfId="20653"/>
    <cellStyle name="Normal 28 46 4" xfId="20654"/>
    <cellStyle name="Normal 28 46 5" xfId="20655"/>
    <cellStyle name="Normal 28 46 6" xfId="20656"/>
    <cellStyle name="Normal 28 46 7" xfId="20657"/>
    <cellStyle name="Normal 28 46 8" xfId="20658"/>
    <cellStyle name="Normal 28 46 9" xfId="20659"/>
    <cellStyle name="Normal 28 47" xfId="20660"/>
    <cellStyle name="Normal 28 47 10" xfId="20661"/>
    <cellStyle name="Normal 28 47 11" xfId="20662"/>
    <cellStyle name="Normal 28 47 12" xfId="20663"/>
    <cellStyle name="Normal 28 47 13" xfId="20664"/>
    <cellStyle name="Normal 28 47 2" xfId="20665"/>
    <cellStyle name="Normal 28 47 3" xfId="20666"/>
    <cellStyle name="Normal 28 47 4" xfId="20667"/>
    <cellStyle name="Normal 28 47 5" xfId="20668"/>
    <cellStyle name="Normal 28 47 6" xfId="20669"/>
    <cellStyle name="Normal 28 47 7" xfId="20670"/>
    <cellStyle name="Normal 28 47 8" xfId="20671"/>
    <cellStyle name="Normal 28 47 9" xfId="20672"/>
    <cellStyle name="Normal 28 48" xfId="20673"/>
    <cellStyle name="Normal 28 48 10" xfId="20674"/>
    <cellStyle name="Normal 28 48 11" xfId="20675"/>
    <cellStyle name="Normal 28 48 12" xfId="20676"/>
    <cellStyle name="Normal 28 48 13" xfId="20677"/>
    <cellStyle name="Normal 28 48 2" xfId="20678"/>
    <cellStyle name="Normal 28 48 3" xfId="20679"/>
    <cellStyle name="Normal 28 48 4" xfId="20680"/>
    <cellStyle name="Normal 28 48 5" xfId="20681"/>
    <cellStyle name="Normal 28 48 6" xfId="20682"/>
    <cellStyle name="Normal 28 48 7" xfId="20683"/>
    <cellStyle name="Normal 28 48 8" xfId="20684"/>
    <cellStyle name="Normal 28 48 9" xfId="20685"/>
    <cellStyle name="Normal 28 49" xfId="20686"/>
    <cellStyle name="Normal 28 49 10" xfId="20687"/>
    <cellStyle name="Normal 28 49 11" xfId="20688"/>
    <cellStyle name="Normal 28 49 12" xfId="20689"/>
    <cellStyle name="Normal 28 49 13" xfId="20690"/>
    <cellStyle name="Normal 28 49 2" xfId="20691"/>
    <cellStyle name="Normal 28 49 3" xfId="20692"/>
    <cellStyle name="Normal 28 49 4" xfId="20693"/>
    <cellStyle name="Normal 28 49 5" xfId="20694"/>
    <cellStyle name="Normal 28 49 6" xfId="20695"/>
    <cellStyle name="Normal 28 49 7" xfId="20696"/>
    <cellStyle name="Normal 28 49 8" xfId="20697"/>
    <cellStyle name="Normal 28 49 9" xfId="20698"/>
    <cellStyle name="Normal 28 5" xfId="20699"/>
    <cellStyle name="Normal 28 5 10" xfId="20700"/>
    <cellStyle name="Normal 28 5 11" xfId="20701"/>
    <cellStyle name="Normal 28 5 12" xfId="20702"/>
    <cellStyle name="Normal 28 5 13" xfId="20703"/>
    <cellStyle name="Normal 28 5 2" xfId="20704"/>
    <cellStyle name="Normal 28 5 3" xfId="20705"/>
    <cellStyle name="Normal 28 5 4" xfId="20706"/>
    <cellStyle name="Normal 28 5 5" xfId="20707"/>
    <cellStyle name="Normal 28 5 6" xfId="20708"/>
    <cellStyle name="Normal 28 5 7" xfId="20709"/>
    <cellStyle name="Normal 28 5 8" xfId="20710"/>
    <cellStyle name="Normal 28 5 9" xfId="20711"/>
    <cellStyle name="Normal 28 50" xfId="20712"/>
    <cellStyle name="Normal 28 50 10" xfId="20713"/>
    <cellStyle name="Normal 28 50 11" xfId="20714"/>
    <cellStyle name="Normal 28 50 12" xfId="20715"/>
    <cellStyle name="Normal 28 50 13" xfId="20716"/>
    <cellStyle name="Normal 28 50 2" xfId="20717"/>
    <cellStyle name="Normal 28 50 3" xfId="20718"/>
    <cellStyle name="Normal 28 50 4" xfId="20719"/>
    <cellStyle name="Normal 28 50 5" xfId="20720"/>
    <cellStyle name="Normal 28 50 6" xfId="20721"/>
    <cellStyle name="Normal 28 50 7" xfId="20722"/>
    <cellStyle name="Normal 28 50 8" xfId="20723"/>
    <cellStyle name="Normal 28 50 9" xfId="20724"/>
    <cellStyle name="Normal 28 51" xfId="20725"/>
    <cellStyle name="Normal 28 51 10" xfId="20726"/>
    <cellStyle name="Normal 28 51 11" xfId="20727"/>
    <cellStyle name="Normal 28 51 12" xfId="20728"/>
    <cellStyle name="Normal 28 51 13" xfId="20729"/>
    <cellStyle name="Normal 28 51 2" xfId="20730"/>
    <cellStyle name="Normal 28 51 3" xfId="20731"/>
    <cellStyle name="Normal 28 51 4" xfId="20732"/>
    <cellStyle name="Normal 28 51 5" xfId="20733"/>
    <cellStyle name="Normal 28 51 6" xfId="20734"/>
    <cellStyle name="Normal 28 51 7" xfId="20735"/>
    <cellStyle name="Normal 28 51 8" xfId="20736"/>
    <cellStyle name="Normal 28 51 9" xfId="20737"/>
    <cellStyle name="Normal 28 52" xfId="20738"/>
    <cellStyle name="Normal 28 52 10" xfId="20739"/>
    <cellStyle name="Normal 28 52 11" xfId="20740"/>
    <cellStyle name="Normal 28 52 12" xfId="20741"/>
    <cellStyle name="Normal 28 52 13" xfId="20742"/>
    <cellStyle name="Normal 28 52 2" xfId="20743"/>
    <cellStyle name="Normal 28 52 3" xfId="20744"/>
    <cellStyle name="Normal 28 52 4" xfId="20745"/>
    <cellStyle name="Normal 28 52 5" xfId="20746"/>
    <cellStyle name="Normal 28 52 6" xfId="20747"/>
    <cellStyle name="Normal 28 52 7" xfId="20748"/>
    <cellStyle name="Normal 28 52 8" xfId="20749"/>
    <cellStyle name="Normal 28 52 9" xfId="20750"/>
    <cellStyle name="Normal 28 53" xfId="20751"/>
    <cellStyle name="Normal 28 53 10" xfId="20752"/>
    <cellStyle name="Normal 28 53 11" xfId="20753"/>
    <cellStyle name="Normal 28 53 12" xfId="20754"/>
    <cellStyle name="Normal 28 53 13" xfId="20755"/>
    <cellStyle name="Normal 28 53 2" xfId="20756"/>
    <cellStyle name="Normal 28 53 3" xfId="20757"/>
    <cellStyle name="Normal 28 53 4" xfId="20758"/>
    <cellStyle name="Normal 28 53 5" xfId="20759"/>
    <cellStyle name="Normal 28 53 6" xfId="20760"/>
    <cellStyle name="Normal 28 53 7" xfId="20761"/>
    <cellStyle name="Normal 28 53 8" xfId="20762"/>
    <cellStyle name="Normal 28 53 9" xfId="20763"/>
    <cellStyle name="Normal 28 54" xfId="20764"/>
    <cellStyle name="Normal 28 54 10" xfId="20765"/>
    <cellStyle name="Normal 28 54 11" xfId="20766"/>
    <cellStyle name="Normal 28 54 12" xfId="20767"/>
    <cellStyle name="Normal 28 54 13" xfId="20768"/>
    <cellStyle name="Normal 28 54 2" xfId="20769"/>
    <cellStyle name="Normal 28 54 3" xfId="20770"/>
    <cellStyle name="Normal 28 54 4" xfId="20771"/>
    <cellStyle name="Normal 28 54 5" xfId="20772"/>
    <cellStyle name="Normal 28 54 6" xfId="20773"/>
    <cellStyle name="Normal 28 54 7" xfId="20774"/>
    <cellStyle name="Normal 28 54 8" xfId="20775"/>
    <cellStyle name="Normal 28 54 9" xfId="20776"/>
    <cellStyle name="Normal 28 55" xfId="20777"/>
    <cellStyle name="Normal 28 55 10" xfId="20778"/>
    <cellStyle name="Normal 28 55 11" xfId="20779"/>
    <cellStyle name="Normal 28 55 12" xfId="20780"/>
    <cellStyle name="Normal 28 55 13" xfId="20781"/>
    <cellStyle name="Normal 28 55 2" xfId="20782"/>
    <cellStyle name="Normal 28 55 3" xfId="20783"/>
    <cellStyle name="Normal 28 55 4" xfId="20784"/>
    <cellStyle name="Normal 28 55 5" xfId="20785"/>
    <cellStyle name="Normal 28 55 6" xfId="20786"/>
    <cellStyle name="Normal 28 55 7" xfId="20787"/>
    <cellStyle name="Normal 28 55 8" xfId="20788"/>
    <cellStyle name="Normal 28 55 9" xfId="20789"/>
    <cellStyle name="Normal 28 56" xfId="20790"/>
    <cellStyle name="Normal 28 56 10" xfId="20791"/>
    <cellStyle name="Normal 28 56 11" xfId="20792"/>
    <cellStyle name="Normal 28 56 12" xfId="20793"/>
    <cellStyle name="Normal 28 56 13" xfId="20794"/>
    <cellStyle name="Normal 28 56 2" xfId="20795"/>
    <cellStyle name="Normal 28 56 3" xfId="20796"/>
    <cellStyle name="Normal 28 56 4" xfId="20797"/>
    <cellStyle name="Normal 28 56 5" xfId="20798"/>
    <cellStyle name="Normal 28 56 6" xfId="20799"/>
    <cellStyle name="Normal 28 56 7" xfId="20800"/>
    <cellStyle name="Normal 28 56 8" xfId="20801"/>
    <cellStyle name="Normal 28 56 9" xfId="20802"/>
    <cellStyle name="Normal 28 57" xfId="20803"/>
    <cellStyle name="Normal 28 57 10" xfId="20804"/>
    <cellStyle name="Normal 28 57 11" xfId="20805"/>
    <cellStyle name="Normal 28 57 12" xfId="20806"/>
    <cellStyle name="Normal 28 57 13" xfId="20807"/>
    <cellStyle name="Normal 28 57 2" xfId="20808"/>
    <cellStyle name="Normal 28 57 3" xfId="20809"/>
    <cellStyle name="Normal 28 57 4" xfId="20810"/>
    <cellStyle name="Normal 28 57 5" xfId="20811"/>
    <cellStyle name="Normal 28 57 6" xfId="20812"/>
    <cellStyle name="Normal 28 57 7" xfId="20813"/>
    <cellStyle name="Normal 28 57 8" xfId="20814"/>
    <cellStyle name="Normal 28 57 9" xfId="20815"/>
    <cellStyle name="Normal 28 58" xfId="20816"/>
    <cellStyle name="Normal 28 58 10" xfId="20817"/>
    <cellStyle name="Normal 28 58 11" xfId="20818"/>
    <cellStyle name="Normal 28 58 12" xfId="20819"/>
    <cellStyle name="Normal 28 58 13" xfId="20820"/>
    <cellStyle name="Normal 28 58 2" xfId="20821"/>
    <cellStyle name="Normal 28 58 3" xfId="20822"/>
    <cellStyle name="Normal 28 58 4" xfId="20823"/>
    <cellStyle name="Normal 28 58 5" xfId="20824"/>
    <cellStyle name="Normal 28 58 6" xfId="20825"/>
    <cellStyle name="Normal 28 58 7" xfId="20826"/>
    <cellStyle name="Normal 28 58 8" xfId="20827"/>
    <cellStyle name="Normal 28 58 9" xfId="20828"/>
    <cellStyle name="Normal 28 59" xfId="20829"/>
    <cellStyle name="Normal 28 59 10" xfId="20830"/>
    <cellStyle name="Normal 28 59 11" xfId="20831"/>
    <cellStyle name="Normal 28 59 12" xfId="20832"/>
    <cellStyle name="Normal 28 59 13" xfId="20833"/>
    <cellStyle name="Normal 28 59 2" xfId="20834"/>
    <cellStyle name="Normal 28 59 3" xfId="20835"/>
    <cellStyle name="Normal 28 59 4" xfId="20836"/>
    <cellStyle name="Normal 28 59 5" xfId="20837"/>
    <cellStyle name="Normal 28 59 6" xfId="20838"/>
    <cellStyle name="Normal 28 59 7" xfId="20839"/>
    <cellStyle name="Normal 28 59 8" xfId="20840"/>
    <cellStyle name="Normal 28 59 9" xfId="20841"/>
    <cellStyle name="Normal 28 6" xfId="20842"/>
    <cellStyle name="Normal 28 6 10" xfId="20843"/>
    <cellStyle name="Normal 28 6 11" xfId="20844"/>
    <cellStyle name="Normal 28 6 12" xfId="20845"/>
    <cellStyle name="Normal 28 6 13" xfId="20846"/>
    <cellStyle name="Normal 28 6 2" xfId="20847"/>
    <cellStyle name="Normal 28 6 3" xfId="20848"/>
    <cellStyle name="Normal 28 6 4" xfId="20849"/>
    <cellStyle name="Normal 28 6 5" xfId="20850"/>
    <cellStyle name="Normal 28 6 6" xfId="20851"/>
    <cellStyle name="Normal 28 6 7" xfId="20852"/>
    <cellStyle name="Normal 28 6 8" xfId="20853"/>
    <cellStyle name="Normal 28 6 9" xfId="20854"/>
    <cellStyle name="Normal 28 60" xfId="20855"/>
    <cellStyle name="Normal 28 60 10" xfId="20856"/>
    <cellStyle name="Normal 28 60 11" xfId="20857"/>
    <cellStyle name="Normal 28 60 12" xfId="20858"/>
    <cellStyle name="Normal 28 60 13" xfId="20859"/>
    <cellStyle name="Normal 28 60 2" xfId="20860"/>
    <cellStyle name="Normal 28 60 3" xfId="20861"/>
    <cellStyle name="Normal 28 60 4" xfId="20862"/>
    <cellStyle name="Normal 28 60 5" xfId="20863"/>
    <cellStyle name="Normal 28 60 6" xfId="20864"/>
    <cellStyle name="Normal 28 60 7" xfId="20865"/>
    <cellStyle name="Normal 28 60 8" xfId="20866"/>
    <cellStyle name="Normal 28 60 9" xfId="20867"/>
    <cellStyle name="Normal 28 61" xfId="20868"/>
    <cellStyle name="Normal 28 61 10" xfId="20869"/>
    <cellStyle name="Normal 28 61 11" xfId="20870"/>
    <cellStyle name="Normal 28 61 12" xfId="20871"/>
    <cellStyle name="Normal 28 61 13" xfId="20872"/>
    <cellStyle name="Normal 28 61 2" xfId="20873"/>
    <cellStyle name="Normal 28 61 3" xfId="20874"/>
    <cellStyle name="Normal 28 61 4" xfId="20875"/>
    <cellStyle name="Normal 28 61 5" xfId="20876"/>
    <cellStyle name="Normal 28 61 6" xfId="20877"/>
    <cellStyle name="Normal 28 61 7" xfId="20878"/>
    <cellStyle name="Normal 28 61 8" xfId="20879"/>
    <cellStyle name="Normal 28 61 9" xfId="20880"/>
    <cellStyle name="Normal 28 62" xfId="20881"/>
    <cellStyle name="Normal 28 62 10" xfId="20882"/>
    <cellStyle name="Normal 28 62 11" xfId="20883"/>
    <cellStyle name="Normal 28 62 12" xfId="20884"/>
    <cellStyle name="Normal 28 62 13" xfId="20885"/>
    <cellStyle name="Normal 28 62 2" xfId="20886"/>
    <cellStyle name="Normal 28 62 3" xfId="20887"/>
    <cellStyle name="Normal 28 62 4" xfId="20888"/>
    <cellStyle name="Normal 28 62 5" xfId="20889"/>
    <cellStyle name="Normal 28 62 6" xfId="20890"/>
    <cellStyle name="Normal 28 62 7" xfId="20891"/>
    <cellStyle name="Normal 28 62 8" xfId="20892"/>
    <cellStyle name="Normal 28 62 9" xfId="20893"/>
    <cellStyle name="Normal 28 63" xfId="20894"/>
    <cellStyle name="Normal 28 63 10" xfId="20895"/>
    <cellStyle name="Normal 28 63 11" xfId="20896"/>
    <cellStyle name="Normal 28 63 12" xfId="20897"/>
    <cellStyle name="Normal 28 63 13" xfId="20898"/>
    <cellStyle name="Normal 28 63 2" xfId="20899"/>
    <cellStyle name="Normal 28 63 3" xfId="20900"/>
    <cellStyle name="Normal 28 63 4" xfId="20901"/>
    <cellStyle name="Normal 28 63 5" xfId="20902"/>
    <cellStyle name="Normal 28 63 6" xfId="20903"/>
    <cellStyle name="Normal 28 63 7" xfId="20904"/>
    <cellStyle name="Normal 28 63 8" xfId="20905"/>
    <cellStyle name="Normal 28 63 9" xfId="20906"/>
    <cellStyle name="Normal 28 64" xfId="20907"/>
    <cellStyle name="Normal 28 64 10" xfId="20908"/>
    <cellStyle name="Normal 28 64 11" xfId="20909"/>
    <cellStyle name="Normal 28 64 12" xfId="20910"/>
    <cellStyle name="Normal 28 64 13" xfId="20911"/>
    <cellStyle name="Normal 28 64 2" xfId="20912"/>
    <cellStyle name="Normal 28 64 3" xfId="20913"/>
    <cellStyle name="Normal 28 64 4" xfId="20914"/>
    <cellStyle name="Normal 28 64 5" xfId="20915"/>
    <cellStyle name="Normal 28 64 6" xfId="20916"/>
    <cellStyle name="Normal 28 64 7" xfId="20917"/>
    <cellStyle name="Normal 28 64 8" xfId="20918"/>
    <cellStyle name="Normal 28 64 9" xfId="20919"/>
    <cellStyle name="Normal 28 65" xfId="20920"/>
    <cellStyle name="Normal 28 65 10" xfId="20921"/>
    <cellStyle name="Normal 28 65 11" xfId="20922"/>
    <cellStyle name="Normal 28 65 12" xfId="20923"/>
    <cellStyle name="Normal 28 65 13" xfId="20924"/>
    <cellStyle name="Normal 28 65 2" xfId="20925"/>
    <cellStyle name="Normal 28 65 3" xfId="20926"/>
    <cellStyle name="Normal 28 65 4" xfId="20927"/>
    <cellStyle name="Normal 28 65 5" xfId="20928"/>
    <cellStyle name="Normal 28 65 6" xfId="20929"/>
    <cellStyle name="Normal 28 65 7" xfId="20930"/>
    <cellStyle name="Normal 28 65 8" xfId="20931"/>
    <cellStyle name="Normal 28 65 9" xfId="20932"/>
    <cellStyle name="Normal 28 66" xfId="20933"/>
    <cellStyle name="Normal 28 66 10" xfId="20934"/>
    <cellStyle name="Normal 28 66 11" xfId="20935"/>
    <cellStyle name="Normal 28 66 12" xfId="20936"/>
    <cellStyle name="Normal 28 66 13" xfId="20937"/>
    <cellStyle name="Normal 28 66 2" xfId="20938"/>
    <cellStyle name="Normal 28 66 3" xfId="20939"/>
    <cellStyle name="Normal 28 66 4" xfId="20940"/>
    <cellStyle name="Normal 28 66 5" xfId="20941"/>
    <cellStyle name="Normal 28 66 6" xfId="20942"/>
    <cellStyle name="Normal 28 66 7" xfId="20943"/>
    <cellStyle name="Normal 28 66 8" xfId="20944"/>
    <cellStyle name="Normal 28 66 9" xfId="20945"/>
    <cellStyle name="Normal 28 67" xfId="20946"/>
    <cellStyle name="Normal 28 67 10" xfId="20947"/>
    <cellStyle name="Normal 28 67 11" xfId="20948"/>
    <cellStyle name="Normal 28 67 12" xfId="20949"/>
    <cellStyle name="Normal 28 67 13" xfId="20950"/>
    <cellStyle name="Normal 28 67 2" xfId="20951"/>
    <cellStyle name="Normal 28 67 3" xfId="20952"/>
    <cellStyle name="Normal 28 67 4" xfId="20953"/>
    <cellStyle name="Normal 28 67 5" xfId="20954"/>
    <cellStyle name="Normal 28 67 6" xfId="20955"/>
    <cellStyle name="Normal 28 67 7" xfId="20956"/>
    <cellStyle name="Normal 28 67 8" xfId="20957"/>
    <cellStyle name="Normal 28 67 9" xfId="20958"/>
    <cellStyle name="Normal 28 68" xfId="20959"/>
    <cellStyle name="Normal 28 68 10" xfId="20960"/>
    <cellStyle name="Normal 28 68 11" xfId="20961"/>
    <cellStyle name="Normal 28 68 12" xfId="20962"/>
    <cellStyle name="Normal 28 68 13" xfId="20963"/>
    <cellStyle name="Normal 28 68 2" xfId="20964"/>
    <cellStyle name="Normal 28 68 3" xfId="20965"/>
    <cellStyle name="Normal 28 68 4" xfId="20966"/>
    <cellStyle name="Normal 28 68 5" xfId="20967"/>
    <cellStyle name="Normal 28 68 6" xfId="20968"/>
    <cellStyle name="Normal 28 68 7" xfId="20969"/>
    <cellStyle name="Normal 28 68 8" xfId="20970"/>
    <cellStyle name="Normal 28 68 9" xfId="20971"/>
    <cellStyle name="Normal 28 69" xfId="20972"/>
    <cellStyle name="Normal 28 69 10" xfId="20973"/>
    <cellStyle name="Normal 28 69 11" xfId="20974"/>
    <cellStyle name="Normal 28 69 12" xfId="20975"/>
    <cellStyle name="Normal 28 69 13" xfId="20976"/>
    <cellStyle name="Normal 28 69 2" xfId="20977"/>
    <cellStyle name="Normal 28 69 3" xfId="20978"/>
    <cellStyle name="Normal 28 69 4" xfId="20979"/>
    <cellStyle name="Normal 28 69 5" xfId="20980"/>
    <cellStyle name="Normal 28 69 6" xfId="20981"/>
    <cellStyle name="Normal 28 69 7" xfId="20982"/>
    <cellStyle name="Normal 28 69 8" xfId="20983"/>
    <cellStyle name="Normal 28 69 9" xfId="20984"/>
    <cellStyle name="Normal 28 7" xfId="20985"/>
    <cellStyle name="Normal 28 7 10" xfId="20986"/>
    <cellStyle name="Normal 28 7 11" xfId="20987"/>
    <cellStyle name="Normal 28 7 12" xfId="20988"/>
    <cellStyle name="Normal 28 7 13" xfId="20989"/>
    <cellStyle name="Normal 28 7 2" xfId="20990"/>
    <cellStyle name="Normal 28 7 3" xfId="20991"/>
    <cellStyle name="Normal 28 7 4" xfId="20992"/>
    <cellStyle name="Normal 28 7 5" xfId="20993"/>
    <cellStyle name="Normal 28 7 6" xfId="20994"/>
    <cellStyle name="Normal 28 7 7" xfId="20995"/>
    <cellStyle name="Normal 28 7 8" xfId="20996"/>
    <cellStyle name="Normal 28 7 9" xfId="20997"/>
    <cellStyle name="Normal 28 70" xfId="20998"/>
    <cellStyle name="Normal 28 70 10" xfId="20999"/>
    <cellStyle name="Normal 28 70 11" xfId="21000"/>
    <cellStyle name="Normal 28 70 12" xfId="21001"/>
    <cellStyle name="Normal 28 70 13" xfId="21002"/>
    <cellStyle name="Normal 28 70 2" xfId="21003"/>
    <cellStyle name="Normal 28 70 3" xfId="21004"/>
    <cellStyle name="Normal 28 70 4" xfId="21005"/>
    <cellStyle name="Normal 28 70 5" xfId="21006"/>
    <cellStyle name="Normal 28 70 6" xfId="21007"/>
    <cellStyle name="Normal 28 70 7" xfId="21008"/>
    <cellStyle name="Normal 28 70 8" xfId="21009"/>
    <cellStyle name="Normal 28 70 9" xfId="21010"/>
    <cellStyle name="Normal 28 71" xfId="21011"/>
    <cellStyle name="Normal 28 71 10" xfId="21012"/>
    <cellStyle name="Normal 28 71 11" xfId="21013"/>
    <cellStyle name="Normal 28 71 12" xfId="21014"/>
    <cellStyle name="Normal 28 71 13" xfId="21015"/>
    <cellStyle name="Normal 28 71 2" xfId="21016"/>
    <cellStyle name="Normal 28 71 3" xfId="21017"/>
    <cellStyle name="Normal 28 71 4" xfId="21018"/>
    <cellStyle name="Normal 28 71 5" xfId="21019"/>
    <cellStyle name="Normal 28 71 6" xfId="21020"/>
    <cellStyle name="Normal 28 71 7" xfId="21021"/>
    <cellStyle name="Normal 28 71 8" xfId="21022"/>
    <cellStyle name="Normal 28 71 9" xfId="21023"/>
    <cellStyle name="Normal 28 72" xfId="21024"/>
    <cellStyle name="Normal 28 73" xfId="21025"/>
    <cellStyle name="Normal 28 74" xfId="21026"/>
    <cellStyle name="Normal 28 75" xfId="21027"/>
    <cellStyle name="Normal 28 76" xfId="21028"/>
    <cellStyle name="Normal 28 77" xfId="21029"/>
    <cellStyle name="Normal 28 78" xfId="21030"/>
    <cellStyle name="Normal 28 79" xfId="21031"/>
    <cellStyle name="Normal 28 8" xfId="21032"/>
    <cellStyle name="Normal 28 8 10" xfId="21033"/>
    <cellStyle name="Normal 28 8 11" xfId="21034"/>
    <cellStyle name="Normal 28 8 12" xfId="21035"/>
    <cellStyle name="Normal 28 8 13" xfId="21036"/>
    <cellStyle name="Normal 28 8 2" xfId="21037"/>
    <cellStyle name="Normal 28 8 3" xfId="21038"/>
    <cellStyle name="Normal 28 8 4" xfId="21039"/>
    <cellStyle name="Normal 28 8 5" xfId="21040"/>
    <cellStyle name="Normal 28 8 6" xfId="21041"/>
    <cellStyle name="Normal 28 8 7" xfId="21042"/>
    <cellStyle name="Normal 28 8 8" xfId="21043"/>
    <cellStyle name="Normal 28 8 9" xfId="21044"/>
    <cellStyle name="Normal 28 80" xfId="21045"/>
    <cellStyle name="Normal 28 81" xfId="21046"/>
    <cellStyle name="Normal 28 82" xfId="21047"/>
    <cellStyle name="Normal 28 83" xfId="21048"/>
    <cellStyle name="Normal 28 9" xfId="21049"/>
    <cellStyle name="Normal 28 9 10" xfId="21050"/>
    <cellStyle name="Normal 28 9 11" xfId="21051"/>
    <cellStyle name="Normal 28 9 12" xfId="21052"/>
    <cellStyle name="Normal 28 9 13" xfId="21053"/>
    <cellStyle name="Normal 28 9 2" xfId="21054"/>
    <cellStyle name="Normal 28 9 3" xfId="21055"/>
    <cellStyle name="Normal 28 9 4" xfId="21056"/>
    <cellStyle name="Normal 28 9 5" xfId="21057"/>
    <cellStyle name="Normal 28 9 6" xfId="21058"/>
    <cellStyle name="Normal 28 9 7" xfId="21059"/>
    <cellStyle name="Normal 28 9 8" xfId="21060"/>
    <cellStyle name="Normal 28 9 9" xfId="21061"/>
    <cellStyle name="Normal 29" xfId="21062"/>
    <cellStyle name="Normal 29 10" xfId="21063"/>
    <cellStyle name="Normal 29 10 10" xfId="21064"/>
    <cellStyle name="Normal 29 10 11" xfId="21065"/>
    <cellStyle name="Normal 29 10 12" xfId="21066"/>
    <cellStyle name="Normal 29 10 13" xfId="21067"/>
    <cellStyle name="Normal 29 10 2" xfId="21068"/>
    <cellStyle name="Normal 29 10 3" xfId="21069"/>
    <cellStyle name="Normal 29 10 4" xfId="21070"/>
    <cellStyle name="Normal 29 10 5" xfId="21071"/>
    <cellStyle name="Normal 29 10 6" xfId="21072"/>
    <cellStyle name="Normal 29 10 7" xfId="21073"/>
    <cellStyle name="Normal 29 10 8" xfId="21074"/>
    <cellStyle name="Normal 29 10 9" xfId="21075"/>
    <cellStyle name="Normal 29 11" xfId="21076"/>
    <cellStyle name="Normal 29 11 10" xfId="21077"/>
    <cellStyle name="Normal 29 11 11" xfId="21078"/>
    <cellStyle name="Normal 29 11 12" xfId="21079"/>
    <cellStyle name="Normal 29 11 13" xfId="21080"/>
    <cellStyle name="Normal 29 11 2" xfId="21081"/>
    <cellStyle name="Normal 29 11 3" xfId="21082"/>
    <cellStyle name="Normal 29 11 4" xfId="21083"/>
    <cellStyle name="Normal 29 11 5" xfId="21084"/>
    <cellStyle name="Normal 29 11 6" xfId="21085"/>
    <cellStyle name="Normal 29 11 7" xfId="21086"/>
    <cellStyle name="Normal 29 11 8" xfId="21087"/>
    <cellStyle name="Normal 29 11 9" xfId="21088"/>
    <cellStyle name="Normal 29 12" xfId="21089"/>
    <cellStyle name="Normal 29 12 10" xfId="21090"/>
    <cellStyle name="Normal 29 12 11" xfId="21091"/>
    <cellStyle name="Normal 29 12 12" xfId="21092"/>
    <cellStyle name="Normal 29 12 13" xfId="21093"/>
    <cellStyle name="Normal 29 12 2" xfId="21094"/>
    <cellStyle name="Normal 29 12 3" xfId="21095"/>
    <cellStyle name="Normal 29 12 4" xfId="21096"/>
    <cellStyle name="Normal 29 12 5" xfId="21097"/>
    <cellStyle name="Normal 29 12 6" xfId="21098"/>
    <cellStyle name="Normal 29 12 7" xfId="21099"/>
    <cellStyle name="Normal 29 12 8" xfId="21100"/>
    <cellStyle name="Normal 29 12 9" xfId="21101"/>
    <cellStyle name="Normal 29 13" xfId="21102"/>
    <cellStyle name="Normal 29 13 10" xfId="21103"/>
    <cellStyle name="Normal 29 13 11" xfId="21104"/>
    <cellStyle name="Normal 29 13 12" xfId="21105"/>
    <cellStyle name="Normal 29 13 13" xfId="21106"/>
    <cellStyle name="Normal 29 13 2" xfId="21107"/>
    <cellStyle name="Normal 29 13 3" xfId="21108"/>
    <cellStyle name="Normal 29 13 4" xfId="21109"/>
    <cellStyle name="Normal 29 13 5" xfId="21110"/>
    <cellStyle name="Normal 29 13 6" xfId="21111"/>
    <cellStyle name="Normal 29 13 7" xfId="21112"/>
    <cellStyle name="Normal 29 13 8" xfId="21113"/>
    <cellStyle name="Normal 29 13 9" xfId="21114"/>
    <cellStyle name="Normal 29 14" xfId="21115"/>
    <cellStyle name="Normal 29 14 10" xfId="21116"/>
    <cellStyle name="Normal 29 14 11" xfId="21117"/>
    <cellStyle name="Normal 29 14 12" xfId="21118"/>
    <cellStyle name="Normal 29 14 13" xfId="21119"/>
    <cellStyle name="Normal 29 14 2" xfId="21120"/>
    <cellStyle name="Normal 29 14 3" xfId="21121"/>
    <cellStyle name="Normal 29 14 4" xfId="21122"/>
    <cellStyle name="Normal 29 14 5" xfId="21123"/>
    <cellStyle name="Normal 29 14 6" xfId="21124"/>
    <cellStyle name="Normal 29 14 7" xfId="21125"/>
    <cellStyle name="Normal 29 14 8" xfId="21126"/>
    <cellStyle name="Normal 29 14 9" xfId="21127"/>
    <cellStyle name="Normal 29 15" xfId="21128"/>
    <cellStyle name="Normal 29 15 10" xfId="21129"/>
    <cellStyle name="Normal 29 15 11" xfId="21130"/>
    <cellStyle name="Normal 29 15 12" xfId="21131"/>
    <cellStyle name="Normal 29 15 13" xfId="21132"/>
    <cellStyle name="Normal 29 15 2" xfId="21133"/>
    <cellStyle name="Normal 29 15 3" xfId="21134"/>
    <cellStyle name="Normal 29 15 4" xfId="21135"/>
    <cellStyle name="Normal 29 15 5" xfId="21136"/>
    <cellStyle name="Normal 29 15 6" xfId="21137"/>
    <cellStyle name="Normal 29 15 7" xfId="21138"/>
    <cellStyle name="Normal 29 15 8" xfId="21139"/>
    <cellStyle name="Normal 29 15 9" xfId="21140"/>
    <cellStyle name="Normal 29 16" xfId="21141"/>
    <cellStyle name="Normal 29 16 10" xfId="21142"/>
    <cellStyle name="Normal 29 16 11" xfId="21143"/>
    <cellStyle name="Normal 29 16 12" xfId="21144"/>
    <cellStyle name="Normal 29 16 13" xfId="21145"/>
    <cellStyle name="Normal 29 16 2" xfId="21146"/>
    <cellStyle name="Normal 29 16 3" xfId="21147"/>
    <cellStyle name="Normal 29 16 4" xfId="21148"/>
    <cellStyle name="Normal 29 16 5" xfId="21149"/>
    <cellStyle name="Normal 29 16 6" xfId="21150"/>
    <cellStyle name="Normal 29 16 7" xfId="21151"/>
    <cellStyle name="Normal 29 16 8" xfId="21152"/>
    <cellStyle name="Normal 29 16 9" xfId="21153"/>
    <cellStyle name="Normal 29 17" xfId="21154"/>
    <cellStyle name="Normal 29 17 10" xfId="21155"/>
    <cellStyle name="Normal 29 17 11" xfId="21156"/>
    <cellStyle name="Normal 29 17 12" xfId="21157"/>
    <cellStyle name="Normal 29 17 13" xfId="21158"/>
    <cellStyle name="Normal 29 17 2" xfId="21159"/>
    <cellStyle name="Normal 29 17 3" xfId="21160"/>
    <cellStyle name="Normal 29 17 4" xfId="21161"/>
    <cellStyle name="Normal 29 17 5" xfId="21162"/>
    <cellStyle name="Normal 29 17 6" xfId="21163"/>
    <cellStyle name="Normal 29 17 7" xfId="21164"/>
    <cellStyle name="Normal 29 17 8" xfId="21165"/>
    <cellStyle name="Normal 29 17 9" xfId="21166"/>
    <cellStyle name="Normal 29 18" xfId="21167"/>
    <cellStyle name="Normal 29 18 10" xfId="21168"/>
    <cellStyle name="Normal 29 18 11" xfId="21169"/>
    <cellStyle name="Normal 29 18 12" xfId="21170"/>
    <cellStyle name="Normal 29 18 13" xfId="21171"/>
    <cellStyle name="Normal 29 18 2" xfId="21172"/>
    <cellStyle name="Normal 29 18 3" xfId="21173"/>
    <cellStyle name="Normal 29 18 4" xfId="21174"/>
    <cellStyle name="Normal 29 18 5" xfId="21175"/>
    <cellStyle name="Normal 29 18 6" xfId="21176"/>
    <cellStyle name="Normal 29 18 7" xfId="21177"/>
    <cellStyle name="Normal 29 18 8" xfId="21178"/>
    <cellStyle name="Normal 29 18 9" xfId="21179"/>
    <cellStyle name="Normal 29 19" xfId="21180"/>
    <cellStyle name="Normal 29 19 10" xfId="21181"/>
    <cellStyle name="Normal 29 19 11" xfId="21182"/>
    <cellStyle name="Normal 29 19 12" xfId="21183"/>
    <cellStyle name="Normal 29 19 13" xfId="21184"/>
    <cellStyle name="Normal 29 19 2" xfId="21185"/>
    <cellStyle name="Normal 29 19 3" xfId="21186"/>
    <cellStyle name="Normal 29 19 4" xfId="21187"/>
    <cellStyle name="Normal 29 19 5" xfId="21188"/>
    <cellStyle name="Normal 29 19 6" xfId="21189"/>
    <cellStyle name="Normal 29 19 7" xfId="21190"/>
    <cellStyle name="Normal 29 19 8" xfId="21191"/>
    <cellStyle name="Normal 29 19 9" xfId="21192"/>
    <cellStyle name="Normal 29 2" xfId="21193"/>
    <cellStyle name="Normal 29 2 10" xfId="21194"/>
    <cellStyle name="Normal 29 2 10 10" xfId="21195"/>
    <cellStyle name="Normal 29 2 10 11" xfId="21196"/>
    <cellStyle name="Normal 29 2 10 12" xfId="21197"/>
    <cellStyle name="Normal 29 2 10 13" xfId="21198"/>
    <cellStyle name="Normal 29 2 10 2" xfId="21199"/>
    <cellStyle name="Normal 29 2 10 3" xfId="21200"/>
    <cellStyle name="Normal 29 2 10 4" xfId="21201"/>
    <cellStyle name="Normal 29 2 10 5" xfId="21202"/>
    <cellStyle name="Normal 29 2 10 6" xfId="21203"/>
    <cellStyle name="Normal 29 2 10 7" xfId="21204"/>
    <cellStyle name="Normal 29 2 10 8" xfId="21205"/>
    <cellStyle name="Normal 29 2 10 9" xfId="21206"/>
    <cellStyle name="Normal 29 2 11" xfId="21207"/>
    <cellStyle name="Normal 29 2 11 10" xfId="21208"/>
    <cellStyle name="Normal 29 2 11 11" xfId="21209"/>
    <cellStyle name="Normal 29 2 11 12" xfId="21210"/>
    <cellStyle name="Normal 29 2 11 13" xfId="21211"/>
    <cellStyle name="Normal 29 2 11 2" xfId="21212"/>
    <cellStyle name="Normal 29 2 11 3" xfId="21213"/>
    <cellStyle name="Normal 29 2 11 4" xfId="21214"/>
    <cellStyle name="Normal 29 2 11 5" xfId="21215"/>
    <cellStyle name="Normal 29 2 11 6" xfId="21216"/>
    <cellStyle name="Normal 29 2 11 7" xfId="21217"/>
    <cellStyle name="Normal 29 2 11 8" xfId="21218"/>
    <cellStyle name="Normal 29 2 11 9" xfId="21219"/>
    <cellStyle name="Normal 29 2 12" xfId="21220"/>
    <cellStyle name="Normal 29 2 12 10" xfId="21221"/>
    <cellStyle name="Normal 29 2 12 11" xfId="21222"/>
    <cellStyle name="Normal 29 2 12 12" xfId="21223"/>
    <cellStyle name="Normal 29 2 12 13" xfId="21224"/>
    <cellStyle name="Normal 29 2 12 2" xfId="21225"/>
    <cellStyle name="Normal 29 2 12 3" xfId="21226"/>
    <cellStyle name="Normal 29 2 12 4" xfId="21227"/>
    <cellStyle name="Normal 29 2 12 5" xfId="21228"/>
    <cellStyle name="Normal 29 2 12 6" xfId="21229"/>
    <cellStyle name="Normal 29 2 12 7" xfId="21230"/>
    <cellStyle name="Normal 29 2 12 8" xfId="21231"/>
    <cellStyle name="Normal 29 2 12 9" xfId="21232"/>
    <cellStyle name="Normal 29 2 13" xfId="21233"/>
    <cellStyle name="Normal 29 2 13 10" xfId="21234"/>
    <cellStyle name="Normal 29 2 13 11" xfId="21235"/>
    <cellStyle name="Normal 29 2 13 12" xfId="21236"/>
    <cellStyle name="Normal 29 2 13 13" xfId="21237"/>
    <cellStyle name="Normal 29 2 13 2" xfId="21238"/>
    <cellStyle name="Normal 29 2 13 3" xfId="21239"/>
    <cellStyle name="Normal 29 2 13 4" xfId="21240"/>
    <cellStyle name="Normal 29 2 13 5" xfId="21241"/>
    <cellStyle name="Normal 29 2 13 6" xfId="21242"/>
    <cellStyle name="Normal 29 2 13 7" xfId="21243"/>
    <cellStyle name="Normal 29 2 13 8" xfId="21244"/>
    <cellStyle name="Normal 29 2 13 9" xfId="21245"/>
    <cellStyle name="Normal 29 2 14" xfId="21246"/>
    <cellStyle name="Normal 29 2 14 10" xfId="21247"/>
    <cellStyle name="Normal 29 2 14 11" xfId="21248"/>
    <cellStyle name="Normal 29 2 14 12" xfId="21249"/>
    <cellStyle name="Normal 29 2 14 13" xfId="21250"/>
    <cellStyle name="Normal 29 2 14 2" xfId="21251"/>
    <cellStyle name="Normal 29 2 14 3" xfId="21252"/>
    <cellStyle name="Normal 29 2 14 4" xfId="21253"/>
    <cellStyle name="Normal 29 2 14 5" xfId="21254"/>
    <cellStyle name="Normal 29 2 14 6" xfId="21255"/>
    <cellStyle name="Normal 29 2 14 7" xfId="21256"/>
    <cellStyle name="Normal 29 2 14 8" xfId="21257"/>
    <cellStyle name="Normal 29 2 14 9" xfId="21258"/>
    <cellStyle name="Normal 29 2 15" xfId="21259"/>
    <cellStyle name="Normal 29 2 15 10" xfId="21260"/>
    <cellStyle name="Normal 29 2 15 11" xfId="21261"/>
    <cellStyle name="Normal 29 2 15 12" xfId="21262"/>
    <cellStyle name="Normal 29 2 15 13" xfId="21263"/>
    <cellStyle name="Normal 29 2 15 2" xfId="21264"/>
    <cellStyle name="Normal 29 2 15 3" xfId="21265"/>
    <cellStyle name="Normal 29 2 15 4" xfId="21266"/>
    <cellStyle name="Normal 29 2 15 5" xfId="21267"/>
    <cellStyle name="Normal 29 2 15 6" xfId="21268"/>
    <cellStyle name="Normal 29 2 15 7" xfId="21269"/>
    <cellStyle name="Normal 29 2 15 8" xfId="21270"/>
    <cellStyle name="Normal 29 2 15 9" xfId="21271"/>
    <cellStyle name="Normal 29 2 16" xfId="21272"/>
    <cellStyle name="Normal 29 2 16 10" xfId="21273"/>
    <cellStyle name="Normal 29 2 16 11" xfId="21274"/>
    <cellStyle name="Normal 29 2 16 12" xfId="21275"/>
    <cellStyle name="Normal 29 2 16 13" xfId="21276"/>
    <cellStyle name="Normal 29 2 16 2" xfId="21277"/>
    <cellStyle name="Normal 29 2 16 3" xfId="21278"/>
    <cellStyle name="Normal 29 2 16 4" xfId="21279"/>
    <cellStyle name="Normal 29 2 16 5" xfId="21280"/>
    <cellStyle name="Normal 29 2 16 6" xfId="21281"/>
    <cellStyle name="Normal 29 2 16 7" xfId="21282"/>
    <cellStyle name="Normal 29 2 16 8" xfId="21283"/>
    <cellStyle name="Normal 29 2 16 9" xfId="21284"/>
    <cellStyle name="Normal 29 2 17" xfId="21285"/>
    <cellStyle name="Normal 29 2 17 10" xfId="21286"/>
    <cellStyle name="Normal 29 2 17 11" xfId="21287"/>
    <cellStyle name="Normal 29 2 17 12" xfId="21288"/>
    <cellStyle name="Normal 29 2 17 13" xfId="21289"/>
    <cellStyle name="Normal 29 2 17 2" xfId="21290"/>
    <cellStyle name="Normal 29 2 17 3" xfId="21291"/>
    <cellStyle name="Normal 29 2 17 4" xfId="21292"/>
    <cellStyle name="Normal 29 2 17 5" xfId="21293"/>
    <cellStyle name="Normal 29 2 17 6" xfId="21294"/>
    <cellStyle name="Normal 29 2 17 7" xfId="21295"/>
    <cellStyle name="Normal 29 2 17 8" xfId="21296"/>
    <cellStyle name="Normal 29 2 17 9" xfId="21297"/>
    <cellStyle name="Normal 29 2 18" xfId="21298"/>
    <cellStyle name="Normal 29 2 18 10" xfId="21299"/>
    <cellStyle name="Normal 29 2 18 11" xfId="21300"/>
    <cellStyle name="Normal 29 2 18 12" xfId="21301"/>
    <cellStyle name="Normal 29 2 18 13" xfId="21302"/>
    <cellStyle name="Normal 29 2 18 2" xfId="21303"/>
    <cellStyle name="Normal 29 2 18 3" xfId="21304"/>
    <cellStyle name="Normal 29 2 18 4" xfId="21305"/>
    <cellStyle name="Normal 29 2 18 5" xfId="21306"/>
    <cellStyle name="Normal 29 2 18 6" xfId="21307"/>
    <cellStyle name="Normal 29 2 18 7" xfId="21308"/>
    <cellStyle name="Normal 29 2 18 8" xfId="21309"/>
    <cellStyle name="Normal 29 2 18 9" xfId="21310"/>
    <cellStyle name="Normal 29 2 19" xfId="21311"/>
    <cellStyle name="Normal 29 2 19 10" xfId="21312"/>
    <cellStyle name="Normal 29 2 19 11" xfId="21313"/>
    <cellStyle name="Normal 29 2 19 12" xfId="21314"/>
    <cellStyle name="Normal 29 2 19 13" xfId="21315"/>
    <cellStyle name="Normal 29 2 19 2" xfId="21316"/>
    <cellStyle name="Normal 29 2 19 3" xfId="21317"/>
    <cellStyle name="Normal 29 2 19 4" xfId="21318"/>
    <cellStyle name="Normal 29 2 19 5" xfId="21319"/>
    <cellStyle name="Normal 29 2 19 6" xfId="21320"/>
    <cellStyle name="Normal 29 2 19 7" xfId="21321"/>
    <cellStyle name="Normal 29 2 19 8" xfId="21322"/>
    <cellStyle name="Normal 29 2 19 9" xfId="21323"/>
    <cellStyle name="Normal 29 2 2" xfId="21324"/>
    <cellStyle name="Normal 29 2 2 10" xfId="21325"/>
    <cellStyle name="Normal 29 2 2 11" xfId="21326"/>
    <cellStyle name="Normal 29 2 2 12" xfId="21327"/>
    <cellStyle name="Normal 29 2 2 13" xfId="21328"/>
    <cellStyle name="Normal 29 2 2 2" xfId="21329"/>
    <cellStyle name="Normal 29 2 2 3" xfId="21330"/>
    <cellStyle name="Normal 29 2 2 4" xfId="21331"/>
    <cellStyle name="Normal 29 2 2 5" xfId="21332"/>
    <cellStyle name="Normal 29 2 2 6" xfId="21333"/>
    <cellStyle name="Normal 29 2 2 7" xfId="21334"/>
    <cellStyle name="Normal 29 2 2 8" xfId="21335"/>
    <cellStyle name="Normal 29 2 2 9" xfId="21336"/>
    <cellStyle name="Normal 29 2 20" xfId="21337"/>
    <cellStyle name="Normal 29 2 20 10" xfId="21338"/>
    <cellStyle name="Normal 29 2 20 11" xfId="21339"/>
    <cellStyle name="Normal 29 2 20 12" xfId="21340"/>
    <cellStyle name="Normal 29 2 20 13" xfId="21341"/>
    <cellStyle name="Normal 29 2 20 2" xfId="21342"/>
    <cellStyle name="Normal 29 2 20 3" xfId="21343"/>
    <cellStyle name="Normal 29 2 20 4" xfId="21344"/>
    <cellStyle name="Normal 29 2 20 5" xfId="21345"/>
    <cellStyle name="Normal 29 2 20 6" xfId="21346"/>
    <cellStyle name="Normal 29 2 20 7" xfId="21347"/>
    <cellStyle name="Normal 29 2 20 8" xfId="21348"/>
    <cellStyle name="Normal 29 2 20 9" xfId="21349"/>
    <cellStyle name="Normal 29 2 21" xfId="21350"/>
    <cellStyle name="Normal 29 2 21 10" xfId="21351"/>
    <cellStyle name="Normal 29 2 21 11" xfId="21352"/>
    <cellStyle name="Normal 29 2 21 12" xfId="21353"/>
    <cellStyle name="Normal 29 2 21 13" xfId="21354"/>
    <cellStyle name="Normal 29 2 21 2" xfId="21355"/>
    <cellStyle name="Normal 29 2 21 3" xfId="21356"/>
    <cellStyle name="Normal 29 2 21 4" xfId="21357"/>
    <cellStyle name="Normal 29 2 21 5" xfId="21358"/>
    <cellStyle name="Normal 29 2 21 6" xfId="21359"/>
    <cellStyle name="Normal 29 2 21 7" xfId="21360"/>
    <cellStyle name="Normal 29 2 21 8" xfId="21361"/>
    <cellStyle name="Normal 29 2 21 9" xfId="21362"/>
    <cellStyle name="Normal 29 2 22" xfId="21363"/>
    <cellStyle name="Normal 29 2 22 10" xfId="21364"/>
    <cellStyle name="Normal 29 2 22 11" xfId="21365"/>
    <cellStyle name="Normal 29 2 22 12" xfId="21366"/>
    <cellStyle name="Normal 29 2 22 13" xfId="21367"/>
    <cellStyle name="Normal 29 2 22 2" xfId="21368"/>
    <cellStyle name="Normal 29 2 22 3" xfId="21369"/>
    <cellStyle name="Normal 29 2 22 4" xfId="21370"/>
    <cellStyle name="Normal 29 2 22 5" xfId="21371"/>
    <cellStyle name="Normal 29 2 22 6" xfId="21372"/>
    <cellStyle name="Normal 29 2 22 7" xfId="21373"/>
    <cellStyle name="Normal 29 2 22 8" xfId="21374"/>
    <cellStyle name="Normal 29 2 22 9" xfId="21375"/>
    <cellStyle name="Normal 29 2 23" xfId="21376"/>
    <cellStyle name="Normal 29 2 23 10" xfId="21377"/>
    <cellStyle name="Normal 29 2 23 11" xfId="21378"/>
    <cellStyle name="Normal 29 2 23 12" xfId="21379"/>
    <cellStyle name="Normal 29 2 23 13" xfId="21380"/>
    <cellStyle name="Normal 29 2 23 2" xfId="21381"/>
    <cellStyle name="Normal 29 2 23 3" xfId="21382"/>
    <cellStyle name="Normal 29 2 23 4" xfId="21383"/>
    <cellStyle name="Normal 29 2 23 5" xfId="21384"/>
    <cellStyle name="Normal 29 2 23 6" xfId="21385"/>
    <cellStyle name="Normal 29 2 23 7" xfId="21386"/>
    <cellStyle name="Normal 29 2 23 8" xfId="21387"/>
    <cellStyle name="Normal 29 2 23 9" xfId="21388"/>
    <cellStyle name="Normal 29 2 24" xfId="21389"/>
    <cellStyle name="Normal 29 2 24 10" xfId="21390"/>
    <cellStyle name="Normal 29 2 24 11" xfId="21391"/>
    <cellStyle name="Normal 29 2 24 12" xfId="21392"/>
    <cellStyle name="Normal 29 2 24 13" xfId="21393"/>
    <cellStyle name="Normal 29 2 24 2" xfId="21394"/>
    <cellStyle name="Normal 29 2 24 3" xfId="21395"/>
    <cellStyle name="Normal 29 2 24 4" xfId="21396"/>
    <cellStyle name="Normal 29 2 24 5" xfId="21397"/>
    <cellStyle name="Normal 29 2 24 6" xfId="21398"/>
    <cellStyle name="Normal 29 2 24 7" xfId="21399"/>
    <cellStyle name="Normal 29 2 24 8" xfId="21400"/>
    <cellStyle name="Normal 29 2 24 9" xfId="21401"/>
    <cellStyle name="Normal 29 2 25" xfId="21402"/>
    <cellStyle name="Normal 29 2 25 10" xfId="21403"/>
    <cellStyle name="Normal 29 2 25 11" xfId="21404"/>
    <cellStyle name="Normal 29 2 25 12" xfId="21405"/>
    <cellStyle name="Normal 29 2 25 13" xfId="21406"/>
    <cellStyle name="Normal 29 2 25 2" xfId="21407"/>
    <cellStyle name="Normal 29 2 25 3" xfId="21408"/>
    <cellStyle name="Normal 29 2 25 4" xfId="21409"/>
    <cellStyle name="Normal 29 2 25 5" xfId="21410"/>
    <cellStyle name="Normal 29 2 25 6" xfId="21411"/>
    <cellStyle name="Normal 29 2 25 7" xfId="21412"/>
    <cellStyle name="Normal 29 2 25 8" xfId="21413"/>
    <cellStyle name="Normal 29 2 25 9" xfId="21414"/>
    <cellStyle name="Normal 29 2 26" xfId="21415"/>
    <cellStyle name="Normal 29 2 26 10" xfId="21416"/>
    <cellStyle name="Normal 29 2 26 11" xfId="21417"/>
    <cellStyle name="Normal 29 2 26 12" xfId="21418"/>
    <cellStyle name="Normal 29 2 26 13" xfId="21419"/>
    <cellStyle name="Normal 29 2 26 2" xfId="21420"/>
    <cellStyle name="Normal 29 2 26 3" xfId="21421"/>
    <cellStyle name="Normal 29 2 26 4" xfId="21422"/>
    <cellStyle name="Normal 29 2 26 5" xfId="21423"/>
    <cellStyle name="Normal 29 2 26 6" xfId="21424"/>
    <cellStyle name="Normal 29 2 26 7" xfId="21425"/>
    <cellStyle name="Normal 29 2 26 8" xfId="21426"/>
    <cellStyle name="Normal 29 2 26 9" xfId="21427"/>
    <cellStyle name="Normal 29 2 27" xfId="21428"/>
    <cellStyle name="Normal 29 2 27 10" xfId="21429"/>
    <cellStyle name="Normal 29 2 27 11" xfId="21430"/>
    <cellStyle name="Normal 29 2 27 12" xfId="21431"/>
    <cellStyle name="Normal 29 2 27 13" xfId="21432"/>
    <cellStyle name="Normal 29 2 27 2" xfId="21433"/>
    <cellStyle name="Normal 29 2 27 3" xfId="21434"/>
    <cellStyle name="Normal 29 2 27 4" xfId="21435"/>
    <cellStyle name="Normal 29 2 27 5" xfId="21436"/>
    <cellStyle name="Normal 29 2 27 6" xfId="21437"/>
    <cellStyle name="Normal 29 2 27 7" xfId="21438"/>
    <cellStyle name="Normal 29 2 27 8" xfId="21439"/>
    <cellStyle name="Normal 29 2 27 9" xfId="21440"/>
    <cellStyle name="Normal 29 2 28" xfId="21441"/>
    <cellStyle name="Normal 29 2 28 10" xfId="21442"/>
    <cellStyle name="Normal 29 2 28 11" xfId="21443"/>
    <cellStyle name="Normal 29 2 28 12" xfId="21444"/>
    <cellStyle name="Normal 29 2 28 13" xfId="21445"/>
    <cellStyle name="Normal 29 2 28 2" xfId="21446"/>
    <cellStyle name="Normal 29 2 28 3" xfId="21447"/>
    <cellStyle name="Normal 29 2 28 4" xfId="21448"/>
    <cellStyle name="Normal 29 2 28 5" xfId="21449"/>
    <cellStyle name="Normal 29 2 28 6" xfId="21450"/>
    <cellStyle name="Normal 29 2 28 7" xfId="21451"/>
    <cellStyle name="Normal 29 2 28 8" xfId="21452"/>
    <cellStyle name="Normal 29 2 28 9" xfId="21453"/>
    <cellStyle name="Normal 29 2 29" xfId="21454"/>
    <cellStyle name="Normal 29 2 29 10" xfId="21455"/>
    <cellStyle name="Normal 29 2 29 11" xfId="21456"/>
    <cellStyle name="Normal 29 2 29 12" xfId="21457"/>
    <cellStyle name="Normal 29 2 29 13" xfId="21458"/>
    <cellStyle name="Normal 29 2 29 2" xfId="21459"/>
    <cellStyle name="Normal 29 2 29 3" xfId="21460"/>
    <cellStyle name="Normal 29 2 29 4" xfId="21461"/>
    <cellStyle name="Normal 29 2 29 5" xfId="21462"/>
    <cellStyle name="Normal 29 2 29 6" xfId="21463"/>
    <cellStyle name="Normal 29 2 29 7" xfId="21464"/>
    <cellStyle name="Normal 29 2 29 8" xfId="21465"/>
    <cellStyle name="Normal 29 2 29 9" xfId="21466"/>
    <cellStyle name="Normal 29 2 3" xfId="21467"/>
    <cellStyle name="Normal 29 2 3 10" xfId="21468"/>
    <cellStyle name="Normal 29 2 3 11" xfId="21469"/>
    <cellStyle name="Normal 29 2 3 12" xfId="21470"/>
    <cellStyle name="Normal 29 2 3 13" xfId="21471"/>
    <cellStyle name="Normal 29 2 3 2" xfId="21472"/>
    <cellStyle name="Normal 29 2 3 3" xfId="21473"/>
    <cellStyle name="Normal 29 2 3 4" xfId="21474"/>
    <cellStyle name="Normal 29 2 3 5" xfId="21475"/>
    <cellStyle name="Normal 29 2 3 6" xfId="21476"/>
    <cellStyle name="Normal 29 2 3 7" xfId="21477"/>
    <cellStyle name="Normal 29 2 3 8" xfId="21478"/>
    <cellStyle name="Normal 29 2 3 9" xfId="21479"/>
    <cellStyle name="Normal 29 2 30" xfId="21480"/>
    <cellStyle name="Normal 29 2 30 10" xfId="21481"/>
    <cellStyle name="Normal 29 2 30 11" xfId="21482"/>
    <cellStyle name="Normal 29 2 30 12" xfId="21483"/>
    <cellStyle name="Normal 29 2 30 13" xfId="21484"/>
    <cellStyle name="Normal 29 2 30 2" xfId="21485"/>
    <cellStyle name="Normal 29 2 30 3" xfId="21486"/>
    <cellStyle name="Normal 29 2 30 4" xfId="21487"/>
    <cellStyle name="Normal 29 2 30 5" xfId="21488"/>
    <cellStyle name="Normal 29 2 30 6" xfId="21489"/>
    <cellStyle name="Normal 29 2 30 7" xfId="21490"/>
    <cellStyle name="Normal 29 2 30 8" xfId="21491"/>
    <cellStyle name="Normal 29 2 30 9" xfId="21492"/>
    <cellStyle name="Normal 29 2 31" xfId="21493"/>
    <cellStyle name="Normal 29 2 31 10" xfId="21494"/>
    <cellStyle name="Normal 29 2 31 11" xfId="21495"/>
    <cellStyle name="Normal 29 2 31 12" xfId="21496"/>
    <cellStyle name="Normal 29 2 31 13" xfId="21497"/>
    <cellStyle name="Normal 29 2 31 2" xfId="21498"/>
    <cellStyle name="Normal 29 2 31 3" xfId="21499"/>
    <cellStyle name="Normal 29 2 31 4" xfId="21500"/>
    <cellStyle name="Normal 29 2 31 5" xfId="21501"/>
    <cellStyle name="Normal 29 2 31 6" xfId="21502"/>
    <cellStyle name="Normal 29 2 31 7" xfId="21503"/>
    <cellStyle name="Normal 29 2 31 8" xfId="21504"/>
    <cellStyle name="Normal 29 2 31 9" xfId="21505"/>
    <cellStyle name="Normal 29 2 32" xfId="21506"/>
    <cellStyle name="Normal 29 2 32 10" xfId="21507"/>
    <cellStyle name="Normal 29 2 32 11" xfId="21508"/>
    <cellStyle name="Normal 29 2 32 12" xfId="21509"/>
    <cellStyle name="Normal 29 2 32 13" xfId="21510"/>
    <cellStyle name="Normal 29 2 32 2" xfId="21511"/>
    <cellStyle name="Normal 29 2 32 3" xfId="21512"/>
    <cellStyle name="Normal 29 2 32 4" xfId="21513"/>
    <cellStyle name="Normal 29 2 32 5" xfId="21514"/>
    <cellStyle name="Normal 29 2 32 6" xfId="21515"/>
    <cellStyle name="Normal 29 2 32 7" xfId="21516"/>
    <cellStyle name="Normal 29 2 32 8" xfId="21517"/>
    <cellStyle name="Normal 29 2 32 9" xfId="21518"/>
    <cellStyle name="Normal 29 2 33" xfId="21519"/>
    <cellStyle name="Normal 29 2 33 10" xfId="21520"/>
    <cellStyle name="Normal 29 2 33 11" xfId="21521"/>
    <cellStyle name="Normal 29 2 33 12" xfId="21522"/>
    <cellStyle name="Normal 29 2 33 13" xfId="21523"/>
    <cellStyle name="Normal 29 2 33 2" xfId="21524"/>
    <cellStyle name="Normal 29 2 33 3" xfId="21525"/>
    <cellStyle name="Normal 29 2 33 4" xfId="21526"/>
    <cellStyle name="Normal 29 2 33 5" xfId="21527"/>
    <cellStyle name="Normal 29 2 33 6" xfId="21528"/>
    <cellStyle name="Normal 29 2 33 7" xfId="21529"/>
    <cellStyle name="Normal 29 2 33 8" xfId="21530"/>
    <cellStyle name="Normal 29 2 33 9" xfId="21531"/>
    <cellStyle name="Normal 29 2 34" xfId="21532"/>
    <cellStyle name="Normal 29 2 34 10" xfId="21533"/>
    <cellStyle name="Normal 29 2 34 11" xfId="21534"/>
    <cellStyle name="Normal 29 2 34 12" xfId="21535"/>
    <cellStyle name="Normal 29 2 34 13" xfId="21536"/>
    <cellStyle name="Normal 29 2 34 2" xfId="21537"/>
    <cellStyle name="Normal 29 2 34 3" xfId="21538"/>
    <cellStyle name="Normal 29 2 34 4" xfId="21539"/>
    <cellStyle name="Normal 29 2 34 5" xfId="21540"/>
    <cellStyle name="Normal 29 2 34 6" xfId="21541"/>
    <cellStyle name="Normal 29 2 34 7" xfId="21542"/>
    <cellStyle name="Normal 29 2 34 8" xfId="21543"/>
    <cellStyle name="Normal 29 2 34 9" xfId="21544"/>
    <cellStyle name="Normal 29 2 35" xfId="21545"/>
    <cellStyle name="Normal 29 2 35 10" xfId="21546"/>
    <cellStyle name="Normal 29 2 35 11" xfId="21547"/>
    <cellStyle name="Normal 29 2 35 12" xfId="21548"/>
    <cellStyle name="Normal 29 2 35 13" xfId="21549"/>
    <cellStyle name="Normal 29 2 35 2" xfId="21550"/>
    <cellStyle name="Normal 29 2 35 3" xfId="21551"/>
    <cellStyle name="Normal 29 2 35 4" xfId="21552"/>
    <cellStyle name="Normal 29 2 35 5" xfId="21553"/>
    <cellStyle name="Normal 29 2 35 6" xfId="21554"/>
    <cellStyle name="Normal 29 2 35 7" xfId="21555"/>
    <cellStyle name="Normal 29 2 35 8" xfId="21556"/>
    <cellStyle name="Normal 29 2 35 9" xfId="21557"/>
    <cellStyle name="Normal 29 2 36" xfId="21558"/>
    <cellStyle name="Normal 29 2 36 10" xfId="21559"/>
    <cellStyle name="Normal 29 2 36 11" xfId="21560"/>
    <cellStyle name="Normal 29 2 36 12" xfId="21561"/>
    <cellStyle name="Normal 29 2 36 13" xfId="21562"/>
    <cellStyle name="Normal 29 2 36 2" xfId="21563"/>
    <cellStyle name="Normal 29 2 36 3" xfId="21564"/>
    <cellStyle name="Normal 29 2 36 4" xfId="21565"/>
    <cellStyle name="Normal 29 2 36 5" xfId="21566"/>
    <cellStyle name="Normal 29 2 36 6" xfId="21567"/>
    <cellStyle name="Normal 29 2 36 7" xfId="21568"/>
    <cellStyle name="Normal 29 2 36 8" xfId="21569"/>
    <cellStyle name="Normal 29 2 36 9" xfId="21570"/>
    <cellStyle name="Normal 29 2 37" xfId="21571"/>
    <cellStyle name="Normal 29 2 37 10" xfId="21572"/>
    <cellStyle name="Normal 29 2 37 11" xfId="21573"/>
    <cellStyle name="Normal 29 2 37 12" xfId="21574"/>
    <cellStyle name="Normal 29 2 37 13" xfId="21575"/>
    <cellStyle name="Normal 29 2 37 2" xfId="21576"/>
    <cellStyle name="Normal 29 2 37 3" xfId="21577"/>
    <cellStyle name="Normal 29 2 37 4" xfId="21578"/>
    <cellStyle name="Normal 29 2 37 5" xfId="21579"/>
    <cellStyle name="Normal 29 2 37 6" xfId="21580"/>
    <cellStyle name="Normal 29 2 37 7" xfId="21581"/>
    <cellStyle name="Normal 29 2 37 8" xfId="21582"/>
    <cellStyle name="Normal 29 2 37 9" xfId="21583"/>
    <cellStyle name="Normal 29 2 38" xfId="21584"/>
    <cellStyle name="Normal 29 2 38 10" xfId="21585"/>
    <cellStyle name="Normal 29 2 38 11" xfId="21586"/>
    <cellStyle name="Normal 29 2 38 12" xfId="21587"/>
    <cellStyle name="Normal 29 2 38 13" xfId="21588"/>
    <cellStyle name="Normal 29 2 38 2" xfId="21589"/>
    <cellStyle name="Normal 29 2 38 3" xfId="21590"/>
    <cellStyle name="Normal 29 2 38 4" xfId="21591"/>
    <cellStyle name="Normal 29 2 38 5" xfId="21592"/>
    <cellStyle name="Normal 29 2 38 6" xfId="21593"/>
    <cellStyle name="Normal 29 2 38 7" xfId="21594"/>
    <cellStyle name="Normal 29 2 38 8" xfId="21595"/>
    <cellStyle name="Normal 29 2 38 9" xfId="21596"/>
    <cellStyle name="Normal 29 2 39" xfId="21597"/>
    <cellStyle name="Normal 29 2 39 10" xfId="21598"/>
    <cellStyle name="Normal 29 2 39 11" xfId="21599"/>
    <cellStyle name="Normal 29 2 39 12" xfId="21600"/>
    <cellStyle name="Normal 29 2 39 13" xfId="21601"/>
    <cellStyle name="Normal 29 2 39 2" xfId="21602"/>
    <cellStyle name="Normal 29 2 39 3" xfId="21603"/>
    <cellStyle name="Normal 29 2 39 4" xfId="21604"/>
    <cellStyle name="Normal 29 2 39 5" xfId="21605"/>
    <cellStyle name="Normal 29 2 39 6" xfId="21606"/>
    <cellStyle name="Normal 29 2 39 7" xfId="21607"/>
    <cellStyle name="Normal 29 2 39 8" xfId="21608"/>
    <cellStyle name="Normal 29 2 39 9" xfId="21609"/>
    <cellStyle name="Normal 29 2 4" xfId="21610"/>
    <cellStyle name="Normal 29 2 4 10" xfId="21611"/>
    <cellStyle name="Normal 29 2 4 11" xfId="21612"/>
    <cellStyle name="Normal 29 2 4 12" xfId="21613"/>
    <cellStyle name="Normal 29 2 4 13" xfId="21614"/>
    <cellStyle name="Normal 29 2 4 2" xfId="21615"/>
    <cellStyle name="Normal 29 2 4 3" xfId="21616"/>
    <cellStyle name="Normal 29 2 4 4" xfId="21617"/>
    <cellStyle name="Normal 29 2 4 5" xfId="21618"/>
    <cellStyle name="Normal 29 2 4 6" xfId="21619"/>
    <cellStyle name="Normal 29 2 4 7" xfId="21620"/>
    <cellStyle name="Normal 29 2 4 8" xfId="21621"/>
    <cellStyle name="Normal 29 2 4 9" xfId="21622"/>
    <cellStyle name="Normal 29 2 40" xfId="21623"/>
    <cellStyle name="Normal 29 2 40 10" xfId="21624"/>
    <cellStyle name="Normal 29 2 40 11" xfId="21625"/>
    <cellStyle name="Normal 29 2 40 12" xfId="21626"/>
    <cellStyle name="Normal 29 2 40 13" xfId="21627"/>
    <cellStyle name="Normal 29 2 40 2" xfId="21628"/>
    <cellStyle name="Normal 29 2 40 3" xfId="21629"/>
    <cellStyle name="Normal 29 2 40 4" xfId="21630"/>
    <cellStyle name="Normal 29 2 40 5" xfId="21631"/>
    <cellStyle name="Normal 29 2 40 6" xfId="21632"/>
    <cellStyle name="Normal 29 2 40 7" xfId="21633"/>
    <cellStyle name="Normal 29 2 40 8" xfId="21634"/>
    <cellStyle name="Normal 29 2 40 9" xfId="21635"/>
    <cellStyle name="Normal 29 2 41" xfId="21636"/>
    <cellStyle name="Normal 29 2 41 10" xfId="21637"/>
    <cellStyle name="Normal 29 2 41 11" xfId="21638"/>
    <cellStyle name="Normal 29 2 41 12" xfId="21639"/>
    <cellStyle name="Normal 29 2 41 13" xfId="21640"/>
    <cellStyle name="Normal 29 2 41 2" xfId="21641"/>
    <cellStyle name="Normal 29 2 41 3" xfId="21642"/>
    <cellStyle name="Normal 29 2 41 4" xfId="21643"/>
    <cellStyle name="Normal 29 2 41 5" xfId="21644"/>
    <cellStyle name="Normal 29 2 41 6" xfId="21645"/>
    <cellStyle name="Normal 29 2 41 7" xfId="21646"/>
    <cellStyle name="Normal 29 2 41 8" xfId="21647"/>
    <cellStyle name="Normal 29 2 41 9" xfId="21648"/>
    <cellStyle name="Normal 29 2 42" xfId="21649"/>
    <cellStyle name="Normal 29 2 42 10" xfId="21650"/>
    <cellStyle name="Normal 29 2 42 11" xfId="21651"/>
    <cellStyle name="Normal 29 2 42 12" xfId="21652"/>
    <cellStyle name="Normal 29 2 42 13" xfId="21653"/>
    <cellStyle name="Normal 29 2 42 2" xfId="21654"/>
    <cellStyle name="Normal 29 2 42 3" xfId="21655"/>
    <cellStyle name="Normal 29 2 42 4" xfId="21656"/>
    <cellStyle name="Normal 29 2 42 5" xfId="21657"/>
    <cellStyle name="Normal 29 2 42 6" xfId="21658"/>
    <cellStyle name="Normal 29 2 42 7" xfId="21659"/>
    <cellStyle name="Normal 29 2 42 8" xfId="21660"/>
    <cellStyle name="Normal 29 2 42 9" xfId="21661"/>
    <cellStyle name="Normal 29 2 43" xfId="21662"/>
    <cellStyle name="Normal 29 2 43 10" xfId="21663"/>
    <cellStyle name="Normal 29 2 43 11" xfId="21664"/>
    <cellStyle name="Normal 29 2 43 12" xfId="21665"/>
    <cellStyle name="Normal 29 2 43 13" xfId="21666"/>
    <cellStyle name="Normal 29 2 43 2" xfId="21667"/>
    <cellStyle name="Normal 29 2 43 3" xfId="21668"/>
    <cellStyle name="Normal 29 2 43 4" xfId="21669"/>
    <cellStyle name="Normal 29 2 43 5" xfId="21670"/>
    <cellStyle name="Normal 29 2 43 6" xfId="21671"/>
    <cellStyle name="Normal 29 2 43 7" xfId="21672"/>
    <cellStyle name="Normal 29 2 43 8" xfId="21673"/>
    <cellStyle name="Normal 29 2 43 9" xfId="21674"/>
    <cellStyle name="Normal 29 2 44" xfId="21675"/>
    <cellStyle name="Normal 29 2 44 10" xfId="21676"/>
    <cellStyle name="Normal 29 2 44 11" xfId="21677"/>
    <cellStyle name="Normal 29 2 44 12" xfId="21678"/>
    <cellStyle name="Normal 29 2 44 13" xfId="21679"/>
    <cellStyle name="Normal 29 2 44 2" xfId="21680"/>
    <cellStyle name="Normal 29 2 44 3" xfId="21681"/>
    <cellStyle name="Normal 29 2 44 4" xfId="21682"/>
    <cellStyle name="Normal 29 2 44 5" xfId="21683"/>
    <cellStyle name="Normal 29 2 44 6" xfId="21684"/>
    <cellStyle name="Normal 29 2 44 7" xfId="21685"/>
    <cellStyle name="Normal 29 2 44 8" xfId="21686"/>
    <cellStyle name="Normal 29 2 44 9" xfId="21687"/>
    <cellStyle name="Normal 29 2 45" xfId="21688"/>
    <cellStyle name="Normal 29 2 45 10" xfId="21689"/>
    <cellStyle name="Normal 29 2 45 11" xfId="21690"/>
    <cellStyle name="Normal 29 2 45 12" xfId="21691"/>
    <cellStyle name="Normal 29 2 45 13" xfId="21692"/>
    <cellStyle name="Normal 29 2 45 2" xfId="21693"/>
    <cellStyle name="Normal 29 2 45 3" xfId="21694"/>
    <cellStyle name="Normal 29 2 45 4" xfId="21695"/>
    <cellStyle name="Normal 29 2 45 5" xfId="21696"/>
    <cellStyle name="Normal 29 2 45 6" xfId="21697"/>
    <cellStyle name="Normal 29 2 45 7" xfId="21698"/>
    <cellStyle name="Normal 29 2 45 8" xfId="21699"/>
    <cellStyle name="Normal 29 2 45 9" xfId="21700"/>
    <cellStyle name="Normal 29 2 46" xfId="21701"/>
    <cellStyle name="Normal 29 2 46 10" xfId="21702"/>
    <cellStyle name="Normal 29 2 46 11" xfId="21703"/>
    <cellStyle name="Normal 29 2 46 12" xfId="21704"/>
    <cellStyle name="Normal 29 2 46 13" xfId="21705"/>
    <cellStyle name="Normal 29 2 46 2" xfId="21706"/>
    <cellStyle name="Normal 29 2 46 3" xfId="21707"/>
    <cellStyle name="Normal 29 2 46 4" xfId="21708"/>
    <cellStyle name="Normal 29 2 46 5" xfId="21709"/>
    <cellStyle name="Normal 29 2 46 6" xfId="21710"/>
    <cellStyle name="Normal 29 2 46 7" xfId="21711"/>
    <cellStyle name="Normal 29 2 46 8" xfId="21712"/>
    <cellStyle name="Normal 29 2 46 9" xfId="21713"/>
    <cellStyle name="Normal 29 2 47" xfId="21714"/>
    <cellStyle name="Normal 29 2 47 10" xfId="21715"/>
    <cellStyle name="Normal 29 2 47 11" xfId="21716"/>
    <cellStyle name="Normal 29 2 47 12" xfId="21717"/>
    <cellStyle name="Normal 29 2 47 13" xfId="21718"/>
    <cellStyle name="Normal 29 2 47 2" xfId="21719"/>
    <cellStyle name="Normal 29 2 47 3" xfId="21720"/>
    <cellStyle name="Normal 29 2 47 4" xfId="21721"/>
    <cellStyle name="Normal 29 2 47 5" xfId="21722"/>
    <cellStyle name="Normal 29 2 47 6" xfId="21723"/>
    <cellStyle name="Normal 29 2 47 7" xfId="21724"/>
    <cellStyle name="Normal 29 2 47 8" xfId="21725"/>
    <cellStyle name="Normal 29 2 47 9" xfId="21726"/>
    <cellStyle name="Normal 29 2 48" xfId="21727"/>
    <cellStyle name="Normal 29 2 48 10" xfId="21728"/>
    <cellStyle name="Normal 29 2 48 11" xfId="21729"/>
    <cellStyle name="Normal 29 2 48 12" xfId="21730"/>
    <cellStyle name="Normal 29 2 48 13" xfId="21731"/>
    <cellStyle name="Normal 29 2 48 2" xfId="21732"/>
    <cellStyle name="Normal 29 2 48 3" xfId="21733"/>
    <cellStyle name="Normal 29 2 48 4" xfId="21734"/>
    <cellStyle name="Normal 29 2 48 5" xfId="21735"/>
    <cellStyle name="Normal 29 2 48 6" xfId="21736"/>
    <cellStyle name="Normal 29 2 48 7" xfId="21737"/>
    <cellStyle name="Normal 29 2 48 8" xfId="21738"/>
    <cellStyle name="Normal 29 2 48 9" xfId="21739"/>
    <cellStyle name="Normal 29 2 49" xfId="21740"/>
    <cellStyle name="Normal 29 2 49 10" xfId="21741"/>
    <cellStyle name="Normal 29 2 49 11" xfId="21742"/>
    <cellStyle name="Normal 29 2 49 12" xfId="21743"/>
    <cellStyle name="Normal 29 2 49 13" xfId="21744"/>
    <cellStyle name="Normal 29 2 49 2" xfId="21745"/>
    <cellStyle name="Normal 29 2 49 3" xfId="21746"/>
    <cellStyle name="Normal 29 2 49 4" xfId="21747"/>
    <cellStyle name="Normal 29 2 49 5" xfId="21748"/>
    <cellStyle name="Normal 29 2 49 6" xfId="21749"/>
    <cellStyle name="Normal 29 2 49 7" xfId="21750"/>
    <cellStyle name="Normal 29 2 49 8" xfId="21751"/>
    <cellStyle name="Normal 29 2 49 9" xfId="21752"/>
    <cellStyle name="Normal 29 2 5" xfId="21753"/>
    <cellStyle name="Normal 29 2 5 10" xfId="21754"/>
    <cellStyle name="Normal 29 2 5 11" xfId="21755"/>
    <cellStyle name="Normal 29 2 5 12" xfId="21756"/>
    <cellStyle name="Normal 29 2 5 13" xfId="21757"/>
    <cellStyle name="Normal 29 2 5 2" xfId="21758"/>
    <cellStyle name="Normal 29 2 5 3" xfId="21759"/>
    <cellStyle name="Normal 29 2 5 4" xfId="21760"/>
    <cellStyle name="Normal 29 2 5 5" xfId="21761"/>
    <cellStyle name="Normal 29 2 5 6" xfId="21762"/>
    <cellStyle name="Normal 29 2 5 7" xfId="21763"/>
    <cellStyle name="Normal 29 2 5 8" xfId="21764"/>
    <cellStyle name="Normal 29 2 5 9" xfId="21765"/>
    <cellStyle name="Normal 29 2 50" xfId="21766"/>
    <cellStyle name="Normal 29 2 50 10" xfId="21767"/>
    <cellStyle name="Normal 29 2 50 11" xfId="21768"/>
    <cellStyle name="Normal 29 2 50 12" xfId="21769"/>
    <cellStyle name="Normal 29 2 50 13" xfId="21770"/>
    <cellStyle name="Normal 29 2 50 2" xfId="21771"/>
    <cellStyle name="Normal 29 2 50 3" xfId="21772"/>
    <cellStyle name="Normal 29 2 50 4" xfId="21773"/>
    <cellStyle name="Normal 29 2 50 5" xfId="21774"/>
    <cellStyle name="Normal 29 2 50 6" xfId="21775"/>
    <cellStyle name="Normal 29 2 50 7" xfId="21776"/>
    <cellStyle name="Normal 29 2 50 8" xfId="21777"/>
    <cellStyle name="Normal 29 2 50 9" xfId="21778"/>
    <cellStyle name="Normal 29 2 51" xfId="21779"/>
    <cellStyle name="Normal 29 2 51 10" xfId="21780"/>
    <cellStyle name="Normal 29 2 51 11" xfId="21781"/>
    <cellStyle name="Normal 29 2 51 12" xfId="21782"/>
    <cellStyle name="Normal 29 2 51 13" xfId="21783"/>
    <cellStyle name="Normal 29 2 51 2" xfId="21784"/>
    <cellStyle name="Normal 29 2 51 3" xfId="21785"/>
    <cellStyle name="Normal 29 2 51 4" xfId="21786"/>
    <cellStyle name="Normal 29 2 51 5" xfId="21787"/>
    <cellStyle name="Normal 29 2 51 6" xfId="21788"/>
    <cellStyle name="Normal 29 2 51 7" xfId="21789"/>
    <cellStyle name="Normal 29 2 51 8" xfId="21790"/>
    <cellStyle name="Normal 29 2 51 9" xfId="21791"/>
    <cellStyle name="Normal 29 2 52" xfId="21792"/>
    <cellStyle name="Normal 29 2 52 10" xfId="21793"/>
    <cellStyle name="Normal 29 2 52 11" xfId="21794"/>
    <cellStyle name="Normal 29 2 52 12" xfId="21795"/>
    <cellStyle name="Normal 29 2 52 13" xfId="21796"/>
    <cellStyle name="Normal 29 2 52 2" xfId="21797"/>
    <cellStyle name="Normal 29 2 52 3" xfId="21798"/>
    <cellStyle name="Normal 29 2 52 4" xfId="21799"/>
    <cellStyle name="Normal 29 2 52 5" xfId="21800"/>
    <cellStyle name="Normal 29 2 52 6" xfId="21801"/>
    <cellStyle name="Normal 29 2 52 7" xfId="21802"/>
    <cellStyle name="Normal 29 2 52 8" xfId="21803"/>
    <cellStyle name="Normal 29 2 52 9" xfId="21804"/>
    <cellStyle name="Normal 29 2 53" xfId="21805"/>
    <cellStyle name="Normal 29 2 53 10" xfId="21806"/>
    <cellStyle name="Normal 29 2 53 11" xfId="21807"/>
    <cellStyle name="Normal 29 2 53 12" xfId="21808"/>
    <cellStyle name="Normal 29 2 53 13" xfId="21809"/>
    <cellStyle name="Normal 29 2 53 2" xfId="21810"/>
    <cellStyle name="Normal 29 2 53 3" xfId="21811"/>
    <cellStyle name="Normal 29 2 53 4" xfId="21812"/>
    <cellStyle name="Normal 29 2 53 5" xfId="21813"/>
    <cellStyle name="Normal 29 2 53 6" xfId="21814"/>
    <cellStyle name="Normal 29 2 53 7" xfId="21815"/>
    <cellStyle name="Normal 29 2 53 8" xfId="21816"/>
    <cellStyle name="Normal 29 2 53 9" xfId="21817"/>
    <cellStyle name="Normal 29 2 54" xfId="21818"/>
    <cellStyle name="Normal 29 2 54 10" xfId="21819"/>
    <cellStyle name="Normal 29 2 54 11" xfId="21820"/>
    <cellStyle name="Normal 29 2 54 12" xfId="21821"/>
    <cellStyle name="Normal 29 2 54 13" xfId="21822"/>
    <cellStyle name="Normal 29 2 54 2" xfId="21823"/>
    <cellStyle name="Normal 29 2 54 3" xfId="21824"/>
    <cellStyle name="Normal 29 2 54 4" xfId="21825"/>
    <cellStyle name="Normal 29 2 54 5" xfId="21826"/>
    <cellStyle name="Normal 29 2 54 6" xfId="21827"/>
    <cellStyle name="Normal 29 2 54 7" xfId="21828"/>
    <cellStyle name="Normal 29 2 54 8" xfId="21829"/>
    <cellStyle name="Normal 29 2 54 9" xfId="21830"/>
    <cellStyle name="Normal 29 2 55" xfId="21831"/>
    <cellStyle name="Normal 29 2 55 10" xfId="21832"/>
    <cellStyle name="Normal 29 2 55 11" xfId="21833"/>
    <cellStyle name="Normal 29 2 55 12" xfId="21834"/>
    <cellStyle name="Normal 29 2 55 13" xfId="21835"/>
    <cellStyle name="Normal 29 2 55 2" xfId="21836"/>
    <cellStyle name="Normal 29 2 55 3" xfId="21837"/>
    <cellStyle name="Normal 29 2 55 4" xfId="21838"/>
    <cellStyle name="Normal 29 2 55 5" xfId="21839"/>
    <cellStyle name="Normal 29 2 55 6" xfId="21840"/>
    <cellStyle name="Normal 29 2 55 7" xfId="21841"/>
    <cellStyle name="Normal 29 2 55 8" xfId="21842"/>
    <cellStyle name="Normal 29 2 55 9" xfId="21843"/>
    <cellStyle name="Normal 29 2 56" xfId="21844"/>
    <cellStyle name="Normal 29 2 56 10" xfId="21845"/>
    <cellStyle name="Normal 29 2 56 11" xfId="21846"/>
    <cellStyle name="Normal 29 2 56 12" xfId="21847"/>
    <cellStyle name="Normal 29 2 56 13" xfId="21848"/>
    <cellStyle name="Normal 29 2 56 2" xfId="21849"/>
    <cellStyle name="Normal 29 2 56 3" xfId="21850"/>
    <cellStyle name="Normal 29 2 56 4" xfId="21851"/>
    <cellStyle name="Normal 29 2 56 5" xfId="21852"/>
    <cellStyle name="Normal 29 2 56 6" xfId="21853"/>
    <cellStyle name="Normal 29 2 56 7" xfId="21854"/>
    <cellStyle name="Normal 29 2 56 8" xfId="21855"/>
    <cellStyle name="Normal 29 2 56 9" xfId="21856"/>
    <cellStyle name="Normal 29 2 57" xfId="21857"/>
    <cellStyle name="Normal 29 2 57 10" xfId="21858"/>
    <cellStyle name="Normal 29 2 57 11" xfId="21859"/>
    <cellStyle name="Normal 29 2 57 12" xfId="21860"/>
    <cellStyle name="Normal 29 2 57 13" xfId="21861"/>
    <cellStyle name="Normal 29 2 57 2" xfId="21862"/>
    <cellStyle name="Normal 29 2 57 3" xfId="21863"/>
    <cellStyle name="Normal 29 2 57 4" xfId="21864"/>
    <cellStyle name="Normal 29 2 57 5" xfId="21865"/>
    <cellStyle name="Normal 29 2 57 6" xfId="21866"/>
    <cellStyle name="Normal 29 2 57 7" xfId="21867"/>
    <cellStyle name="Normal 29 2 57 8" xfId="21868"/>
    <cellStyle name="Normal 29 2 57 9" xfId="21869"/>
    <cellStyle name="Normal 29 2 58" xfId="21870"/>
    <cellStyle name="Normal 29 2 58 10" xfId="21871"/>
    <cellStyle name="Normal 29 2 58 11" xfId="21872"/>
    <cellStyle name="Normal 29 2 58 12" xfId="21873"/>
    <cellStyle name="Normal 29 2 58 13" xfId="21874"/>
    <cellStyle name="Normal 29 2 58 2" xfId="21875"/>
    <cellStyle name="Normal 29 2 58 3" xfId="21876"/>
    <cellStyle name="Normal 29 2 58 4" xfId="21877"/>
    <cellStyle name="Normal 29 2 58 5" xfId="21878"/>
    <cellStyle name="Normal 29 2 58 6" xfId="21879"/>
    <cellStyle name="Normal 29 2 58 7" xfId="21880"/>
    <cellStyle name="Normal 29 2 58 8" xfId="21881"/>
    <cellStyle name="Normal 29 2 58 9" xfId="21882"/>
    <cellStyle name="Normal 29 2 59" xfId="21883"/>
    <cellStyle name="Normal 29 2 59 10" xfId="21884"/>
    <cellStyle name="Normal 29 2 59 11" xfId="21885"/>
    <cellStyle name="Normal 29 2 59 12" xfId="21886"/>
    <cellStyle name="Normal 29 2 59 13" xfId="21887"/>
    <cellStyle name="Normal 29 2 59 2" xfId="21888"/>
    <cellStyle name="Normal 29 2 59 3" xfId="21889"/>
    <cellStyle name="Normal 29 2 59 4" xfId="21890"/>
    <cellStyle name="Normal 29 2 59 5" xfId="21891"/>
    <cellStyle name="Normal 29 2 59 6" xfId="21892"/>
    <cellStyle name="Normal 29 2 59 7" xfId="21893"/>
    <cellStyle name="Normal 29 2 59 8" xfId="21894"/>
    <cellStyle name="Normal 29 2 59 9" xfId="21895"/>
    <cellStyle name="Normal 29 2 6" xfId="21896"/>
    <cellStyle name="Normal 29 2 6 10" xfId="21897"/>
    <cellStyle name="Normal 29 2 6 11" xfId="21898"/>
    <cellStyle name="Normal 29 2 6 12" xfId="21899"/>
    <cellStyle name="Normal 29 2 6 13" xfId="21900"/>
    <cellStyle name="Normal 29 2 6 2" xfId="21901"/>
    <cellStyle name="Normal 29 2 6 3" xfId="21902"/>
    <cellStyle name="Normal 29 2 6 4" xfId="21903"/>
    <cellStyle name="Normal 29 2 6 5" xfId="21904"/>
    <cellStyle name="Normal 29 2 6 6" xfId="21905"/>
    <cellStyle name="Normal 29 2 6 7" xfId="21906"/>
    <cellStyle name="Normal 29 2 6 8" xfId="21907"/>
    <cellStyle name="Normal 29 2 6 9" xfId="21908"/>
    <cellStyle name="Normal 29 2 60" xfId="21909"/>
    <cellStyle name="Normal 29 2 60 10" xfId="21910"/>
    <cellStyle name="Normal 29 2 60 11" xfId="21911"/>
    <cellStyle name="Normal 29 2 60 12" xfId="21912"/>
    <cellStyle name="Normal 29 2 60 13" xfId="21913"/>
    <cellStyle name="Normal 29 2 60 2" xfId="21914"/>
    <cellStyle name="Normal 29 2 60 3" xfId="21915"/>
    <cellStyle name="Normal 29 2 60 4" xfId="21916"/>
    <cellStyle name="Normal 29 2 60 5" xfId="21917"/>
    <cellStyle name="Normal 29 2 60 6" xfId="21918"/>
    <cellStyle name="Normal 29 2 60 7" xfId="21919"/>
    <cellStyle name="Normal 29 2 60 8" xfId="21920"/>
    <cellStyle name="Normal 29 2 60 9" xfId="21921"/>
    <cellStyle name="Normal 29 2 61" xfId="21922"/>
    <cellStyle name="Normal 29 2 61 10" xfId="21923"/>
    <cellStyle name="Normal 29 2 61 11" xfId="21924"/>
    <cellStyle name="Normal 29 2 61 12" xfId="21925"/>
    <cellStyle name="Normal 29 2 61 13" xfId="21926"/>
    <cellStyle name="Normal 29 2 61 2" xfId="21927"/>
    <cellStyle name="Normal 29 2 61 3" xfId="21928"/>
    <cellStyle name="Normal 29 2 61 4" xfId="21929"/>
    <cellStyle name="Normal 29 2 61 5" xfId="21930"/>
    <cellStyle name="Normal 29 2 61 6" xfId="21931"/>
    <cellStyle name="Normal 29 2 61 7" xfId="21932"/>
    <cellStyle name="Normal 29 2 61 8" xfId="21933"/>
    <cellStyle name="Normal 29 2 61 9" xfId="21934"/>
    <cellStyle name="Normal 29 2 62" xfId="21935"/>
    <cellStyle name="Normal 29 2 62 10" xfId="21936"/>
    <cellStyle name="Normal 29 2 62 11" xfId="21937"/>
    <cellStyle name="Normal 29 2 62 12" xfId="21938"/>
    <cellStyle name="Normal 29 2 62 13" xfId="21939"/>
    <cellStyle name="Normal 29 2 62 2" xfId="21940"/>
    <cellStyle name="Normal 29 2 62 3" xfId="21941"/>
    <cellStyle name="Normal 29 2 62 4" xfId="21942"/>
    <cellStyle name="Normal 29 2 62 5" xfId="21943"/>
    <cellStyle name="Normal 29 2 62 6" xfId="21944"/>
    <cellStyle name="Normal 29 2 62 7" xfId="21945"/>
    <cellStyle name="Normal 29 2 62 8" xfId="21946"/>
    <cellStyle name="Normal 29 2 62 9" xfId="21947"/>
    <cellStyle name="Normal 29 2 63" xfId="21948"/>
    <cellStyle name="Normal 29 2 63 10" xfId="21949"/>
    <cellStyle name="Normal 29 2 63 11" xfId="21950"/>
    <cellStyle name="Normal 29 2 63 12" xfId="21951"/>
    <cellStyle name="Normal 29 2 63 13" xfId="21952"/>
    <cellStyle name="Normal 29 2 63 2" xfId="21953"/>
    <cellStyle name="Normal 29 2 63 3" xfId="21954"/>
    <cellStyle name="Normal 29 2 63 4" xfId="21955"/>
    <cellStyle name="Normal 29 2 63 5" xfId="21956"/>
    <cellStyle name="Normal 29 2 63 6" xfId="21957"/>
    <cellStyle name="Normal 29 2 63 7" xfId="21958"/>
    <cellStyle name="Normal 29 2 63 8" xfId="21959"/>
    <cellStyle name="Normal 29 2 63 9" xfId="21960"/>
    <cellStyle name="Normal 29 2 64" xfId="21961"/>
    <cellStyle name="Normal 29 2 64 10" xfId="21962"/>
    <cellStyle name="Normal 29 2 64 11" xfId="21963"/>
    <cellStyle name="Normal 29 2 64 12" xfId="21964"/>
    <cellStyle name="Normal 29 2 64 13" xfId="21965"/>
    <cellStyle name="Normal 29 2 64 2" xfId="21966"/>
    <cellStyle name="Normal 29 2 64 3" xfId="21967"/>
    <cellStyle name="Normal 29 2 64 4" xfId="21968"/>
    <cellStyle name="Normal 29 2 64 5" xfId="21969"/>
    <cellStyle name="Normal 29 2 64 6" xfId="21970"/>
    <cellStyle name="Normal 29 2 64 7" xfId="21971"/>
    <cellStyle name="Normal 29 2 64 8" xfId="21972"/>
    <cellStyle name="Normal 29 2 64 9" xfId="21973"/>
    <cellStyle name="Normal 29 2 65" xfId="21974"/>
    <cellStyle name="Normal 29 2 65 10" xfId="21975"/>
    <cellStyle name="Normal 29 2 65 11" xfId="21976"/>
    <cellStyle name="Normal 29 2 65 12" xfId="21977"/>
    <cellStyle name="Normal 29 2 65 13" xfId="21978"/>
    <cellStyle name="Normal 29 2 65 2" xfId="21979"/>
    <cellStyle name="Normal 29 2 65 3" xfId="21980"/>
    <cellStyle name="Normal 29 2 65 4" xfId="21981"/>
    <cellStyle name="Normal 29 2 65 5" xfId="21982"/>
    <cellStyle name="Normal 29 2 65 6" xfId="21983"/>
    <cellStyle name="Normal 29 2 65 7" xfId="21984"/>
    <cellStyle name="Normal 29 2 65 8" xfId="21985"/>
    <cellStyle name="Normal 29 2 65 9" xfId="21986"/>
    <cellStyle name="Normal 29 2 66" xfId="21987"/>
    <cellStyle name="Normal 29 2 66 10" xfId="21988"/>
    <cellStyle name="Normal 29 2 66 11" xfId="21989"/>
    <cellStyle name="Normal 29 2 66 12" xfId="21990"/>
    <cellStyle name="Normal 29 2 66 13" xfId="21991"/>
    <cellStyle name="Normal 29 2 66 2" xfId="21992"/>
    <cellStyle name="Normal 29 2 66 3" xfId="21993"/>
    <cellStyle name="Normal 29 2 66 4" xfId="21994"/>
    <cellStyle name="Normal 29 2 66 5" xfId="21995"/>
    <cellStyle name="Normal 29 2 66 6" xfId="21996"/>
    <cellStyle name="Normal 29 2 66 7" xfId="21997"/>
    <cellStyle name="Normal 29 2 66 8" xfId="21998"/>
    <cellStyle name="Normal 29 2 66 9" xfId="21999"/>
    <cellStyle name="Normal 29 2 67" xfId="22000"/>
    <cellStyle name="Normal 29 2 67 10" xfId="22001"/>
    <cellStyle name="Normal 29 2 67 11" xfId="22002"/>
    <cellStyle name="Normal 29 2 67 12" xfId="22003"/>
    <cellStyle name="Normal 29 2 67 13" xfId="22004"/>
    <cellStyle name="Normal 29 2 67 2" xfId="22005"/>
    <cellStyle name="Normal 29 2 67 3" xfId="22006"/>
    <cellStyle name="Normal 29 2 67 4" xfId="22007"/>
    <cellStyle name="Normal 29 2 67 5" xfId="22008"/>
    <cellStyle name="Normal 29 2 67 6" xfId="22009"/>
    <cellStyle name="Normal 29 2 67 7" xfId="22010"/>
    <cellStyle name="Normal 29 2 67 8" xfId="22011"/>
    <cellStyle name="Normal 29 2 67 9" xfId="22012"/>
    <cellStyle name="Normal 29 2 68" xfId="22013"/>
    <cellStyle name="Normal 29 2 68 10" xfId="22014"/>
    <cellStyle name="Normal 29 2 68 11" xfId="22015"/>
    <cellStyle name="Normal 29 2 68 12" xfId="22016"/>
    <cellStyle name="Normal 29 2 68 13" xfId="22017"/>
    <cellStyle name="Normal 29 2 68 2" xfId="22018"/>
    <cellStyle name="Normal 29 2 68 3" xfId="22019"/>
    <cellStyle name="Normal 29 2 68 4" xfId="22020"/>
    <cellStyle name="Normal 29 2 68 5" xfId="22021"/>
    <cellStyle name="Normal 29 2 68 6" xfId="22022"/>
    <cellStyle name="Normal 29 2 68 7" xfId="22023"/>
    <cellStyle name="Normal 29 2 68 8" xfId="22024"/>
    <cellStyle name="Normal 29 2 68 9" xfId="22025"/>
    <cellStyle name="Normal 29 2 69" xfId="22026"/>
    <cellStyle name="Normal 29 2 69 10" xfId="22027"/>
    <cellStyle name="Normal 29 2 69 11" xfId="22028"/>
    <cellStyle name="Normal 29 2 69 12" xfId="22029"/>
    <cellStyle name="Normal 29 2 69 13" xfId="22030"/>
    <cellStyle name="Normal 29 2 69 2" xfId="22031"/>
    <cellStyle name="Normal 29 2 69 3" xfId="22032"/>
    <cellStyle name="Normal 29 2 69 4" xfId="22033"/>
    <cellStyle name="Normal 29 2 69 5" xfId="22034"/>
    <cellStyle name="Normal 29 2 69 6" xfId="22035"/>
    <cellStyle name="Normal 29 2 69 7" xfId="22036"/>
    <cellStyle name="Normal 29 2 69 8" xfId="22037"/>
    <cellStyle name="Normal 29 2 69 9" xfId="22038"/>
    <cellStyle name="Normal 29 2 7" xfId="22039"/>
    <cellStyle name="Normal 29 2 7 10" xfId="22040"/>
    <cellStyle name="Normal 29 2 7 11" xfId="22041"/>
    <cellStyle name="Normal 29 2 7 12" xfId="22042"/>
    <cellStyle name="Normal 29 2 7 13" xfId="22043"/>
    <cellStyle name="Normal 29 2 7 2" xfId="22044"/>
    <cellStyle name="Normal 29 2 7 3" xfId="22045"/>
    <cellStyle name="Normal 29 2 7 4" xfId="22046"/>
    <cellStyle name="Normal 29 2 7 5" xfId="22047"/>
    <cellStyle name="Normal 29 2 7 6" xfId="22048"/>
    <cellStyle name="Normal 29 2 7 7" xfId="22049"/>
    <cellStyle name="Normal 29 2 7 8" xfId="22050"/>
    <cellStyle name="Normal 29 2 7 9" xfId="22051"/>
    <cellStyle name="Normal 29 2 70" xfId="22052"/>
    <cellStyle name="Normal 29 2 70 10" xfId="22053"/>
    <cellStyle name="Normal 29 2 70 11" xfId="22054"/>
    <cellStyle name="Normal 29 2 70 12" xfId="22055"/>
    <cellStyle name="Normal 29 2 70 13" xfId="22056"/>
    <cellStyle name="Normal 29 2 70 2" xfId="22057"/>
    <cellStyle name="Normal 29 2 70 3" xfId="22058"/>
    <cellStyle name="Normal 29 2 70 4" xfId="22059"/>
    <cellStyle name="Normal 29 2 70 5" xfId="22060"/>
    <cellStyle name="Normal 29 2 70 6" xfId="22061"/>
    <cellStyle name="Normal 29 2 70 7" xfId="22062"/>
    <cellStyle name="Normal 29 2 70 8" xfId="22063"/>
    <cellStyle name="Normal 29 2 70 9" xfId="22064"/>
    <cellStyle name="Normal 29 2 71" xfId="22065"/>
    <cellStyle name="Normal 29 2 71 10" xfId="22066"/>
    <cellStyle name="Normal 29 2 71 11" xfId="22067"/>
    <cellStyle name="Normal 29 2 71 12" xfId="22068"/>
    <cellStyle name="Normal 29 2 71 13" xfId="22069"/>
    <cellStyle name="Normal 29 2 71 2" xfId="22070"/>
    <cellStyle name="Normal 29 2 71 3" xfId="22071"/>
    <cellStyle name="Normal 29 2 71 4" xfId="22072"/>
    <cellStyle name="Normal 29 2 71 5" xfId="22073"/>
    <cellStyle name="Normal 29 2 71 6" xfId="22074"/>
    <cellStyle name="Normal 29 2 71 7" xfId="22075"/>
    <cellStyle name="Normal 29 2 71 8" xfId="22076"/>
    <cellStyle name="Normal 29 2 71 9" xfId="22077"/>
    <cellStyle name="Normal 29 2 72" xfId="22078"/>
    <cellStyle name="Normal 29 2 73" xfId="22079"/>
    <cellStyle name="Normal 29 2 74" xfId="22080"/>
    <cellStyle name="Normal 29 2 75" xfId="22081"/>
    <cellStyle name="Normal 29 2 76" xfId="22082"/>
    <cellStyle name="Normal 29 2 77" xfId="22083"/>
    <cellStyle name="Normal 29 2 78" xfId="22084"/>
    <cellStyle name="Normal 29 2 79" xfId="22085"/>
    <cellStyle name="Normal 29 2 8" xfId="22086"/>
    <cellStyle name="Normal 29 2 8 10" xfId="22087"/>
    <cellStyle name="Normal 29 2 8 11" xfId="22088"/>
    <cellStyle name="Normal 29 2 8 12" xfId="22089"/>
    <cellStyle name="Normal 29 2 8 13" xfId="22090"/>
    <cellStyle name="Normal 29 2 8 2" xfId="22091"/>
    <cellStyle name="Normal 29 2 8 3" xfId="22092"/>
    <cellStyle name="Normal 29 2 8 4" xfId="22093"/>
    <cellStyle name="Normal 29 2 8 5" xfId="22094"/>
    <cellStyle name="Normal 29 2 8 6" xfId="22095"/>
    <cellStyle name="Normal 29 2 8 7" xfId="22096"/>
    <cellStyle name="Normal 29 2 8 8" xfId="22097"/>
    <cellStyle name="Normal 29 2 8 9" xfId="22098"/>
    <cellStyle name="Normal 29 2 80" xfId="22099"/>
    <cellStyle name="Normal 29 2 81" xfId="22100"/>
    <cellStyle name="Normal 29 2 82" xfId="22101"/>
    <cellStyle name="Normal 29 2 83" xfId="22102"/>
    <cellStyle name="Normal 29 2 9" xfId="22103"/>
    <cellStyle name="Normal 29 2 9 10" xfId="22104"/>
    <cellStyle name="Normal 29 2 9 11" xfId="22105"/>
    <cellStyle name="Normal 29 2 9 12" xfId="22106"/>
    <cellStyle name="Normal 29 2 9 13" xfId="22107"/>
    <cellStyle name="Normal 29 2 9 2" xfId="22108"/>
    <cellStyle name="Normal 29 2 9 3" xfId="22109"/>
    <cellStyle name="Normal 29 2 9 4" xfId="22110"/>
    <cellStyle name="Normal 29 2 9 5" xfId="22111"/>
    <cellStyle name="Normal 29 2 9 6" xfId="22112"/>
    <cellStyle name="Normal 29 2 9 7" xfId="22113"/>
    <cellStyle name="Normal 29 2 9 8" xfId="22114"/>
    <cellStyle name="Normal 29 2 9 9" xfId="22115"/>
    <cellStyle name="Normal 29 20" xfId="22116"/>
    <cellStyle name="Normal 29 20 10" xfId="22117"/>
    <cellStyle name="Normal 29 20 11" xfId="22118"/>
    <cellStyle name="Normal 29 20 12" xfId="22119"/>
    <cellStyle name="Normal 29 20 13" xfId="22120"/>
    <cellStyle name="Normal 29 20 2" xfId="22121"/>
    <cellStyle name="Normal 29 20 3" xfId="22122"/>
    <cellStyle name="Normal 29 20 4" xfId="22123"/>
    <cellStyle name="Normal 29 20 5" xfId="22124"/>
    <cellStyle name="Normal 29 20 6" xfId="22125"/>
    <cellStyle name="Normal 29 20 7" xfId="22126"/>
    <cellStyle name="Normal 29 20 8" xfId="22127"/>
    <cellStyle name="Normal 29 20 9" xfId="22128"/>
    <cellStyle name="Normal 29 21" xfId="22129"/>
    <cellStyle name="Normal 29 21 10" xfId="22130"/>
    <cellStyle name="Normal 29 21 11" xfId="22131"/>
    <cellStyle name="Normal 29 21 12" xfId="22132"/>
    <cellStyle name="Normal 29 21 13" xfId="22133"/>
    <cellStyle name="Normal 29 21 2" xfId="22134"/>
    <cellStyle name="Normal 29 21 3" xfId="22135"/>
    <cellStyle name="Normal 29 21 4" xfId="22136"/>
    <cellStyle name="Normal 29 21 5" xfId="22137"/>
    <cellStyle name="Normal 29 21 6" xfId="22138"/>
    <cellStyle name="Normal 29 21 7" xfId="22139"/>
    <cellStyle name="Normal 29 21 8" xfId="22140"/>
    <cellStyle name="Normal 29 21 9" xfId="22141"/>
    <cellStyle name="Normal 29 22" xfId="22142"/>
    <cellStyle name="Normal 29 22 10" xfId="22143"/>
    <cellStyle name="Normal 29 22 11" xfId="22144"/>
    <cellStyle name="Normal 29 22 12" xfId="22145"/>
    <cellStyle name="Normal 29 22 13" xfId="22146"/>
    <cellStyle name="Normal 29 22 2" xfId="22147"/>
    <cellStyle name="Normal 29 22 3" xfId="22148"/>
    <cellStyle name="Normal 29 22 4" xfId="22149"/>
    <cellStyle name="Normal 29 22 5" xfId="22150"/>
    <cellStyle name="Normal 29 22 6" xfId="22151"/>
    <cellStyle name="Normal 29 22 7" xfId="22152"/>
    <cellStyle name="Normal 29 22 8" xfId="22153"/>
    <cellStyle name="Normal 29 22 9" xfId="22154"/>
    <cellStyle name="Normal 29 23" xfId="22155"/>
    <cellStyle name="Normal 29 23 10" xfId="22156"/>
    <cellStyle name="Normal 29 23 11" xfId="22157"/>
    <cellStyle name="Normal 29 23 12" xfId="22158"/>
    <cellStyle name="Normal 29 23 13" xfId="22159"/>
    <cellStyle name="Normal 29 23 2" xfId="22160"/>
    <cellStyle name="Normal 29 23 3" xfId="22161"/>
    <cellStyle name="Normal 29 23 4" xfId="22162"/>
    <cellStyle name="Normal 29 23 5" xfId="22163"/>
    <cellStyle name="Normal 29 23 6" xfId="22164"/>
    <cellStyle name="Normal 29 23 7" xfId="22165"/>
    <cellStyle name="Normal 29 23 8" xfId="22166"/>
    <cellStyle name="Normal 29 23 9" xfId="22167"/>
    <cellStyle name="Normal 29 24" xfId="22168"/>
    <cellStyle name="Normal 29 24 10" xfId="22169"/>
    <cellStyle name="Normal 29 24 11" xfId="22170"/>
    <cellStyle name="Normal 29 24 12" xfId="22171"/>
    <cellStyle name="Normal 29 24 13" xfId="22172"/>
    <cellStyle name="Normal 29 24 2" xfId="22173"/>
    <cellStyle name="Normal 29 24 3" xfId="22174"/>
    <cellStyle name="Normal 29 24 4" xfId="22175"/>
    <cellStyle name="Normal 29 24 5" xfId="22176"/>
    <cellStyle name="Normal 29 24 6" xfId="22177"/>
    <cellStyle name="Normal 29 24 7" xfId="22178"/>
    <cellStyle name="Normal 29 24 8" xfId="22179"/>
    <cellStyle name="Normal 29 24 9" xfId="22180"/>
    <cellStyle name="Normal 29 25" xfId="22181"/>
    <cellStyle name="Normal 29 25 10" xfId="22182"/>
    <cellStyle name="Normal 29 25 11" xfId="22183"/>
    <cellStyle name="Normal 29 25 12" xfId="22184"/>
    <cellStyle name="Normal 29 25 13" xfId="22185"/>
    <cellStyle name="Normal 29 25 2" xfId="22186"/>
    <cellStyle name="Normal 29 25 3" xfId="22187"/>
    <cellStyle name="Normal 29 25 4" xfId="22188"/>
    <cellStyle name="Normal 29 25 5" xfId="22189"/>
    <cellStyle name="Normal 29 25 6" xfId="22190"/>
    <cellStyle name="Normal 29 25 7" xfId="22191"/>
    <cellStyle name="Normal 29 25 8" xfId="22192"/>
    <cellStyle name="Normal 29 25 9" xfId="22193"/>
    <cellStyle name="Normal 29 26" xfId="22194"/>
    <cellStyle name="Normal 29 26 10" xfId="22195"/>
    <cellStyle name="Normal 29 26 11" xfId="22196"/>
    <cellStyle name="Normal 29 26 12" xfId="22197"/>
    <cellStyle name="Normal 29 26 13" xfId="22198"/>
    <cellStyle name="Normal 29 26 2" xfId="22199"/>
    <cellStyle name="Normal 29 26 3" xfId="22200"/>
    <cellStyle name="Normal 29 26 4" xfId="22201"/>
    <cellStyle name="Normal 29 26 5" xfId="22202"/>
    <cellStyle name="Normal 29 26 6" xfId="22203"/>
    <cellStyle name="Normal 29 26 7" xfId="22204"/>
    <cellStyle name="Normal 29 26 8" xfId="22205"/>
    <cellStyle name="Normal 29 26 9" xfId="22206"/>
    <cellStyle name="Normal 29 27" xfId="22207"/>
    <cellStyle name="Normal 29 27 10" xfId="22208"/>
    <cellStyle name="Normal 29 27 11" xfId="22209"/>
    <cellStyle name="Normal 29 27 12" xfId="22210"/>
    <cellStyle name="Normal 29 27 13" xfId="22211"/>
    <cellStyle name="Normal 29 27 2" xfId="22212"/>
    <cellStyle name="Normal 29 27 3" xfId="22213"/>
    <cellStyle name="Normal 29 27 4" xfId="22214"/>
    <cellStyle name="Normal 29 27 5" xfId="22215"/>
    <cellStyle name="Normal 29 27 6" xfId="22216"/>
    <cellStyle name="Normal 29 27 7" xfId="22217"/>
    <cellStyle name="Normal 29 27 8" xfId="22218"/>
    <cellStyle name="Normal 29 27 9" xfId="22219"/>
    <cellStyle name="Normal 29 28" xfId="22220"/>
    <cellStyle name="Normal 29 28 10" xfId="22221"/>
    <cellStyle name="Normal 29 28 11" xfId="22222"/>
    <cellStyle name="Normal 29 28 12" xfId="22223"/>
    <cellStyle name="Normal 29 28 13" xfId="22224"/>
    <cellStyle name="Normal 29 28 2" xfId="22225"/>
    <cellStyle name="Normal 29 28 3" xfId="22226"/>
    <cellStyle name="Normal 29 28 4" xfId="22227"/>
    <cellStyle name="Normal 29 28 5" xfId="22228"/>
    <cellStyle name="Normal 29 28 6" xfId="22229"/>
    <cellStyle name="Normal 29 28 7" xfId="22230"/>
    <cellStyle name="Normal 29 28 8" xfId="22231"/>
    <cellStyle name="Normal 29 28 9" xfId="22232"/>
    <cellStyle name="Normal 29 29" xfId="22233"/>
    <cellStyle name="Normal 29 29 10" xfId="22234"/>
    <cellStyle name="Normal 29 29 11" xfId="22235"/>
    <cellStyle name="Normal 29 29 12" xfId="22236"/>
    <cellStyle name="Normal 29 29 13" xfId="22237"/>
    <cellStyle name="Normal 29 29 2" xfId="22238"/>
    <cellStyle name="Normal 29 29 3" xfId="22239"/>
    <cellStyle name="Normal 29 29 4" xfId="22240"/>
    <cellStyle name="Normal 29 29 5" xfId="22241"/>
    <cellStyle name="Normal 29 29 6" xfId="22242"/>
    <cellStyle name="Normal 29 29 7" xfId="22243"/>
    <cellStyle name="Normal 29 29 8" xfId="22244"/>
    <cellStyle name="Normal 29 29 9" xfId="22245"/>
    <cellStyle name="Normal 29 3" xfId="22246"/>
    <cellStyle name="Normal 29 3 10" xfId="22247"/>
    <cellStyle name="Normal 29 3 11" xfId="22248"/>
    <cellStyle name="Normal 29 3 12" xfId="22249"/>
    <cellStyle name="Normal 29 3 13" xfId="22250"/>
    <cellStyle name="Normal 29 3 2" xfId="22251"/>
    <cellStyle name="Normal 29 3 3" xfId="22252"/>
    <cellStyle name="Normal 29 3 4" xfId="22253"/>
    <cellStyle name="Normal 29 3 5" xfId="22254"/>
    <cellStyle name="Normal 29 3 6" xfId="22255"/>
    <cellStyle name="Normal 29 3 7" xfId="22256"/>
    <cellStyle name="Normal 29 3 8" xfId="22257"/>
    <cellStyle name="Normal 29 3 9" xfId="22258"/>
    <cellStyle name="Normal 29 30" xfId="22259"/>
    <cellStyle name="Normal 29 30 10" xfId="22260"/>
    <cellStyle name="Normal 29 30 11" xfId="22261"/>
    <cellStyle name="Normal 29 30 12" xfId="22262"/>
    <cellStyle name="Normal 29 30 13" xfId="22263"/>
    <cellStyle name="Normal 29 30 2" xfId="22264"/>
    <cellStyle name="Normal 29 30 3" xfId="22265"/>
    <cellStyle name="Normal 29 30 4" xfId="22266"/>
    <cellStyle name="Normal 29 30 5" xfId="22267"/>
    <cellStyle name="Normal 29 30 6" xfId="22268"/>
    <cellStyle name="Normal 29 30 7" xfId="22269"/>
    <cellStyle name="Normal 29 30 8" xfId="22270"/>
    <cellStyle name="Normal 29 30 9" xfId="22271"/>
    <cellStyle name="Normal 29 31" xfId="22272"/>
    <cellStyle name="Normal 29 31 10" xfId="22273"/>
    <cellStyle name="Normal 29 31 11" xfId="22274"/>
    <cellStyle name="Normal 29 31 12" xfId="22275"/>
    <cellStyle name="Normal 29 31 13" xfId="22276"/>
    <cellStyle name="Normal 29 31 2" xfId="22277"/>
    <cellStyle name="Normal 29 31 3" xfId="22278"/>
    <cellStyle name="Normal 29 31 4" xfId="22279"/>
    <cellStyle name="Normal 29 31 5" xfId="22280"/>
    <cellStyle name="Normal 29 31 6" xfId="22281"/>
    <cellStyle name="Normal 29 31 7" xfId="22282"/>
    <cellStyle name="Normal 29 31 8" xfId="22283"/>
    <cellStyle name="Normal 29 31 9" xfId="22284"/>
    <cellStyle name="Normal 29 32" xfId="22285"/>
    <cellStyle name="Normal 29 32 10" xfId="22286"/>
    <cellStyle name="Normal 29 32 11" xfId="22287"/>
    <cellStyle name="Normal 29 32 12" xfId="22288"/>
    <cellStyle name="Normal 29 32 13" xfId="22289"/>
    <cellStyle name="Normal 29 32 2" xfId="22290"/>
    <cellStyle name="Normal 29 32 3" xfId="22291"/>
    <cellStyle name="Normal 29 32 4" xfId="22292"/>
    <cellStyle name="Normal 29 32 5" xfId="22293"/>
    <cellStyle name="Normal 29 32 6" xfId="22294"/>
    <cellStyle name="Normal 29 32 7" xfId="22295"/>
    <cellStyle name="Normal 29 32 8" xfId="22296"/>
    <cellStyle name="Normal 29 32 9" xfId="22297"/>
    <cellStyle name="Normal 29 33" xfId="22298"/>
    <cellStyle name="Normal 29 33 10" xfId="22299"/>
    <cellStyle name="Normal 29 33 11" xfId="22300"/>
    <cellStyle name="Normal 29 33 12" xfId="22301"/>
    <cellStyle name="Normal 29 33 13" xfId="22302"/>
    <cellStyle name="Normal 29 33 2" xfId="22303"/>
    <cellStyle name="Normal 29 33 3" xfId="22304"/>
    <cellStyle name="Normal 29 33 4" xfId="22305"/>
    <cellStyle name="Normal 29 33 5" xfId="22306"/>
    <cellStyle name="Normal 29 33 6" xfId="22307"/>
    <cellStyle name="Normal 29 33 7" xfId="22308"/>
    <cellStyle name="Normal 29 33 8" xfId="22309"/>
    <cellStyle name="Normal 29 33 9" xfId="22310"/>
    <cellStyle name="Normal 29 34" xfId="22311"/>
    <cellStyle name="Normal 29 34 10" xfId="22312"/>
    <cellStyle name="Normal 29 34 11" xfId="22313"/>
    <cellStyle name="Normal 29 34 12" xfId="22314"/>
    <cellStyle name="Normal 29 34 13" xfId="22315"/>
    <cellStyle name="Normal 29 34 2" xfId="22316"/>
    <cellStyle name="Normal 29 34 3" xfId="22317"/>
    <cellStyle name="Normal 29 34 4" xfId="22318"/>
    <cellStyle name="Normal 29 34 5" xfId="22319"/>
    <cellStyle name="Normal 29 34 6" xfId="22320"/>
    <cellStyle name="Normal 29 34 7" xfId="22321"/>
    <cellStyle name="Normal 29 34 8" xfId="22322"/>
    <cellStyle name="Normal 29 34 9" xfId="22323"/>
    <cellStyle name="Normal 29 35" xfId="22324"/>
    <cellStyle name="Normal 29 35 10" xfId="22325"/>
    <cellStyle name="Normal 29 35 11" xfId="22326"/>
    <cellStyle name="Normal 29 35 12" xfId="22327"/>
    <cellStyle name="Normal 29 35 13" xfId="22328"/>
    <cellStyle name="Normal 29 35 2" xfId="22329"/>
    <cellStyle name="Normal 29 35 3" xfId="22330"/>
    <cellStyle name="Normal 29 35 4" xfId="22331"/>
    <cellStyle name="Normal 29 35 5" xfId="22332"/>
    <cellStyle name="Normal 29 35 6" xfId="22333"/>
    <cellStyle name="Normal 29 35 7" xfId="22334"/>
    <cellStyle name="Normal 29 35 8" xfId="22335"/>
    <cellStyle name="Normal 29 35 9" xfId="22336"/>
    <cellStyle name="Normal 29 36" xfId="22337"/>
    <cellStyle name="Normal 29 36 10" xfId="22338"/>
    <cellStyle name="Normal 29 36 11" xfId="22339"/>
    <cellStyle name="Normal 29 36 12" xfId="22340"/>
    <cellStyle name="Normal 29 36 13" xfId="22341"/>
    <cellStyle name="Normal 29 36 2" xfId="22342"/>
    <cellStyle name="Normal 29 36 3" xfId="22343"/>
    <cellStyle name="Normal 29 36 4" xfId="22344"/>
    <cellStyle name="Normal 29 36 5" xfId="22345"/>
    <cellStyle name="Normal 29 36 6" xfId="22346"/>
    <cellStyle name="Normal 29 36 7" xfId="22347"/>
    <cellStyle name="Normal 29 36 8" xfId="22348"/>
    <cellStyle name="Normal 29 36 9" xfId="22349"/>
    <cellStyle name="Normal 29 37" xfId="22350"/>
    <cellStyle name="Normal 29 37 10" xfId="22351"/>
    <cellStyle name="Normal 29 37 11" xfId="22352"/>
    <cellStyle name="Normal 29 37 12" xfId="22353"/>
    <cellStyle name="Normal 29 37 13" xfId="22354"/>
    <cellStyle name="Normal 29 37 2" xfId="22355"/>
    <cellStyle name="Normal 29 37 3" xfId="22356"/>
    <cellStyle name="Normal 29 37 4" xfId="22357"/>
    <cellStyle name="Normal 29 37 5" xfId="22358"/>
    <cellStyle name="Normal 29 37 6" xfId="22359"/>
    <cellStyle name="Normal 29 37 7" xfId="22360"/>
    <cellStyle name="Normal 29 37 8" xfId="22361"/>
    <cellStyle name="Normal 29 37 9" xfId="22362"/>
    <cellStyle name="Normal 29 38" xfId="22363"/>
    <cellStyle name="Normal 29 38 10" xfId="22364"/>
    <cellStyle name="Normal 29 38 11" xfId="22365"/>
    <cellStyle name="Normal 29 38 12" xfId="22366"/>
    <cellStyle name="Normal 29 38 13" xfId="22367"/>
    <cellStyle name="Normal 29 38 2" xfId="22368"/>
    <cellStyle name="Normal 29 38 3" xfId="22369"/>
    <cellStyle name="Normal 29 38 4" xfId="22370"/>
    <cellStyle name="Normal 29 38 5" xfId="22371"/>
    <cellStyle name="Normal 29 38 6" xfId="22372"/>
    <cellStyle name="Normal 29 38 7" xfId="22373"/>
    <cellStyle name="Normal 29 38 8" xfId="22374"/>
    <cellStyle name="Normal 29 38 9" xfId="22375"/>
    <cellStyle name="Normal 29 39" xfId="22376"/>
    <cellStyle name="Normal 29 39 10" xfId="22377"/>
    <cellStyle name="Normal 29 39 11" xfId="22378"/>
    <cellStyle name="Normal 29 39 12" xfId="22379"/>
    <cellStyle name="Normal 29 39 13" xfId="22380"/>
    <cellStyle name="Normal 29 39 2" xfId="22381"/>
    <cellStyle name="Normal 29 39 3" xfId="22382"/>
    <cellStyle name="Normal 29 39 4" xfId="22383"/>
    <cellStyle name="Normal 29 39 5" xfId="22384"/>
    <cellStyle name="Normal 29 39 6" xfId="22385"/>
    <cellStyle name="Normal 29 39 7" xfId="22386"/>
    <cellStyle name="Normal 29 39 8" xfId="22387"/>
    <cellStyle name="Normal 29 39 9" xfId="22388"/>
    <cellStyle name="Normal 29 4" xfId="22389"/>
    <cellStyle name="Normal 29 4 10" xfId="22390"/>
    <cellStyle name="Normal 29 4 11" xfId="22391"/>
    <cellStyle name="Normal 29 4 12" xfId="22392"/>
    <cellStyle name="Normal 29 4 13" xfId="22393"/>
    <cellStyle name="Normal 29 4 2" xfId="22394"/>
    <cellStyle name="Normal 29 4 3" xfId="22395"/>
    <cellStyle name="Normal 29 4 4" xfId="22396"/>
    <cellStyle name="Normal 29 4 5" xfId="22397"/>
    <cellStyle name="Normal 29 4 6" xfId="22398"/>
    <cellStyle name="Normal 29 4 7" xfId="22399"/>
    <cellStyle name="Normal 29 4 8" xfId="22400"/>
    <cellStyle name="Normal 29 4 9" xfId="22401"/>
    <cellStyle name="Normal 29 40" xfId="22402"/>
    <cellStyle name="Normal 29 40 10" xfId="22403"/>
    <cellStyle name="Normal 29 40 11" xfId="22404"/>
    <cellStyle name="Normal 29 40 12" xfId="22405"/>
    <cellStyle name="Normal 29 40 13" xfId="22406"/>
    <cellStyle name="Normal 29 40 2" xfId="22407"/>
    <cellStyle name="Normal 29 40 3" xfId="22408"/>
    <cellStyle name="Normal 29 40 4" xfId="22409"/>
    <cellStyle name="Normal 29 40 5" xfId="22410"/>
    <cellStyle name="Normal 29 40 6" xfId="22411"/>
    <cellStyle name="Normal 29 40 7" xfId="22412"/>
    <cellStyle name="Normal 29 40 8" xfId="22413"/>
    <cellStyle name="Normal 29 40 9" xfId="22414"/>
    <cellStyle name="Normal 29 41" xfId="22415"/>
    <cellStyle name="Normal 29 41 10" xfId="22416"/>
    <cellStyle name="Normal 29 41 11" xfId="22417"/>
    <cellStyle name="Normal 29 41 12" xfId="22418"/>
    <cellStyle name="Normal 29 41 13" xfId="22419"/>
    <cellStyle name="Normal 29 41 2" xfId="22420"/>
    <cellStyle name="Normal 29 41 3" xfId="22421"/>
    <cellStyle name="Normal 29 41 4" xfId="22422"/>
    <cellStyle name="Normal 29 41 5" xfId="22423"/>
    <cellStyle name="Normal 29 41 6" xfId="22424"/>
    <cellStyle name="Normal 29 41 7" xfId="22425"/>
    <cellStyle name="Normal 29 41 8" xfId="22426"/>
    <cellStyle name="Normal 29 41 9" xfId="22427"/>
    <cellStyle name="Normal 29 42" xfId="22428"/>
    <cellStyle name="Normal 29 42 10" xfId="22429"/>
    <cellStyle name="Normal 29 42 11" xfId="22430"/>
    <cellStyle name="Normal 29 42 12" xfId="22431"/>
    <cellStyle name="Normal 29 42 13" xfId="22432"/>
    <cellStyle name="Normal 29 42 2" xfId="22433"/>
    <cellStyle name="Normal 29 42 3" xfId="22434"/>
    <cellStyle name="Normal 29 42 4" xfId="22435"/>
    <cellStyle name="Normal 29 42 5" xfId="22436"/>
    <cellStyle name="Normal 29 42 6" xfId="22437"/>
    <cellStyle name="Normal 29 42 7" xfId="22438"/>
    <cellStyle name="Normal 29 42 8" xfId="22439"/>
    <cellStyle name="Normal 29 42 9" xfId="22440"/>
    <cellStyle name="Normal 29 43" xfId="22441"/>
    <cellStyle name="Normal 29 43 10" xfId="22442"/>
    <cellStyle name="Normal 29 43 11" xfId="22443"/>
    <cellStyle name="Normal 29 43 12" xfId="22444"/>
    <cellStyle name="Normal 29 43 13" xfId="22445"/>
    <cellStyle name="Normal 29 43 2" xfId="22446"/>
    <cellStyle name="Normal 29 43 3" xfId="22447"/>
    <cellStyle name="Normal 29 43 4" xfId="22448"/>
    <cellStyle name="Normal 29 43 5" xfId="22449"/>
    <cellStyle name="Normal 29 43 6" xfId="22450"/>
    <cellStyle name="Normal 29 43 7" xfId="22451"/>
    <cellStyle name="Normal 29 43 8" xfId="22452"/>
    <cellStyle name="Normal 29 43 9" xfId="22453"/>
    <cellStyle name="Normal 29 44" xfId="22454"/>
    <cellStyle name="Normal 29 44 10" xfId="22455"/>
    <cellStyle name="Normal 29 44 11" xfId="22456"/>
    <cellStyle name="Normal 29 44 12" xfId="22457"/>
    <cellStyle name="Normal 29 44 13" xfId="22458"/>
    <cellStyle name="Normal 29 44 2" xfId="22459"/>
    <cellStyle name="Normal 29 44 3" xfId="22460"/>
    <cellStyle name="Normal 29 44 4" xfId="22461"/>
    <cellStyle name="Normal 29 44 5" xfId="22462"/>
    <cellStyle name="Normal 29 44 6" xfId="22463"/>
    <cellStyle name="Normal 29 44 7" xfId="22464"/>
    <cellStyle name="Normal 29 44 8" xfId="22465"/>
    <cellStyle name="Normal 29 44 9" xfId="22466"/>
    <cellStyle name="Normal 29 45" xfId="22467"/>
    <cellStyle name="Normal 29 45 10" xfId="22468"/>
    <cellStyle name="Normal 29 45 11" xfId="22469"/>
    <cellStyle name="Normal 29 45 12" xfId="22470"/>
    <cellStyle name="Normal 29 45 13" xfId="22471"/>
    <cellStyle name="Normal 29 45 2" xfId="22472"/>
    <cellStyle name="Normal 29 45 3" xfId="22473"/>
    <cellStyle name="Normal 29 45 4" xfId="22474"/>
    <cellStyle name="Normal 29 45 5" xfId="22475"/>
    <cellStyle name="Normal 29 45 6" xfId="22476"/>
    <cellStyle name="Normal 29 45 7" xfId="22477"/>
    <cellStyle name="Normal 29 45 8" xfId="22478"/>
    <cellStyle name="Normal 29 45 9" xfId="22479"/>
    <cellStyle name="Normal 29 46" xfId="22480"/>
    <cellStyle name="Normal 29 46 10" xfId="22481"/>
    <cellStyle name="Normal 29 46 11" xfId="22482"/>
    <cellStyle name="Normal 29 46 12" xfId="22483"/>
    <cellStyle name="Normal 29 46 13" xfId="22484"/>
    <cellStyle name="Normal 29 46 2" xfId="22485"/>
    <cellStyle name="Normal 29 46 3" xfId="22486"/>
    <cellStyle name="Normal 29 46 4" xfId="22487"/>
    <cellStyle name="Normal 29 46 5" xfId="22488"/>
    <cellStyle name="Normal 29 46 6" xfId="22489"/>
    <cellStyle name="Normal 29 46 7" xfId="22490"/>
    <cellStyle name="Normal 29 46 8" xfId="22491"/>
    <cellStyle name="Normal 29 46 9" xfId="22492"/>
    <cellStyle name="Normal 29 47" xfId="22493"/>
    <cellStyle name="Normal 29 47 10" xfId="22494"/>
    <cellStyle name="Normal 29 47 11" xfId="22495"/>
    <cellStyle name="Normal 29 47 12" xfId="22496"/>
    <cellStyle name="Normal 29 47 13" xfId="22497"/>
    <cellStyle name="Normal 29 47 2" xfId="22498"/>
    <cellStyle name="Normal 29 47 3" xfId="22499"/>
    <cellStyle name="Normal 29 47 4" xfId="22500"/>
    <cellStyle name="Normal 29 47 5" xfId="22501"/>
    <cellStyle name="Normal 29 47 6" xfId="22502"/>
    <cellStyle name="Normal 29 47 7" xfId="22503"/>
    <cellStyle name="Normal 29 47 8" xfId="22504"/>
    <cellStyle name="Normal 29 47 9" xfId="22505"/>
    <cellStyle name="Normal 29 48" xfId="22506"/>
    <cellStyle name="Normal 29 48 10" xfId="22507"/>
    <cellStyle name="Normal 29 48 11" xfId="22508"/>
    <cellStyle name="Normal 29 48 12" xfId="22509"/>
    <cellStyle name="Normal 29 48 13" xfId="22510"/>
    <cellStyle name="Normal 29 48 2" xfId="22511"/>
    <cellStyle name="Normal 29 48 3" xfId="22512"/>
    <cellStyle name="Normal 29 48 4" xfId="22513"/>
    <cellStyle name="Normal 29 48 5" xfId="22514"/>
    <cellStyle name="Normal 29 48 6" xfId="22515"/>
    <cellStyle name="Normal 29 48 7" xfId="22516"/>
    <cellStyle name="Normal 29 48 8" xfId="22517"/>
    <cellStyle name="Normal 29 48 9" xfId="22518"/>
    <cellStyle name="Normal 29 49" xfId="22519"/>
    <cellStyle name="Normal 29 49 10" xfId="22520"/>
    <cellStyle name="Normal 29 49 11" xfId="22521"/>
    <cellStyle name="Normal 29 49 12" xfId="22522"/>
    <cellStyle name="Normal 29 49 13" xfId="22523"/>
    <cellStyle name="Normal 29 49 2" xfId="22524"/>
    <cellStyle name="Normal 29 49 3" xfId="22525"/>
    <cellStyle name="Normal 29 49 4" xfId="22526"/>
    <cellStyle name="Normal 29 49 5" xfId="22527"/>
    <cellStyle name="Normal 29 49 6" xfId="22528"/>
    <cellStyle name="Normal 29 49 7" xfId="22529"/>
    <cellStyle name="Normal 29 49 8" xfId="22530"/>
    <cellStyle name="Normal 29 49 9" xfId="22531"/>
    <cellStyle name="Normal 29 5" xfId="22532"/>
    <cellStyle name="Normal 29 5 10" xfId="22533"/>
    <cellStyle name="Normal 29 5 11" xfId="22534"/>
    <cellStyle name="Normal 29 5 12" xfId="22535"/>
    <cellStyle name="Normal 29 5 13" xfId="22536"/>
    <cellStyle name="Normal 29 5 2" xfId="22537"/>
    <cellStyle name="Normal 29 5 3" xfId="22538"/>
    <cellStyle name="Normal 29 5 4" xfId="22539"/>
    <cellStyle name="Normal 29 5 5" xfId="22540"/>
    <cellStyle name="Normal 29 5 6" xfId="22541"/>
    <cellStyle name="Normal 29 5 7" xfId="22542"/>
    <cellStyle name="Normal 29 5 8" xfId="22543"/>
    <cellStyle name="Normal 29 5 9" xfId="22544"/>
    <cellStyle name="Normal 29 50" xfId="22545"/>
    <cellStyle name="Normal 29 50 10" xfId="22546"/>
    <cellStyle name="Normal 29 50 11" xfId="22547"/>
    <cellStyle name="Normal 29 50 12" xfId="22548"/>
    <cellStyle name="Normal 29 50 13" xfId="22549"/>
    <cellStyle name="Normal 29 50 2" xfId="22550"/>
    <cellStyle name="Normal 29 50 3" xfId="22551"/>
    <cellStyle name="Normal 29 50 4" xfId="22552"/>
    <cellStyle name="Normal 29 50 5" xfId="22553"/>
    <cellStyle name="Normal 29 50 6" xfId="22554"/>
    <cellStyle name="Normal 29 50 7" xfId="22555"/>
    <cellStyle name="Normal 29 50 8" xfId="22556"/>
    <cellStyle name="Normal 29 50 9" xfId="22557"/>
    <cellStyle name="Normal 29 51" xfId="22558"/>
    <cellStyle name="Normal 29 51 10" xfId="22559"/>
    <cellStyle name="Normal 29 51 11" xfId="22560"/>
    <cellStyle name="Normal 29 51 12" xfId="22561"/>
    <cellStyle name="Normal 29 51 13" xfId="22562"/>
    <cellStyle name="Normal 29 51 2" xfId="22563"/>
    <cellStyle name="Normal 29 51 3" xfId="22564"/>
    <cellStyle name="Normal 29 51 4" xfId="22565"/>
    <cellStyle name="Normal 29 51 5" xfId="22566"/>
    <cellStyle name="Normal 29 51 6" xfId="22567"/>
    <cellStyle name="Normal 29 51 7" xfId="22568"/>
    <cellStyle name="Normal 29 51 8" xfId="22569"/>
    <cellStyle name="Normal 29 51 9" xfId="22570"/>
    <cellStyle name="Normal 29 52" xfId="22571"/>
    <cellStyle name="Normal 29 52 10" xfId="22572"/>
    <cellStyle name="Normal 29 52 11" xfId="22573"/>
    <cellStyle name="Normal 29 52 12" xfId="22574"/>
    <cellStyle name="Normal 29 52 13" xfId="22575"/>
    <cellStyle name="Normal 29 52 2" xfId="22576"/>
    <cellStyle name="Normal 29 52 3" xfId="22577"/>
    <cellStyle name="Normal 29 52 4" xfId="22578"/>
    <cellStyle name="Normal 29 52 5" xfId="22579"/>
    <cellStyle name="Normal 29 52 6" xfId="22580"/>
    <cellStyle name="Normal 29 52 7" xfId="22581"/>
    <cellStyle name="Normal 29 52 8" xfId="22582"/>
    <cellStyle name="Normal 29 52 9" xfId="22583"/>
    <cellStyle name="Normal 29 53" xfId="22584"/>
    <cellStyle name="Normal 29 53 10" xfId="22585"/>
    <cellStyle name="Normal 29 53 11" xfId="22586"/>
    <cellStyle name="Normal 29 53 12" xfId="22587"/>
    <cellStyle name="Normal 29 53 13" xfId="22588"/>
    <cellStyle name="Normal 29 53 2" xfId="22589"/>
    <cellStyle name="Normal 29 53 3" xfId="22590"/>
    <cellStyle name="Normal 29 53 4" xfId="22591"/>
    <cellStyle name="Normal 29 53 5" xfId="22592"/>
    <cellStyle name="Normal 29 53 6" xfId="22593"/>
    <cellStyle name="Normal 29 53 7" xfId="22594"/>
    <cellStyle name="Normal 29 53 8" xfId="22595"/>
    <cellStyle name="Normal 29 53 9" xfId="22596"/>
    <cellStyle name="Normal 29 54" xfId="22597"/>
    <cellStyle name="Normal 29 54 10" xfId="22598"/>
    <cellStyle name="Normal 29 54 11" xfId="22599"/>
    <cellStyle name="Normal 29 54 12" xfId="22600"/>
    <cellStyle name="Normal 29 54 13" xfId="22601"/>
    <cellStyle name="Normal 29 54 2" xfId="22602"/>
    <cellStyle name="Normal 29 54 3" xfId="22603"/>
    <cellStyle name="Normal 29 54 4" xfId="22604"/>
    <cellStyle name="Normal 29 54 5" xfId="22605"/>
    <cellStyle name="Normal 29 54 6" xfId="22606"/>
    <cellStyle name="Normal 29 54 7" xfId="22607"/>
    <cellStyle name="Normal 29 54 8" xfId="22608"/>
    <cellStyle name="Normal 29 54 9" xfId="22609"/>
    <cellStyle name="Normal 29 55" xfId="22610"/>
    <cellStyle name="Normal 29 55 10" xfId="22611"/>
    <cellStyle name="Normal 29 55 11" xfId="22612"/>
    <cellStyle name="Normal 29 55 12" xfId="22613"/>
    <cellStyle name="Normal 29 55 13" xfId="22614"/>
    <cellStyle name="Normal 29 55 2" xfId="22615"/>
    <cellStyle name="Normal 29 55 3" xfId="22616"/>
    <cellStyle name="Normal 29 55 4" xfId="22617"/>
    <cellStyle name="Normal 29 55 5" xfId="22618"/>
    <cellStyle name="Normal 29 55 6" xfId="22619"/>
    <cellStyle name="Normal 29 55 7" xfId="22620"/>
    <cellStyle name="Normal 29 55 8" xfId="22621"/>
    <cellStyle name="Normal 29 55 9" xfId="22622"/>
    <cellStyle name="Normal 29 56" xfId="22623"/>
    <cellStyle name="Normal 29 56 10" xfId="22624"/>
    <cellStyle name="Normal 29 56 11" xfId="22625"/>
    <cellStyle name="Normal 29 56 12" xfId="22626"/>
    <cellStyle name="Normal 29 56 13" xfId="22627"/>
    <cellStyle name="Normal 29 56 2" xfId="22628"/>
    <cellStyle name="Normal 29 56 3" xfId="22629"/>
    <cellStyle name="Normal 29 56 4" xfId="22630"/>
    <cellStyle name="Normal 29 56 5" xfId="22631"/>
    <cellStyle name="Normal 29 56 6" xfId="22632"/>
    <cellStyle name="Normal 29 56 7" xfId="22633"/>
    <cellStyle name="Normal 29 56 8" xfId="22634"/>
    <cellStyle name="Normal 29 56 9" xfId="22635"/>
    <cellStyle name="Normal 29 57" xfId="22636"/>
    <cellStyle name="Normal 29 57 10" xfId="22637"/>
    <cellStyle name="Normal 29 57 11" xfId="22638"/>
    <cellStyle name="Normal 29 57 12" xfId="22639"/>
    <cellStyle name="Normal 29 57 13" xfId="22640"/>
    <cellStyle name="Normal 29 57 2" xfId="22641"/>
    <cellStyle name="Normal 29 57 3" xfId="22642"/>
    <cellStyle name="Normal 29 57 4" xfId="22643"/>
    <cellStyle name="Normal 29 57 5" xfId="22644"/>
    <cellStyle name="Normal 29 57 6" xfId="22645"/>
    <cellStyle name="Normal 29 57 7" xfId="22646"/>
    <cellStyle name="Normal 29 57 8" xfId="22647"/>
    <cellStyle name="Normal 29 57 9" xfId="22648"/>
    <cellStyle name="Normal 29 58" xfId="22649"/>
    <cellStyle name="Normal 29 58 10" xfId="22650"/>
    <cellStyle name="Normal 29 58 11" xfId="22651"/>
    <cellStyle name="Normal 29 58 12" xfId="22652"/>
    <cellStyle name="Normal 29 58 13" xfId="22653"/>
    <cellStyle name="Normal 29 58 2" xfId="22654"/>
    <cellStyle name="Normal 29 58 3" xfId="22655"/>
    <cellStyle name="Normal 29 58 4" xfId="22656"/>
    <cellStyle name="Normal 29 58 5" xfId="22657"/>
    <cellStyle name="Normal 29 58 6" xfId="22658"/>
    <cellStyle name="Normal 29 58 7" xfId="22659"/>
    <cellStyle name="Normal 29 58 8" xfId="22660"/>
    <cellStyle name="Normal 29 58 9" xfId="22661"/>
    <cellStyle name="Normal 29 59" xfId="22662"/>
    <cellStyle name="Normal 29 59 10" xfId="22663"/>
    <cellStyle name="Normal 29 59 11" xfId="22664"/>
    <cellStyle name="Normal 29 59 12" xfId="22665"/>
    <cellStyle name="Normal 29 59 13" xfId="22666"/>
    <cellStyle name="Normal 29 59 2" xfId="22667"/>
    <cellStyle name="Normal 29 59 3" xfId="22668"/>
    <cellStyle name="Normal 29 59 4" xfId="22669"/>
    <cellStyle name="Normal 29 59 5" xfId="22670"/>
    <cellStyle name="Normal 29 59 6" xfId="22671"/>
    <cellStyle name="Normal 29 59 7" xfId="22672"/>
    <cellStyle name="Normal 29 59 8" xfId="22673"/>
    <cellStyle name="Normal 29 59 9" xfId="22674"/>
    <cellStyle name="Normal 29 6" xfId="22675"/>
    <cellStyle name="Normal 29 6 10" xfId="22676"/>
    <cellStyle name="Normal 29 6 11" xfId="22677"/>
    <cellStyle name="Normal 29 6 12" xfId="22678"/>
    <cellStyle name="Normal 29 6 13" xfId="22679"/>
    <cellStyle name="Normal 29 6 2" xfId="22680"/>
    <cellStyle name="Normal 29 6 3" xfId="22681"/>
    <cellStyle name="Normal 29 6 4" xfId="22682"/>
    <cellStyle name="Normal 29 6 5" xfId="22683"/>
    <cellStyle name="Normal 29 6 6" xfId="22684"/>
    <cellStyle name="Normal 29 6 7" xfId="22685"/>
    <cellStyle name="Normal 29 6 8" xfId="22686"/>
    <cellStyle name="Normal 29 6 9" xfId="22687"/>
    <cellStyle name="Normal 29 60" xfId="22688"/>
    <cellStyle name="Normal 29 60 10" xfId="22689"/>
    <cellStyle name="Normal 29 60 11" xfId="22690"/>
    <cellStyle name="Normal 29 60 12" xfId="22691"/>
    <cellStyle name="Normal 29 60 13" xfId="22692"/>
    <cellStyle name="Normal 29 60 2" xfId="22693"/>
    <cellStyle name="Normal 29 60 3" xfId="22694"/>
    <cellStyle name="Normal 29 60 4" xfId="22695"/>
    <cellStyle name="Normal 29 60 5" xfId="22696"/>
    <cellStyle name="Normal 29 60 6" xfId="22697"/>
    <cellStyle name="Normal 29 60 7" xfId="22698"/>
    <cellStyle name="Normal 29 60 8" xfId="22699"/>
    <cellStyle name="Normal 29 60 9" xfId="22700"/>
    <cellStyle name="Normal 29 61" xfId="22701"/>
    <cellStyle name="Normal 29 61 10" xfId="22702"/>
    <cellStyle name="Normal 29 61 11" xfId="22703"/>
    <cellStyle name="Normal 29 61 12" xfId="22704"/>
    <cellStyle name="Normal 29 61 13" xfId="22705"/>
    <cellStyle name="Normal 29 61 2" xfId="22706"/>
    <cellStyle name="Normal 29 61 3" xfId="22707"/>
    <cellStyle name="Normal 29 61 4" xfId="22708"/>
    <cellStyle name="Normal 29 61 5" xfId="22709"/>
    <cellStyle name="Normal 29 61 6" xfId="22710"/>
    <cellStyle name="Normal 29 61 7" xfId="22711"/>
    <cellStyle name="Normal 29 61 8" xfId="22712"/>
    <cellStyle name="Normal 29 61 9" xfId="22713"/>
    <cellStyle name="Normal 29 62" xfId="22714"/>
    <cellStyle name="Normal 29 62 10" xfId="22715"/>
    <cellStyle name="Normal 29 62 11" xfId="22716"/>
    <cellStyle name="Normal 29 62 12" xfId="22717"/>
    <cellStyle name="Normal 29 62 13" xfId="22718"/>
    <cellStyle name="Normal 29 62 2" xfId="22719"/>
    <cellStyle name="Normal 29 62 3" xfId="22720"/>
    <cellStyle name="Normal 29 62 4" xfId="22721"/>
    <cellStyle name="Normal 29 62 5" xfId="22722"/>
    <cellStyle name="Normal 29 62 6" xfId="22723"/>
    <cellStyle name="Normal 29 62 7" xfId="22724"/>
    <cellStyle name="Normal 29 62 8" xfId="22725"/>
    <cellStyle name="Normal 29 62 9" xfId="22726"/>
    <cellStyle name="Normal 29 63" xfId="22727"/>
    <cellStyle name="Normal 29 63 10" xfId="22728"/>
    <cellStyle name="Normal 29 63 11" xfId="22729"/>
    <cellStyle name="Normal 29 63 12" xfId="22730"/>
    <cellStyle name="Normal 29 63 13" xfId="22731"/>
    <cellStyle name="Normal 29 63 2" xfId="22732"/>
    <cellStyle name="Normal 29 63 3" xfId="22733"/>
    <cellStyle name="Normal 29 63 4" xfId="22734"/>
    <cellStyle name="Normal 29 63 5" xfId="22735"/>
    <cellStyle name="Normal 29 63 6" xfId="22736"/>
    <cellStyle name="Normal 29 63 7" xfId="22737"/>
    <cellStyle name="Normal 29 63 8" xfId="22738"/>
    <cellStyle name="Normal 29 63 9" xfId="22739"/>
    <cellStyle name="Normal 29 64" xfId="22740"/>
    <cellStyle name="Normal 29 64 10" xfId="22741"/>
    <cellStyle name="Normal 29 64 11" xfId="22742"/>
    <cellStyle name="Normal 29 64 12" xfId="22743"/>
    <cellStyle name="Normal 29 64 13" xfId="22744"/>
    <cellStyle name="Normal 29 64 2" xfId="22745"/>
    <cellStyle name="Normal 29 64 3" xfId="22746"/>
    <cellStyle name="Normal 29 64 4" xfId="22747"/>
    <cellStyle name="Normal 29 64 5" xfId="22748"/>
    <cellStyle name="Normal 29 64 6" xfId="22749"/>
    <cellStyle name="Normal 29 64 7" xfId="22750"/>
    <cellStyle name="Normal 29 64 8" xfId="22751"/>
    <cellStyle name="Normal 29 64 9" xfId="22752"/>
    <cellStyle name="Normal 29 65" xfId="22753"/>
    <cellStyle name="Normal 29 65 10" xfId="22754"/>
    <cellStyle name="Normal 29 65 11" xfId="22755"/>
    <cellStyle name="Normal 29 65 12" xfId="22756"/>
    <cellStyle name="Normal 29 65 13" xfId="22757"/>
    <cellStyle name="Normal 29 65 2" xfId="22758"/>
    <cellStyle name="Normal 29 65 3" xfId="22759"/>
    <cellStyle name="Normal 29 65 4" xfId="22760"/>
    <cellStyle name="Normal 29 65 5" xfId="22761"/>
    <cellStyle name="Normal 29 65 6" xfId="22762"/>
    <cellStyle name="Normal 29 65 7" xfId="22763"/>
    <cellStyle name="Normal 29 65 8" xfId="22764"/>
    <cellStyle name="Normal 29 65 9" xfId="22765"/>
    <cellStyle name="Normal 29 66" xfId="22766"/>
    <cellStyle name="Normal 29 66 10" xfId="22767"/>
    <cellStyle name="Normal 29 66 11" xfId="22768"/>
    <cellStyle name="Normal 29 66 12" xfId="22769"/>
    <cellStyle name="Normal 29 66 13" xfId="22770"/>
    <cellStyle name="Normal 29 66 2" xfId="22771"/>
    <cellStyle name="Normal 29 66 3" xfId="22772"/>
    <cellStyle name="Normal 29 66 4" xfId="22773"/>
    <cellStyle name="Normal 29 66 5" xfId="22774"/>
    <cellStyle name="Normal 29 66 6" xfId="22775"/>
    <cellStyle name="Normal 29 66 7" xfId="22776"/>
    <cellStyle name="Normal 29 66 8" xfId="22777"/>
    <cellStyle name="Normal 29 66 9" xfId="22778"/>
    <cellStyle name="Normal 29 67" xfId="22779"/>
    <cellStyle name="Normal 29 67 10" xfId="22780"/>
    <cellStyle name="Normal 29 67 11" xfId="22781"/>
    <cellStyle name="Normal 29 67 12" xfId="22782"/>
    <cellStyle name="Normal 29 67 13" xfId="22783"/>
    <cellStyle name="Normal 29 67 2" xfId="22784"/>
    <cellStyle name="Normal 29 67 3" xfId="22785"/>
    <cellStyle name="Normal 29 67 4" xfId="22786"/>
    <cellStyle name="Normal 29 67 5" xfId="22787"/>
    <cellStyle name="Normal 29 67 6" xfId="22788"/>
    <cellStyle name="Normal 29 67 7" xfId="22789"/>
    <cellStyle name="Normal 29 67 8" xfId="22790"/>
    <cellStyle name="Normal 29 67 9" xfId="22791"/>
    <cellStyle name="Normal 29 68" xfId="22792"/>
    <cellStyle name="Normal 29 68 10" xfId="22793"/>
    <cellStyle name="Normal 29 68 11" xfId="22794"/>
    <cellStyle name="Normal 29 68 12" xfId="22795"/>
    <cellStyle name="Normal 29 68 13" xfId="22796"/>
    <cellStyle name="Normal 29 68 2" xfId="22797"/>
    <cellStyle name="Normal 29 68 3" xfId="22798"/>
    <cellStyle name="Normal 29 68 4" xfId="22799"/>
    <cellStyle name="Normal 29 68 5" xfId="22800"/>
    <cellStyle name="Normal 29 68 6" xfId="22801"/>
    <cellStyle name="Normal 29 68 7" xfId="22802"/>
    <cellStyle name="Normal 29 68 8" xfId="22803"/>
    <cellStyle name="Normal 29 68 9" xfId="22804"/>
    <cellStyle name="Normal 29 69" xfId="22805"/>
    <cellStyle name="Normal 29 69 10" xfId="22806"/>
    <cellStyle name="Normal 29 69 11" xfId="22807"/>
    <cellStyle name="Normal 29 69 12" xfId="22808"/>
    <cellStyle name="Normal 29 69 13" xfId="22809"/>
    <cellStyle name="Normal 29 69 2" xfId="22810"/>
    <cellStyle name="Normal 29 69 3" xfId="22811"/>
    <cellStyle name="Normal 29 69 4" xfId="22812"/>
    <cellStyle name="Normal 29 69 5" xfId="22813"/>
    <cellStyle name="Normal 29 69 6" xfId="22814"/>
    <cellStyle name="Normal 29 69 7" xfId="22815"/>
    <cellStyle name="Normal 29 69 8" xfId="22816"/>
    <cellStyle name="Normal 29 69 9" xfId="22817"/>
    <cellStyle name="Normal 29 7" xfId="22818"/>
    <cellStyle name="Normal 29 7 10" xfId="22819"/>
    <cellStyle name="Normal 29 7 11" xfId="22820"/>
    <cellStyle name="Normal 29 7 12" xfId="22821"/>
    <cellStyle name="Normal 29 7 13" xfId="22822"/>
    <cellStyle name="Normal 29 7 2" xfId="22823"/>
    <cellStyle name="Normal 29 7 3" xfId="22824"/>
    <cellStyle name="Normal 29 7 4" xfId="22825"/>
    <cellStyle name="Normal 29 7 5" xfId="22826"/>
    <cellStyle name="Normal 29 7 6" xfId="22827"/>
    <cellStyle name="Normal 29 7 7" xfId="22828"/>
    <cellStyle name="Normal 29 7 8" xfId="22829"/>
    <cellStyle name="Normal 29 7 9" xfId="22830"/>
    <cellStyle name="Normal 29 70" xfId="22831"/>
    <cellStyle name="Normal 29 70 10" xfId="22832"/>
    <cellStyle name="Normal 29 70 11" xfId="22833"/>
    <cellStyle name="Normal 29 70 12" xfId="22834"/>
    <cellStyle name="Normal 29 70 13" xfId="22835"/>
    <cellStyle name="Normal 29 70 2" xfId="22836"/>
    <cellStyle name="Normal 29 70 3" xfId="22837"/>
    <cellStyle name="Normal 29 70 4" xfId="22838"/>
    <cellStyle name="Normal 29 70 5" xfId="22839"/>
    <cellStyle name="Normal 29 70 6" xfId="22840"/>
    <cellStyle name="Normal 29 70 7" xfId="22841"/>
    <cellStyle name="Normal 29 70 8" xfId="22842"/>
    <cellStyle name="Normal 29 70 9" xfId="22843"/>
    <cellStyle name="Normal 29 71" xfId="22844"/>
    <cellStyle name="Normal 29 71 10" xfId="22845"/>
    <cellStyle name="Normal 29 71 11" xfId="22846"/>
    <cellStyle name="Normal 29 71 12" xfId="22847"/>
    <cellStyle name="Normal 29 71 13" xfId="22848"/>
    <cellStyle name="Normal 29 71 2" xfId="22849"/>
    <cellStyle name="Normal 29 71 3" xfId="22850"/>
    <cellStyle name="Normal 29 71 4" xfId="22851"/>
    <cellStyle name="Normal 29 71 5" xfId="22852"/>
    <cellStyle name="Normal 29 71 6" xfId="22853"/>
    <cellStyle name="Normal 29 71 7" xfId="22854"/>
    <cellStyle name="Normal 29 71 8" xfId="22855"/>
    <cellStyle name="Normal 29 71 9" xfId="22856"/>
    <cellStyle name="Normal 29 72" xfId="22857"/>
    <cellStyle name="Normal 29 72 10" xfId="22858"/>
    <cellStyle name="Normal 29 72 11" xfId="22859"/>
    <cellStyle name="Normal 29 72 12" xfId="22860"/>
    <cellStyle name="Normal 29 72 13" xfId="22861"/>
    <cellStyle name="Normal 29 72 2" xfId="22862"/>
    <cellStyle name="Normal 29 72 3" xfId="22863"/>
    <cellStyle name="Normal 29 72 4" xfId="22864"/>
    <cellStyle name="Normal 29 72 5" xfId="22865"/>
    <cellStyle name="Normal 29 72 6" xfId="22866"/>
    <cellStyle name="Normal 29 72 7" xfId="22867"/>
    <cellStyle name="Normal 29 72 8" xfId="22868"/>
    <cellStyle name="Normal 29 72 9" xfId="22869"/>
    <cellStyle name="Normal 29 73" xfId="22870"/>
    <cellStyle name="Normal 29 74" xfId="22871"/>
    <cellStyle name="Normal 29 75" xfId="22872"/>
    <cellStyle name="Normal 29 76" xfId="22873"/>
    <cellStyle name="Normal 29 77" xfId="22874"/>
    <cellStyle name="Normal 29 78" xfId="22875"/>
    <cellStyle name="Normal 29 79" xfId="22876"/>
    <cellStyle name="Normal 29 8" xfId="22877"/>
    <cellStyle name="Normal 29 8 10" xfId="22878"/>
    <cellStyle name="Normal 29 8 11" xfId="22879"/>
    <cellStyle name="Normal 29 8 12" xfId="22880"/>
    <cellStyle name="Normal 29 8 13" xfId="22881"/>
    <cellStyle name="Normal 29 8 2" xfId="22882"/>
    <cellStyle name="Normal 29 8 3" xfId="22883"/>
    <cellStyle name="Normal 29 8 4" xfId="22884"/>
    <cellStyle name="Normal 29 8 5" xfId="22885"/>
    <cellStyle name="Normal 29 8 6" xfId="22886"/>
    <cellStyle name="Normal 29 8 7" xfId="22887"/>
    <cellStyle name="Normal 29 8 8" xfId="22888"/>
    <cellStyle name="Normal 29 8 9" xfId="22889"/>
    <cellStyle name="Normal 29 80" xfId="22890"/>
    <cellStyle name="Normal 29 81" xfId="22891"/>
    <cellStyle name="Normal 29 82" xfId="22892"/>
    <cellStyle name="Normal 29 83" xfId="22893"/>
    <cellStyle name="Normal 29 84" xfId="22894"/>
    <cellStyle name="Normal 29 9" xfId="22895"/>
    <cellStyle name="Normal 29 9 10" xfId="22896"/>
    <cellStyle name="Normal 29 9 11" xfId="22897"/>
    <cellStyle name="Normal 29 9 12" xfId="22898"/>
    <cellStyle name="Normal 29 9 13" xfId="22899"/>
    <cellStyle name="Normal 29 9 2" xfId="22900"/>
    <cellStyle name="Normal 29 9 3" xfId="22901"/>
    <cellStyle name="Normal 29 9 4" xfId="22902"/>
    <cellStyle name="Normal 29 9 5" xfId="22903"/>
    <cellStyle name="Normal 29 9 6" xfId="22904"/>
    <cellStyle name="Normal 29 9 7" xfId="22905"/>
    <cellStyle name="Normal 29 9 8" xfId="22906"/>
    <cellStyle name="Normal 29 9 9" xfId="22907"/>
    <cellStyle name="Normal 3" xfId="16"/>
    <cellStyle name="Normal 3 10" xfId="22908"/>
    <cellStyle name="Normal 3 11" xfId="22909"/>
    <cellStyle name="Normal 3 12" xfId="22910"/>
    <cellStyle name="Normal 3 13" xfId="22911"/>
    <cellStyle name="Normal 3 14" xfId="22912"/>
    <cellStyle name="Normal 3 15" xfId="22913"/>
    <cellStyle name="Normal 3 16" xfId="22914"/>
    <cellStyle name="Normal 3 17" xfId="22915"/>
    <cellStyle name="Normal 3 18" xfId="22916"/>
    <cellStyle name="Normal 3 19" xfId="22917"/>
    <cellStyle name="Normal 3 2" xfId="22918"/>
    <cellStyle name="Normal 3 2 10" xfId="22919"/>
    <cellStyle name="Normal 3 2 11" xfId="22920"/>
    <cellStyle name="Normal 3 2 12" xfId="22921"/>
    <cellStyle name="Normal 3 2 13" xfId="22922"/>
    <cellStyle name="Normal 3 2 14" xfId="22923"/>
    <cellStyle name="Normal 3 2 15" xfId="22924"/>
    <cellStyle name="Normal 3 2 16" xfId="22925"/>
    <cellStyle name="Normal 3 2 17" xfId="22926"/>
    <cellStyle name="Normal 3 2 18" xfId="22927"/>
    <cellStyle name="Normal 3 2 19" xfId="22928"/>
    <cellStyle name="Normal 3 2 2" xfId="22929"/>
    <cellStyle name="Normal 3 2 20" xfId="22930"/>
    <cellStyle name="Normal 3 2 21" xfId="22931"/>
    <cellStyle name="Normal 3 2 22" xfId="22932"/>
    <cellStyle name="Normal 3 2 23" xfId="22933"/>
    <cellStyle name="Normal 3 2 24" xfId="22934"/>
    <cellStyle name="Normal 3 2 25" xfId="22935"/>
    <cellStyle name="Normal 3 2 26" xfId="22936"/>
    <cellStyle name="Normal 3 2 27" xfId="22937"/>
    <cellStyle name="Normal 3 2 28" xfId="22938"/>
    <cellStyle name="Normal 3 2 29" xfId="22939"/>
    <cellStyle name="Normal 3 2 3" xfId="22940"/>
    <cellStyle name="Normal 3 2 30" xfId="22941"/>
    <cellStyle name="Normal 3 2 31" xfId="22942"/>
    <cellStyle name="Normal 3 2 32" xfId="22943"/>
    <cellStyle name="Normal 3 2 33" xfId="22944"/>
    <cellStyle name="Normal 3 2 34" xfId="22945"/>
    <cellStyle name="Normal 3 2 35" xfId="22946"/>
    <cellStyle name="Normal 3 2 36" xfId="22947"/>
    <cellStyle name="Normal 3 2 37" xfId="22948"/>
    <cellStyle name="Normal 3 2 38" xfId="22949"/>
    <cellStyle name="Normal 3 2 39" xfId="22950"/>
    <cellStyle name="Normal 3 2 4" xfId="22951"/>
    <cellStyle name="Normal 3 2 40" xfId="22952"/>
    <cellStyle name="Normal 3 2 41" xfId="22953"/>
    <cellStyle name="Normal 3 2 42" xfId="22954"/>
    <cellStyle name="Normal 3 2 43" xfId="22955"/>
    <cellStyle name="Normal 3 2 44" xfId="22956"/>
    <cellStyle name="Normal 3 2 45" xfId="22957"/>
    <cellStyle name="Normal 3 2 46" xfId="22958"/>
    <cellStyle name="Normal 3 2 47" xfId="22959"/>
    <cellStyle name="Normal 3 2 48" xfId="22960"/>
    <cellStyle name="Normal 3 2 49" xfId="22961"/>
    <cellStyle name="Normal 3 2 5" xfId="22962"/>
    <cellStyle name="Normal 3 2 50" xfId="22963"/>
    <cellStyle name="Normal 3 2 51" xfId="22964"/>
    <cellStyle name="Normal 3 2 52" xfId="22965"/>
    <cellStyle name="Normal 3 2 53" xfId="22966"/>
    <cellStyle name="Normal 3 2 54" xfId="22967"/>
    <cellStyle name="Normal 3 2 55" xfId="22968"/>
    <cellStyle name="Normal 3 2 56" xfId="22969"/>
    <cellStyle name="Normal 3 2 57" xfId="22970"/>
    <cellStyle name="Normal 3 2 58" xfId="22971"/>
    <cellStyle name="Normal 3 2 59" xfId="22972"/>
    <cellStyle name="Normal 3 2 6" xfId="22973"/>
    <cellStyle name="Normal 3 2 60" xfId="22974"/>
    <cellStyle name="Normal 3 2 61" xfId="22975"/>
    <cellStyle name="Normal 3 2 62" xfId="22976"/>
    <cellStyle name="Normal 3 2 63" xfId="22977"/>
    <cellStyle name="Normal 3 2 64" xfId="22978"/>
    <cellStyle name="Normal 3 2 65" xfId="22979"/>
    <cellStyle name="Normal 3 2 66" xfId="22980"/>
    <cellStyle name="Normal 3 2 67" xfId="22981"/>
    <cellStyle name="Normal 3 2 68" xfId="22982"/>
    <cellStyle name="Normal 3 2 69" xfId="22983"/>
    <cellStyle name="Normal 3 2 7" xfId="22984"/>
    <cellStyle name="Normal 3 2 70" xfId="22985"/>
    <cellStyle name="Normal 3 2 71" xfId="22986"/>
    <cellStyle name="Normal 3 2 72" xfId="22987"/>
    <cellStyle name="Normal 3 2 73" xfId="22988"/>
    <cellStyle name="Normal 3 2 74" xfId="22989"/>
    <cellStyle name="Normal 3 2 75" xfId="22990"/>
    <cellStyle name="Normal 3 2 76" xfId="22991"/>
    <cellStyle name="Normal 3 2 77" xfId="22992"/>
    <cellStyle name="Normal 3 2 78" xfId="22993"/>
    <cellStyle name="Normal 3 2 79" xfId="22994"/>
    <cellStyle name="Normal 3 2 8" xfId="22995"/>
    <cellStyle name="Normal 3 2 80" xfId="22996"/>
    <cellStyle name="Normal 3 2 81" xfId="22997"/>
    <cellStyle name="Normal 3 2 82" xfId="22998"/>
    <cellStyle name="Normal 3 2 83" xfId="22999"/>
    <cellStyle name="Normal 3 2 9" xfId="23000"/>
    <cellStyle name="Normal 3 20" xfId="23001"/>
    <cellStyle name="Normal 3 21" xfId="23002"/>
    <cellStyle name="Normal 3 22" xfId="23003"/>
    <cellStyle name="Normal 3 23" xfId="23004"/>
    <cellStyle name="Normal 3 24" xfId="23005"/>
    <cellStyle name="Normal 3 25" xfId="23006"/>
    <cellStyle name="Normal 3 26" xfId="23007"/>
    <cellStyle name="Normal 3 27" xfId="23008"/>
    <cellStyle name="Normal 3 28" xfId="23009"/>
    <cellStyle name="Normal 3 29" xfId="23010"/>
    <cellStyle name="Normal 3 3" xfId="23011"/>
    <cellStyle name="Normal 3 3 10" xfId="23012"/>
    <cellStyle name="Normal 3 3 11" xfId="23013"/>
    <cellStyle name="Normal 3 3 12" xfId="23014"/>
    <cellStyle name="Normal 3 3 13" xfId="23015"/>
    <cellStyle name="Normal 3 3 14" xfId="23016"/>
    <cellStyle name="Normal 3 3 15" xfId="23017"/>
    <cellStyle name="Normal 3 3 16" xfId="23018"/>
    <cellStyle name="Normal 3 3 17" xfId="23019"/>
    <cellStyle name="Normal 3 3 18" xfId="23020"/>
    <cellStyle name="Normal 3 3 19" xfId="23021"/>
    <cellStyle name="Normal 3 3 2" xfId="23022"/>
    <cellStyle name="Normal 3 3 20" xfId="23023"/>
    <cellStyle name="Normal 3 3 21" xfId="23024"/>
    <cellStyle name="Normal 3 3 22" xfId="23025"/>
    <cellStyle name="Normal 3 3 23" xfId="23026"/>
    <cellStyle name="Normal 3 3 24" xfId="23027"/>
    <cellStyle name="Normal 3 3 25" xfId="23028"/>
    <cellStyle name="Normal 3 3 26" xfId="23029"/>
    <cellStyle name="Normal 3 3 27" xfId="23030"/>
    <cellStyle name="Normal 3 3 28" xfId="23031"/>
    <cellStyle name="Normal 3 3 29" xfId="23032"/>
    <cellStyle name="Normal 3 3 3" xfId="23033"/>
    <cellStyle name="Normal 3 3 30" xfId="23034"/>
    <cellStyle name="Normal 3 3 31" xfId="23035"/>
    <cellStyle name="Normal 3 3 32" xfId="23036"/>
    <cellStyle name="Normal 3 3 33" xfId="23037"/>
    <cellStyle name="Normal 3 3 34" xfId="23038"/>
    <cellStyle name="Normal 3 3 35" xfId="23039"/>
    <cellStyle name="Normal 3 3 36" xfId="23040"/>
    <cellStyle name="Normal 3 3 37" xfId="23041"/>
    <cellStyle name="Normal 3 3 38" xfId="23042"/>
    <cellStyle name="Normal 3 3 39" xfId="23043"/>
    <cellStyle name="Normal 3 3 4" xfId="23044"/>
    <cellStyle name="Normal 3 3 40" xfId="23045"/>
    <cellStyle name="Normal 3 3 41" xfId="23046"/>
    <cellStyle name="Normal 3 3 42" xfId="23047"/>
    <cellStyle name="Normal 3 3 43" xfId="23048"/>
    <cellStyle name="Normal 3 3 44" xfId="23049"/>
    <cellStyle name="Normal 3 3 45" xfId="23050"/>
    <cellStyle name="Normal 3 3 46" xfId="23051"/>
    <cellStyle name="Normal 3 3 47" xfId="23052"/>
    <cellStyle name="Normal 3 3 48" xfId="23053"/>
    <cellStyle name="Normal 3 3 49" xfId="23054"/>
    <cellStyle name="Normal 3 3 5" xfId="23055"/>
    <cellStyle name="Normal 3 3 50" xfId="23056"/>
    <cellStyle name="Normal 3 3 51" xfId="23057"/>
    <cellStyle name="Normal 3 3 52" xfId="23058"/>
    <cellStyle name="Normal 3 3 53" xfId="23059"/>
    <cellStyle name="Normal 3 3 54" xfId="23060"/>
    <cellStyle name="Normal 3 3 55" xfId="23061"/>
    <cellStyle name="Normal 3 3 56" xfId="23062"/>
    <cellStyle name="Normal 3 3 57" xfId="23063"/>
    <cellStyle name="Normal 3 3 58" xfId="23064"/>
    <cellStyle name="Normal 3 3 59" xfId="23065"/>
    <cellStyle name="Normal 3 3 6" xfId="23066"/>
    <cellStyle name="Normal 3 3 60" xfId="23067"/>
    <cellStyle name="Normal 3 3 61" xfId="23068"/>
    <cellStyle name="Normal 3 3 62" xfId="23069"/>
    <cellStyle name="Normal 3 3 63" xfId="23070"/>
    <cellStyle name="Normal 3 3 64" xfId="23071"/>
    <cellStyle name="Normal 3 3 65" xfId="23072"/>
    <cellStyle name="Normal 3 3 66" xfId="23073"/>
    <cellStyle name="Normal 3 3 67" xfId="23074"/>
    <cellStyle name="Normal 3 3 68" xfId="23075"/>
    <cellStyle name="Normal 3 3 69" xfId="23076"/>
    <cellStyle name="Normal 3 3 7" xfId="23077"/>
    <cellStyle name="Normal 3 3 70" xfId="23078"/>
    <cellStyle name="Normal 3 3 71" xfId="23079"/>
    <cellStyle name="Normal 3 3 72" xfId="23080"/>
    <cellStyle name="Normal 3 3 73" xfId="23081"/>
    <cellStyle name="Normal 3 3 74" xfId="23082"/>
    <cellStyle name="Normal 3 3 75" xfId="23083"/>
    <cellStyle name="Normal 3 3 76" xfId="23084"/>
    <cellStyle name="Normal 3 3 77" xfId="23085"/>
    <cellStyle name="Normal 3 3 78" xfId="23086"/>
    <cellStyle name="Normal 3 3 79" xfId="23087"/>
    <cellStyle name="Normal 3 3 8" xfId="23088"/>
    <cellStyle name="Normal 3 3 80" xfId="23089"/>
    <cellStyle name="Normal 3 3 81" xfId="23090"/>
    <cellStyle name="Normal 3 3 82" xfId="23091"/>
    <cellStyle name="Normal 3 3 83" xfId="23092"/>
    <cellStyle name="Normal 3 3 9" xfId="23093"/>
    <cellStyle name="Normal 3 30" xfId="23094"/>
    <cellStyle name="Normal 3 31" xfId="23095"/>
    <cellStyle name="Normal 3 32" xfId="23096"/>
    <cellStyle name="Normal 3 33" xfId="23097"/>
    <cellStyle name="Normal 3 34" xfId="23098"/>
    <cellStyle name="Normal 3 35" xfId="23099"/>
    <cellStyle name="Normal 3 36" xfId="23100"/>
    <cellStyle name="Normal 3 37" xfId="23101"/>
    <cellStyle name="Normal 3 38" xfId="23102"/>
    <cellStyle name="Normal 3 39" xfId="23103"/>
    <cellStyle name="Normal 3 4" xfId="23104"/>
    <cellStyle name="Normal 3 4 10" xfId="23105"/>
    <cellStyle name="Normal 3 4 11" xfId="23106"/>
    <cellStyle name="Normal 3 4 12" xfId="23107"/>
    <cellStyle name="Normal 3 4 13" xfId="23108"/>
    <cellStyle name="Normal 3 4 14" xfId="23109"/>
    <cellStyle name="Normal 3 4 15" xfId="23110"/>
    <cellStyle name="Normal 3 4 16" xfId="23111"/>
    <cellStyle name="Normal 3 4 17" xfId="23112"/>
    <cellStyle name="Normal 3 4 18" xfId="23113"/>
    <cellStyle name="Normal 3 4 19" xfId="23114"/>
    <cellStyle name="Normal 3 4 2" xfId="23115"/>
    <cellStyle name="Normal 3 4 20" xfId="23116"/>
    <cellStyle name="Normal 3 4 21" xfId="23117"/>
    <cellStyle name="Normal 3 4 22" xfId="23118"/>
    <cellStyle name="Normal 3 4 23" xfId="23119"/>
    <cellStyle name="Normal 3 4 24" xfId="23120"/>
    <cellStyle name="Normal 3 4 25" xfId="23121"/>
    <cellStyle name="Normal 3 4 26" xfId="23122"/>
    <cellStyle name="Normal 3 4 27" xfId="23123"/>
    <cellStyle name="Normal 3 4 28" xfId="23124"/>
    <cellStyle name="Normal 3 4 29" xfId="23125"/>
    <cellStyle name="Normal 3 4 3" xfId="23126"/>
    <cellStyle name="Normal 3 4 30" xfId="23127"/>
    <cellStyle name="Normal 3 4 31" xfId="23128"/>
    <cellStyle name="Normal 3 4 32" xfId="23129"/>
    <cellStyle name="Normal 3 4 33" xfId="23130"/>
    <cellStyle name="Normal 3 4 34" xfId="23131"/>
    <cellStyle name="Normal 3 4 35" xfId="23132"/>
    <cellStyle name="Normal 3 4 36" xfId="23133"/>
    <cellStyle name="Normal 3 4 37" xfId="23134"/>
    <cellStyle name="Normal 3 4 38" xfId="23135"/>
    <cellStyle name="Normal 3 4 39" xfId="23136"/>
    <cellStyle name="Normal 3 4 4" xfId="23137"/>
    <cellStyle name="Normal 3 4 40" xfId="23138"/>
    <cellStyle name="Normal 3 4 41" xfId="23139"/>
    <cellStyle name="Normal 3 4 42" xfId="23140"/>
    <cellStyle name="Normal 3 4 43" xfId="23141"/>
    <cellStyle name="Normal 3 4 44" xfId="23142"/>
    <cellStyle name="Normal 3 4 45" xfId="23143"/>
    <cellStyle name="Normal 3 4 46" xfId="23144"/>
    <cellStyle name="Normal 3 4 47" xfId="23145"/>
    <cellStyle name="Normal 3 4 48" xfId="23146"/>
    <cellStyle name="Normal 3 4 49" xfId="23147"/>
    <cellStyle name="Normal 3 4 5" xfId="23148"/>
    <cellStyle name="Normal 3 4 50" xfId="23149"/>
    <cellStyle name="Normal 3 4 51" xfId="23150"/>
    <cellStyle name="Normal 3 4 52" xfId="23151"/>
    <cellStyle name="Normal 3 4 53" xfId="23152"/>
    <cellStyle name="Normal 3 4 54" xfId="23153"/>
    <cellStyle name="Normal 3 4 55" xfId="23154"/>
    <cellStyle name="Normal 3 4 56" xfId="23155"/>
    <cellStyle name="Normal 3 4 57" xfId="23156"/>
    <cellStyle name="Normal 3 4 58" xfId="23157"/>
    <cellStyle name="Normal 3 4 59" xfId="23158"/>
    <cellStyle name="Normal 3 4 6" xfId="23159"/>
    <cellStyle name="Normal 3 4 60" xfId="23160"/>
    <cellStyle name="Normal 3 4 61" xfId="23161"/>
    <cellStyle name="Normal 3 4 62" xfId="23162"/>
    <cellStyle name="Normal 3 4 63" xfId="23163"/>
    <cellStyle name="Normal 3 4 64" xfId="23164"/>
    <cellStyle name="Normal 3 4 65" xfId="23165"/>
    <cellStyle name="Normal 3 4 66" xfId="23166"/>
    <cellStyle name="Normal 3 4 67" xfId="23167"/>
    <cellStyle name="Normal 3 4 68" xfId="23168"/>
    <cellStyle name="Normal 3 4 69" xfId="23169"/>
    <cellStyle name="Normal 3 4 7" xfId="23170"/>
    <cellStyle name="Normal 3 4 70" xfId="23171"/>
    <cellStyle name="Normal 3 4 71" xfId="23172"/>
    <cellStyle name="Normal 3 4 72" xfId="23173"/>
    <cellStyle name="Normal 3 4 73" xfId="23174"/>
    <cellStyle name="Normal 3 4 74" xfId="23175"/>
    <cellStyle name="Normal 3 4 75" xfId="23176"/>
    <cellStyle name="Normal 3 4 76" xfId="23177"/>
    <cellStyle name="Normal 3 4 77" xfId="23178"/>
    <cellStyle name="Normal 3 4 78" xfId="23179"/>
    <cellStyle name="Normal 3 4 79" xfId="23180"/>
    <cellStyle name="Normal 3 4 8" xfId="23181"/>
    <cellStyle name="Normal 3 4 80" xfId="23182"/>
    <cellStyle name="Normal 3 4 81" xfId="23183"/>
    <cellStyle name="Normal 3 4 82" xfId="23184"/>
    <cellStyle name="Normal 3 4 83" xfId="23185"/>
    <cellStyle name="Normal 3 4 9" xfId="23186"/>
    <cellStyle name="Normal 3 40" xfId="23187"/>
    <cellStyle name="Normal 3 41" xfId="23188"/>
    <cellStyle name="Normal 3 42" xfId="23189"/>
    <cellStyle name="Normal 3 43" xfId="23190"/>
    <cellStyle name="Normal 3 44" xfId="23191"/>
    <cellStyle name="Normal 3 45" xfId="23192"/>
    <cellStyle name="Normal 3 46" xfId="23193"/>
    <cellStyle name="Normal 3 47" xfId="23194"/>
    <cellStyle name="Normal 3 48" xfId="23195"/>
    <cellStyle name="Normal 3 49" xfId="23196"/>
    <cellStyle name="Normal 3 5" xfId="23197"/>
    <cellStyle name="Normal 3 5 10" xfId="23198"/>
    <cellStyle name="Normal 3 5 11" xfId="23199"/>
    <cellStyle name="Normal 3 5 12" xfId="23200"/>
    <cellStyle name="Normal 3 5 13" xfId="23201"/>
    <cellStyle name="Normal 3 5 14" xfId="23202"/>
    <cellStyle name="Normal 3 5 15" xfId="23203"/>
    <cellStyle name="Normal 3 5 16" xfId="23204"/>
    <cellStyle name="Normal 3 5 17" xfId="23205"/>
    <cellStyle name="Normal 3 5 18" xfId="23206"/>
    <cellStyle name="Normal 3 5 19" xfId="23207"/>
    <cellStyle name="Normal 3 5 2" xfId="23208"/>
    <cellStyle name="Normal 3 5 20" xfId="23209"/>
    <cellStyle name="Normal 3 5 21" xfId="23210"/>
    <cellStyle name="Normal 3 5 22" xfId="23211"/>
    <cellStyle name="Normal 3 5 23" xfId="23212"/>
    <cellStyle name="Normal 3 5 24" xfId="23213"/>
    <cellStyle name="Normal 3 5 25" xfId="23214"/>
    <cellStyle name="Normal 3 5 26" xfId="23215"/>
    <cellStyle name="Normal 3 5 27" xfId="23216"/>
    <cellStyle name="Normal 3 5 28" xfId="23217"/>
    <cellStyle name="Normal 3 5 29" xfId="23218"/>
    <cellStyle name="Normal 3 5 3" xfId="23219"/>
    <cellStyle name="Normal 3 5 30" xfId="23220"/>
    <cellStyle name="Normal 3 5 31" xfId="23221"/>
    <cellStyle name="Normal 3 5 32" xfId="23222"/>
    <cellStyle name="Normal 3 5 33" xfId="23223"/>
    <cellStyle name="Normal 3 5 34" xfId="23224"/>
    <cellStyle name="Normal 3 5 35" xfId="23225"/>
    <cellStyle name="Normal 3 5 36" xfId="23226"/>
    <cellStyle name="Normal 3 5 37" xfId="23227"/>
    <cellStyle name="Normal 3 5 38" xfId="23228"/>
    <cellStyle name="Normal 3 5 39" xfId="23229"/>
    <cellStyle name="Normal 3 5 4" xfId="23230"/>
    <cellStyle name="Normal 3 5 40" xfId="23231"/>
    <cellStyle name="Normal 3 5 41" xfId="23232"/>
    <cellStyle name="Normal 3 5 42" xfId="23233"/>
    <cellStyle name="Normal 3 5 43" xfId="23234"/>
    <cellStyle name="Normal 3 5 44" xfId="23235"/>
    <cellStyle name="Normal 3 5 45" xfId="23236"/>
    <cellStyle name="Normal 3 5 46" xfId="23237"/>
    <cellStyle name="Normal 3 5 47" xfId="23238"/>
    <cellStyle name="Normal 3 5 48" xfId="23239"/>
    <cellStyle name="Normal 3 5 49" xfId="23240"/>
    <cellStyle name="Normal 3 5 5" xfId="23241"/>
    <cellStyle name="Normal 3 5 50" xfId="23242"/>
    <cellStyle name="Normal 3 5 51" xfId="23243"/>
    <cellStyle name="Normal 3 5 52" xfId="23244"/>
    <cellStyle name="Normal 3 5 53" xfId="23245"/>
    <cellStyle name="Normal 3 5 54" xfId="23246"/>
    <cellStyle name="Normal 3 5 55" xfId="23247"/>
    <cellStyle name="Normal 3 5 56" xfId="23248"/>
    <cellStyle name="Normal 3 5 57" xfId="23249"/>
    <cellStyle name="Normal 3 5 58" xfId="23250"/>
    <cellStyle name="Normal 3 5 59" xfId="23251"/>
    <cellStyle name="Normal 3 5 6" xfId="23252"/>
    <cellStyle name="Normal 3 5 60" xfId="23253"/>
    <cellStyle name="Normal 3 5 61" xfId="23254"/>
    <cellStyle name="Normal 3 5 62" xfId="23255"/>
    <cellStyle name="Normal 3 5 63" xfId="23256"/>
    <cellStyle name="Normal 3 5 64" xfId="23257"/>
    <cellStyle name="Normal 3 5 65" xfId="23258"/>
    <cellStyle name="Normal 3 5 66" xfId="23259"/>
    <cellStyle name="Normal 3 5 67" xfId="23260"/>
    <cellStyle name="Normal 3 5 68" xfId="23261"/>
    <cellStyle name="Normal 3 5 69" xfId="23262"/>
    <cellStyle name="Normal 3 5 7" xfId="23263"/>
    <cellStyle name="Normal 3 5 70" xfId="23264"/>
    <cellStyle name="Normal 3 5 71" xfId="23265"/>
    <cellStyle name="Normal 3 5 72" xfId="23266"/>
    <cellStyle name="Normal 3 5 73" xfId="23267"/>
    <cellStyle name="Normal 3 5 74" xfId="23268"/>
    <cellStyle name="Normal 3 5 75" xfId="23269"/>
    <cellStyle name="Normal 3 5 76" xfId="23270"/>
    <cellStyle name="Normal 3 5 77" xfId="23271"/>
    <cellStyle name="Normal 3 5 78" xfId="23272"/>
    <cellStyle name="Normal 3 5 79" xfId="23273"/>
    <cellStyle name="Normal 3 5 8" xfId="23274"/>
    <cellStyle name="Normal 3 5 80" xfId="23275"/>
    <cellStyle name="Normal 3 5 81" xfId="23276"/>
    <cellStyle name="Normal 3 5 82" xfId="23277"/>
    <cellStyle name="Normal 3 5 83" xfId="23278"/>
    <cellStyle name="Normal 3 5 9" xfId="23279"/>
    <cellStyle name="Normal 3 50" xfId="23280"/>
    <cellStyle name="Normal 3 51" xfId="23281"/>
    <cellStyle name="Normal 3 52" xfId="23282"/>
    <cellStyle name="Normal 3 53" xfId="23283"/>
    <cellStyle name="Normal 3 54" xfId="23284"/>
    <cellStyle name="Normal 3 55" xfId="23285"/>
    <cellStyle name="Normal 3 56" xfId="23286"/>
    <cellStyle name="Normal 3 57" xfId="23287"/>
    <cellStyle name="Normal 3 58" xfId="23288"/>
    <cellStyle name="Normal 3 59" xfId="23289"/>
    <cellStyle name="Normal 3 6" xfId="23290"/>
    <cellStyle name="Normal 3 6 10" xfId="23291"/>
    <cellStyle name="Normal 3 6 11" xfId="23292"/>
    <cellStyle name="Normal 3 6 12" xfId="23293"/>
    <cellStyle name="Normal 3 6 13" xfId="23294"/>
    <cellStyle name="Normal 3 6 14" xfId="23295"/>
    <cellStyle name="Normal 3 6 15" xfId="23296"/>
    <cellStyle name="Normal 3 6 16" xfId="23297"/>
    <cellStyle name="Normal 3 6 17" xfId="23298"/>
    <cellStyle name="Normal 3 6 18" xfId="23299"/>
    <cellStyle name="Normal 3 6 19" xfId="23300"/>
    <cellStyle name="Normal 3 6 2" xfId="23301"/>
    <cellStyle name="Normal 3 6 20" xfId="23302"/>
    <cellStyle name="Normal 3 6 21" xfId="23303"/>
    <cellStyle name="Normal 3 6 22" xfId="23304"/>
    <cellStyle name="Normal 3 6 23" xfId="23305"/>
    <cellStyle name="Normal 3 6 24" xfId="23306"/>
    <cellStyle name="Normal 3 6 25" xfId="23307"/>
    <cellStyle name="Normal 3 6 26" xfId="23308"/>
    <cellStyle name="Normal 3 6 27" xfId="23309"/>
    <cellStyle name="Normal 3 6 28" xfId="23310"/>
    <cellStyle name="Normal 3 6 29" xfId="23311"/>
    <cellStyle name="Normal 3 6 3" xfId="23312"/>
    <cellStyle name="Normal 3 6 30" xfId="23313"/>
    <cellStyle name="Normal 3 6 31" xfId="23314"/>
    <cellStyle name="Normal 3 6 32" xfId="23315"/>
    <cellStyle name="Normal 3 6 33" xfId="23316"/>
    <cellStyle name="Normal 3 6 34" xfId="23317"/>
    <cellStyle name="Normal 3 6 35" xfId="23318"/>
    <cellStyle name="Normal 3 6 36" xfId="23319"/>
    <cellStyle name="Normal 3 6 37" xfId="23320"/>
    <cellStyle name="Normal 3 6 38" xfId="23321"/>
    <cellStyle name="Normal 3 6 39" xfId="23322"/>
    <cellStyle name="Normal 3 6 4" xfId="23323"/>
    <cellStyle name="Normal 3 6 40" xfId="23324"/>
    <cellStyle name="Normal 3 6 41" xfId="23325"/>
    <cellStyle name="Normal 3 6 42" xfId="23326"/>
    <cellStyle name="Normal 3 6 43" xfId="23327"/>
    <cellStyle name="Normal 3 6 44" xfId="23328"/>
    <cellStyle name="Normal 3 6 45" xfId="23329"/>
    <cellStyle name="Normal 3 6 46" xfId="23330"/>
    <cellStyle name="Normal 3 6 47" xfId="23331"/>
    <cellStyle name="Normal 3 6 48" xfId="23332"/>
    <cellStyle name="Normal 3 6 49" xfId="23333"/>
    <cellStyle name="Normal 3 6 5" xfId="23334"/>
    <cellStyle name="Normal 3 6 50" xfId="23335"/>
    <cellStyle name="Normal 3 6 51" xfId="23336"/>
    <cellStyle name="Normal 3 6 52" xfId="23337"/>
    <cellStyle name="Normal 3 6 53" xfId="23338"/>
    <cellStyle name="Normal 3 6 54" xfId="23339"/>
    <cellStyle name="Normal 3 6 55" xfId="23340"/>
    <cellStyle name="Normal 3 6 56" xfId="23341"/>
    <cellStyle name="Normal 3 6 57" xfId="23342"/>
    <cellStyle name="Normal 3 6 58" xfId="23343"/>
    <cellStyle name="Normal 3 6 59" xfId="23344"/>
    <cellStyle name="Normal 3 6 6" xfId="23345"/>
    <cellStyle name="Normal 3 6 60" xfId="23346"/>
    <cellStyle name="Normal 3 6 61" xfId="23347"/>
    <cellStyle name="Normal 3 6 62" xfId="23348"/>
    <cellStyle name="Normal 3 6 63" xfId="23349"/>
    <cellStyle name="Normal 3 6 64" xfId="23350"/>
    <cellStyle name="Normal 3 6 65" xfId="23351"/>
    <cellStyle name="Normal 3 6 66" xfId="23352"/>
    <cellStyle name="Normal 3 6 67" xfId="23353"/>
    <cellStyle name="Normal 3 6 68" xfId="23354"/>
    <cellStyle name="Normal 3 6 69" xfId="23355"/>
    <cellStyle name="Normal 3 6 7" xfId="23356"/>
    <cellStyle name="Normal 3 6 70" xfId="23357"/>
    <cellStyle name="Normal 3 6 71" xfId="23358"/>
    <cellStyle name="Normal 3 6 72" xfId="23359"/>
    <cellStyle name="Normal 3 6 73" xfId="23360"/>
    <cellStyle name="Normal 3 6 74" xfId="23361"/>
    <cellStyle name="Normal 3 6 75" xfId="23362"/>
    <cellStyle name="Normal 3 6 76" xfId="23363"/>
    <cellStyle name="Normal 3 6 77" xfId="23364"/>
    <cellStyle name="Normal 3 6 78" xfId="23365"/>
    <cellStyle name="Normal 3 6 79" xfId="23366"/>
    <cellStyle name="Normal 3 6 8" xfId="23367"/>
    <cellStyle name="Normal 3 6 80" xfId="23368"/>
    <cellStyle name="Normal 3 6 81" xfId="23369"/>
    <cellStyle name="Normal 3 6 82" xfId="23370"/>
    <cellStyle name="Normal 3 6 83" xfId="23371"/>
    <cellStyle name="Normal 3 6 9" xfId="23372"/>
    <cellStyle name="Normal 3 60" xfId="23373"/>
    <cellStyle name="Normal 3 61" xfId="23374"/>
    <cellStyle name="Normal 3 62" xfId="23375"/>
    <cellStyle name="Normal 3 63" xfId="23376"/>
    <cellStyle name="Normal 3 64" xfId="23377"/>
    <cellStyle name="Normal 3 65" xfId="23378"/>
    <cellStyle name="Normal 3 66" xfId="23379"/>
    <cellStyle name="Normal 3 67" xfId="23380"/>
    <cellStyle name="Normal 3 68" xfId="23381"/>
    <cellStyle name="Normal 3 69" xfId="23382"/>
    <cellStyle name="Normal 3 7" xfId="23383"/>
    <cellStyle name="Normal 3 7 10" xfId="23384"/>
    <cellStyle name="Normal 3 7 11" xfId="23385"/>
    <cellStyle name="Normal 3 7 12" xfId="23386"/>
    <cellStyle name="Normal 3 7 13" xfId="23387"/>
    <cellStyle name="Normal 3 7 14" xfId="23388"/>
    <cellStyle name="Normal 3 7 15" xfId="23389"/>
    <cellStyle name="Normal 3 7 16" xfId="23390"/>
    <cellStyle name="Normal 3 7 17" xfId="23391"/>
    <cellStyle name="Normal 3 7 18" xfId="23392"/>
    <cellStyle name="Normal 3 7 19" xfId="23393"/>
    <cellStyle name="Normal 3 7 2" xfId="23394"/>
    <cellStyle name="Normal 3 7 20" xfId="23395"/>
    <cellStyle name="Normal 3 7 21" xfId="23396"/>
    <cellStyle name="Normal 3 7 22" xfId="23397"/>
    <cellStyle name="Normal 3 7 23" xfId="23398"/>
    <cellStyle name="Normal 3 7 24" xfId="23399"/>
    <cellStyle name="Normal 3 7 25" xfId="23400"/>
    <cellStyle name="Normal 3 7 26" xfId="23401"/>
    <cellStyle name="Normal 3 7 27" xfId="23402"/>
    <cellStyle name="Normal 3 7 28" xfId="23403"/>
    <cellStyle name="Normal 3 7 29" xfId="23404"/>
    <cellStyle name="Normal 3 7 3" xfId="23405"/>
    <cellStyle name="Normal 3 7 30" xfId="23406"/>
    <cellStyle name="Normal 3 7 31" xfId="23407"/>
    <cellStyle name="Normal 3 7 32" xfId="23408"/>
    <cellStyle name="Normal 3 7 33" xfId="23409"/>
    <cellStyle name="Normal 3 7 34" xfId="23410"/>
    <cellStyle name="Normal 3 7 35" xfId="23411"/>
    <cellStyle name="Normal 3 7 36" xfId="23412"/>
    <cellStyle name="Normal 3 7 37" xfId="23413"/>
    <cellStyle name="Normal 3 7 38" xfId="23414"/>
    <cellStyle name="Normal 3 7 39" xfId="23415"/>
    <cellStyle name="Normal 3 7 4" xfId="23416"/>
    <cellStyle name="Normal 3 7 40" xfId="23417"/>
    <cellStyle name="Normal 3 7 41" xfId="23418"/>
    <cellStyle name="Normal 3 7 42" xfId="23419"/>
    <cellStyle name="Normal 3 7 43" xfId="23420"/>
    <cellStyle name="Normal 3 7 44" xfId="23421"/>
    <cellStyle name="Normal 3 7 45" xfId="23422"/>
    <cellStyle name="Normal 3 7 46" xfId="23423"/>
    <cellStyle name="Normal 3 7 47" xfId="23424"/>
    <cellStyle name="Normal 3 7 48" xfId="23425"/>
    <cellStyle name="Normal 3 7 49" xfId="23426"/>
    <cellStyle name="Normal 3 7 5" xfId="23427"/>
    <cellStyle name="Normal 3 7 50" xfId="23428"/>
    <cellStyle name="Normal 3 7 51" xfId="23429"/>
    <cellStyle name="Normal 3 7 52" xfId="23430"/>
    <cellStyle name="Normal 3 7 53" xfId="23431"/>
    <cellStyle name="Normal 3 7 54" xfId="23432"/>
    <cellStyle name="Normal 3 7 55" xfId="23433"/>
    <cellStyle name="Normal 3 7 56" xfId="23434"/>
    <cellStyle name="Normal 3 7 57" xfId="23435"/>
    <cellStyle name="Normal 3 7 58" xfId="23436"/>
    <cellStyle name="Normal 3 7 59" xfId="23437"/>
    <cellStyle name="Normal 3 7 6" xfId="23438"/>
    <cellStyle name="Normal 3 7 60" xfId="23439"/>
    <cellStyle name="Normal 3 7 61" xfId="23440"/>
    <cellStyle name="Normal 3 7 62" xfId="23441"/>
    <cellStyle name="Normal 3 7 63" xfId="23442"/>
    <cellStyle name="Normal 3 7 64" xfId="23443"/>
    <cellStyle name="Normal 3 7 65" xfId="23444"/>
    <cellStyle name="Normal 3 7 66" xfId="23445"/>
    <cellStyle name="Normal 3 7 67" xfId="23446"/>
    <cellStyle name="Normal 3 7 68" xfId="23447"/>
    <cellStyle name="Normal 3 7 69" xfId="23448"/>
    <cellStyle name="Normal 3 7 7" xfId="23449"/>
    <cellStyle name="Normal 3 7 70" xfId="23450"/>
    <cellStyle name="Normal 3 7 71" xfId="23451"/>
    <cellStyle name="Normal 3 7 72" xfId="23452"/>
    <cellStyle name="Normal 3 7 73" xfId="23453"/>
    <cellStyle name="Normal 3 7 74" xfId="23454"/>
    <cellStyle name="Normal 3 7 75" xfId="23455"/>
    <cellStyle name="Normal 3 7 76" xfId="23456"/>
    <cellStyle name="Normal 3 7 77" xfId="23457"/>
    <cellStyle name="Normal 3 7 78" xfId="23458"/>
    <cellStyle name="Normal 3 7 79" xfId="23459"/>
    <cellStyle name="Normal 3 7 8" xfId="23460"/>
    <cellStyle name="Normal 3 7 80" xfId="23461"/>
    <cellStyle name="Normal 3 7 81" xfId="23462"/>
    <cellStyle name="Normal 3 7 82" xfId="23463"/>
    <cellStyle name="Normal 3 7 83" xfId="23464"/>
    <cellStyle name="Normal 3 7 9" xfId="23465"/>
    <cellStyle name="Normal 3 70" xfId="23466"/>
    <cellStyle name="Normal 3 71" xfId="23467"/>
    <cellStyle name="Normal 3 72" xfId="23468"/>
    <cellStyle name="Normal 3 73" xfId="23469"/>
    <cellStyle name="Normal 3 74" xfId="23470"/>
    <cellStyle name="Normal 3 75" xfId="23471"/>
    <cellStyle name="Normal 3 76" xfId="23472"/>
    <cellStyle name="Normal 3 77" xfId="23473"/>
    <cellStyle name="Normal 3 78" xfId="23474"/>
    <cellStyle name="Normal 3 79" xfId="23475"/>
    <cellStyle name="Normal 3 8" xfId="23476"/>
    <cellStyle name="Normal 3 8 10" xfId="23477"/>
    <cellStyle name="Normal 3 8 11" xfId="23478"/>
    <cellStyle name="Normal 3 8 12" xfId="23479"/>
    <cellStyle name="Normal 3 8 13" xfId="23480"/>
    <cellStyle name="Normal 3 8 14" xfId="23481"/>
    <cellStyle name="Normal 3 8 15" xfId="23482"/>
    <cellStyle name="Normal 3 8 16" xfId="23483"/>
    <cellStyle name="Normal 3 8 17" xfId="23484"/>
    <cellStyle name="Normal 3 8 18" xfId="23485"/>
    <cellStyle name="Normal 3 8 19" xfId="23486"/>
    <cellStyle name="Normal 3 8 2" xfId="23487"/>
    <cellStyle name="Normal 3 8 20" xfId="23488"/>
    <cellStyle name="Normal 3 8 21" xfId="23489"/>
    <cellStyle name="Normal 3 8 22" xfId="23490"/>
    <cellStyle name="Normal 3 8 23" xfId="23491"/>
    <cellStyle name="Normal 3 8 24" xfId="23492"/>
    <cellStyle name="Normal 3 8 25" xfId="23493"/>
    <cellStyle name="Normal 3 8 26" xfId="23494"/>
    <cellStyle name="Normal 3 8 27" xfId="23495"/>
    <cellStyle name="Normal 3 8 28" xfId="23496"/>
    <cellStyle name="Normal 3 8 29" xfId="23497"/>
    <cellStyle name="Normal 3 8 3" xfId="23498"/>
    <cellStyle name="Normal 3 8 30" xfId="23499"/>
    <cellStyle name="Normal 3 8 31" xfId="23500"/>
    <cellStyle name="Normal 3 8 32" xfId="23501"/>
    <cellStyle name="Normal 3 8 33" xfId="23502"/>
    <cellStyle name="Normal 3 8 34" xfId="23503"/>
    <cellStyle name="Normal 3 8 35" xfId="23504"/>
    <cellStyle name="Normal 3 8 36" xfId="23505"/>
    <cellStyle name="Normal 3 8 37" xfId="23506"/>
    <cellStyle name="Normal 3 8 38" xfId="23507"/>
    <cellStyle name="Normal 3 8 39" xfId="23508"/>
    <cellStyle name="Normal 3 8 4" xfId="23509"/>
    <cellStyle name="Normal 3 8 40" xfId="23510"/>
    <cellStyle name="Normal 3 8 41" xfId="23511"/>
    <cellStyle name="Normal 3 8 42" xfId="23512"/>
    <cellStyle name="Normal 3 8 43" xfId="23513"/>
    <cellStyle name="Normal 3 8 44" xfId="23514"/>
    <cellStyle name="Normal 3 8 45" xfId="23515"/>
    <cellStyle name="Normal 3 8 46" xfId="23516"/>
    <cellStyle name="Normal 3 8 47" xfId="23517"/>
    <cellStyle name="Normal 3 8 48" xfId="23518"/>
    <cellStyle name="Normal 3 8 49" xfId="23519"/>
    <cellStyle name="Normal 3 8 5" xfId="23520"/>
    <cellStyle name="Normal 3 8 50" xfId="23521"/>
    <cellStyle name="Normal 3 8 51" xfId="23522"/>
    <cellStyle name="Normal 3 8 52" xfId="23523"/>
    <cellStyle name="Normal 3 8 53" xfId="23524"/>
    <cellStyle name="Normal 3 8 54" xfId="23525"/>
    <cellStyle name="Normal 3 8 55" xfId="23526"/>
    <cellStyle name="Normal 3 8 56" xfId="23527"/>
    <cellStyle name="Normal 3 8 57" xfId="23528"/>
    <cellStyle name="Normal 3 8 58" xfId="23529"/>
    <cellStyle name="Normal 3 8 59" xfId="23530"/>
    <cellStyle name="Normal 3 8 6" xfId="23531"/>
    <cellStyle name="Normal 3 8 60" xfId="23532"/>
    <cellStyle name="Normal 3 8 61" xfId="23533"/>
    <cellStyle name="Normal 3 8 62" xfId="23534"/>
    <cellStyle name="Normal 3 8 63" xfId="23535"/>
    <cellStyle name="Normal 3 8 64" xfId="23536"/>
    <cellStyle name="Normal 3 8 65" xfId="23537"/>
    <cellStyle name="Normal 3 8 66" xfId="23538"/>
    <cellStyle name="Normal 3 8 67" xfId="23539"/>
    <cellStyle name="Normal 3 8 68" xfId="23540"/>
    <cellStyle name="Normal 3 8 69" xfId="23541"/>
    <cellStyle name="Normal 3 8 7" xfId="23542"/>
    <cellStyle name="Normal 3 8 70" xfId="23543"/>
    <cellStyle name="Normal 3 8 71" xfId="23544"/>
    <cellStyle name="Normal 3 8 72" xfId="23545"/>
    <cellStyle name="Normal 3 8 73" xfId="23546"/>
    <cellStyle name="Normal 3 8 74" xfId="23547"/>
    <cellStyle name="Normal 3 8 75" xfId="23548"/>
    <cellStyle name="Normal 3 8 76" xfId="23549"/>
    <cellStyle name="Normal 3 8 77" xfId="23550"/>
    <cellStyle name="Normal 3 8 78" xfId="23551"/>
    <cellStyle name="Normal 3 8 79" xfId="23552"/>
    <cellStyle name="Normal 3 8 8" xfId="23553"/>
    <cellStyle name="Normal 3 8 80" xfId="23554"/>
    <cellStyle name="Normal 3 8 81" xfId="23555"/>
    <cellStyle name="Normal 3 8 82" xfId="23556"/>
    <cellStyle name="Normal 3 8 83" xfId="23557"/>
    <cellStyle name="Normal 3 8 9" xfId="23558"/>
    <cellStyle name="Normal 3 80" xfId="23559"/>
    <cellStyle name="Normal 3 81" xfId="23560"/>
    <cellStyle name="Normal 3 82" xfId="23561"/>
    <cellStyle name="Normal 3 83" xfId="23562"/>
    <cellStyle name="Normal 3 84" xfId="23563"/>
    <cellStyle name="Normal 3 85" xfId="23564"/>
    <cellStyle name="Normal 3 86" xfId="23565"/>
    <cellStyle name="Normal 3 87" xfId="23566"/>
    <cellStyle name="Normal 3 88" xfId="23567"/>
    <cellStyle name="Normal 3 89" xfId="23568"/>
    <cellStyle name="Normal 3 9" xfId="23569"/>
    <cellStyle name="Normal 3 90" xfId="23570"/>
    <cellStyle name="Normal 3_Cultura y Tiempo libre 2011 base 2012 PGM - EMV  2013" xfId="23571"/>
    <cellStyle name="Normal 30" xfId="23572"/>
    <cellStyle name="Normal 30 10" xfId="23573"/>
    <cellStyle name="Normal 30 10 10" xfId="23574"/>
    <cellStyle name="Normal 30 10 11" xfId="23575"/>
    <cellStyle name="Normal 30 10 12" xfId="23576"/>
    <cellStyle name="Normal 30 10 13" xfId="23577"/>
    <cellStyle name="Normal 30 10 2" xfId="23578"/>
    <cellStyle name="Normal 30 10 3" xfId="23579"/>
    <cellStyle name="Normal 30 10 4" xfId="23580"/>
    <cellStyle name="Normal 30 10 5" xfId="23581"/>
    <cellStyle name="Normal 30 10 6" xfId="23582"/>
    <cellStyle name="Normal 30 10 7" xfId="23583"/>
    <cellStyle name="Normal 30 10 8" xfId="23584"/>
    <cellStyle name="Normal 30 10 9" xfId="23585"/>
    <cellStyle name="Normal 30 11" xfId="23586"/>
    <cellStyle name="Normal 30 11 10" xfId="23587"/>
    <cellStyle name="Normal 30 11 11" xfId="23588"/>
    <cellStyle name="Normal 30 11 12" xfId="23589"/>
    <cellStyle name="Normal 30 11 13" xfId="23590"/>
    <cellStyle name="Normal 30 11 2" xfId="23591"/>
    <cellStyle name="Normal 30 11 3" xfId="23592"/>
    <cellStyle name="Normal 30 11 4" xfId="23593"/>
    <cellStyle name="Normal 30 11 5" xfId="23594"/>
    <cellStyle name="Normal 30 11 6" xfId="23595"/>
    <cellStyle name="Normal 30 11 7" xfId="23596"/>
    <cellStyle name="Normal 30 11 8" xfId="23597"/>
    <cellStyle name="Normal 30 11 9" xfId="23598"/>
    <cellStyle name="Normal 30 12" xfId="23599"/>
    <cellStyle name="Normal 30 12 10" xfId="23600"/>
    <cellStyle name="Normal 30 12 11" xfId="23601"/>
    <cellStyle name="Normal 30 12 12" xfId="23602"/>
    <cellStyle name="Normal 30 12 13" xfId="23603"/>
    <cellStyle name="Normal 30 12 2" xfId="23604"/>
    <cellStyle name="Normal 30 12 3" xfId="23605"/>
    <cellStyle name="Normal 30 12 4" xfId="23606"/>
    <cellStyle name="Normal 30 12 5" xfId="23607"/>
    <cellStyle name="Normal 30 12 6" xfId="23608"/>
    <cellStyle name="Normal 30 12 7" xfId="23609"/>
    <cellStyle name="Normal 30 12 8" xfId="23610"/>
    <cellStyle name="Normal 30 12 9" xfId="23611"/>
    <cellStyle name="Normal 30 13" xfId="23612"/>
    <cellStyle name="Normal 30 13 10" xfId="23613"/>
    <cellStyle name="Normal 30 13 11" xfId="23614"/>
    <cellStyle name="Normal 30 13 12" xfId="23615"/>
    <cellStyle name="Normal 30 13 13" xfId="23616"/>
    <cellStyle name="Normal 30 13 2" xfId="23617"/>
    <cellStyle name="Normal 30 13 3" xfId="23618"/>
    <cellStyle name="Normal 30 13 4" xfId="23619"/>
    <cellStyle name="Normal 30 13 5" xfId="23620"/>
    <cellStyle name="Normal 30 13 6" xfId="23621"/>
    <cellStyle name="Normal 30 13 7" xfId="23622"/>
    <cellStyle name="Normal 30 13 8" xfId="23623"/>
    <cellStyle name="Normal 30 13 9" xfId="23624"/>
    <cellStyle name="Normal 30 14" xfId="23625"/>
    <cellStyle name="Normal 30 14 10" xfId="23626"/>
    <cellStyle name="Normal 30 14 11" xfId="23627"/>
    <cellStyle name="Normal 30 14 12" xfId="23628"/>
    <cellStyle name="Normal 30 14 13" xfId="23629"/>
    <cellStyle name="Normal 30 14 2" xfId="23630"/>
    <cellStyle name="Normal 30 14 3" xfId="23631"/>
    <cellStyle name="Normal 30 14 4" xfId="23632"/>
    <cellStyle name="Normal 30 14 5" xfId="23633"/>
    <cellStyle name="Normal 30 14 6" xfId="23634"/>
    <cellStyle name="Normal 30 14 7" xfId="23635"/>
    <cellStyle name="Normal 30 14 8" xfId="23636"/>
    <cellStyle name="Normal 30 14 9" xfId="23637"/>
    <cellStyle name="Normal 30 15" xfId="23638"/>
    <cellStyle name="Normal 30 15 10" xfId="23639"/>
    <cellStyle name="Normal 30 15 11" xfId="23640"/>
    <cellStyle name="Normal 30 15 12" xfId="23641"/>
    <cellStyle name="Normal 30 15 13" xfId="23642"/>
    <cellStyle name="Normal 30 15 2" xfId="23643"/>
    <cellStyle name="Normal 30 15 3" xfId="23644"/>
    <cellStyle name="Normal 30 15 4" xfId="23645"/>
    <cellStyle name="Normal 30 15 5" xfId="23646"/>
    <cellStyle name="Normal 30 15 6" xfId="23647"/>
    <cellStyle name="Normal 30 15 7" xfId="23648"/>
    <cellStyle name="Normal 30 15 8" xfId="23649"/>
    <cellStyle name="Normal 30 15 9" xfId="23650"/>
    <cellStyle name="Normal 30 16" xfId="23651"/>
    <cellStyle name="Normal 30 16 10" xfId="23652"/>
    <cellStyle name="Normal 30 16 11" xfId="23653"/>
    <cellStyle name="Normal 30 16 12" xfId="23654"/>
    <cellStyle name="Normal 30 16 13" xfId="23655"/>
    <cellStyle name="Normal 30 16 2" xfId="23656"/>
    <cellStyle name="Normal 30 16 3" xfId="23657"/>
    <cellStyle name="Normal 30 16 4" xfId="23658"/>
    <cellStyle name="Normal 30 16 5" xfId="23659"/>
    <cellStyle name="Normal 30 16 6" xfId="23660"/>
    <cellStyle name="Normal 30 16 7" xfId="23661"/>
    <cellStyle name="Normal 30 16 8" xfId="23662"/>
    <cellStyle name="Normal 30 16 9" xfId="23663"/>
    <cellStyle name="Normal 30 17" xfId="23664"/>
    <cellStyle name="Normal 30 17 10" xfId="23665"/>
    <cellStyle name="Normal 30 17 11" xfId="23666"/>
    <cellStyle name="Normal 30 17 12" xfId="23667"/>
    <cellStyle name="Normal 30 17 13" xfId="23668"/>
    <cellStyle name="Normal 30 17 2" xfId="23669"/>
    <cellStyle name="Normal 30 17 3" xfId="23670"/>
    <cellStyle name="Normal 30 17 4" xfId="23671"/>
    <cellStyle name="Normal 30 17 5" xfId="23672"/>
    <cellStyle name="Normal 30 17 6" xfId="23673"/>
    <cellStyle name="Normal 30 17 7" xfId="23674"/>
    <cellStyle name="Normal 30 17 8" xfId="23675"/>
    <cellStyle name="Normal 30 17 9" xfId="23676"/>
    <cellStyle name="Normal 30 18" xfId="23677"/>
    <cellStyle name="Normal 30 18 10" xfId="23678"/>
    <cellStyle name="Normal 30 18 11" xfId="23679"/>
    <cellStyle name="Normal 30 18 12" xfId="23680"/>
    <cellStyle name="Normal 30 18 13" xfId="23681"/>
    <cellStyle name="Normal 30 18 2" xfId="23682"/>
    <cellStyle name="Normal 30 18 3" xfId="23683"/>
    <cellStyle name="Normal 30 18 4" xfId="23684"/>
    <cellStyle name="Normal 30 18 5" xfId="23685"/>
    <cellStyle name="Normal 30 18 6" xfId="23686"/>
    <cellStyle name="Normal 30 18 7" xfId="23687"/>
    <cellStyle name="Normal 30 18 8" xfId="23688"/>
    <cellStyle name="Normal 30 18 9" xfId="23689"/>
    <cellStyle name="Normal 30 19" xfId="23690"/>
    <cellStyle name="Normal 30 19 10" xfId="23691"/>
    <cellStyle name="Normal 30 19 11" xfId="23692"/>
    <cellStyle name="Normal 30 19 12" xfId="23693"/>
    <cellStyle name="Normal 30 19 13" xfId="23694"/>
    <cellStyle name="Normal 30 19 2" xfId="23695"/>
    <cellStyle name="Normal 30 19 3" xfId="23696"/>
    <cellStyle name="Normal 30 19 4" xfId="23697"/>
    <cellStyle name="Normal 30 19 5" xfId="23698"/>
    <cellStyle name="Normal 30 19 6" xfId="23699"/>
    <cellStyle name="Normal 30 19 7" xfId="23700"/>
    <cellStyle name="Normal 30 19 8" xfId="23701"/>
    <cellStyle name="Normal 30 19 9" xfId="23702"/>
    <cellStyle name="Normal 30 2" xfId="23703"/>
    <cellStyle name="Normal 30 2 10" xfId="23704"/>
    <cellStyle name="Normal 30 2 11" xfId="23705"/>
    <cellStyle name="Normal 30 2 12" xfId="23706"/>
    <cellStyle name="Normal 30 2 13" xfId="23707"/>
    <cellStyle name="Normal 30 2 2" xfId="23708"/>
    <cellStyle name="Normal 30 2 3" xfId="23709"/>
    <cellStyle name="Normal 30 2 4" xfId="23710"/>
    <cellStyle name="Normal 30 2 5" xfId="23711"/>
    <cellStyle name="Normal 30 2 6" xfId="23712"/>
    <cellStyle name="Normal 30 2 7" xfId="23713"/>
    <cellStyle name="Normal 30 2 8" xfId="23714"/>
    <cellStyle name="Normal 30 2 9" xfId="23715"/>
    <cellStyle name="Normal 30 20" xfId="23716"/>
    <cellStyle name="Normal 30 20 10" xfId="23717"/>
    <cellStyle name="Normal 30 20 11" xfId="23718"/>
    <cellStyle name="Normal 30 20 12" xfId="23719"/>
    <cellStyle name="Normal 30 20 13" xfId="23720"/>
    <cellStyle name="Normal 30 20 2" xfId="23721"/>
    <cellStyle name="Normal 30 20 3" xfId="23722"/>
    <cellStyle name="Normal 30 20 4" xfId="23723"/>
    <cellStyle name="Normal 30 20 5" xfId="23724"/>
    <cellStyle name="Normal 30 20 6" xfId="23725"/>
    <cellStyle name="Normal 30 20 7" xfId="23726"/>
    <cellStyle name="Normal 30 20 8" xfId="23727"/>
    <cellStyle name="Normal 30 20 9" xfId="23728"/>
    <cellStyle name="Normal 30 21" xfId="23729"/>
    <cellStyle name="Normal 30 21 10" xfId="23730"/>
    <cellStyle name="Normal 30 21 11" xfId="23731"/>
    <cellStyle name="Normal 30 21 12" xfId="23732"/>
    <cellStyle name="Normal 30 21 13" xfId="23733"/>
    <cellStyle name="Normal 30 21 2" xfId="23734"/>
    <cellStyle name="Normal 30 21 3" xfId="23735"/>
    <cellStyle name="Normal 30 21 4" xfId="23736"/>
    <cellStyle name="Normal 30 21 5" xfId="23737"/>
    <cellStyle name="Normal 30 21 6" xfId="23738"/>
    <cellStyle name="Normal 30 21 7" xfId="23739"/>
    <cellStyle name="Normal 30 21 8" xfId="23740"/>
    <cellStyle name="Normal 30 21 9" xfId="23741"/>
    <cellStyle name="Normal 30 22" xfId="23742"/>
    <cellStyle name="Normal 30 22 10" xfId="23743"/>
    <cellStyle name="Normal 30 22 11" xfId="23744"/>
    <cellStyle name="Normal 30 22 12" xfId="23745"/>
    <cellStyle name="Normal 30 22 13" xfId="23746"/>
    <cellStyle name="Normal 30 22 2" xfId="23747"/>
    <cellStyle name="Normal 30 22 3" xfId="23748"/>
    <cellStyle name="Normal 30 22 4" xfId="23749"/>
    <cellStyle name="Normal 30 22 5" xfId="23750"/>
    <cellStyle name="Normal 30 22 6" xfId="23751"/>
    <cellStyle name="Normal 30 22 7" xfId="23752"/>
    <cellStyle name="Normal 30 22 8" xfId="23753"/>
    <cellStyle name="Normal 30 22 9" xfId="23754"/>
    <cellStyle name="Normal 30 23" xfId="23755"/>
    <cellStyle name="Normal 30 23 10" xfId="23756"/>
    <cellStyle name="Normal 30 23 11" xfId="23757"/>
    <cellStyle name="Normal 30 23 12" xfId="23758"/>
    <cellStyle name="Normal 30 23 13" xfId="23759"/>
    <cellStyle name="Normal 30 23 2" xfId="23760"/>
    <cellStyle name="Normal 30 23 3" xfId="23761"/>
    <cellStyle name="Normal 30 23 4" xfId="23762"/>
    <cellStyle name="Normal 30 23 5" xfId="23763"/>
    <cellStyle name="Normal 30 23 6" xfId="23764"/>
    <cellStyle name="Normal 30 23 7" xfId="23765"/>
    <cellStyle name="Normal 30 23 8" xfId="23766"/>
    <cellStyle name="Normal 30 23 9" xfId="23767"/>
    <cellStyle name="Normal 30 24" xfId="23768"/>
    <cellStyle name="Normal 30 24 10" xfId="23769"/>
    <cellStyle name="Normal 30 24 11" xfId="23770"/>
    <cellStyle name="Normal 30 24 12" xfId="23771"/>
    <cellStyle name="Normal 30 24 13" xfId="23772"/>
    <cellStyle name="Normal 30 24 2" xfId="23773"/>
    <cellStyle name="Normal 30 24 3" xfId="23774"/>
    <cellStyle name="Normal 30 24 4" xfId="23775"/>
    <cellStyle name="Normal 30 24 5" xfId="23776"/>
    <cellStyle name="Normal 30 24 6" xfId="23777"/>
    <cellStyle name="Normal 30 24 7" xfId="23778"/>
    <cellStyle name="Normal 30 24 8" xfId="23779"/>
    <cellStyle name="Normal 30 24 9" xfId="23780"/>
    <cellStyle name="Normal 30 25" xfId="23781"/>
    <cellStyle name="Normal 30 25 10" xfId="23782"/>
    <cellStyle name="Normal 30 25 11" xfId="23783"/>
    <cellStyle name="Normal 30 25 12" xfId="23784"/>
    <cellStyle name="Normal 30 25 13" xfId="23785"/>
    <cellStyle name="Normal 30 25 2" xfId="23786"/>
    <cellStyle name="Normal 30 25 3" xfId="23787"/>
    <cellStyle name="Normal 30 25 4" xfId="23788"/>
    <cellStyle name="Normal 30 25 5" xfId="23789"/>
    <cellStyle name="Normal 30 25 6" xfId="23790"/>
    <cellStyle name="Normal 30 25 7" xfId="23791"/>
    <cellStyle name="Normal 30 25 8" xfId="23792"/>
    <cellStyle name="Normal 30 25 9" xfId="23793"/>
    <cellStyle name="Normal 30 26" xfId="23794"/>
    <cellStyle name="Normal 30 26 10" xfId="23795"/>
    <cellStyle name="Normal 30 26 11" xfId="23796"/>
    <cellStyle name="Normal 30 26 12" xfId="23797"/>
    <cellStyle name="Normal 30 26 13" xfId="23798"/>
    <cellStyle name="Normal 30 26 2" xfId="23799"/>
    <cellStyle name="Normal 30 26 3" xfId="23800"/>
    <cellStyle name="Normal 30 26 4" xfId="23801"/>
    <cellStyle name="Normal 30 26 5" xfId="23802"/>
    <cellStyle name="Normal 30 26 6" xfId="23803"/>
    <cellStyle name="Normal 30 26 7" xfId="23804"/>
    <cellStyle name="Normal 30 26 8" xfId="23805"/>
    <cellStyle name="Normal 30 26 9" xfId="23806"/>
    <cellStyle name="Normal 30 27" xfId="23807"/>
    <cellStyle name="Normal 30 27 10" xfId="23808"/>
    <cellStyle name="Normal 30 27 11" xfId="23809"/>
    <cellStyle name="Normal 30 27 12" xfId="23810"/>
    <cellStyle name="Normal 30 27 13" xfId="23811"/>
    <cellStyle name="Normal 30 27 2" xfId="23812"/>
    <cellStyle name="Normal 30 27 3" xfId="23813"/>
    <cellStyle name="Normal 30 27 4" xfId="23814"/>
    <cellStyle name="Normal 30 27 5" xfId="23815"/>
    <cellStyle name="Normal 30 27 6" xfId="23816"/>
    <cellStyle name="Normal 30 27 7" xfId="23817"/>
    <cellStyle name="Normal 30 27 8" xfId="23818"/>
    <cellStyle name="Normal 30 27 9" xfId="23819"/>
    <cellStyle name="Normal 30 28" xfId="23820"/>
    <cellStyle name="Normal 30 28 10" xfId="23821"/>
    <cellStyle name="Normal 30 28 11" xfId="23822"/>
    <cellStyle name="Normal 30 28 12" xfId="23823"/>
    <cellStyle name="Normal 30 28 13" xfId="23824"/>
    <cellStyle name="Normal 30 28 2" xfId="23825"/>
    <cellStyle name="Normal 30 28 3" xfId="23826"/>
    <cellStyle name="Normal 30 28 4" xfId="23827"/>
    <cellStyle name="Normal 30 28 5" xfId="23828"/>
    <cellStyle name="Normal 30 28 6" xfId="23829"/>
    <cellStyle name="Normal 30 28 7" xfId="23830"/>
    <cellStyle name="Normal 30 28 8" xfId="23831"/>
    <cellStyle name="Normal 30 28 9" xfId="23832"/>
    <cellStyle name="Normal 30 29" xfId="23833"/>
    <cellStyle name="Normal 30 29 10" xfId="23834"/>
    <cellStyle name="Normal 30 29 11" xfId="23835"/>
    <cellStyle name="Normal 30 29 12" xfId="23836"/>
    <cellStyle name="Normal 30 29 13" xfId="23837"/>
    <cellStyle name="Normal 30 29 2" xfId="23838"/>
    <cellStyle name="Normal 30 29 3" xfId="23839"/>
    <cellStyle name="Normal 30 29 4" xfId="23840"/>
    <cellStyle name="Normal 30 29 5" xfId="23841"/>
    <cellStyle name="Normal 30 29 6" xfId="23842"/>
    <cellStyle name="Normal 30 29 7" xfId="23843"/>
    <cellStyle name="Normal 30 29 8" xfId="23844"/>
    <cellStyle name="Normal 30 29 9" xfId="23845"/>
    <cellStyle name="Normal 30 3" xfId="23846"/>
    <cellStyle name="Normal 30 3 10" xfId="23847"/>
    <cellStyle name="Normal 30 3 11" xfId="23848"/>
    <cellStyle name="Normal 30 3 12" xfId="23849"/>
    <cellStyle name="Normal 30 3 13" xfId="23850"/>
    <cellStyle name="Normal 30 3 2" xfId="23851"/>
    <cellStyle name="Normal 30 3 3" xfId="23852"/>
    <cellStyle name="Normal 30 3 4" xfId="23853"/>
    <cellStyle name="Normal 30 3 5" xfId="23854"/>
    <cellStyle name="Normal 30 3 6" xfId="23855"/>
    <cellStyle name="Normal 30 3 7" xfId="23856"/>
    <cellStyle name="Normal 30 3 8" xfId="23857"/>
    <cellStyle name="Normal 30 3 9" xfId="23858"/>
    <cellStyle name="Normal 30 30" xfId="23859"/>
    <cellStyle name="Normal 30 30 10" xfId="23860"/>
    <cellStyle name="Normal 30 30 11" xfId="23861"/>
    <cellStyle name="Normal 30 30 12" xfId="23862"/>
    <cellStyle name="Normal 30 30 13" xfId="23863"/>
    <cellStyle name="Normal 30 30 2" xfId="23864"/>
    <cellStyle name="Normal 30 30 3" xfId="23865"/>
    <cellStyle name="Normal 30 30 4" xfId="23866"/>
    <cellStyle name="Normal 30 30 5" xfId="23867"/>
    <cellStyle name="Normal 30 30 6" xfId="23868"/>
    <cellStyle name="Normal 30 30 7" xfId="23869"/>
    <cellStyle name="Normal 30 30 8" xfId="23870"/>
    <cellStyle name="Normal 30 30 9" xfId="23871"/>
    <cellStyle name="Normal 30 31" xfId="23872"/>
    <cellStyle name="Normal 30 31 10" xfId="23873"/>
    <cellStyle name="Normal 30 31 11" xfId="23874"/>
    <cellStyle name="Normal 30 31 12" xfId="23875"/>
    <cellStyle name="Normal 30 31 13" xfId="23876"/>
    <cellStyle name="Normal 30 31 2" xfId="23877"/>
    <cellStyle name="Normal 30 31 3" xfId="23878"/>
    <cellStyle name="Normal 30 31 4" xfId="23879"/>
    <cellStyle name="Normal 30 31 5" xfId="23880"/>
    <cellStyle name="Normal 30 31 6" xfId="23881"/>
    <cellStyle name="Normal 30 31 7" xfId="23882"/>
    <cellStyle name="Normal 30 31 8" xfId="23883"/>
    <cellStyle name="Normal 30 31 9" xfId="23884"/>
    <cellStyle name="Normal 30 32" xfId="23885"/>
    <cellStyle name="Normal 30 32 10" xfId="23886"/>
    <cellStyle name="Normal 30 32 11" xfId="23887"/>
    <cellStyle name="Normal 30 32 12" xfId="23888"/>
    <cellStyle name="Normal 30 32 13" xfId="23889"/>
    <cellStyle name="Normal 30 32 2" xfId="23890"/>
    <cellStyle name="Normal 30 32 3" xfId="23891"/>
    <cellStyle name="Normal 30 32 4" xfId="23892"/>
    <cellStyle name="Normal 30 32 5" xfId="23893"/>
    <cellStyle name="Normal 30 32 6" xfId="23894"/>
    <cellStyle name="Normal 30 32 7" xfId="23895"/>
    <cellStyle name="Normal 30 32 8" xfId="23896"/>
    <cellStyle name="Normal 30 32 9" xfId="23897"/>
    <cellStyle name="Normal 30 33" xfId="23898"/>
    <cellStyle name="Normal 30 33 10" xfId="23899"/>
    <cellStyle name="Normal 30 33 11" xfId="23900"/>
    <cellStyle name="Normal 30 33 12" xfId="23901"/>
    <cellStyle name="Normal 30 33 13" xfId="23902"/>
    <cellStyle name="Normal 30 33 2" xfId="23903"/>
    <cellStyle name="Normal 30 33 3" xfId="23904"/>
    <cellStyle name="Normal 30 33 4" xfId="23905"/>
    <cellStyle name="Normal 30 33 5" xfId="23906"/>
    <cellStyle name="Normal 30 33 6" xfId="23907"/>
    <cellStyle name="Normal 30 33 7" xfId="23908"/>
    <cellStyle name="Normal 30 33 8" xfId="23909"/>
    <cellStyle name="Normal 30 33 9" xfId="23910"/>
    <cellStyle name="Normal 30 34" xfId="23911"/>
    <cellStyle name="Normal 30 34 10" xfId="23912"/>
    <cellStyle name="Normal 30 34 11" xfId="23913"/>
    <cellStyle name="Normal 30 34 12" xfId="23914"/>
    <cellStyle name="Normal 30 34 13" xfId="23915"/>
    <cellStyle name="Normal 30 34 2" xfId="23916"/>
    <cellStyle name="Normal 30 34 3" xfId="23917"/>
    <cellStyle name="Normal 30 34 4" xfId="23918"/>
    <cellStyle name="Normal 30 34 5" xfId="23919"/>
    <cellStyle name="Normal 30 34 6" xfId="23920"/>
    <cellStyle name="Normal 30 34 7" xfId="23921"/>
    <cellStyle name="Normal 30 34 8" xfId="23922"/>
    <cellStyle name="Normal 30 34 9" xfId="23923"/>
    <cellStyle name="Normal 30 35" xfId="23924"/>
    <cellStyle name="Normal 30 35 10" xfId="23925"/>
    <cellStyle name="Normal 30 35 11" xfId="23926"/>
    <cellStyle name="Normal 30 35 12" xfId="23927"/>
    <cellStyle name="Normal 30 35 13" xfId="23928"/>
    <cellStyle name="Normal 30 35 2" xfId="23929"/>
    <cellStyle name="Normal 30 35 3" xfId="23930"/>
    <cellStyle name="Normal 30 35 4" xfId="23931"/>
    <cellStyle name="Normal 30 35 5" xfId="23932"/>
    <cellStyle name="Normal 30 35 6" xfId="23933"/>
    <cellStyle name="Normal 30 35 7" xfId="23934"/>
    <cellStyle name="Normal 30 35 8" xfId="23935"/>
    <cellStyle name="Normal 30 35 9" xfId="23936"/>
    <cellStyle name="Normal 30 36" xfId="23937"/>
    <cellStyle name="Normal 30 36 10" xfId="23938"/>
    <cellStyle name="Normal 30 36 11" xfId="23939"/>
    <cellStyle name="Normal 30 36 12" xfId="23940"/>
    <cellStyle name="Normal 30 36 13" xfId="23941"/>
    <cellStyle name="Normal 30 36 2" xfId="23942"/>
    <cellStyle name="Normal 30 36 3" xfId="23943"/>
    <cellStyle name="Normal 30 36 4" xfId="23944"/>
    <cellStyle name="Normal 30 36 5" xfId="23945"/>
    <cellStyle name="Normal 30 36 6" xfId="23946"/>
    <cellStyle name="Normal 30 36 7" xfId="23947"/>
    <cellStyle name="Normal 30 36 8" xfId="23948"/>
    <cellStyle name="Normal 30 36 9" xfId="23949"/>
    <cellStyle name="Normal 30 37" xfId="23950"/>
    <cellStyle name="Normal 30 37 10" xfId="23951"/>
    <cellStyle name="Normal 30 37 11" xfId="23952"/>
    <cellStyle name="Normal 30 37 12" xfId="23953"/>
    <cellStyle name="Normal 30 37 13" xfId="23954"/>
    <cellStyle name="Normal 30 37 2" xfId="23955"/>
    <cellStyle name="Normal 30 37 3" xfId="23956"/>
    <cellStyle name="Normal 30 37 4" xfId="23957"/>
    <cellStyle name="Normal 30 37 5" xfId="23958"/>
    <cellStyle name="Normal 30 37 6" xfId="23959"/>
    <cellStyle name="Normal 30 37 7" xfId="23960"/>
    <cellStyle name="Normal 30 37 8" xfId="23961"/>
    <cellStyle name="Normal 30 37 9" xfId="23962"/>
    <cellStyle name="Normal 30 38" xfId="23963"/>
    <cellStyle name="Normal 30 38 10" xfId="23964"/>
    <cellStyle name="Normal 30 38 11" xfId="23965"/>
    <cellStyle name="Normal 30 38 12" xfId="23966"/>
    <cellStyle name="Normal 30 38 13" xfId="23967"/>
    <cellStyle name="Normal 30 38 2" xfId="23968"/>
    <cellStyle name="Normal 30 38 3" xfId="23969"/>
    <cellStyle name="Normal 30 38 4" xfId="23970"/>
    <cellStyle name="Normal 30 38 5" xfId="23971"/>
    <cellStyle name="Normal 30 38 6" xfId="23972"/>
    <cellStyle name="Normal 30 38 7" xfId="23973"/>
    <cellStyle name="Normal 30 38 8" xfId="23974"/>
    <cellStyle name="Normal 30 38 9" xfId="23975"/>
    <cellStyle name="Normal 30 39" xfId="23976"/>
    <cellStyle name="Normal 30 39 10" xfId="23977"/>
    <cellStyle name="Normal 30 39 11" xfId="23978"/>
    <cellStyle name="Normal 30 39 12" xfId="23979"/>
    <cellStyle name="Normal 30 39 13" xfId="23980"/>
    <cellStyle name="Normal 30 39 2" xfId="23981"/>
    <cellStyle name="Normal 30 39 3" xfId="23982"/>
    <cellStyle name="Normal 30 39 4" xfId="23983"/>
    <cellStyle name="Normal 30 39 5" xfId="23984"/>
    <cellStyle name="Normal 30 39 6" xfId="23985"/>
    <cellStyle name="Normal 30 39 7" xfId="23986"/>
    <cellStyle name="Normal 30 39 8" xfId="23987"/>
    <cellStyle name="Normal 30 39 9" xfId="23988"/>
    <cellStyle name="Normal 30 4" xfId="23989"/>
    <cellStyle name="Normal 30 4 10" xfId="23990"/>
    <cellStyle name="Normal 30 4 11" xfId="23991"/>
    <cellStyle name="Normal 30 4 12" xfId="23992"/>
    <cellStyle name="Normal 30 4 13" xfId="23993"/>
    <cellStyle name="Normal 30 4 2" xfId="23994"/>
    <cellStyle name="Normal 30 4 3" xfId="23995"/>
    <cellStyle name="Normal 30 4 4" xfId="23996"/>
    <cellStyle name="Normal 30 4 5" xfId="23997"/>
    <cellStyle name="Normal 30 4 6" xfId="23998"/>
    <cellStyle name="Normal 30 4 7" xfId="23999"/>
    <cellStyle name="Normal 30 4 8" xfId="24000"/>
    <cellStyle name="Normal 30 4 9" xfId="24001"/>
    <cellStyle name="Normal 30 40" xfId="24002"/>
    <cellStyle name="Normal 30 40 10" xfId="24003"/>
    <cellStyle name="Normal 30 40 11" xfId="24004"/>
    <cellStyle name="Normal 30 40 12" xfId="24005"/>
    <cellStyle name="Normal 30 40 13" xfId="24006"/>
    <cellStyle name="Normal 30 40 2" xfId="24007"/>
    <cellStyle name="Normal 30 40 3" xfId="24008"/>
    <cellStyle name="Normal 30 40 4" xfId="24009"/>
    <cellStyle name="Normal 30 40 5" xfId="24010"/>
    <cellStyle name="Normal 30 40 6" xfId="24011"/>
    <cellStyle name="Normal 30 40 7" xfId="24012"/>
    <cellStyle name="Normal 30 40 8" xfId="24013"/>
    <cellStyle name="Normal 30 40 9" xfId="24014"/>
    <cellStyle name="Normal 30 41" xfId="24015"/>
    <cellStyle name="Normal 30 41 10" xfId="24016"/>
    <cellStyle name="Normal 30 41 11" xfId="24017"/>
    <cellStyle name="Normal 30 41 12" xfId="24018"/>
    <cellStyle name="Normal 30 41 13" xfId="24019"/>
    <cellStyle name="Normal 30 41 2" xfId="24020"/>
    <cellStyle name="Normal 30 41 3" xfId="24021"/>
    <cellStyle name="Normal 30 41 4" xfId="24022"/>
    <cellStyle name="Normal 30 41 5" xfId="24023"/>
    <cellStyle name="Normal 30 41 6" xfId="24024"/>
    <cellStyle name="Normal 30 41 7" xfId="24025"/>
    <cellStyle name="Normal 30 41 8" xfId="24026"/>
    <cellStyle name="Normal 30 41 9" xfId="24027"/>
    <cellStyle name="Normal 30 42" xfId="24028"/>
    <cellStyle name="Normal 30 42 10" xfId="24029"/>
    <cellStyle name="Normal 30 42 11" xfId="24030"/>
    <cellStyle name="Normal 30 42 12" xfId="24031"/>
    <cellStyle name="Normal 30 42 13" xfId="24032"/>
    <cellStyle name="Normal 30 42 2" xfId="24033"/>
    <cellStyle name="Normal 30 42 3" xfId="24034"/>
    <cellStyle name="Normal 30 42 4" xfId="24035"/>
    <cellStyle name="Normal 30 42 5" xfId="24036"/>
    <cellStyle name="Normal 30 42 6" xfId="24037"/>
    <cellStyle name="Normal 30 42 7" xfId="24038"/>
    <cellStyle name="Normal 30 42 8" xfId="24039"/>
    <cellStyle name="Normal 30 42 9" xfId="24040"/>
    <cellStyle name="Normal 30 43" xfId="24041"/>
    <cellStyle name="Normal 30 43 10" xfId="24042"/>
    <cellStyle name="Normal 30 43 11" xfId="24043"/>
    <cellStyle name="Normal 30 43 12" xfId="24044"/>
    <cellStyle name="Normal 30 43 13" xfId="24045"/>
    <cellStyle name="Normal 30 43 2" xfId="24046"/>
    <cellStyle name="Normal 30 43 3" xfId="24047"/>
    <cellStyle name="Normal 30 43 4" xfId="24048"/>
    <cellStyle name="Normal 30 43 5" xfId="24049"/>
    <cellStyle name="Normal 30 43 6" xfId="24050"/>
    <cellStyle name="Normal 30 43 7" xfId="24051"/>
    <cellStyle name="Normal 30 43 8" xfId="24052"/>
    <cellStyle name="Normal 30 43 9" xfId="24053"/>
    <cellStyle name="Normal 30 44" xfId="24054"/>
    <cellStyle name="Normal 30 44 10" xfId="24055"/>
    <cellStyle name="Normal 30 44 11" xfId="24056"/>
    <cellStyle name="Normal 30 44 12" xfId="24057"/>
    <cellStyle name="Normal 30 44 13" xfId="24058"/>
    <cellStyle name="Normal 30 44 2" xfId="24059"/>
    <cellStyle name="Normal 30 44 3" xfId="24060"/>
    <cellStyle name="Normal 30 44 4" xfId="24061"/>
    <cellStyle name="Normal 30 44 5" xfId="24062"/>
    <cellStyle name="Normal 30 44 6" xfId="24063"/>
    <cellStyle name="Normal 30 44 7" xfId="24064"/>
    <cellStyle name="Normal 30 44 8" xfId="24065"/>
    <cellStyle name="Normal 30 44 9" xfId="24066"/>
    <cellStyle name="Normal 30 45" xfId="24067"/>
    <cellStyle name="Normal 30 45 10" xfId="24068"/>
    <cellStyle name="Normal 30 45 11" xfId="24069"/>
    <cellStyle name="Normal 30 45 12" xfId="24070"/>
    <cellStyle name="Normal 30 45 13" xfId="24071"/>
    <cellStyle name="Normal 30 45 2" xfId="24072"/>
    <cellStyle name="Normal 30 45 3" xfId="24073"/>
    <cellStyle name="Normal 30 45 4" xfId="24074"/>
    <cellStyle name="Normal 30 45 5" xfId="24075"/>
    <cellStyle name="Normal 30 45 6" xfId="24076"/>
    <cellStyle name="Normal 30 45 7" xfId="24077"/>
    <cellStyle name="Normal 30 45 8" xfId="24078"/>
    <cellStyle name="Normal 30 45 9" xfId="24079"/>
    <cellStyle name="Normal 30 46" xfId="24080"/>
    <cellStyle name="Normal 30 46 10" xfId="24081"/>
    <cellStyle name="Normal 30 46 11" xfId="24082"/>
    <cellStyle name="Normal 30 46 12" xfId="24083"/>
    <cellStyle name="Normal 30 46 13" xfId="24084"/>
    <cellStyle name="Normal 30 46 2" xfId="24085"/>
    <cellStyle name="Normal 30 46 3" xfId="24086"/>
    <cellStyle name="Normal 30 46 4" xfId="24087"/>
    <cellStyle name="Normal 30 46 5" xfId="24088"/>
    <cellStyle name="Normal 30 46 6" xfId="24089"/>
    <cellStyle name="Normal 30 46 7" xfId="24090"/>
    <cellStyle name="Normal 30 46 8" xfId="24091"/>
    <cellStyle name="Normal 30 46 9" xfId="24092"/>
    <cellStyle name="Normal 30 47" xfId="24093"/>
    <cellStyle name="Normal 30 47 10" xfId="24094"/>
    <cellStyle name="Normal 30 47 11" xfId="24095"/>
    <cellStyle name="Normal 30 47 12" xfId="24096"/>
    <cellStyle name="Normal 30 47 13" xfId="24097"/>
    <cellStyle name="Normal 30 47 2" xfId="24098"/>
    <cellStyle name="Normal 30 47 3" xfId="24099"/>
    <cellStyle name="Normal 30 47 4" xfId="24100"/>
    <cellStyle name="Normal 30 47 5" xfId="24101"/>
    <cellStyle name="Normal 30 47 6" xfId="24102"/>
    <cellStyle name="Normal 30 47 7" xfId="24103"/>
    <cellStyle name="Normal 30 47 8" xfId="24104"/>
    <cellStyle name="Normal 30 47 9" xfId="24105"/>
    <cellStyle name="Normal 30 48" xfId="24106"/>
    <cellStyle name="Normal 30 48 10" xfId="24107"/>
    <cellStyle name="Normal 30 48 11" xfId="24108"/>
    <cellStyle name="Normal 30 48 12" xfId="24109"/>
    <cellStyle name="Normal 30 48 13" xfId="24110"/>
    <cellStyle name="Normal 30 48 2" xfId="24111"/>
    <cellStyle name="Normal 30 48 3" xfId="24112"/>
    <cellStyle name="Normal 30 48 4" xfId="24113"/>
    <cellStyle name="Normal 30 48 5" xfId="24114"/>
    <cellStyle name="Normal 30 48 6" xfId="24115"/>
    <cellStyle name="Normal 30 48 7" xfId="24116"/>
    <cellStyle name="Normal 30 48 8" xfId="24117"/>
    <cellStyle name="Normal 30 48 9" xfId="24118"/>
    <cellStyle name="Normal 30 49" xfId="24119"/>
    <cellStyle name="Normal 30 49 10" xfId="24120"/>
    <cellStyle name="Normal 30 49 11" xfId="24121"/>
    <cellStyle name="Normal 30 49 12" xfId="24122"/>
    <cellStyle name="Normal 30 49 13" xfId="24123"/>
    <cellStyle name="Normal 30 49 2" xfId="24124"/>
    <cellStyle name="Normal 30 49 3" xfId="24125"/>
    <cellStyle name="Normal 30 49 4" xfId="24126"/>
    <cellStyle name="Normal 30 49 5" xfId="24127"/>
    <cellStyle name="Normal 30 49 6" xfId="24128"/>
    <cellStyle name="Normal 30 49 7" xfId="24129"/>
    <cellStyle name="Normal 30 49 8" xfId="24130"/>
    <cellStyle name="Normal 30 49 9" xfId="24131"/>
    <cellStyle name="Normal 30 5" xfId="24132"/>
    <cellStyle name="Normal 30 5 10" xfId="24133"/>
    <cellStyle name="Normal 30 5 11" xfId="24134"/>
    <cellStyle name="Normal 30 5 12" xfId="24135"/>
    <cellStyle name="Normal 30 5 13" xfId="24136"/>
    <cellStyle name="Normal 30 5 2" xfId="24137"/>
    <cellStyle name="Normal 30 5 3" xfId="24138"/>
    <cellStyle name="Normal 30 5 4" xfId="24139"/>
    <cellStyle name="Normal 30 5 5" xfId="24140"/>
    <cellStyle name="Normal 30 5 6" xfId="24141"/>
    <cellStyle name="Normal 30 5 7" xfId="24142"/>
    <cellStyle name="Normal 30 5 8" xfId="24143"/>
    <cellStyle name="Normal 30 5 9" xfId="24144"/>
    <cellStyle name="Normal 30 50" xfId="24145"/>
    <cellStyle name="Normal 30 50 10" xfId="24146"/>
    <cellStyle name="Normal 30 50 11" xfId="24147"/>
    <cellStyle name="Normal 30 50 12" xfId="24148"/>
    <cellStyle name="Normal 30 50 13" xfId="24149"/>
    <cellStyle name="Normal 30 50 2" xfId="24150"/>
    <cellStyle name="Normal 30 50 3" xfId="24151"/>
    <cellStyle name="Normal 30 50 4" xfId="24152"/>
    <cellStyle name="Normal 30 50 5" xfId="24153"/>
    <cellStyle name="Normal 30 50 6" xfId="24154"/>
    <cellStyle name="Normal 30 50 7" xfId="24155"/>
    <cellStyle name="Normal 30 50 8" xfId="24156"/>
    <cellStyle name="Normal 30 50 9" xfId="24157"/>
    <cellStyle name="Normal 30 51" xfId="24158"/>
    <cellStyle name="Normal 30 51 10" xfId="24159"/>
    <cellStyle name="Normal 30 51 11" xfId="24160"/>
    <cellStyle name="Normal 30 51 12" xfId="24161"/>
    <cellStyle name="Normal 30 51 13" xfId="24162"/>
    <cellStyle name="Normal 30 51 2" xfId="24163"/>
    <cellStyle name="Normal 30 51 3" xfId="24164"/>
    <cellStyle name="Normal 30 51 4" xfId="24165"/>
    <cellStyle name="Normal 30 51 5" xfId="24166"/>
    <cellStyle name="Normal 30 51 6" xfId="24167"/>
    <cellStyle name="Normal 30 51 7" xfId="24168"/>
    <cellStyle name="Normal 30 51 8" xfId="24169"/>
    <cellStyle name="Normal 30 51 9" xfId="24170"/>
    <cellStyle name="Normal 30 52" xfId="24171"/>
    <cellStyle name="Normal 30 52 10" xfId="24172"/>
    <cellStyle name="Normal 30 52 11" xfId="24173"/>
    <cellStyle name="Normal 30 52 12" xfId="24174"/>
    <cellStyle name="Normal 30 52 13" xfId="24175"/>
    <cellStyle name="Normal 30 52 2" xfId="24176"/>
    <cellStyle name="Normal 30 52 3" xfId="24177"/>
    <cellStyle name="Normal 30 52 4" xfId="24178"/>
    <cellStyle name="Normal 30 52 5" xfId="24179"/>
    <cellStyle name="Normal 30 52 6" xfId="24180"/>
    <cellStyle name="Normal 30 52 7" xfId="24181"/>
    <cellStyle name="Normal 30 52 8" xfId="24182"/>
    <cellStyle name="Normal 30 52 9" xfId="24183"/>
    <cellStyle name="Normal 30 53" xfId="24184"/>
    <cellStyle name="Normal 30 53 10" xfId="24185"/>
    <cellStyle name="Normal 30 53 11" xfId="24186"/>
    <cellStyle name="Normal 30 53 12" xfId="24187"/>
    <cellStyle name="Normal 30 53 13" xfId="24188"/>
    <cellStyle name="Normal 30 53 2" xfId="24189"/>
    <cellStyle name="Normal 30 53 3" xfId="24190"/>
    <cellStyle name="Normal 30 53 4" xfId="24191"/>
    <cellStyle name="Normal 30 53 5" xfId="24192"/>
    <cellStyle name="Normal 30 53 6" xfId="24193"/>
    <cellStyle name="Normal 30 53 7" xfId="24194"/>
    <cellStyle name="Normal 30 53 8" xfId="24195"/>
    <cellStyle name="Normal 30 53 9" xfId="24196"/>
    <cellStyle name="Normal 30 54" xfId="24197"/>
    <cellStyle name="Normal 30 54 10" xfId="24198"/>
    <cellStyle name="Normal 30 54 11" xfId="24199"/>
    <cellStyle name="Normal 30 54 12" xfId="24200"/>
    <cellStyle name="Normal 30 54 13" xfId="24201"/>
    <cellStyle name="Normal 30 54 2" xfId="24202"/>
    <cellStyle name="Normal 30 54 3" xfId="24203"/>
    <cellStyle name="Normal 30 54 4" xfId="24204"/>
    <cellStyle name="Normal 30 54 5" xfId="24205"/>
    <cellStyle name="Normal 30 54 6" xfId="24206"/>
    <cellStyle name="Normal 30 54 7" xfId="24207"/>
    <cellStyle name="Normal 30 54 8" xfId="24208"/>
    <cellStyle name="Normal 30 54 9" xfId="24209"/>
    <cellStyle name="Normal 30 55" xfId="24210"/>
    <cellStyle name="Normal 30 55 10" xfId="24211"/>
    <cellStyle name="Normal 30 55 11" xfId="24212"/>
    <cellStyle name="Normal 30 55 12" xfId="24213"/>
    <cellStyle name="Normal 30 55 13" xfId="24214"/>
    <cellStyle name="Normal 30 55 2" xfId="24215"/>
    <cellStyle name="Normal 30 55 3" xfId="24216"/>
    <cellStyle name="Normal 30 55 4" xfId="24217"/>
    <cellStyle name="Normal 30 55 5" xfId="24218"/>
    <cellStyle name="Normal 30 55 6" xfId="24219"/>
    <cellStyle name="Normal 30 55 7" xfId="24220"/>
    <cellStyle name="Normal 30 55 8" xfId="24221"/>
    <cellStyle name="Normal 30 55 9" xfId="24222"/>
    <cellStyle name="Normal 30 56" xfId="24223"/>
    <cellStyle name="Normal 30 56 10" xfId="24224"/>
    <cellStyle name="Normal 30 56 11" xfId="24225"/>
    <cellStyle name="Normal 30 56 12" xfId="24226"/>
    <cellStyle name="Normal 30 56 13" xfId="24227"/>
    <cellStyle name="Normal 30 56 2" xfId="24228"/>
    <cellStyle name="Normal 30 56 3" xfId="24229"/>
    <cellStyle name="Normal 30 56 4" xfId="24230"/>
    <cellStyle name="Normal 30 56 5" xfId="24231"/>
    <cellStyle name="Normal 30 56 6" xfId="24232"/>
    <cellStyle name="Normal 30 56 7" xfId="24233"/>
    <cellStyle name="Normal 30 56 8" xfId="24234"/>
    <cellStyle name="Normal 30 56 9" xfId="24235"/>
    <cellStyle name="Normal 30 57" xfId="24236"/>
    <cellStyle name="Normal 30 57 10" xfId="24237"/>
    <cellStyle name="Normal 30 57 11" xfId="24238"/>
    <cellStyle name="Normal 30 57 12" xfId="24239"/>
    <cellStyle name="Normal 30 57 13" xfId="24240"/>
    <cellStyle name="Normal 30 57 2" xfId="24241"/>
    <cellStyle name="Normal 30 57 3" xfId="24242"/>
    <cellStyle name="Normal 30 57 4" xfId="24243"/>
    <cellStyle name="Normal 30 57 5" xfId="24244"/>
    <cellStyle name="Normal 30 57 6" xfId="24245"/>
    <cellStyle name="Normal 30 57 7" xfId="24246"/>
    <cellStyle name="Normal 30 57 8" xfId="24247"/>
    <cellStyle name="Normal 30 57 9" xfId="24248"/>
    <cellStyle name="Normal 30 58" xfId="24249"/>
    <cellStyle name="Normal 30 58 10" xfId="24250"/>
    <cellStyle name="Normal 30 58 11" xfId="24251"/>
    <cellStyle name="Normal 30 58 12" xfId="24252"/>
    <cellStyle name="Normal 30 58 13" xfId="24253"/>
    <cellStyle name="Normal 30 58 2" xfId="24254"/>
    <cellStyle name="Normal 30 58 3" xfId="24255"/>
    <cellStyle name="Normal 30 58 4" xfId="24256"/>
    <cellStyle name="Normal 30 58 5" xfId="24257"/>
    <cellStyle name="Normal 30 58 6" xfId="24258"/>
    <cellStyle name="Normal 30 58 7" xfId="24259"/>
    <cellStyle name="Normal 30 58 8" xfId="24260"/>
    <cellStyle name="Normal 30 58 9" xfId="24261"/>
    <cellStyle name="Normal 30 59" xfId="24262"/>
    <cellStyle name="Normal 30 59 10" xfId="24263"/>
    <cellStyle name="Normal 30 59 11" xfId="24264"/>
    <cellStyle name="Normal 30 59 12" xfId="24265"/>
    <cellStyle name="Normal 30 59 13" xfId="24266"/>
    <cellStyle name="Normal 30 59 2" xfId="24267"/>
    <cellStyle name="Normal 30 59 3" xfId="24268"/>
    <cellStyle name="Normal 30 59 4" xfId="24269"/>
    <cellStyle name="Normal 30 59 5" xfId="24270"/>
    <cellStyle name="Normal 30 59 6" xfId="24271"/>
    <cellStyle name="Normal 30 59 7" xfId="24272"/>
    <cellStyle name="Normal 30 59 8" xfId="24273"/>
    <cellStyle name="Normal 30 59 9" xfId="24274"/>
    <cellStyle name="Normal 30 6" xfId="24275"/>
    <cellStyle name="Normal 30 6 10" xfId="24276"/>
    <cellStyle name="Normal 30 6 11" xfId="24277"/>
    <cellStyle name="Normal 30 6 12" xfId="24278"/>
    <cellStyle name="Normal 30 6 13" xfId="24279"/>
    <cellStyle name="Normal 30 6 2" xfId="24280"/>
    <cellStyle name="Normal 30 6 3" xfId="24281"/>
    <cellStyle name="Normal 30 6 4" xfId="24282"/>
    <cellStyle name="Normal 30 6 5" xfId="24283"/>
    <cellStyle name="Normal 30 6 6" xfId="24284"/>
    <cellStyle name="Normal 30 6 7" xfId="24285"/>
    <cellStyle name="Normal 30 6 8" xfId="24286"/>
    <cellStyle name="Normal 30 6 9" xfId="24287"/>
    <cellStyle name="Normal 30 60" xfId="24288"/>
    <cellStyle name="Normal 30 60 10" xfId="24289"/>
    <cellStyle name="Normal 30 60 11" xfId="24290"/>
    <cellStyle name="Normal 30 60 12" xfId="24291"/>
    <cellStyle name="Normal 30 60 13" xfId="24292"/>
    <cellStyle name="Normal 30 60 2" xfId="24293"/>
    <cellStyle name="Normal 30 60 3" xfId="24294"/>
    <cellStyle name="Normal 30 60 4" xfId="24295"/>
    <cellStyle name="Normal 30 60 5" xfId="24296"/>
    <cellStyle name="Normal 30 60 6" xfId="24297"/>
    <cellStyle name="Normal 30 60 7" xfId="24298"/>
    <cellStyle name="Normal 30 60 8" xfId="24299"/>
    <cellStyle name="Normal 30 60 9" xfId="24300"/>
    <cellStyle name="Normal 30 61" xfId="24301"/>
    <cellStyle name="Normal 30 61 10" xfId="24302"/>
    <cellStyle name="Normal 30 61 11" xfId="24303"/>
    <cellStyle name="Normal 30 61 12" xfId="24304"/>
    <cellStyle name="Normal 30 61 13" xfId="24305"/>
    <cellStyle name="Normal 30 61 2" xfId="24306"/>
    <cellStyle name="Normal 30 61 3" xfId="24307"/>
    <cellStyle name="Normal 30 61 4" xfId="24308"/>
    <cellStyle name="Normal 30 61 5" xfId="24309"/>
    <cellStyle name="Normal 30 61 6" xfId="24310"/>
    <cellStyle name="Normal 30 61 7" xfId="24311"/>
    <cellStyle name="Normal 30 61 8" xfId="24312"/>
    <cellStyle name="Normal 30 61 9" xfId="24313"/>
    <cellStyle name="Normal 30 62" xfId="24314"/>
    <cellStyle name="Normal 30 62 10" xfId="24315"/>
    <cellStyle name="Normal 30 62 11" xfId="24316"/>
    <cellStyle name="Normal 30 62 12" xfId="24317"/>
    <cellStyle name="Normal 30 62 13" xfId="24318"/>
    <cellStyle name="Normal 30 62 2" xfId="24319"/>
    <cellStyle name="Normal 30 62 3" xfId="24320"/>
    <cellStyle name="Normal 30 62 4" xfId="24321"/>
    <cellStyle name="Normal 30 62 5" xfId="24322"/>
    <cellStyle name="Normal 30 62 6" xfId="24323"/>
    <cellStyle name="Normal 30 62 7" xfId="24324"/>
    <cellStyle name="Normal 30 62 8" xfId="24325"/>
    <cellStyle name="Normal 30 62 9" xfId="24326"/>
    <cellStyle name="Normal 30 63" xfId="24327"/>
    <cellStyle name="Normal 30 63 10" xfId="24328"/>
    <cellStyle name="Normal 30 63 11" xfId="24329"/>
    <cellStyle name="Normal 30 63 12" xfId="24330"/>
    <cellStyle name="Normal 30 63 13" xfId="24331"/>
    <cellStyle name="Normal 30 63 2" xfId="24332"/>
    <cellStyle name="Normal 30 63 3" xfId="24333"/>
    <cellStyle name="Normal 30 63 4" xfId="24334"/>
    <cellStyle name="Normal 30 63 5" xfId="24335"/>
    <cellStyle name="Normal 30 63 6" xfId="24336"/>
    <cellStyle name="Normal 30 63 7" xfId="24337"/>
    <cellStyle name="Normal 30 63 8" xfId="24338"/>
    <cellStyle name="Normal 30 63 9" xfId="24339"/>
    <cellStyle name="Normal 30 64" xfId="24340"/>
    <cellStyle name="Normal 30 64 10" xfId="24341"/>
    <cellStyle name="Normal 30 64 11" xfId="24342"/>
    <cellStyle name="Normal 30 64 12" xfId="24343"/>
    <cellStyle name="Normal 30 64 13" xfId="24344"/>
    <cellStyle name="Normal 30 64 2" xfId="24345"/>
    <cellStyle name="Normal 30 64 3" xfId="24346"/>
    <cellStyle name="Normal 30 64 4" xfId="24347"/>
    <cellStyle name="Normal 30 64 5" xfId="24348"/>
    <cellStyle name="Normal 30 64 6" xfId="24349"/>
    <cellStyle name="Normal 30 64 7" xfId="24350"/>
    <cellStyle name="Normal 30 64 8" xfId="24351"/>
    <cellStyle name="Normal 30 64 9" xfId="24352"/>
    <cellStyle name="Normal 30 65" xfId="24353"/>
    <cellStyle name="Normal 30 65 10" xfId="24354"/>
    <cellStyle name="Normal 30 65 11" xfId="24355"/>
    <cellStyle name="Normal 30 65 12" xfId="24356"/>
    <cellStyle name="Normal 30 65 13" xfId="24357"/>
    <cellStyle name="Normal 30 65 2" xfId="24358"/>
    <cellStyle name="Normal 30 65 3" xfId="24359"/>
    <cellStyle name="Normal 30 65 4" xfId="24360"/>
    <cellStyle name="Normal 30 65 5" xfId="24361"/>
    <cellStyle name="Normal 30 65 6" xfId="24362"/>
    <cellStyle name="Normal 30 65 7" xfId="24363"/>
    <cellStyle name="Normal 30 65 8" xfId="24364"/>
    <cellStyle name="Normal 30 65 9" xfId="24365"/>
    <cellStyle name="Normal 30 66" xfId="24366"/>
    <cellStyle name="Normal 30 66 10" xfId="24367"/>
    <cellStyle name="Normal 30 66 11" xfId="24368"/>
    <cellStyle name="Normal 30 66 12" xfId="24369"/>
    <cellStyle name="Normal 30 66 13" xfId="24370"/>
    <cellStyle name="Normal 30 66 2" xfId="24371"/>
    <cellStyle name="Normal 30 66 3" xfId="24372"/>
    <cellStyle name="Normal 30 66 4" xfId="24373"/>
    <cellStyle name="Normal 30 66 5" xfId="24374"/>
    <cellStyle name="Normal 30 66 6" xfId="24375"/>
    <cellStyle name="Normal 30 66 7" xfId="24376"/>
    <cellStyle name="Normal 30 66 8" xfId="24377"/>
    <cellStyle name="Normal 30 66 9" xfId="24378"/>
    <cellStyle name="Normal 30 67" xfId="24379"/>
    <cellStyle name="Normal 30 67 10" xfId="24380"/>
    <cellStyle name="Normal 30 67 11" xfId="24381"/>
    <cellStyle name="Normal 30 67 12" xfId="24382"/>
    <cellStyle name="Normal 30 67 13" xfId="24383"/>
    <cellStyle name="Normal 30 67 2" xfId="24384"/>
    <cellStyle name="Normal 30 67 3" xfId="24385"/>
    <cellStyle name="Normal 30 67 4" xfId="24386"/>
    <cellStyle name="Normal 30 67 5" xfId="24387"/>
    <cellStyle name="Normal 30 67 6" xfId="24388"/>
    <cellStyle name="Normal 30 67 7" xfId="24389"/>
    <cellStyle name="Normal 30 67 8" xfId="24390"/>
    <cellStyle name="Normal 30 67 9" xfId="24391"/>
    <cellStyle name="Normal 30 68" xfId="24392"/>
    <cellStyle name="Normal 30 68 10" xfId="24393"/>
    <cellStyle name="Normal 30 68 11" xfId="24394"/>
    <cellStyle name="Normal 30 68 12" xfId="24395"/>
    <cellStyle name="Normal 30 68 13" xfId="24396"/>
    <cellStyle name="Normal 30 68 2" xfId="24397"/>
    <cellStyle name="Normal 30 68 3" xfId="24398"/>
    <cellStyle name="Normal 30 68 4" xfId="24399"/>
    <cellStyle name="Normal 30 68 5" xfId="24400"/>
    <cellStyle name="Normal 30 68 6" xfId="24401"/>
    <cellStyle name="Normal 30 68 7" xfId="24402"/>
    <cellStyle name="Normal 30 68 8" xfId="24403"/>
    <cellStyle name="Normal 30 68 9" xfId="24404"/>
    <cellStyle name="Normal 30 69" xfId="24405"/>
    <cellStyle name="Normal 30 69 10" xfId="24406"/>
    <cellStyle name="Normal 30 69 11" xfId="24407"/>
    <cellStyle name="Normal 30 69 12" xfId="24408"/>
    <cellStyle name="Normal 30 69 13" xfId="24409"/>
    <cellStyle name="Normal 30 69 2" xfId="24410"/>
    <cellStyle name="Normal 30 69 3" xfId="24411"/>
    <cellStyle name="Normal 30 69 4" xfId="24412"/>
    <cellStyle name="Normal 30 69 5" xfId="24413"/>
    <cellStyle name="Normal 30 69 6" xfId="24414"/>
    <cellStyle name="Normal 30 69 7" xfId="24415"/>
    <cellStyle name="Normal 30 69 8" xfId="24416"/>
    <cellStyle name="Normal 30 69 9" xfId="24417"/>
    <cellStyle name="Normal 30 7" xfId="24418"/>
    <cellStyle name="Normal 30 7 10" xfId="24419"/>
    <cellStyle name="Normal 30 7 11" xfId="24420"/>
    <cellStyle name="Normal 30 7 12" xfId="24421"/>
    <cellStyle name="Normal 30 7 13" xfId="24422"/>
    <cellStyle name="Normal 30 7 2" xfId="24423"/>
    <cellStyle name="Normal 30 7 3" xfId="24424"/>
    <cellStyle name="Normal 30 7 4" xfId="24425"/>
    <cellStyle name="Normal 30 7 5" xfId="24426"/>
    <cellStyle name="Normal 30 7 6" xfId="24427"/>
    <cellStyle name="Normal 30 7 7" xfId="24428"/>
    <cellStyle name="Normal 30 7 8" xfId="24429"/>
    <cellStyle name="Normal 30 7 9" xfId="24430"/>
    <cellStyle name="Normal 30 70" xfId="24431"/>
    <cellStyle name="Normal 30 70 10" xfId="24432"/>
    <cellStyle name="Normal 30 70 11" xfId="24433"/>
    <cellStyle name="Normal 30 70 12" xfId="24434"/>
    <cellStyle name="Normal 30 70 13" xfId="24435"/>
    <cellStyle name="Normal 30 70 2" xfId="24436"/>
    <cellStyle name="Normal 30 70 3" xfId="24437"/>
    <cellStyle name="Normal 30 70 4" xfId="24438"/>
    <cellStyle name="Normal 30 70 5" xfId="24439"/>
    <cellStyle name="Normal 30 70 6" xfId="24440"/>
    <cellStyle name="Normal 30 70 7" xfId="24441"/>
    <cellStyle name="Normal 30 70 8" xfId="24442"/>
    <cellStyle name="Normal 30 70 9" xfId="24443"/>
    <cellStyle name="Normal 30 71" xfId="24444"/>
    <cellStyle name="Normal 30 71 10" xfId="24445"/>
    <cellStyle name="Normal 30 71 11" xfId="24446"/>
    <cellStyle name="Normal 30 71 12" xfId="24447"/>
    <cellStyle name="Normal 30 71 13" xfId="24448"/>
    <cellStyle name="Normal 30 71 2" xfId="24449"/>
    <cellStyle name="Normal 30 71 3" xfId="24450"/>
    <cellStyle name="Normal 30 71 4" xfId="24451"/>
    <cellStyle name="Normal 30 71 5" xfId="24452"/>
    <cellStyle name="Normal 30 71 6" xfId="24453"/>
    <cellStyle name="Normal 30 71 7" xfId="24454"/>
    <cellStyle name="Normal 30 71 8" xfId="24455"/>
    <cellStyle name="Normal 30 71 9" xfId="24456"/>
    <cellStyle name="Normal 30 72" xfId="24457"/>
    <cellStyle name="Normal 30 73" xfId="24458"/>
    <cellStyle name="Normal 30 74" xfId="24459"/>
    <cellStyle name="Normal 30 75" xfId="24460"/>
    <cellStyle name="Normal 30 76" xfId="24461"/>
    <cellStyle name="Normal 30 77" xfId="24462"/>
    <cellStyle name="Normal 30 78" xfId="24463"/>
    <cellStyle name="Normal 30 79" xfId="24464"/>
    <cellStyle name="Normal 30 8" xfId="24465"/>
    <cellStyle name="Normal 30 8 10" xfId="24466"/>
    <cellStyle name="Normal 30 8 11" xfId="24467"/>
    <cellStyle name="Normal 30 8 12" xfId="24468"/>
    <cellStyle name="Normal 30 8 13" xfId="24469"/>
    <cellStyle name="Normal 30 8 2" xfId="24470"/>
    <cellStyle name="Normal 30 8 3" xfId="24471"/>
    <cellStyle name="Normal 30 8 4" xfId="24472"/>
    <cellStyle name="Normal 30 8 5" xfId="24473"/>
    <cellStyle name="Normal 30 8 6" xfId="24474"/>
    <cellStyle name="Normal 30 8 7" xfId="24475"/>
    <cellStyle name="Normal 30 8 8" xfId="24476"/>
    <cellStyle name="Normal 30 8 9" xfId="24477"/>
    <cellStyle name="Normal 30 80" xfId="24478"/>
    <cellStyle name="Normal 30 81" xfId="24479"/>
    <cellStyle name="Normal 30 82" xfId="24480"/>
    <cellStyle name="Normal 30 83" xfId="24481"/>
    <cellStyle name="Normal 30 9" xfId="24482"/>
    <cellStyle name="Normal 30 9 10" xfId="24483"/>
    <cellStyle name="Normal 30 9 11" xfId="24484"/>
    <cellStyle name="Normal 30 9 12" xfId="24485"/>
    <cellStyle name="Normal 30 9 13" xfId="24486"/>
    <cellStyle name="Normal 30 9 2" xfId="24487"/>
    <cellStyle name="Normal 30 9 3" xfId="24488"/>
    <cellStyle name="Normal 30 9 4" xfId="24489"/>
    <cellStyle name="Normal 30 9 5" xfId="24490"/>
    <cellStyle name="Normal 30 9 6" xfId="24491"/>
    <cellStyle name="Normal 30 9 7" xfId="24492"/>
    <cellStyle name="Normal 30 9 8" xfId="24493"/>
    <cellStyle name="Normal 30 9 9" xfId="24494"/>
    <cellStyle name="Normal 31" xfId="24495"/>
    <cellStyle name="Normal 31 10" xfId="24496"/>
    <cellStyle name="Normal 31 10 10" xfId="24497"/>
    <cellStyle name="Normal 31 10 11" xfId="24498"/>
    <cellStyle name="Normal 31 10 12" xfId="24499"/>
    <cellStyle name="Normal 31 10 13" xfId="24500"/>
    <cellStyle name="Normal 31 10 2" xfId="24501"/>
    <cellStyle name="Normal 31 10 3" xfId="24502"/>
    <cellStyle name="Normal 31 10 4" xfId="24503"/>
    <cellStyle name="Normal 31 10 5" xfId="24504"/>
    <cellStyle name="Normal 31 10 6" xfId="24505"/>
    <cellStyle name="Normal 31 10 7" xfId="24506"/>
    <cellStyle name="Normal 31 10 8" xfId="24507"/>
    <cellStyle name="Normal 31 10 9" xfId="24508"/>
    <cellStyle name="Normal 31 11" xfId="24509"/>
    <cellStyle name="Normal 31 11 10" xfId="24510"/>
    <cellStyle name="Normal 31 11 11" xfId="24511"/>
    <cellStyle name="Normal 31 11 12" xfId="24512"/>
    <cellStyle name="Normal 31 11 13" xfId="24513"/>
    <cellStyle name="Normal 31 11 2" xfId="24514"/>
    <cellStyle name="Normal 31 11 3" xfId="24515"/>
    <cellStyle name="Normal 31 11 4" xfId="24516"/>
    <cellStyle name="Normal 31 11 5" xfId="24517"/>
    <cellStyle name="Normal 31 11 6" xfId="24518"/>
    <cellStyle name="Normal 31 11 7" xfId="24519"/>
    <cellStyle name="Normal 31 11 8" xfId="24520"/>
    <cellStyle name="Normal 31 11 9" xfId="24521"/>
    <cellStyle name="Normal 31 12" xfId="24522"/>
    <cellStyle name="Normal 31 12 10" xfId="24523"/>
    <cellStyle name="Normal 31 12 11" xfId="24524"/>
    <cellStyle name="Normal 31 12 12" xfId="24525"/>
    <cellStyle name="Normal 31 12 13" xfId="24526"/>
    <cellStyle name="Normal 31 12 2" xfId="24527"/>
    <cellStyle name="Normal 31 12 3" xfId="24528"/>
    <cellStyle name="Normal 31 12 4" xfId="24529"/>
    <cellStyle name="Normal 31 12 5" xfId="24530"/>
    <cellStyle name="Normal 31 12 6" xfId="24531"/>
    <cellStyle name="Normal 31 12 7" xfId="24532"/>
    <cellStyle name="Normal 31 12 8" xfId="24533"/>
    <cellStyle name="Normal 31 12 9" xfId="24534"/>
    <cellStyle name="Normal 31 13" xfId="24535"/>
    <cellStyle name="Normal 31 13 10" xfId="24536"/>
    <cellStyle name="Normal 31 13 11" xfId="24537"/>
    <cellStyle name="Normal 31 13 12" xfId="24538"/>
    <cellStyle name="Normal 31 13 13" xfId="24539"/>
    <cellStyle name="Normal 31 13 2" xfId="24540"/>
    <cellStyle name="Normal 31 13 3" xfId="24541"/>
    <cellStyle name="Normal 31 13 4" xfId="24542"/>
    <cellStyle name="Normal 31 13 5" xfId="24543"/>
    <cellStyle name="Normal 31 13 6" xfId="24544"/>
    <cellStyle name="Normal 31 13 7" xfId="24545"/>
    <cellStyle name="Normal 31 13 8" xfId="24546"/>
    <cellStyle name="Normal 31 13 9" xfId="24547"/>
    <cellStyle name="Normal 31 14" xfId="24548"/>
    <cellStyle name="Normal 31 14 10" xfId="24549"/>
    <cellStyle name="Normal 31 14 11" xfId="24550"/>
    <cellStyle name="Normal 31 14 12" xfId="24551"/>
    <cellStyle name="Normal 31 14 13" xfId="24552"/>
    <cellStyle name="Normal 31 14 2" xfId="24553"/>
    <cellStyle name="Normal 31 14 3" xfId="24554"/>
    <cellStyle name="Normal 31 14 4" xfId="24555"/>
    <cellStyle name="Normal 31 14 5" xfId="24556"/>
    <cellStyle name="Normal 31 14 6" xfId="24557"/>
    <cellStyle name="Normal 31 14 7" xfId="24558"/>
    <cellStyle name="Normal 31 14 8" xfId="24559"/>
    <cellStyle name="Normal 31 14 9" xfId="24560"/>
    <cellStyle name="Normal 31 15" xfId="24561"/>
    <cellStyle name="Normal 31 15 10" xfId="24562"/>
    <cellStyle name="Normal 31 15 11" xfId="24563"/>
    <cellStyle name="Normal 31 15 12" xfId="24564"/>
    <cellStyle name="Normal 31 15 13" xfId="24565"/>
    <cellStyle name="Normal 31 15 2" xfId="24566"/>
    <cellStyle name="Normal 31 15 3" xfId="24567"/>
    <cellStyle name="Normal 31 15 4" xfId="24568"/>
    <cellStyle name="Normal 31 15 5" xfId="24569"/>
    <cellStyle name="Normal 31 15 6" xfId="24570"/>
    <cellStyle name="Normal 31 15 7" xfId="24571"/>
    <cellStyle name="Normal 31 15 8" xfId="24572"/>
    <cellStyle name="Normal 31 15 9" xfId="24573"/>
    <cellStyle name="Normal 31 16" xfId="24574"/>
    <cellStyle name="Normal 31 16 10" xfId="24575"/>
    <cellStyle name="Normal 31 16 11" xfId="24576"/>
    <cellStyle name="Normal 31 16 12" xfId="24577"/>
    <cellStyle name="Normal 31 16 13" xfId="24578"/>
    <cellStyle name="Normal 31 16 2" xfId="24579"/>
    <cellStyle name="Normal 31 16 3" xfId="24580"/>
    <cellStyle name="Normal 31 16 4" xfId="24581"/>
    <cellStyle name="Normal 31 16 5" xfId="24582"/>
    <cellStyle name="Normal 31 16 6" xfId="24583"/>
    <cellStyle name="Normal 31 16 7" xfId="24584"/>
    <cellStyle name="Normal 31 16 8" xfId="24585"/>
    <cellStyle name="Normal 31 16 9" xfId="24586"/>
    <cellStyle name="Normal 31 17" xfId="24587"/>
    <cellStyle name="Normal 31 17 10" xfId="24588"/>
    <cellStyle name="Normal 31 17 11" xfId="24589"/>
    <cellStyle name="Normal 31 17 12" xfId="24590"/>
    <cellStyle name="Normal 31 17 13" xfId="24591"/>
    <cellStyle name="Normal 31 17 2" xfId="24592"/>
    <cellStyle name="Normal 31 17 3" xfId="24593"/>
    <cellStyle name="Normal 31 17 4" xfId="24594"/>
    <cellStyle name="Normal 31 17 5" xfId="24595"/>
    <cellStyle name="Normal 31 17 6" xfId="24596"/>
    <cellStyle name="Normal 31 17 7" xfId="24597"/>
    <cellStyle name="Normal 31 17 8" xfId="24598"/>
    <cellStyle name="Normal 31 17 9" xfId="24599"/>
    <cellStyle name="Normal 31 18" xfId="24600"/>
    <cellStyle name="Normal 31 18 10" xfId="24601"/>
    <cellStyle name="Normal 31 18 11" xfId="24602"/>
    <cellStyle name="Normal 31 18 12" xfId="24603"/>
    <cellStyle name="Normal 31 18 13" xfId="24604"/>
    <cellStyle name="Normal 31 18 2" xfId="24605"/>
    <cellStyle name="Normal 31 18 3" xfId="24606"/>
    <cellStyle name="Normal 31 18 4" xfId="24607"/>
    <cellStyle name="Normal 31 18 5" xfId="24608"/>
    <cellStyle name="Normal 31 18 6" xfId="24609"/>
    <cellStyle name="Normal 31 18 7" xfId="24610"/>
    <cellStyle name="Normal 31 18 8" xfId="24611"/>
    <cellStyle name="Normal 31 18 9" xfId="24612"/>
    <cellStyle name="Normal 31 19" xfId="24613"/>
    <cellStyle name="Normal 31 19 10" xfId="24614"/>
    <cellStyle name="Normal 31 19 11" xfId="24615"/>
    <cellStyle name="Normal 31 19 12" xfId="24616"/>
    <cellStyle name="Normal 31 19 13" xfId="24617"/>
    <cellStyle name="Normal 31 19 2" xfId="24618"/>
    <cellStyle name="Normal 31 19 3" xfId="24619"/>
    <cellStyle name="Normal 31 19 4" xfId="24620"/>
    <cellStyle name="Normal 31 19 5" xfId="24621"/>
    <cellStyle name="Normal 31 19 6" xfId="24622"/>
    <cellStyle name="Normal 31 19 7" xfId="24623"/>
    <cellStyle name="Normal 31 19 8" xfId="24624"/>
    <cellStyle name="Normal 31 19 9" xfId="24625"/>
    <cellStyle name="Normal 31 2" xfId="24626"/>
    <cellStyle name="Normal 31 2 10" xfId="24627"/>
    <cellStyle name="Normal 31 2 11" xfId="24628"/>
    <cellStyle name="Normal 31 2 12" xfId="24629"/>
    <cellStyle name="Normal 31 2 13" xfId="24630"/>
    <cellStyle name="Normal 31 2 2" xfId="24631"/>
    <cellStyle name="Normal 31 2 3" xfId="24632"/>
    <cellStyle name="Normal 31 2 4" xfId="24633"/>
    <cellStyle name="Normal 31 2 5" xfId="24634"/>
    <cellStyle name="Normal 31 2 6" xfId="24635"/>
    <cellStyle name="Normal 31 2 7" xfId="24636"/>
    <cellStyle name="Normal 31 2 8" xfId="24637"/>
    <cellStyle name="Normal 31 2 9" xfId="24638"/>
    <cellStyle name="Normal 31 20" xfId="24639"/>
    <cellStyle name="Normal 31 20 10" xfId="24640"/>
    <cellStyle name="Normal 31 20 11" xfId="24641"/>
    <cellStyle name="Normal 31 20 12" xfId="24642"/>
    <cellStyle name="Normal 31 20 13" xfId="24643"/>
    <cellStyle name="Normal 31 20 2" xfId="24644"/>
    <cellStyle name="Normal 31 20 3" xfId="24645"/>
    <cellStyle name="Normal 31 20 4" xfId="24646"/>
    <cellStyle name="Normal 31 20 5" xfId="24647"/>
    <cellStyle name="Normal 31 20 6" xfId="24648"/>
    <cellStyle name="Normal 31 20 7" xfId="24649"/>
    <cellStyle name="Normal 31 20 8" xfId="24650"/>
    <cellStyle name="Normal 31 20 9" xfId="24651"/>
    <cellStyle name="Normal 31 21" xfId="24652"/>
    <cellStyle name="Normal 31 21 10" xfId="24653"/>
    <cellStyle name="Normal 31 21 11" xfId="24654"/>
    <cellStyle name="Normal 31 21 12" xfId="24655"/>
    <cellStyle name="Normal 31 21 13" xfId="24656"/>
    <cellStyle name="Normal 31 21 2" xfId="24657"/>
    <cellStyle name="Normal 31 21 3" xfId="24658"/>
    <cellStyle name="Normal 31 21 4" xfId="24659"/>
    <cellStyle name="Normal 31 21 5" xfId="24660"/>
    <cellStyle name="Normal 31 21 6" xfId="24661"/>
    <cellStyle name="Normal 31 21 7" xfId="24662"/>
    <cellStyle name="Normal 31 21 8" xfId="24663"/>
    <cellStyle name="Normal 31 21 9" xfId="24664"/>
    <cellStyle name="Normal 31 22" xfId="24665"/>
    <cellStyle name="Normal 31 22 10" xfId="24666"/>
    <cellStyle name="Normal 31 22 11" xfId="24667"/>
    <cellStyle name="Normal 31 22 12" xfId="24668"/>
    <cellStyle name="Normal 31 22 13" xfId="24669"/>
    <cellStyle name="Normal 31 22 2" xfId="24670"/>
    <cellStyle name="Normal 31 22 3" xfId="24671"/>
    <cellStyle name="Normal 31 22 4" xfId="24672"/>
    <cellStyle name="Normal 31 22 5" xfId="24673"/>
    <cellStyle name="Normal 31 22 6" xfId="24674"/>
    <cellStyle name="Normal 31 22 7" xfId="24675"/>
    <cellStyle name="Normal 31 22 8" xfId="24676"/>
    <cellStyle name="Normal 31 22 9" xfId="24677"/>
    <cellStyle name="Normal 31 23" xfId="24678"/>
    <cellStyle name="Normal 31 23 10" xfId="24679"/>
    <cellStyle name="Normal 31 23 11" xfId="24680"/>
    <cellStyle name="Normal 31 23 12" xfId="24681"/>
    <cellStyle name="Normal 31 23 13" xfId="24682"/>
    <cellStyle name="Normal 31 23 2" xfId="24683"/>
    <cellStyle name="Normal 31 23 3" xfId="24684"/>
    <cellStyle name="Normal 31 23 4" xfId="24685"/>
    <cellStyle name="Normal 31 23 5" xfId="24686"/>
    <cellStyle name="Normal 31 23 6" xfId="24687"/>
    <cellStyle name="Normal 31 23 7" xfId="24688"/>
    <cellStyle name="Normal 31 23 8" xfId="24689"/>
    <cellStyle name="Normal 31 23 9" xfId="24690"/>
    <cellStyle name="Normal 31 24" xfId="24691"/>
    <cellStyle name="Normal 31 24 10" xfId="24692"/>
    <cellStyle name="Normal 31 24 11" xfId="24693"/>
    <cellStyle name="Normal 31 24 12" xfId="24694"/>
    <cellStyle name="Normal 31 24 13" xfId="24695"/>
    <cellStyle name="Normal 31 24 2" xfId="24696"/>
    <cellStyle name="Normal 31 24 3" xfId="24697"/>
    <cellStyle name="Normal 31 24 4" xfId="24698"/>
    <cellStyle name="Normal 31 24 5" xfId="24699"/>
    <cellStyle name="Normal 31 24 6" xfId="24700"/>
    <cellStyle name="Normal 31 24 7" xfId="24701"/>
    <cellStyle name="Normal 31 24 8" xfId="24702"/>
    <cellStyle name="Normal 31 24 9" xfId="24703"/>
    <cellStyle name="Normal 31 25" xfId="24704"/>
    <cellStyle name="Normal 31 25 10" xfId="24705"/>
    <cellStyle name="Normal 31 25 11" xfId="24706"/>
    <cellStyle name="Normal 31 25 12" xfId="24707"/>
    <cellStyle name="Normal 31 25 13" xfId="24708"/>
    <cellStyle name="Normal 31 25 2" xfId="24709"/>
    <cellStyle name="Normal 31 25 3" xfId="24710"/>
    <cellStyle name="Normal 31 25 4" xfId="24711"/>
    <cellStyle name="Normal 31 25 5" xfId="24712"/>
    <cellStyle name="Normal 31 25 6" xfId="24713"/>
    <cellStyle name="Normal 31 25 7" xfId="24714"/>
    <cellStyle name="Normal 31 25 8" xfId="24715"/>
    <cellStyle name="Normal 31 25 9" xfId="24716"/>
    <cellStyle name="Normal 31 26" xfId="24717"/>
    <cellStyle name="Normal 31 26 10" xfId="24718"/>
    <cellStyle name="Normal 31 26 11" xfId="24719"/>
    <cellStyle name="Normal 31 26 12" xfId="24720"/>
    <cellStyle name="Normal 31 26 13" xfId="24721"/>
    <cellStyle name="Normal 31 26 2" xfId="24722"/>
    <cellStyle name="Normal 31 26 3" xfId="24723"/>
    <cellStyle name="Normal 31 26 4" xfId="24724"/>
    <cellStyle name="Normal 31 26 5" xfId="24725"/>
    <cellStyle name="Normal 31 26 6" xfId="24726"/>
    <cellStyle name="Normal 31 26 7" xfId="24727"/>
    <cellStyle name="Normal 31 26 8" xfId="24728"/>
    <cellStyle name="Normal 31 26 9" xfId="24729"/>
    <cellStyle name="Normal 31 27" xfId="24730"/>
    <cellStyle name="Normal 31 27 10" xfId="24731"/>
    <cellStyle name="Normal 31 27 11" xfId="24732"/>
    <cellStyle name="Normal 31 27 12" xfId="24733"/>
    <cellStyle name="Normal 31 27 13" xfId="24734"/>
    <cellStyle name="Normal 31 27 2" xfId="24735"/>
    <cellStyle name="Normal 31 27 3" xfId="24736"/>
    <cellStyle name="Normal 31 27 4" xfId="24737"/>
    <cellStyle name="Normal 31 27 5" xfId="24738"/>
    <cellStyle name="Normal 31 27 6" xfId="24739"/>
    <cellStyle name="Normal 31 27 7" xfId="24740"/>
    <cellStyle name="Normal 31 27 8" xfId="24741"/>
    <cellStyle name="Normal 31 27 9" xfId="24742"/>
    <cellStyle name="Normal 31 28" xfId="24743"/>
    <cellStyle name="Normal 31 28 10" xfId="24744"/>
    <cellStyle name="Normal 31 28 11" xfId="24745"/>
    <cellStyle name="Normal 31 28 12" xfId="24746"/>
    <cellStyle name="Normal 31 28 13" xfId="24747"/>
    <cellStyle name="Normal 31 28 2" xfId="24748"/>
    <cellStyle name="Normal 31 28 3" xfId="24749"/>
    <cellStyle name="Normal 31 28 4" xfId="24750"/>
    <cellStyle name="Normal 31 28 5" xfId="24751"/>
    <cellStyle name="Normal 31 28 6" xfId="24752"/>
    <cellStyle name="Normal 31 28 7" xfId="24753"/>
    <cellStyle name="Normal 31 28 8" xfId="24754"/>
    <cellStyle name="Normal 31 28 9" xfId="24755"/>
    <cellStyle name="Normal 31 29" xfId="24756"/>
    <cellStyle name="Normal 31 29 10" xfId="24757"/>
    <cellStyle name="Normal 31 29 11" xfId="24758"/>
    <cellStyle name="Normal 31 29 12" xfId="24759"/>
    <cellStyle name="Normal 31 29 13" xfId="24760"/>
    <cellStyle name="Normal 31 29 2" xfId="24761"/>
    <cellStyle name="Normal 31 29 3" xfId="24762"/>
    <cellStyle name="Normal 31 29 4" xfId="24763"/>
    <cellStyle name="Normal 31 29 5" xfId="24764"/>
    <cellStyle name="Normal 31 29 6" xfId="24765"/>
    <cellStyle name="Normal 31 29 7" xfId="24766"/>
    <cellStyle name="Normal 31 29 8" xfId="24767"/>
    <cellStyle name="Normal 31 29 9" xfId="24768"/>
    <cellStyle name="Normal 31 3" xfId="24769"/>
    <cellStyle name="Normal 31 3 10" xfId="24770"/>
    <cellStyle name="Normal 31 3 11" xfId="24771"/>
    <cellStyle name="Normal 31 3 12" xfId="24772"/>
    <cellStyle name="Normal 31 3 13" xfId="24773"/>
    <cellStyle name="Normal 31 3 2" xfId="24774"/>
    <cellStyle name="Normal 31 3 3" xfId="24775"/>
    <cellStyle name="Normal 31 3 4" xfId="24776"/>
    <cellStyle name="Normal 31 3 5" xfId="24777"/>
    <cellStyle name="Normal 31 3 6" xfId="24778"/>
    <cellStyle name="Normal 31 3 7" xfId="24779"/>
    <cellStyle name="Normal 31 3 8" xfId="24780"/>
    <cellStyle name="Normal 31 3 9" xfId="24781"/>
    <cellStyle name="Normal 31 30" xfId="24782"/>
    <cellStyle name="Normal 31 30 10" xfId="24783"/>
    <cellStyle name="Normal 31 30 11" xfId="24784"/>
    <cellStyle name="Normal 31 30 12" xfId="24785"/>
    <cellStyle name="Normal 31 30 13" xfId="24786"/>
    <cellStyle name="Normal 31 30 2" xfId="24787"/>
    <cellStyle name="Normal 31 30 3" xfId="24788"/>
    <cellStyle name="Normal 31 30 4" xfId="24789"/>
    <cellStyle name="Normal 31 30 5" xfId="24790"/>
    <cellStyle name="Normal 31 30 6" xfId="24791"/>
    <cellStyle name="Normal 31 30 7" xfId="24792"/>
    <cellStyle name="Normal 31 30 8" xfId="24793"/>
    <cellStyle name="Normal 31 30 9" xfId="24794"/>
    <cellStyle name="Normal 31 31" xfId="24795"/>
    <cellStyle name="Normal 31 31 10" xfId="24796"/>
    <cellStyle name="Normal 31 31 11" xfId="24797"/>
    <cellStyle name="Normal 31 31 12" xfId="24798"/>
    <cellStyle name="Normal 31 31 13" xfId="24799"/>
    <cellStyle name="Normal 31 31 2" xfId="24800"/>
    <cellStyle name="Normal 31 31 3" xfId="24801"/>
    <cellStyle name="Normal 31 31 4" xfId="24802"/>
    <cellStyle name="Normal 31 31 5" xfId="24803"/>
    <cellStyle name="Normal 31 31 6" xfId="24804"/>
    <cellStyle name="Normal 31 31 7" xfId="24805"/>
    <cellStyle name="Normal 31 31 8" xfId="24806"/>
    <cellStyle name="Normal 31 31 9" xfId="24807"/>
    <cellStyle name="Normal 31 32" xfId="24808"/>
    <cellStyle name="Normal 31 32 10" xfId="24809"/>
    <cellStyle name="Normal 31 32 11" xfId="24810"/>
    <cellStyle name="Normal 31 32 12" xfId="24811"/>
    <cellStyle name="Normal 31 32 13" xfId="24812"/>
    <cellStyle name="Normal 31 32 2" xfId="24813"/>
    <cellStyle name="Normal 31 32 3" xfId="24814"/>
    <cellStyle name="Normal 31 32 4" xfId="24815"/>
    <cellStyle name="Normal 31 32 5" xfId="24816"/>
    <cellStyle name="Normal 31 32 6" xfId="24817"/>
    <cellStyle name="Normal 31 32 7" xfId="24818"/>
    <cellStyle name="Normal 31 32 8" xfId="24819"/>
    <cellStyle name="Normal 31 32 9" xfId="24820"/>
    <cellStyle name="Normal 31 33" xfId="24821"/>
    <cellStyle name="Normal 31 33 10" xfId="24822"/>
    <cellStyle name="Normal 31 33 11" xfId="24823"/>
    <cellStyle name="Normal 31 33 12" xfId="24824"/>
    <cellStyle name="Normal 31 33 13" xfId="24825"/>
    <cellStyle name="Normal 31 33 2" xfId="24826"/>
    <cellStyle name="Normal 31 33 3" xfId="24827"/>
    <cellStyle name="Normal 31 33 4" xfId="24828"/>
    <cellStyle name="Normal 31 33 5" xfId="24829"/>
    <cellStyle name="Normal 31 33 6" xfId="24830"/>
    <cellStyle name="Normal 31 33 7" xfId="24831"/>
    <cellStyle name="Normal 31 33 8" xfId="24832"/>
    <cellStyle name="Normal 31 33 9" xfId="24833"/>
    <cellStyle name="Normal 31 34" xfId="24834"/>
    <cellStyle name="Normal 31 34 10" xfId="24835"/>
    <cellStyle name="Normal 31 34 11" xfId="24836"/>
    <cellStyle name="Normal 31 34 12" xfId="24837"/>
    <cellStyle name="Normal 31 34 13" xfId="24838"/>
    <cellStyle name="Normal 31 34 2" xfId="24839"/>
    <cellStyle name="Normal 31 34 3" xfId="24840"/>
    <cellStyle name="Normal 31 34 4" xfId="24841"/>
    <cellStyle name="Normal 31 34 5" xfId="24842"/>
    <cellStyle name="Normal 31 34 6" xfId="24843"/>
    <cellStyle name="Normal 31 34 7" xfId="24844"/>
    <cellStyle name="Normal 31 34 8" xfId="24845"/>
    <cellStyle name="Normal 31 34 9" xfId="24846"/>
    <cellStyle name="Normal 31 35" xfId="24847"/>
    <cellStyle name="Normal 31 35 10" xfId="24848"/>
    <cellStyle name="Normal 31 35 11" xfId="24849"/>
    <cellStyle name="Normal 31 35 12" xfId="24850"/>
    <cellStyle name="Normal 31 35 13" xfId="24851"/>
    <cellStyle name="Normal 31 35 2" xfId="24852"/>
    <cellStyle name="Normal 31 35 3" xfId="24853"/>
    <cellStyle name="Normal 31 35 4" xfId="24854"/>
    <cellStyle name="Normal 31 35 5" xfId="24855"/>
    <cellStyle name="Normal 31 35 6" xfId="24856"/>
    <cellStyle name="Normal 31 35 7" xfId="24857"/>
    <cellStyle name="Normal 31 35 8" xfId="24858"/>
    <cellStyle name="Normal 31 35 9" xfId="24859"/>
    <cellStyle name="Normal 31 36" xfId="24860"/>
    <cellStyle name="Normal 31 36 10" xfId="24861"/>
    <cellStyle name="Normal 31 36 11" xfId="24862"/>
    <cellStyle name="Normal 31 36 12" xfId="24863"/>
    <cellStyle name="Normal 31 36 13" xfId="24864"/>
    <cellStyle name="Normal 31 36 2" xfId="24865"/>
    <cellStyle name="Normal 31 36 3" xfId="24866"/>
    <cellStyle name="Normal 31 36 4" xfId="24867"/>
    <cellStyle name="Normal 31 36 5" xfId="24868"/>
    <cellStyle name="Normal 31 36 6" xfId="24869"/>
    <cellStyle name="Normal 31 36 7" xfId="24870"/>
    <cellStyle name="Normal 31 36 8" xfId="24871"/>
    <cellStyle name="Normal 31 36 9" xfId="24872"/>
    <cellStyle name="Normal 31 37" xfId="24873"/>
    <cellStyle name="Normal 31 37 10" xfId="24874"/>
    <cellStyle name="Normal 31 37 11" xfId="24875"/>
    <cellStyle name="Normal 31 37 12" xfId="24876"/>
    <cellStyle name="Normal 31 37 13" xfId="24877"/>
    <cellStyle name="Normal 31 37 2" xfId="24878"/>
    <cellStyle name="Normal 31 37 3" xfId="24879"/>
    <cellStyle name="Normal 31 37 4" xfId="24880"/>
    <cellStyle name="Normal 31 37 5" xfId="24881"/>
    <cellStyle name="Normal 31 37 6" xfId="24882"/>
    <cellStyle name="Normal 31 37 7" xfId="24883"/>
    <cellStyle name="Normal 31 37 8" xfId="24884"/>
    <cellStyle name="Normal 31 37 9" xfId="24885"/>
    <cellStyle name="Normal 31 38" xfId="24886"/>
    <cellStyle name="Normal 31 38 10" xfId="24887"/>
    <cellStyle name="Normal 31 38 11" xfId="24888"/>
    <cellStyle name="Normal 31 38 12" xfId="24889"/>
    <cellStyle name="Normal 31 38 13" xfId="24890"/>
    <cellStyle name="Normal 31 38 2" xfId="24891"/>
    <cellStyle name="Normal 31 38 3" xfId="24892"/>
    <cellStyle name="Normal 31 38 4" xfId="24893"/>
    <cellStyle name="Normal 31 38 5" xfId="24894"/>
    <cellStyle name="Normal 31 38 6" xfId="24895"/>
    <cellStyle name="Normal 31 38 7" xfId="24896"/>
    <cellStyle name="Normal 31 38 8" xfId="24897"/>
    <cellStyle name="Normal 31 38 9" xfId="24898"/>
    <cellStyle name="Normal 31 39" xfId="24899"/>
    <cellStyle name="Normal 31 39 10" xfId="24900"/>
    <cellStyle name="Normal 31 39 11" xfId="24901"/>
    <cellStyle name="Normal 31 39 12" xfId="24902"/>
    <cellStyle name="Normal 31 39 13" xfId="24903"/>
    <cellStyle name="Normal 31 39 2" xfId="24904"/>
    <cellStyle name="Normal 31 39 3" xfId="24905"/>
    <cellStyle name="Normal 31 39 4" xfId="24906"/>
    <cellStyle name="Normal 31 39 5" xfId="24907"/>
    <cellStyle name="Normal 31 39 6" xfId="24908"/>
    <cellStyle name="Normal 31 39 7" xfId="24909"/>
    <cellStyle name="Normal 31 39 8" xfId="24910"/>
    <cellStyle name="Normal 31 39 9" xfId="24911"/>
    <cellStyle name="Normal 31 4" xfId="24912"/>
    <cellStyle name="Normal 31 4 10" xfId="24913"/>
    <cellStyle name="Normal 31 4 11" xfId="24914"/>
    <cellStyle name="Normal 31 4 12" xfId="24915"/>
    <cellStyle name="Normal 31 4 13" xfId="24916"/>
    <cellStyle name="Normal 31 4 2" xfId="24917"/>
    <cellStyle name="Normal 31 4 3" xfId="24918"/>
    <cellStyle name="Normal 31 4 4" xfId="24919"/>
    <cellStyle name="Normal 31 4 5" xfId="24920"/>
    <cellStyle name="Normal 31 4 6" xfId="24921"/>
    <cellStyle name="Normal 31 4 7" xfId="24922"/>
    <cellStyle name="Normal 31 4 8" xfId="24923"/>
    <cellStyle name="Normal 31 4 9" xfId="24924"/>
    <cellStyle name="Normal 31 40" xfId="24925"/>
    <cellStyle name="Normal 31 40 10" xfId="24926"/>
    <cellStyle name="Normal 31 40 11" xfId="24927"/>
    <cellStyle name="Normal 31 40 12" xfId="24928"/>
    <cellStyle name="Normal 31 40 13" xfId="24929"/>
    <cellStyle name="Normal 31 40 2" xfId="24930"/>
    <cellStyle name="Normal 31 40 3" xfId="24931"/>
    <cellStyle name="Normal 31 40 4" xfId="24932"/>
    <cellStyle name="Normal 31 40 5" xfId="24933"/>
    <cellStyle name="Normal 31 40 6" xfId="24934"/>
    <cellStyle name="Normal 31 40 7" xfId="24935"/>
    <cellStyle name="Normal 31 40 8" xfId="24936"/>
    <cellStyle name="Normal 31 40 9" xfId="24937"/>
    <cellStyle name="Normal 31 41" xfId="24938"/>
    <cellStyle name="Normal 31 41 10" xfId="24939"/>
    <cellStyle name="Normal 31 41 11" xfId="24940"/>
    <cellStyle name="Normal 31 41 12" xfId="24941"/>
    <cellStyle name="Normal 31 41 13" xfId="24942"/>
    <cellStyle name="Normal 31 41 2" xfId="24943"/>
    <cellStyle name="Normal 31 41 3" xfId="24944"/>
    <cellStyle name="Normal 31 41 4" xfId="24945"/>
    <cellStyle name="Normal 31 41 5" xfId="24946"/>
    <cellStyle name="Normal 31 41 6" xfId="24947"/>
    <cellStyle name="Normal 31 41 7" xfId="24948"/>
    <cellStyle name="Normal 31 41 8" xfId="24949"/>
    <cellStyle name="Normal 31 41 9" xfId="24950"/>
    <cellStyle name="Normal 31 42" xfId="24951"/>
    <cellStyle name="Normal 31 42 10" xfId="24952"/>
    <cellStyle name="Normal 31 42 11" xfId="24953"/>
    <cellStyle name="Normal 31 42 12" xfId="24954"/>
    <cellStyle name="Normal 31 42 13" xfId="24955"/>
    <cellStyle name="Normal 31 42 2" xfId="24956"/>
    <cellStyle name="Normal 31 42 3" xfId="24957"/>
    <cellStyle name="Normal 31 42 4" xfId="24958"/>
    <cellStyle name="Normal 31 42 5" xfId="24959"/>
    <cellStyle name="Normal 31 42 6" xfId="24960"/>
    <cellStyle name="Normal 31 42 7" xfId="24961"/>
    <cellStyle name="Normal 31 42 8" xfId="24962"/>
    <cellStyle name="Normal 31 42 9" xfId="24963"/>
    <cellStyle name="Normal 31 43" xfId="24964"/>
    <cellStyle name="Normal 31 43 10" xfId="24965"/>
    <cellStyle name="Normal 31 43 11" xfId="24966"/>
    <cellStyle name="Normal 31 43 12" xfId="24967"/>
    <cellStyle name="Normal 31 43 13" xfId="24968"/>
    <cellStyle name="Normal 31 43 2" xfId="24969"/>
    <cellStyle name="Normal 31 43 3" xfId="24970"/>
    <cellStyle name="Normal 31 43 4" xfId="24971"/>
    <cellStyle name="Normal 31 43 5" xfId="24972"/>
    <cellStyle name="Normal 31 43 6" xfId="24973"/>
    <cellStyle name="Normal 31 43 7" xfId="24974"/>
    <cellStyle name="Normal 31 43 8" xfId="24975"/>
    <cellStyle name="Normal 31 43 9" xfId="24976"/>
    <cellStyle name="Normal 31 44" xfId="24977"/>
    <cellStyle name="Normal 31 44 10" xfId="24978"/>
    <cellStyle name="Normal 31 44 11" xfId="24979"/>
    <cellStyle name="Normal 31 44 12" xfId="24980"/>
    <cellStyle name="Normal 31 44 13" xfId="24981"/>
    <cellStyle name="Normal 31 44 2" xfId="24982"/>
    <cellStyle name="Normal 31 44 3" xfId="24983"/>
    <cellStyle name="Normal 31 44 4" xfId="24984"/>
    <cellStyle name="Normal 31 44 5" xfId="24985"/>
    <cellStyle name="Normal 31 44 6" xfId="24986"/>
    <cellStyle name="Normal 31 44 7" xfId="24987"/>
    <cellStyle name="Normal 31 44 8" xfId="24988"/>
    <cellStyle name="Normal 31 44 9" xfId="24989"/>
    <cellStyle name="Normal 31 45" xfId="24990"/>
    <cellStyle name="Normal 31 45 10" xfId="24991"/>
    <cellStyle name="Normal 31 45 11" xfId="24992"/>
    <cellStyle name="Normal 31 45 12" xfId="24993"/>
    <cellStyle name="Normal 31 45 13" xfId="24994"/>
    <cellStyle name="Normal 31 45 2" xfId="24995"/>
    <cellStyle name="Normal 31 45 3" xfId="24996"/>
    <cellStyle name="Normal 31 45 4" xfId="24997"/>
    <cellStyle name="Normal 31 45 5" xfId="24998"/>
    <cellStyle name="Normal 31 45 6" xfId="24999"/>
    <cellStyle name="Normal 31 45 7" xfId="25000"/>
    <cellStyle name="Normal 31 45 8" xfId="25001"/>
    <cellStyle name="Normal 31 45 9" xfId="25002"/>
    <cellStyle name="Normal 31 46" xfId="25003"/>
    <cellStyle name="Normal 31 46 10" xfId="25004"/>
    <cellStyle name="Normal 31 46 11" xfId="25005"/>
    <cellStyle name="Normal 31 46 12" xfId="25006"/>
    <cellStyle name="Normal 31 46 13" xfId="25007"/>
    <cellStyle name="Normal 31 46 2" xfId="25008"/>
    <cellStyle name="Normal 31 46 3" xfId="25009"/>
    <cellStyle name="Normal 31 46 4" xfId="25010"/>
    <cellStyle name="Normal 31 46 5" xfId="25011"/>
    <cellStyle name="Normal 31 46 6" xfId="25012"/>
    <cellStyle name="Normal 31 46 7" xfId="25013"/>
    <cellStyle name="Normal 31 46 8" xfId="25014"/>
    <cellStyle name="Normal 31 46 9" xfId="25015"/>
    <cellStyle name="Normal 31 47" xfId="25016"/>
    <cellStyle name="Normal 31 47 10" xfId="25017"/>
    <cellStyle name="Normal 31 47 11" xfId="25018"/>
    <cellStyle name="Normal 31 47 12" xfId="25019"/>
    <cellStyle name="Normal 31 47 13" xfId="25020"/>
    <cellStyle name="Normal 31 47 2" xfId="25021"/>
    <cellStyle name="Normal 31 47 3" xfId="25022"/>
    <cellStyle name="Normal 31 47 4" xfId="25023"/>
    <cellStyle name="Normal 31 47 5" xfId="25024"/>
    <cellStyle name="Normal 31 47 6" xfId="25025"/>
    <cellStyle name="Normal 31 47 7" xfId="25026"/>
    <cellStyle name="Normal 31 47 8" xfId="25027"/>
    <cellStyle name="Normal 31 47 9" xfId="25028"/>
    <cellStyle name="Normal 31 48" xfId="25029"/>
    <cellStyle name="Normal 31 48 10" xfId="25030"/>
    <cellStyle name="Normal 31 48 11" xfId="25031"/>
    <cellStyle name="Normal 31 48 12" xfId="25032"/>
    <cellStyle name="Normal 31 48 13" xfId="25033"/>
    <cellStyle name="Normal 31 48 2" xfId="25034"/>
    <cellStyle name="Normal 31 48 3" xfId="25035"/>
    <cellStyle name="Normal 31 48 4" xfId="25036"/>
    <cellStyle name="Normal 31 48 5" xfId="25037"/>
    <cellStyle name="Normal 31 48 6" xfId="25038"/>
    <cellStyle name="Normal 31 48 7" xfId="25039"/>
    <cellStyle name="Normal 31 48 8" xfId="25040"/>
    <cellStyle name="Normal 31 48 9" xfId="25041"/>
    <cellStyle name="Normal 31 49" xfId="25042"/>
    <cellStyle name="Normal 31 49 10" xfId="25043"/>
    <cellStyle name="Normal 31 49 11" xfId="25044"/>
    <cellStyle name="Normal 31 49 12" xfId="25045"/>
    <cellStyle name="Normal 31 49 13" xfId="25046"/>
    <cellStyle name="Normal 31 49 2" xfId="25047"/>
    <cellStyle name="Normal 31 49 3" xfId="25048"/>
    <cellStyle name="Normal 31 49 4" xfId="25049"/>
    <cellStyle name="Normal 31 49 5" xfId="25050"/>
    <cellStyle name="Normal 31 49 6" xfId="25051"/>
    <cellStyle name="Normal 31 49 7" xfId="25052"/>
    <cellStyle name="Normal 31 49 8" xfId="25053"/>
    <cellStyle name="Normal 31 49 9" xfId="25054"/>
    <cellStyle name="Normal 31 5" xfId="25055"/>
    <cellStyle name="Normal 31 5 10" xfId="25056"/>
    <cellStyle name="Normal 31 5 11" xfId="25057"/>
    <cellStyle name="Normal 31 5 12" xfId="25058"/>
    <cellStyle name="Normal 31 5 13" xfId="25059"/>
    <cellStyle name="Normal 31 5 2" xfId="25060"/>
    <cellStyle name="Normal 31 5 3" xfId="25061"/>
    <cellStyle name="Normal 31 5 4" xfId="25062"/>
    <cellStyle name="Normal 31 5 5" xfId="25063"/>
    <cellStyle name="Normal 31 5 6" xfId="25064"/>
    <cellStyle name="Normal 31 5 7" xfId="25065"/>
    <cellStyle name="Normal 31 5 8" xfId="25066"/>
    <cellStyle name="Normal 31 5 9" xfId="25067"/>
    <cellStyle name="Normal 31 50" xfId="25068"/>
    <cellStyle name="Normal 31 50 10" xfId="25069"/>
    <cellStyle name="Normal 31 50 11" xfId="25070"/>
    <cellStyle name="Normal 31 50 12" xfId="25071"/>
    <cellStyle name="Normal 31 50 13" xfId="25072"/>
    <cellStyle name="Normal 31 50 2" xfId="25073"/>
    <cellStyle name="Normal 31 50 3" xfId="25074"/>
    <cellStyle name="Normal 31 50 4" xfId="25075"/>
    <cellStyle name="Normal 31 50 5" xfId="25076"/>
    <cellStyle name="Normal 31 50 6" xfId="25077"/>
    <cellStyle name="Normal 31 50 7" xfId="25078"/>
    <cellStyle name="Normal 31 50 8" xfId="25079"/>
    <cellStyle name="Normal 31 50 9" xfId="25080"/>
    <cellStyle name="Normal 31 51" xfId="25081"/>
    <cellStyle name="Normal 31 51 10" xfId="25082"/>
    <cellStyle name="Normal 31 51 11" xfId="25083"/>
    <cellStyle name="Normal 31 51 12" xfId="25084"/>
    <cellStyle name="Normal 31 51 13" xfId="25085"/>
    <cellStyle name="Normal 31 51 2" xfId="25086"/>
    <cellStyle name="Normal 31 51 3" xfId="25087"/>
    <cellStyle name="Normal 31 51 4" xfId="25088"/>
    <cellStyle name="Normal 31 51 5" xfId="25089"/>
    <cellStyle name="Normal 31 51 6" xfId="25090"/>
    <cellStyle name="Normal 31 51 7" xfId="25091"/>
    <cellStyle name="Normal 31 51 8" xfId="25092"/>
    <cellStyle name="Normal 31 51 9" xfId="25093"/>
    <cellStyle name="Normal 31 52" xfId="25094"/>
    <cellStyle name="Normal 31 52 10" xfId="25095"/>
    <cellStyle name="Normal 31 52 11" xfId="25096"/>
    <cellStyle name="Normal 31 52 12" xfId="25097"/>
    <cellStyle name="Normal 31 52 13" xfId="25098"/>
    <cellStyle name="Normal 31 52 2" xfId="25099"/>
    <cellStyle name="Normal 31 52 3" xfId="25100"/>
    <cellStyle name="Normal 31 52 4" xfId="25101"/>
    <cellStyle name="Normal 31 52 5" xfId="25102"/>
    <cellStyle name="Normal 31 52 6" xfId="25103"/>
    <cellStyle name="Normal 31 52 7" xfId="25104"/>
    <cellStyle name="Normal 31 52 8" xfId="25105"/>
    <cellStyle name="Normal 31 52 9" xfId="25106"/>
    <cellStyle name="Normal 31 53" xfId="25107"/>
    <cellStyle name="Normal 31 53 10" xfId="25108"/>
    <cellStyle name="Normal 31 53 11" xfId="25109"/>
    <cellStyle name="Normal 31 53 12" xfId="25110"/>
    <cellStyle name="Normal 31 53 13" xfId="25111"/>
    <cellStyle name="Normal 31 53 2" xfId="25112"/>
    <cellStyle name="Normal 31 53 3" xfId="25113"/>
    <cellStyle name="Normal 31 53 4" xfId="25114"/>
    <cellStyle name="Normal 31 53 5" xfId="25115"/>
    <cellStyle name="Normal 31 53 6" xfId="25116"/>
    <cellStyle name="Normal 31 53 7" xfId="25117"/>
    <cellStyle name="Normal 31 53 8" xfId="25118"/>
    <cellStyle name="Normal 31 53 9" xfId="25119"/>
    <cellStyle name="Normal 31 54" xfId="25120"/>
    <cellStyle name="Normal 31 54 10" xfId="25121"/>
    <cellStyle name="Normal 31 54 11" xfId="25122"/>
    <cellStyle name="Normal 31 54 12" xfId="25123"/>
    <cellStyle name="Normal 31 54 13" xfId="25124"/>
    <cellStyle name="Normal 31 54 2" xfId="25125"/>
    <cellStyle name="Normal 31 54 3" xfId="25126"/>
    <cellStyle name="Normal 31 54 4" xfId="25127"/>
    <cellStyle name="Normal 31 54 5" xfId="25128"/>
    <cellStyle name="Normal 31 54 6" xfId="25129"/>
    <cellStyle name="Normal 31 54 7" xfId="25130"/>
    <cellStyle name="Normal 31 54 8" xfId="25131"/>
    <cellStyle name="Normal 31 54 9" xfId="25132"/>
    <cellStyle name="Normal 31 55" xfId="25133"/>
    <cellStyle name="Normal 31 55 10" xfId="25134"/>
    <cellStyle name="Normal 31 55 11" xfId="25135"/>
    <cellStyle name="Normal 31 55 12" xfId="25136"/>
    <cellStyle name="Normal 31 55 13" xfId="25137"/>
    <cellStyle name="Normal 31 55 2" xfId="25138"/>
    <cellStyle name="Normal 31 55 3" xfId="25139"/>
    <cellStyle name="Normal 31 55 4" xfId="25140"/>
    <cellStyle name="Normal 31 55 5" xfId="25141"/>
    <cellStyle name="Normal 31 55 6" xfId="25142"/>
    <cellStyle name="Normal 31 55 7" xfId="25143"/>
    <cellStyle name="Normal 31 55 8" xfId="25144"/>
    <cellStyle name="Normal 31 55 9" xfId="25145"/>
    <cellStyle name="Normal 31 56" xfId="25146"/>
    <cellStyle name="Normal 31 56 10" xfId="25147"/>
    <cellStyle name="Normal 31 56 11" xfId="25148"/>
    <cellStyle name="Normal 31 56 12" xfId="25149"/>
    <cellStyle name="Normal 31 56 13" xfId="25150"/>
    <cellStyle name="Normal 31 56 2" xfId="25151"/>
    <cellStyle name="Normal 31 56 3" xfId="25152"/>
    <cellStyle name="Normal 31 56 4" xfId="25153"/>
    <cellStyle name="Normal 31 56 5" xfId="25154"/>
    <cellStyle name="Normal 31 56 6" xfId="25155"/>
    <cellStyle name="Normal 31 56 7" xfId="25156"/>
    <cellStyle name="Normal 31 56 8" xfId="25157"/>
    <cellStyle name="Normal 31 56 9" xfId="25158"/>
    <cellStyle name="Normal 31 57" xfId="25159"/>
    <cellStyle name="Normal 31 57 10" xfId="25160"/>
    <cellStyle name="Normal 31 57 11" xfId="25161"/>
    <cellStyle name="Normal 31 57 12" xfId="25162"/>
    <cellStyle name="Normal 31 57 13" xfId="25163"/>
    <cellStyle name="Normal 31 57 2" xfId="25164"/>
    <cellStyle name="Normal 31 57 3" xfId="25165"/>
    <cellStyle name="Normal 31 57 4" xfId="25166"/>
    <cellStyle name="Normal 31 57 5" xfId="25167"/>
    <cellStyle name="Normal 31 57 6" xfId="25168"/>
    <cellStyle name="Normal 31 57 7" xfId="25169"/>
    <cellStyle name="Normal 31 57 8" xfId="25170"/>
    <cellStyle name="Normal 31 57 9" xfId="25171"/>
    <cellStyle name="Normal 31 58" xfId="25172"/>
    <cellStyle name="Normal 31 58 10" xfId="25173"/>
    <cellStyle name="Normal 31 58 11" xfId="25174"/>
    <cellStyle name="Normal 31 58 12" xfId="25175"/>
    <cellStyle name="Normal 31 58 13" xfId="25176"/>
    <cellStyle name="Normal 31 58 2" xfId="25177"/>
    <cellStyle name="Normal 31 58 3" xfId="25178"/>
    <cellStyle name="Normal 31 58 4" xfId="25179"/>
    <cellStyle name="Normal 31 58 5" xfId="25180"/>
    <cellStyle name="Normal 31 58 6" xfId="25181"/>
    <cellStyle name="Normal 31 58 7" xfId="25182"/>
    <cellStyle name="Normal 31 58 8" xfId="25183"/>
    <cellStyle name="Normal 31 58 9" xfId="25184"/>
    <cellStyle name="Normal 31 59" xfId="25185"/>
    <cellStyle name="Normal 31 59 10" xfId="25186"/>
    <cellStyle name="Normal 31 59 11" xfId="25187"/>
    <cellStyle name="Normal 31 59 12" xfId="25188"/>
    <cellStyle name="Normal 31 59 13" xfId="25189"/>
    <cellStyle name="Normal 31 59 2" xfId="25190"/>
    <cellStyle name="Normal 31 59 3" xfId="25191"/>
    <cellStyle name="Normal 31 59 4" xfId="25192"/>
    <cellStyle name="Normal 31 59 5" xfId="25193"/>
    <cellStyle name="Normal 31 59 6" xfId="25194"/>
    <cellStyle name="Normal 31 59 7" xfId="25195"/>
    <cellStyle name="Normal 31 59 8" xfId="25196"/>
    <cellStyle name="Normal 31 59 9" xfId="25197"/>
    <cellStyle name="Normal 31 6" xfId="25198"/>
    <cellStyle name="Normal 31 6 10" xfId="25199"/>
    <cellStyle name="Normal 31 6 11" xfId="25200"/>
    <cellStyle name="Normal 31 6 12" xfId="25201"/>
    <cellStyle name="Normal 31 6 13" xfId="25202"/>
    <cellStyle name="Normal 31 6 2" xfId="25203"/>
    <cellStyle name="Normal 31 6 3" xfId="25204"/>
    <cellStyle name="Normal 31 6 4" xfId="25205"/>
    <cellStyle name="Normal 31 6 5" xfId="25206"/>
    <cellStyle name="Normal 31 6 6" xfId="25207"/>
    <cellStyle name="Normal 31 6 7" xfId="25208"/>
    <cellStyle name="Normal 31 6 8" xfId="25209"/>
    <cellStyle name="Normal 31 6 9" xfId="25210"/>
    <cellStyle name="Normal 31 60" xfId="25211"/>
    <cellStyle name="Normal 31 60 10" xfId="25212"/>
    <cellStyle name="Normal 31 60 11" xfId="25213"/>
    <cellStyle name="Normal 31 60 12" xfId="25214"/>
    <cellStyle name="Normal 31 60 13" xfId="25215"/>
    <cellStyle name="Normal 31 60 2" xfId="25216"/>
    <cellStyle name="Normal 31 60 3" xfId="25217"/>
    <cellStyle name="Normal 31 60 4" xfId="25218"/>
    <cellStyle name="Normal 31 60 5" xfId="25219"/>
    <cellStyle name="Normal 31 60 6" xfId="25220"/>
    <cellStyle name="Normal 31 60 7" xfId="25221"/>
    <cellStyle name="Normal 31 60 8" xfId="25222"/>
    <cellStyle name="Normal 31 60 9" xfId="25223"/>
    <cellStyle name="Normal 31 61" xfId="25224"/>
    <cellStyle name="Normal 31 61 10" xfId="25225"/>
    <cellStyle name="Normal 31 61 11" xfId="25226"/>
    <cellStyle name="Normal 31 61 12" xfId="25227"/>
    <cellStyle name="Normal 31 61 13" xfId="25228"/>
    <cellStyle name="Normal 31 61 2" xfId="25229"/>
    <cellStyle name="Normal 31 61 3" xfId="25230"/>
    <cellStyle name="Normal 31 61 4" xfId="25231"/>
    <cellStyle name="Normal 31 61 5" xfId="25232"/>
    <cellStyle name="Normal 31 61 6" xfId="25233"/>
    <cellStyle name="Normal 31 61 7" xfId="25234"/>
    <cellStyle name="Normal 31 61 8" xfId="25235"/>
    <cellStyle name="Normal 31 61 9" xfId="25236"/>
    <cellStyle name="Normal 31 62" xfId="25237"/>
    <cellStyle name="Normal 31 62 10" xfId="25238"/>
    <cellStyle name="Normal 31 62 11" xfId="25239"/>
    <cellStyle name="Normal 31 62 12" xfId="25240"/>
    <cellStyle name="Normal 31 62 13" xfId="25241"/>
    <cellStyle name="Normal 31 62 2" xfId="25242"/>
    <cellStyle name="Normal 31 62 3" xfId="25243"/>
    <cellStyle name="Normal 31 62 4" xfId="25244"/>
    <cellStyle name="Normal 31 62 5" xfId="25245"/>
    <cellStyle name="Normal 31 62 6" xfId="25246"/>
    <cellStyle name="Normal 31 62 7" xfId="25247"/>
    <cellStyle name="Normal 31 62 8" xfId="25248"/>
    <cellStyle name="Normal 31 62 9" xfId="25249"/>
    <cellStyle name="Normal 31 63" xfId="25250"/>
    <cellStyle name="Normal 31 63 10" xfId="25251"/>
    <cellStyle name="Normal 31 63 11" xfId="25252"/>
    <cellStyle name="Normal 31 63 12" xfId="25253"/>
    <cellStyle name="Normal 31 63 13" xfId="25254"/>
    <cellStyle name="Normal 31 63 2" xfId="25255"/>
    <cellStyle name="Normal 31 63 3" xfId="25256"/>
    <cellStyle name="Normal 31 63 4" xfId="25257"/>
    <cellStyle name="Normal 31 63 5" xfId="25258"/>
    <cellStyle name="Normal 31 63 6" xfId="25259"/>
    <cellStyle name="Normal 31 63 7" xfId="25260"/>
    <cellStyle name="Normal 31 63 8" xfId="25261"/>
    <cellStyle name="Normal 31 63 9" xfId="25262"/>
    <cellStyle name="Normal 31 64" xfId="25263"/>
    <cellStyle name="Normal 31 64 10" xfId="25264"/>
    <cellStyle name="Normal 31 64 11" xfId="25265"/>
    <cellStyle name="Normal 31 64 12" xfId="25266"/>
    <cellStyle name="Normal 31 64 13" xfId="25267"/>
    <cellStyle name="Normal 31 64 2" xfId="25268"/>
    <cellStyle name="Normal 31 64 3" xfId="25269"/>
    <cellStyle name="Normal 31 64 4" xfId="25270"/>
    <cellStyle name="Normal 31 64 5" xfId="25271"/>
    <cellStyle name="Normal 31 64 6" xfId="25272"/>
    <cellStyle name="Normal 31 64 7" xfId="25273"/>
    <cellStyle name="Normal 31 64 8" xfId="25274"/>
    <cellStyle name="Normal 31 64 9" xfId="25275"/>
    <cellStyle name="Normal 31 65" xfId="25276"/>
    <cellStyle name="Normal 31 65 10" xfId="25277"/>
    <cellStyle name="Normal 31 65 11" xfId="25278"/>
    <cellStyle name="Normal 31 65 12" xfId="25279"/>
    <cellStyle name="Normal 31 65 13" xfId="25280"/>
    <cellStyle name="Normal 31 65 2" xfId="25281"/>
    <cellStyle name="Normal 31 65 3" xfId="25282"/>
    <cellStyle name="Normal 31 65 4" xfId="25283"/>
    <cellStyle name="Normal 31 65 5" xfId="25284"/>
    <cellStyle name="Normal 31 65 6" xfId="25285"/>
    <cellStyle name="Normal 31 65 7" xfId="25286"/>
    <cellStyle name="Normal 31 65 8" xfId="25287"/>
    <cellStyle name="Normal 31 65 9" xfId="25288"/>
    <cellStyle name="Normal 31 66" xfId="25289"/>
    <cellStyle name="Normal 31 66 10" xfId="25290"/>
    <cellStyle name="Normal 31 66 11" xfId="25291"/>
    <cellStyle name="Normal 31 66 12" xfId="25292"/>
    <cellStyle name="Normal 31 66 13" xfId="25293"/>
    <cellStyle name="Normal 31 66 2" xfId="25294"/>
    <cellStyle name="Normal 31 66 3" xfId="25295"/>
    <cellStyle name="Normal 31 66 4" xfId="25296"/>
    <cellStyle name="Normal 31 66 5" xfId="25297"/>
    <cellStyle name="Normal 31 66 6" xfId="25298"/>
    <cellStyle name="Normal 31 66 7" xfId="25299"/>
    <cellStyle name="Normal 31 66 8" xfId="25300"/>
    <cellStyle name="Normal 31 66 9" xfId="25301"/>
    <cellStyle name="Normal 31 67" xfId="25302"/>
    <cellStyle name="Normal 31 67 10" xfId="25303"/>
    <cellStyle name="Normal 31 67 11" xfId="25304"/>
    <cellStyle name="Normal 31 67 12" xfId="25305"/>
    <cellStyle name="Normal 31 67 13" xfId="25306"/>
    <cellStyle name="Normal 31 67 2" xfId="25307"/>
    <cellStyle name="Normal 31 67 3" xfId="25308"/>
    <cellStyle name="Normal 31 67 4" xfId="25309"/>
    <cellStyle name="Normal 31 67 5" xfId="25310"/>
    <cellStyle name="Normal 31 67 6" xfId="25311"/>
    <cellStyle name="Normal 31 67 7" xfId="25312"/>
    <cellStyle name="Normal 31 67 8" xfId="25313"/>
    <cellStyle name="Normal 31 67 9" xfId="25314"/>
    <cellStyle name="Normal 31 68" xfId="25315"/>
    <cellStyle name="Normal 31 68 10" xfId="25316"/>
    <cellStyle name="Normal 31 68 11" xfId="25317"/>
    <cellStyle name="Normal 31 68 12" xfId="25318"/>
    <cellStyle name="Normal 31 68 13" xfId="25319"/>
    <cellStyle name="Normal 31 68 2" xfId="25320"/>
    <cellStyle name="Normal 31 68 3" xfId="25321"/>
    <cellStyle name="Normal 31 68 4" xfId="25322"/>
    <cellStyle name="Normal 31 68 5" xfId="25323"/>
    <cellStyle name="Normal 31 68 6" xfId="25324"/>
    <cellStyle name="Normal 31 68 7" xfId="25325"/>
    <cellStyle name="Normal 31 68 8" xfId="25326"/>
    <cellStyle name="Normal 31 68 9" xfId="25327"/>
    <cellStyle name="Normal 31 69" xfId="25328"/>
    <cellStyle name="Normal 31 69 10" xfId="25329"/>
    <cellStyle name="Normal 31 69 11" xfId="25330"/>
    <cellStyle name="Normal 31 69 12" xfId="25331"/>
    <cellStyle name="Normal 31 69 13" xfId="25332"/>
    <cellStyle name="Normal 31 69 2" xfId="25333"/>
    <cellStyle name="Normal 31 69 3" xfId="25334"/>
    <cellStyle name="Normal 31 69 4" xfId="25335"/>
    <cellStyle name="Normal 31 69 5" xfId="25336"/>
    <cellStyle name="Normal 31 69 6" xfId="25337"/>
    <cellStyle name="Normal 31 69 7" xfId="25338"/>
    <cellStyle name="Normal 31 69 8" xfId="25339"/>
    <cellStyle name="Normal 31 69 9" xfId="25340"/>
    <cellStyle name="Normal 31 7" xfId="25341"/>
    <cellStyle name="Normal 31 7 10" xfId="25342"/>
    <cellStyle name="Normal 31 7 11" xfId="25343"/>
    <cellStyle name="Normal 31 7 12" xfId="25344"/>
    <cellStyle name="Normal 31 7 13" xfId="25345"/>
    <cellStyle name="Normal 31 7 2" xfId="25346"/>
    <cellStyle name="Normal 31 7 3" xfId="25347"/>
    <cellStyle name="Normal 31 7 4" xfId="25348"/>
    <cellStyle name="Normal 31 7 5" xfId="25349"/>
    <cellStyle name="Normal 31 7 6" xfId="25350"/>
    <cellStyle name="Normal 31 7 7" xfId="25351"/>
    <cellStyle name="Normal 31 7 8" xfId="25352"/>
    <cellStyle name="Normal 31 7 9" xfId="25353"/>
    <cellStyle name="Normal 31 70" xfId="25354"/>
    <cellStyle name="Normal 31 70 10" xfId="25355"/>
    <cellStyle name="Normal 31 70 11" xfId="25356"/>
    <cellStyle name="Normal 31 70 12" xfId="25357"/>
    <cellStyle name="Normal 31 70 13" xfId="25358"/>
    <cellStyle name="Normal 31 70 2" xfId="25359"/>
    <cellStyle name="Normal 31 70 3" xfId="25360"/>
    <cellStyle name="Normal 31 70 4" xfId="25361"/>
    <cellStyle name="Normal 31 70 5" xfId="25362"/>
    <cellStyle name="Normal 31 70 6" xfId="25363"/>
    <cellStyle name="Normal 31 70 7" xfId="25364"/>
    <cellStyle name="Normal 31 70 8" xfId="25365"/>
    <cellStyle name="Normal 31 70 9" xfId="25366"/>
    <cellStyle name="Normal 31 71" xfId="25367"/>
    <cellStyle name="Normal 31 71 10" xfId="25368"/>
    <cellStyle name="Normal 31 71 11" xfId="25369"/>
    <cellStyle name="Normal 31 71 12" xfId="25370"/>
    <cellStyle name="Normal 31 71 13" xfId="25371"/>
    <cellStyle name="Normal 31 71 2" xfId="25372"/>
    <cellStyle name="Normal 31 71 3" xfId="25373"/>
    <cellStyle name="Normal 31 71 4" xfId="25374"/>
    <cellStyle name="Normal 31 71 5" xfId="25375"/>
    <cellStyle name="Normal 31 71 6" xfId="25376"/>
    <cellStyle name="Normal 31 71 7" xfId="25377"/>
    <cellStyle name="Normal 31 71 8" xfId="25378"/>
    <cellStyle name="Normal 31 71 9" xfId="25379"/>
    <cellStyle name="Normal 31 72" xfId="25380"/>
    <cellStyle name="Normal 31 73" xfId="25381"/>
    <cellStyle name="Normal 31 74" xfId="25382"/>
    <cellStyle name="Normal 31 75" xfId="25383"/>
    <cellStyle name="Normal 31 76" xfId="25384"/>
    <cellStyle name="Normal 31 77" xfId="25385"/>
    <cellStyle name="Normal 31 78" xfId="25386"/>
    <cellStyle name="Normal 31 79" xfId="25387"/>
    <cellStyle name="Normal 31 8" xfId="25388"/>
    <cellStyle name="Normal 31 8 10" xfId="25389"/>
    <cellStyle name="Normal 31 8 11" xfId="25390"/>
    <cellStyle name="Normal 31 8 12" xfId="25391"/>
    <cellStyle name="Normal 31 8 13" xfId="25392"/>
    <cellStyle name="Normal 31 8 2" xfId="25393"/>
    <cellStyle name="Normal 31 8 3" xfId="25394"/>
    <cellStyle name="Normal 31 8 4" xfId="25395"/>
    <cellStyle name="Normal 31 8 5" xfId="25396"/>
    <cellStyle name="Normal 31 8 6" xfId="25397"/>
    <cellStyle name="Normal 31 8 7" xfId="25398"/>
    <cellStyle name="Normal 31 8 8" xfId="25399"/>
    <cellStyle name="Normal 31 8 9" xfId="25400"/>
    <cellStyle name="Normal 31 80" xfId="25401"/>
    <cellStyle name="Normal 31 81" xfId="25402"/>
    <cellStyle name="Normal 31 82" xfId="25403"/>
    <cellStyle name="Normal 31 83" xfId="25404"/>
    <cellStyle name="Normal 31 9" xfId="25405"/>
    <cellStyle name="Normal 31 9 10" xfId="25406"/>
    <cellStyle name="Normal 31 9 11" xfId="25407"/>
    <cellStyle name="Normal 31 9 12" xfId="25408"/>
    <cellStyle name="Normal 31 9 13" xfId="25409"/>
    <cellStyle name="Normal 31 9 2" xfId="25410"/>
    <cellStyle name="Normal 31 9 3" xfId="25411"/>
    <cellStyle name="Normal 31 9 4" xfId="25412"/>
    <cellStyle name="Normal 31 9 5" xfId="25413"/>
    <cellStyle name="Normal 31 9 6" xfId="25414"/>
    <cellStyle name="Normal 31 9 7" xfId="25415"/>
    <cellStyle name="Normal 31 9 8" xfId="25416"/>
    <cellStyle name="Normal 31 9 9" xfId="25417"/>
    <cellStyle name="Normal 32" xfId="30870"/>
    <cellStyle name="Normal 32 10" xfId="25418"/>
    <cellStyle name="Normal 32 10 10" xfId="25419"/>
    <cellStyle name="Normal 32 10 11" xfId="25420"/>
    <cellStyle name="Normal 32 10 12" xfId="25421"/>
    <cellStyle name="Normal 32 10 13" xfId="25422"/>
    <cellStyle name="Normal 32 10 2" xfId="25423"/>
    <cellStyle name="Normal 32 10 3" xfId="25424"/>
    <cellStyle name="Normal 32 10 4" xfId="25425"/>
    <cellStyle name="Normal 32 10 5" xfId="25426"/>
    <cellStyle name="Normal 32 10 6" xfId="25427"/>
    <cellStyle name="Normal 32 10 7" xfId="25428"/>
    <cellStyle name="Normal 32 10 8" xfId="25429"/>
    <cellStyle name="Normal 32 10 9" xfId="25430"/>
    <cellStyle name="Normal 32 11" xfId="25431"/>
    <cellStyle name="Normal 32 11 10" xfId="25432"/>
    <cellStyle name="Normal 32 11 11" xfId="25433"/>
    <cellStyle name="Normal 32 11 12" xfId="25434"/>
    <cellStyle name="Normal 32 11 13" xfId="25435"/>
    <cellStyle name="Normal 32 11 2" xfId="25436"/>
    <cellStyle name="Normal 32 11 3" xfId="25437"/>
    <cellStyle name="Normal 32 11 4" xfId="25438"/>
    <cellStyle name="Normal 32 11 5" xfId="25439"/>
    <cellStyle name="Normal 32 11 6" xfId="25440"/>
    <cellStyle name="Normal 32 11 7" xfId="25441"/>
    <cellStyle name="Normal 32 11 8" xfId="25442"/>
    <cellStyle name="Normal 32 11 9" xfId="25443"/>
    <cellStyle name="Normal 32 12" xfId="25444"/>
    <cellStyle name="Normal 32 12 10" xfId="25445"/>
    <cellStyle name="Normal 32 12 11" xfId="25446"/>
    <cellStyle name="Normal 32 12 12" xfId="25447"/>
    <cellStyle name="Normal 32 12 13" xfId="25448"/>
    <cellStyle name="Normal 32 12 2" xfId="25449"/>
    <cellStyle name="Normal 32 12 3" xfId="25450"/>
    <cellStyle name="Normal 32 12 4" xfId="25451"/>
    <cellStyle name="Normal 32 12 5" xfId="25452"/>
    <cellStyle name="Normal 32 12 6" xfId="25453"/>
    <cellStyle name="Normal 32 12 7" xfId="25454"/>
    <cellStyle name="Normal 32 12 8" xfId="25455"/>
    <cellStyle name="Normal 32 12 9" xfId="25456"/>
    <cellStyle name="Normal 32 13" xfId="25457"/>
    <cellStyle name="Normal 32 13 10" xfId="25458"/>
    <cellStyle name="Normal 32 13 11" xfId="25459"/>
    <cellStyle name="Normal 32 13 12" xfId="25460"/>
    <cellStyle name="Normal 32 13 13" xfId="25461"/>
    <cellStyle name="Normal 32 13 2" xfId="25462"/>
    <cellStyle name="Normal 32 13 3" xfId="25463"/>
    <cellStyle name="Normal 32 13 4" xfId="25464"/>
    <cellStyle name="Normal 32 13 5" xfId="25465"/>
    <cellStyle name="Normal 32 13 6" xfId="25466"/>
    <cellStyle name="Normal 32 13 7" xfId="25467"/>
    <cellStyle name="Normal 32 13 8" xfId="25468"/>
    <cellStyle name="Normal 32 13 9" xfId="25469"/>
    <cellStyle name="Normal 32 14" xfId="25470"/>
    <cellStyle name="Normal 32 14 10" xfId="25471"/>
    <cellStyle name="Normal 32 14 11" xfId="25472"/>
    <cellStyle name="Normal 32 14 12" xfId="25473"/>
    <cellStyle name="Normal 32 14 13" xfId="25474"/>
    <cellStyle name="Normal 32 14 2" xfId="25475"/>
    <cellStyle name="Normal 32 14 3" xfId="25476"/>
    <cellStyle name="Normal 32 14 4" xfId="25477"/>
    <cellStyle name="Normal 32 14 5" xfId="25478"/>
    <cellStyle name="Normal 32 14 6" xfId="25479"/>
    <cellStyle name="Normal 32 14 7" xfId="25480"/>
    <cellStyle name="Normal 32 14 8" xfId="25481"/>
    <cellStyle name="Normal 32 14 9" xfId="25482"/>
    <cellStyle name="Normal 32 15" xfId="25483"/>
    <cellStyle name="Normal 32 15 10" xfId="25484"/>
    <cellStyle name="Normal 32 15 11" xfId="25485"/>
    <cellStyle name="Normal 32 15 12" xfId="25486"/>
    <cellStyle name="Normal 32 15 13" xfId="25487"/>
    <cellStyle name="Normal 32 15 2" xfId="25488"/>
    <cellStyle name="Normal 32 15 3" xfId="25489"/>
    <cellStyle name="Normal 32 15 4" xfId="25490"/>
    <cellStyle name="Normal 32 15 5" xfId="25491"/>
    <cellStyle name="Normal 32 15 6" xfId="25492"/>
    <cellStyle name="Normal 32 15 7" xfId="25493"/>
    <cellStyle name="Normal 32 15 8" xfId="25494"/>
    <cellStyle name="Normal 32 15 9" xfId="25495"/>
    <cellStyle name="Normal 32 16" xfId="25496"/>
    <cellStyle name="Normal 32 16 10" xfId="25497"/>
    <cellStyle name="Normal 32 16 11" xfId="25498"/>
    <cellStyle name="Normal 32 16 12" xfId="25499"/>
    <cellStyle name="Normal 32 16 13" xfId="25500"/>
    <cellStyle name="Normal 32 16 2" xfId="25501"/>
    <cellStyle name="Normal 32 16 3" xfId="25502"/>
    <cellStyle name="Normal 32 16 4" xfId="25503"/>
    <cellStyle name="Normal 32 16 5" xfId="25504"/>
    <cellStyle name="Normal 32 16 6" xfId="25505"/>
    <cellStyle name="Normal 32 16 7" xfId="25506"/>
    <cellStyle name="Normal 32 16 8" xfId="25507"/>
    <cellStyle name="Normal 32 16 9" xfId="25508"/>
    <cellStyle name="Normal 32 17" xfId="25509"/>
    <cellStyle name="Normal 32 18" xfId="25510"/>
    <cellStyle name="Normal 32 19" xfId="25511"/>
    <cellStyle name="Normal 32 2" xfId="25512"/>
    <cellStyle name="Normal 32 2 10" xfId="25513"/>
    <cellStyle name="Normal 32 2 11" xfId="25514"/>
    <cellStyle name="Normal 32 2 12" xfId="25515"/>
    <cellStyle name="Normal 32 2 13" xfId="25516"/>
    <cellStyle name="Normal 32 2 2" xfId="25517"/>
    <cellStyle name="Normal 32 2 3" xfId="25518"/>
    <cellStyle name="Normal 32 2 4" xfId="25519"/>
    <cellStyle name="Normal 32 2 5" xfId="25520"/>
    <cellStyle name="Normal 32 2 6" xfId="25521"/>
    <cellStyle name="Normal 32 2 7" xfId="25522"/>
    <cellStyle name="Normal 32 2 8" xfId="25523"/>
    <cellStyle name="Normal 32 2 9" xfId="25524"/>
    <cellStyle name="Normal 32 20" xfId="25525"/>
    <cellStyle name="Normal 32 21" xfId="25526"/>
    <cellStyle name="Normal 32 22" xfId="25527"/>
    <cellStyle name="Normal 32 23" xfId="25528"/>
    <cellStyle name="Normal 32 24" xfId="25529"/>
    <cellStyle name="Normal 32 25" xfId="25530"/>
    <cellStyle name="Normal 32 26" xfId="25531"/>
    <cellStyle name="Normal 32 27" xfId="25532"/>
    <cellStyle name="Normal 32 28" xfId="25533"/>
    <cellStyle name="Normal 32 29" xfId="25534"/>
    <cellStyle name="Normal 32 3" xfId="25535"/>
    <cellStyle name="Normal 32 3 10" xfId="25536"/>
    <cellStyle name="Normal 32 3 11" xfId="25537"/>
    <cellStyle name="Normal 32 3 12" xfId="25538"/>
    <cellStyle name="Normal 32 3 13" xfId="25539"/>
    <cellStyle name="Normal 32 3 2" xfId="25540"/>
    <cellStyle name="Normal 32 3 3" xfId="25541"/>
    <cellStyle name="Normal 32 3 4" xfId="25542"/>
    <cellStyle name="Normal 32 3 5" xfId="25543"/>
    <cellStyle name="Normal 32 3 6" xfId="25544"/>
    <cellStyle name="Normal 32 3 7" xfId="25545"/>
    <cellStyle name="Normal 32 3 8" xfId="25546"/>
    <cellStyle name="Normal 32 3 9" xfId="25547"/>
    <cellStyle name="Normal 32 30" xfId="25548"/>
    <cellStyle name="Normal 32 31" xfId="25549"/>
    <cellStyle name="Normal 32 32" xfId="25550"/>
    <cellStyle name="Normal 32 33" xfId="25551"/>
    <cellStyle name="Normal 32 34" xfId="25552"/>
    <cellStyle name="Normal 32 35" xfId="25553"/>
    <cellStyle name="Normal 32 36" xfId="25554"/>
    <cellStyle name="Normal 32 37" xfId="25555"/>
    <cellStyle name="Normal 32 38" xfId="25556"/>
    <cellStyle name="Normal 32 39" xfId="25557"/>
    <cellStyle name="Normal 32 4" xfId="25558"/>
    <cellStyle name="Normal 32 4 10" xfId="25559"/>
    <cellStyle name="Normal 32 4 11" xfId="25560"/>
    <cellStyle name="Normal 32 4 12" xfId="25561"/>
    <cellStyle name="Normal 32 4 13" xfId="25562"/>
    <cellStyle name="Normal 32 4 2" xfId="25563"/>
    <cellStyle name="Normal 32 4 3" xfId="25564"/>
    <cellStyle name="Normal 32 4 4" xfId="25565"/>
    <cellStyle name="Normal 32 4 5" xfId="25566"/>
    <cellStyle name="Normal 32 4 6" xfId="25567"/>
    <cellStyle name="Normal 32 4 7" xfId="25568"/>
    <cellStyle name="Normal 32 4 8" xfId="25569"/>
    <cellStyle name="Normal 32 4 9" xfId="25570"/>
    <cellStyle name="Normal 32 40" xfId="25571"/>
    <cellStyle name="Normal 32 41" xfId="25572"/>
    <cellStyle name="Normal 32 42" xfId="25573"/>
    <cellStyle name="Normal 32 43" xfId="25574"/>
    <cellStyle name="Normal 32 44" xfId="25575"/>
    <cellStyle name="Normal 32 45" xfId="25576"/>
    <cellStyle name="Normal 32 46" xfId="25577"/>
    <cellStyle name="Normal 32 47" xfId="25578"/>
    <cellStyle name="Normal 32 48" xfId="25579"/>
    <cellStyle name="Normal 32 49" xfId="25580"/>
    <cellStyle name="Normal 32 5" xfId="25581"/>
    <cellStyle name="Normal 32 5 10" xfId="25582"/>
    <cellStyle name="Normal 32 5 11" xfId="25583"/>
    <cellStyle name="Normal 32 5 12" xfId="25584"/>
    <cellStyle name="Normal 32 5 13" xfId="25585"/>
    <cellStyle name="Normal 32 5 2" xfId="25586"/>
    <cellStyle name="Normal 32 5 3" xfId="25587"/>
    <cellStyle name="Normal 32 5 4" xfId="25588"/>
    <cellStyle name="Normal 32 5 5" xfId="25589"/>
    <cellStyle name="Normal 32 5 6" xfId="25590"/>
    <cellStyle name="Normal 32 5 7" xfId="25591"/>
    <cellStyle name="Normal 32 5 8" xfId="25592"/>
    <cellStyle name="Normal 32 5 9" xfId="25593"/>
    <cellStyle name="Normal 32 50" xfId="25594"/>
    <cellStyle name="Normal 32 51" xfId="25595"/>
    <cellStyle name="Normal 32 52" xfId="25596"/>
    <cellStyle name="Normal 32 53" xfId="25597"/>
    <cellStyle name="Normal 32 54" xfId="25598"/>
    <cellStyle name="Normal 32 55" xfId="25599"/>
    <cellStyle name="Normal 32 56" xfId="25600"/>
    <cellStyle name="Normal 32 57" xfId="25601"/>
    <cellStyle name="Normal 32 58" xfId="25602"/>
    <cellStyle name="Normal 32 59" xfId="25603"/>
    <cellStyle name="Normal 32 6" xfId="25604"/>
    <cellStyle name="Normal 32 6 10" xfId="25605"/>
    <cellStyle name="Normal 32 6 11" xfId="25606"/>
    <cellStyle name="Normal 32 6 12" xfId="25607"/>
    <cellStyle name="Normal 32 6 13" xfId="25608"/>
    <cellStyle name="Normal 32 6 2" xfId="25609"/>
    <cellStyle name="Normal 32 6 3" xfId="25610"/>
    <cellStyle name="Normal 32 6 4" xfId="25611"/>
    <cellStyle name="Normal 32 6 5" xfId="25612"/>
    <cellStyle name="Normal 32 6 6" xfId="25613"/>
    <cellStyle name="Normal 32 6 7" xfId="25614"/>
    <cellStyle name="Normal 32 6 8" xfId="25615"/>
    <cellStyle name="Normal 32 6 9" xfId="25616"/>
    <cellStyle name="Normal 32 60" xfId="25617"/>
    <cellStyle name="Normal 32 61" xfId="25618"/>
    <cellStyle name="Normal 32 62" xfId="25619"/>
    <cellStyle name="Normal 32 63" xfId="25620"/>
    <cellStyle name="Normal 32 64" xfId="25621"/>
    <cellStyle name="Normal 32 65" xfId="25622"/>
    <cellStyle name="Normal 32 66" xfId="25623"/>
    <cellStyle name="Normal 32 67" xfId="25624"/>
    <cellStyle name="Normal 32 68" xfId="25625"/>
    <cellStyle name="Normal 32 69" xfId="25626"/>
    <cellStyle name="Normal 32 7" xfId="25627"/>
    <cellStyle name="Normal 32 7 10" xfId="25628"/>
    <cellStyle name="Normal 32 7 11" xfId="25629"/>
    <cellStyle name="Normal 32 7 12" xfId="25630"/>
    <cellStyle name="Normal 32 7 13" xfId="25631"/>
    <cellStyle name="Normal 32 7 2" xfId="25632"/>
    <cellStyle name="Normal 32 7 3" xfId="25633"/>
    <cellStyle name="Normal 32 7 4" xfId="25634"/>
    <cellStyle name="Normal 32 7 5" xfId="25635"/>
    <cellStyle name="Normal 32 7 6" xfId="25636"/>
    <cellStyle name="Normal 32 7 7" xfId="25637"/>
    <cellStyle name="Normal 32 7 8" xfId="25638"/>
    <cellStyle name="Normal 32 7 9" xfId="25639"/>
    <cellStyle name="Normal 32 70" xfId="25640"/>
    <cellStyle name="Normal 32 71" xfId="25641"/>
    <cellStyle name="Normal 32 72" xfId="30874"/>
    <cellStyle name="Normal 32 8" xfId="25642"/>
    <cellStyle name="Normal 32 8 10" xfId="25643"/>
    <cellStyle name="Normal 32 8 11" xfId="25644"/>
    <cellStyle name="Normal 32 8 12" xfId="25645"/>
    <cellStyle name="Normal 32 8 13" xfId="25646"/>
    <cellStyle name="Normal 32 8 2" xfId="25647"/>
    <cellStyle name="Normal 32 8 3" xfId="25648"/>
    <cellStyle name="Normal 32 8 4" xfId="25649"/>
    <cellStyle name="Normal 32 8 5" xfId="25650"/>
    <cellStyle name="Normal 32 8 6" xfId="25651"/>
    <cellStyle name="Normal 32 8 7" xfId="25652"/>
    <cellStyle name="Normal 32 8 8" xfId="25653"/>
    <cellStyle name="Normal 32 8 9" xfId="25654"/>
    <cellStyle name="Normal 32 9" xfId="25655"/>
    <cellStyle name="Normal 32 9 10" xfId="25656"/>
    <cellStyle name="Normal 32 9 11" xfId="3"/>
    <cellStyle name="Normal 32 9 12" xfId="7"/>
    <cellStyle name="Normal 32 9 13" xfId="25657"/>
    <cellStyle name="Normal 32 9 2" xfId="25658"/>
    <cellStyle name="Normal 32 9 3" xfId="25659"/>
    <cellStyle name="Normal 32 9 4" xfId="25660"/>
    <cellStyle name="Normal 32 9 5" xfId="25661"/>
    <cellStyle name="Normal 32 9 6" xfId="25662"/>
    <cellStyle name="Normal 32 9 7" xfId="25663"/>
    <cellStyle name="Normal 32 9 8" xfId="25664"/>
    <cellStyle name="Normal 32 9 9" xfId="25665"/>
    <cellStyle name="Normal 33" xfId="25666"/>
    <cellStyle name="Normal 34" xfId="25667"/>
    <cellStyle name="Normal 35" xfId="30875"/>
    <cellStyle name="Normal 35 2" xfId="36417"/>
    <cellStyle name="Normal 36" xfId="25668"/>
    <cellStyle name="Normal 37" xfId="25669"/>
    <cellStyle name="Normal 37 2" xfId="25670"/>
    <cellStyle name="Normal 38" xfId="30876"/>
    <cellStyle name="Normal 38 2" xfId="36416"/>
    <cellStyle name="Normal 39" xfId="25671"/>
    <cellStyle name="Normal 4" xfId="11"/>
    <cellStyle name="Normal 4 10" xfId="25672"/>
    <cellStyle name="Normal 4 11" xfId="25673"/>
    <cellStyle name="Normal 4 12" xfId="25674"/>
    <cellStyle name="Normal 4 13" xfId="25675"/>
    <cellStyle name="Normal 4 14" xfId="25676"/>
    <cellStyle name="Normal 4 15" xfId="25677"/>
    <cellStyle name="Normal 4 16" xfId="25678"/>
    <cellStyle name="Normal 4 17" xfId="25679"/>
    <cellStyle name="Normal 4 18" xfId="25680"/>
    <cellStyle name="Normal 4 19" xfId="25681"/>
    <cellStyle name="Normal 4 2" xfId="19"/>
    <cellStyle name="Normal 4 2 10" xfId="25682"/>
    <cellStyle name="Normal 4 2 11" xfId="25683"/>
    <cellStyle name="Normal 4 2 12" xfId="25684"/>
    <cellStyle name="Normal 4 2 13" xfId="25685"/>
    <cellStyle name="Normal 4 2 14" xfId="25686"/>
    <cellStyle name="Normal 4 2 15" xfId="25687"/>
    <cellStyle name="Normal 4 2 16" xfId="25688"/>
    <cellStyle name="Normal 4 2 17" xfId="25689"/>
    <cellStyle name="Normal 4 2 18" xfId="25690"/>
    <cellStyle name="Normal 4 2 19" xfId="25691"/>
    <cellStyle name="Normal 4 2 2" xfId="25692"/>
    <cellStyle name="Normal 4 2 20" xfId="25693"/>
    <cellStyle name="Normal 4 2 21" xfId="25694"/>
    <cellStyle name="Normal 4 2 22" xfId="25695"/>
    <cellStyle name="Normal 4 2 23" xfId="25696"/>
    <cellStyle name="Normal 4 2 24" xfId="25697"/>
    <cellStyle name="Normal 4 2 25" xfId="25698"/>
    <cellStyle name="Normal 4 2 26" xfId="25699"/>
    <cellStyle name="Normal 4 2 27" xfId="25700"/>
    <cellStyle name="Normal 4 2 28" xfId="25701"/>
    <cellStyle name="Normal 4 2 29" xfId="25702"/>
    <cellStyle name="Normal 4 2 3" xfId="25703"/>
    <cellStyle name="Normal 4 2 30" xfId="25704"/>
    <cellStyle name="Normal 4 2 31" xfId="25705"/>
    <cellStyle name="Normal 4 2 32" xfId="25706"/>
    <cellStyle name="Normal 4 2 33" xfId="25707"/>
    <cellStyle name="Normal 4 2 34" xfId="25708"/>
    <cellStyle name="Normal 4 2 35" xfId="25709"/>
    <cellStyle name="Normal 4 2 36" xfId="25710"/>
    <cellStyle name="Normal 4 2 37" xfId="25711"/>
    <cellStyle name="Normal 4 2 38" xfId="25712"/>
    <cellStyle name="Normal 4 2 39" xfId="25713"/>
    <cellStyle name="Normal 4 2 4" xfId="25714"/>
    <cellStyle name="Normal 4 2 40" xfId="25715"/>
    <cellStyle name="Normal 4 2 41" xfId="25716"/>
    <cellStyle name="Normal 4 2 42" xfId="25717"/>
    <cellStyle name="Normal 4 2 43" xfId="25718"/>
    <cellStyle name="Normal 4 2 44" xfId="25719"/>
    <cellStyle name="Normal 4 2 45" xfId="25720"/>
    <cellStyle name="Normal 4 2 46" xfId="25721"/>
    <cellStyle name="Normal 4 2 47" xfId="25722"/>
    <cellStyle name="Normal 4 2 48" xfId="25723"/>
    <cellStyle name="Normal 4 2 49" xfId="25724"/>
    <cellStyle name="Normal 4 2 5" xfId="25725"/>
    <cellStyle name="Normal 4 2 50" xfId="25726"/>
    <cellStyle name="Normal 4 2 51" xfId="25727"/>
    <cellStyle name="Normal 4 2 52" xfId="25728"/>
    <cellStyle name="Normal 4 2 53" xfId="25729"/>
    <cellStyle name="Normal 4 2 54" xfId="25730"/>
    <cellStyle name="Normal 4 2 55" xfId="25731"/>
    <cellStyle name="Normal 4 2 56" xfId="25732"/>
    <cellStyle name="Normal 4 2 57" xfId="25733"/>
    <cellStyle name="Normal 4 2 58" xfId="25734"/>
    <cellStyle name="Normal 4 2 59" xfId="25735"/>
    <cellStyle name="Normal 4 2 6" xfId="25736"/>
    <cellStyle name="Normal 4 2 60" xfId="25737"/>
    <cellStyle name="Normal 4 2 61" xfId="25738"/>
    <cellStyle name="Normal 4 2 62" xfId="25739"/>
    <cellStyle name="Normal 4 2 63" xfId="25740"/>
    <cellStyle name="Normal 4 2 64" xfId="25741"/>
    <cellStyle name="Normal 4 2 65" xfId="25742"/>
    <cellStyle name="Normal 4 2 66" xfId="25743"/>
    <cellStyle name="Normal 4 2 67" xfId="25744"/>
    <cellStyle name="Normal 4 2 68" xfId="25745"/>
    <cellStyle name="Normal 4 2 69" xfId="25746"/>
    <cellStyle name="Normal 4 2 7" xfId="25747"/>
    <cellStyle name="Normal 4 2 70" xfId="25748"/>
    <cellStyle name="Normal 4 2 71" xfId="25749"/>
    <cellStyle name="Normal 4 2 72" xfId="25750"/>
    <cellStyle name="Normal 4 2 73" xfId="25751"/>
    <cellStyle name="Normal 4 2 74" xfId="25752"/>
    <cellStyle name="Normal 4 2 75" xfId="25753"/>
    <cellStyle name="Normal 4 2 76" xfId="25754"/>
    <cellStyle name="Normal 4 2 77" xfId="25755"/>
    <cellStyle name="Normal 4 2 78" xfId="25756"/>
    <cellStyle name="Normal 4 2 79" xfId="25757"/>
    <cellStyle name="Normal 4 2 8" xfId="25758"/>
    <cellStyle name="Normal 4 2 80" xfId="25759"/>
    <cellStyle name="Normal 4 2 81" xfId="25760"/>
    <cellStyle name="Normal 4 2 82" xfId="25761"/>
    <cellStyle name="Normal 4 2 83" xfId="25762"/>
    <cellStyle name="Normal 4 2 9" xfId="25763"/>
    <cellStyle name="Normal 4 20" xfId="25764"/>
    <cellStyle name="Normal 4 21" xfId="25765"/>
    <cellStyle name="Normal 4 22" xfId="25766"/>
    <cellStyle name="Normal 4 23" xfId="25767"/>
    <cellStyle name="Normal 4 24" xfId="25768"/>
    <cellStyle name="Normal 4 25" xfId="25769"/>
    <cellStyle name="Normal 4 26" xfId="25770"/>
    <cellStyle name="Normal 4 27" xfId="25771"/>
    <cellStyle name="Normal 4 28" xfId="25772"/>
    <cellStyle name="Normal 4 29" xfId="25773"/>
    <cellStyle name="Normal 4 3" xfId="17"/>
    <cellStyle name="Normal 4 3 10" xfId="25774"/>
    <cellStyle name="Normal 4 3 11" xfId="25775"/>
    <cellStyle name="Normal 4 3 12" xfId="25776"/>
    <cellStyle name="Normal 4 3 13" xfId="25777"/>
    <cellStyle name="Normal 4 3 14" xfId="25778"/>
    <cellStyle name="Normal 4 3 15" xfId="25779"/>
    <cellStyle name="Normal 4 3 16" xfId="25780"/>
    <cellStyle name="Normal 4 3 17" xfId="25781"/>
    <cellStyle name="Normal 4 3 18" xfId="25782"/>
    <cellStyle name="Normal 4 3 19" xfId="25783"/>
    <cellStyle name="Normal 4 3 2" xfId="25784"/>
    <cellStyle name="Normal 4 3 20" xfId="25785"/>
    <cellStyle name="Normal 4 3 21" xfId="25786"/>
    <cellStyle name="Normal 4 3 22" xfId="25787"/>
    <cellStyle name="Normal 4 3 23" xfId="25788"/>
    <cellStyle name="Normal 4 3 24" xfId="25789"/>
    <cellStyle name="Normal 4 3 25" xfId="25790"/>
    <cellStyle name="Normal 4 3 26" xfId="25791"/>
    <cellStyle name="Normal 4 3 27" xfId="25792"/>
    <cellStyle name="Normal 4 3 28" xfId="25793"/>
    <cellStyle name="Normal 4 3 29" xfId="25794"/>
    <cellStyle name="Normal 4 3 3" xfId="25795"/>
    <cellStyle name="Normal 4 3 30" xfId="25796"/>
    <cellStyle name="Normal 4 3 31" xfId="25797"/>
    <cellStyle name="Normal 4 3 32" xfId="25798"/>
    <cellStyle name="Normal 4 3 33" xfId="25799"/>
    <cellStyle name="Normal 4 3 34" xfId="25800"/>
    <cellStyle name="Normal 4 3 35" xfId="25801"/>
    <cellStyle name="Normal 4 3 36" xfId="25802"/>
    <cellStyle name="Normal 4 3 37" xfId="25803"/>
    <cellStyle name="Normal 4 3 38" xfId="25804"/>
    <cellStyle name="Normal 4 3 39" xfId="25805"/>
    <cellStyle name="Normal 4 3 4" xfId="25806"/>
    <cellStyle name="Normal 4 3 40" xfId="25807"/>
    <cellStyle name="Normal 4 3 41" xfId="25808"/>
    <cellStyle name="Normal 4 3 42" xfId="25809"/>
    <cellStyle name="Normal 4 3 43" xfId="25810"/>
    <cellStyle name="Normal 4 3 44" xfId="25811"/>
    <cellStyle name="Normal 4 3 45" xfId="25812"/>
    <cellStyle name="Normal 4 3 46" xfId="25813"/>
    <cellStyle name="Normal 4 3 47" xfId="25814"/>
    <cellStyle name="Normal 4 3 48" xfId="25815"/>
    <cellStyle name="Normal 4 3 49" xfId="25816"/>
    <cellStyle name="Normal 4 3 5" xfId="25817"/>
    <cellStyle name="Normal 4 3 50" xfId="25818"/>
    <cellStyle name="Normal 4 3 51" xfId="25819"/>
    <cellStyle name="Normal 4 3 52" xfId="25820"/>
    <cellStyle name="Normal 4 3 53" xfId="25821"/>
    <cellStyle name="Normal 4 3 54" xfId="25822"/>
    <cellStyle name="Normal 4 3 55" xfId="25823"/>
    <cellStyle name="Normal 4 3 56" xfId="25824"/>
    <cellStyle name="Normal 4 3 57" xfId="25825"/>
    <cellStyle name="Normal 4 3 58" xfId="25826"/>
    <cellStyle name="Normal 4 3 59" xfId="25827"/>
    <cellStyle name="Normal 4 3 6" xfId="25828"/>
    <cellStyle name="Normal 4 3 60" xfId="25829"/>
    <cellStyle name="Normal 4 3 61" xfId="25830"/>
    <cellStyle name="Normal 4 3 62" xfId="25831"/>
    <cellStyle name="Normal 4 3 63" xfId="25832"/>
    <cellStyle name="Normal 4 3 64" xfId="25833"/>
    <cellStyle name="Normal 4 3 65" xfId="25834"/>
    <cellStyle name="Normal 4 3 66" xfId="25835"/>
    <cellStyle name="Normal 4 3 67" xfId="25836"/>
    <cellStyle name="Normal 4 3 68" xfId="25837"/>
    <cellStyle name="Normal 4 3 69" xfId="25838"/>
    <cellStyle name="Normal 4 3 7" xfId="25839"/>
    <cellStyle name="Normal 4 3 70" xfId="25840"/>
    <cellStyle name="Normal 4 3 71" xfId="25841"/>
    <cellStyle name="Normal 4 3 72" xfId="25842"/>
    <cellStyle name="Normal 4 3 73" xfId="25843"/>
    <cellStyle name="Normal 4 3 74" xfId="25844"/>
    <cellStyle name="Normal 4 3 75" xfId="25845"/>
    <cellStyle name="Normal 4 3 76" xfId="25846"/>
    <cellStyle name="Normal 4 3 77" xfId="25847"/>
    <cellStyle name="Normal 4 3 78" xfId="25848"/>
    <cellStyle name="Normal 4 3 79" xfId="25849"/>
    <cellStyle name="Normal 4 3 8" xfId="25850"/>
    <cellStyle name="Normal 4 3 80" xfId="25851"/>
    <cellStyle name="Normal 4 3 81" xfId="25852"/>
    <cellStyle name="Normal 4 3 82" xfId="25853"/>
    <cellStyle name="Normal 4 3 83" xfId="25854"/>
    <cellStyle name="Normal 4 3 9" xfId="25855"/>
    <cellStyle name="Normal 4 30" xfId="25856"/>
    <cellStyle name="Normal 4 31" xfId="25857"/>
    <cellStyle name="Normal 4 32" xfId="25858"/>
    <cellStyle name="Normal 4 33" xfId="25859"/>
    <cellStyle name="Normal 4 34" xfId="25860"/>
    <cellStyle name="Normal 4 35" xfId="25861"/>
    <cellStyle name="Normal 4 36" xfId="25862"/>
    <cellStyle name="Normal 4 37" xfId="25863"/>
    <cellStyle name="Normal 4 38" xfId="25864"/>
    <cellStyle name="Normal 4 39" xfId="25865"/>
    <cellStyle name="Normal 4 4" xfId="25866"/>
    <cellStyle name="Normal 4 4 10" xfId="25867"/>
    <cellStyle name="Normal 4 4 11" xfId="25868"/>
    <cellStyle name="Normal 4 4 12" xfId="25869"/>
    <cellStyle name="Normal 4 4 13" xfId="25870"/>
    <cellStyle name="Normal 4 4 14" xfId="25871"/>
    <cellStyle name="Normal 4 4 15" xfId="25872"/>
    <cellStyle name="Normal 4 4 16" xfId="25873"/>
    <cellStyle name="Normal 4 4 17" xfId="25874"/>
    <cellStyle name="Normal 4 4 18" xfId="25875"/>
    <cellStyle name="Normal 4 4 19" xfId="25876"/>
    <cellStyle name="Normal 4 4 2" xfId="25877"/>
    <cellStyle name="Normal 4 4 20" xfId="25878"/>
    <cellStyle name="Normal 4 4 21" xfId="25879"/>
    <cellStyle name="Normal 4 4 22" xfId="25880"/>
    <cellStyle name="Normal 4 4 23" xfId="25881"/>
    <cellStyle name="Normal 4 4 24" xfId="25882"/>
    <cellStyle name="Normal 4 4 25" xfId="25883"/>
    <cellStyle name="Normal 4 4 26" xfId="25884"/>
    <cellStyle name="Normal 4 4 27" xfId="25885"/>
    <cellStyle name="Normal 4 4 28" xfId="25886"/>
    <cellStyle name="Normal 4 4 29" xfId="25887"/>
    <cellStyle name="Normal 4 4 3" xfId="25888"/>
    <cellStyle name="Normal 4 4 30" xfId="25889"/>
    <cellStyle name="Normal 4 4 31" xfId="25890"/>
    <cellStyle name="Normal 4 4 32" xfId="25891"/>
    <cellStyle name="Normal 4 4 33" xfId="25892"/>
    <cellStyle name="Normal 4 4 34" xfId="25893"/>
    <cellStyle name="Normal 4 4 35" xfId="25894"/>
    <cellStyle name="Normal 4 4 36" xfId="25895"/>
    <cellStyle name="Normal 4 4 37" xfId="25896"/>
    <cellStyle name="Normal 4 4 38" xfId="25897"/>
    <cellStyle name="Normal 4 4 39" xfId="25898"/>
    <cellStyle name="Normal 4 4 4" xfId="25899"/>
    <cellStyle name="Normal 4 4 40" xfId="25900"/>
    <cellStyle name="Normal 4 4 41" xfId="25901"/>
    <cellStyle name="Normal 4 4 42" xfId="25902"/>
    <cellStyle name="Normal 4 4 43" xfId="25903"/>
    <cellStyle name="Normal 4 4 44" xfId="25904"/>
    <cellStyle name="Normal 4 4 45" xfId="25905"/>
    <cellStyle name="Normal 4 4 46" xfId="25906"/>
    <cellStyle name="Normal 4 4 47" xfId="25907"/>
    <cellStyle name="Normal 4 4 48" xfId="25908"/>
    <cellStyle name="Normal 4 4 49" xfId="25909"/>
    <cellStyle name="Normal 4 4 5" xfId="25910"/>
    <cellStyle name="Normal 4 4 50" xfId="25911"/>
    <cellStyle name="Normal 4 4 51" xfId="25912"/>
    <cellStyle name="Normal 4 4 52" xfId="25913"/>
    <cellStyle name="Normal 4 4 53" xfId="25914"/>
    <cellStyle name="Normal 4 4 54" xfId="25915"/>
    <cellStyle name="Normal 4 4 55" xfId="25916"/>
    <cellStyle name="Normal 4 4 56" xfId="25917"/>
    <cellStyle name="Normal 4 4 57" xfId="25918"/>
    <cellStyle name="Normal 4 4 58" xfId="25919"/>
    <cellStyle name="Normal 4 4 59" xfId="25920"/>
    <cellStyle name="Normal 4 4 6" xfId="25921"/>
    <cellStyle name="Normal 4 4 60" xfId="25922"/>
    <cellStyle name="Normal 4 4 61" xfId="25923"/>
    <cellStyle name="Normal 4 4 62" xfId="25924"/>
    <cellStyle name="Normal 4 4 63" xfId="25925"/>
    <cellStyle name="Normal 4 4 64" xfId="25926"/>
    <cellStyle name="Normal 4 4 65" xfId="25927"/>
    <cellStyle name="Normal 4 4 66" xfId="25928"/>
    <cellStyle name="Normal 4 4 67" xfId="25929"/>
    <cellStyle name="Normal 4 4 68" xfId="25930"/>
    <cellStyle name="Normal 4 4 69" xfId="25931"/>
    <cellStyle name="Normal 4 4 7" xfId="25932"/>
    <cellStyle name="Normal 4 4 70" xfId="25933"/>
    <cellStyle name="Normal 4 4 71" xfId="25934"/>
    <cellStyle name="Normal 4 4 72" xfId="25935"/>
    <cellStyle name="Normal 4 4 73" xfId="25936"/>
    <cellStyle name="Normal 4 4 74" xfId="25937"/>
    <cellStyle name="Normal 4 4 75" xfId="25938"/>
    <cellStyle name="Normal 4 4 76" xfId="25939"/>
    <cellStyle name="Normal 4 4 77" xfId="25940"/>
    <cellStyle name="Normal 4 4 78" xfId="25941"/>
    <cellStyle name="Normal 4 4 79" xfId="25942"/>
    <cellStyle name="Normal 4 4 8" xfId="25943"/>
    <cellStyle name="Normal 4 4 80" xfId="25944"/>
    <cellStyle name="Normal 4 4 81" xfId="25945"/>
    <cellStyle name="Normal 4 4 82" xfId="25946"/>
    <cellStyle name="Normal 4 4 83" xfId="25947"/>
    <cellStyle name="Normal 4 4 9" xfId="25948"/>
    <cellStyle name="Normal 4 40" xfId="25949"/>
    <cellStyle name="Normal 4 41" xfId="25950"/>
    <cellStyle name="Normal 4 42" xfId="25951"/>
    <cellStyle name="Normal 4 43" xfId="25952"/>
    <cellStyle name="Normal 4 44" xfId="25953"/>
    <cellStyle name="Normal 4 45" xfId="25954"/>
    <cellStyle name="Normal 4 46" xfId="25955"/>
    <cellStyle name="Normal 4 47" xfId="25956"/>
    <cellStyle name="Normal 4 48" xfId="25957"/>
    <cellStyle name="Normal 4 49" xfId="25958"/>
    <cellStyle name="Normal 4 5" xfId="25959"/>
    <cellStyle name="Normal 4 5 10" xfId="25960"/>
    <cellStyle name="Normal 4 5 11" xfId="25961"/>
    <cellStyle name="Normal 4 5 12" xfId="25962"/>
    <cellStyle name="Normal 4 5 13" xfId="25963"/>
    <cellStyle name="Normal 4 5 14" xfId="25964"/>
    <cellStyle name="Normal 4 5 15" xfId="25965"/>
    <cellStyle name="Normal 4 5 16" xfId="25966"/>
    <cellStyle name="Normal 4 5 17" xfId="25967"/>
    <cellStyle name="Normal 4 5 18" xfId="25968"/>
    <cellStyle name="Normal 4 5 19" xfId="25969"/>
    <cellStyle name="Normal 4 5 2" xfId="25970"/>
    <cellStyle name="Normal 4 5 20" xfId="25971"/>
    <cellStyle name="Normal 4 5 21" xfId="25972"/>
    <cellStyle name="Normal 4 5 22" xfId="25973"/>
    <cellStyle name="Normal 4 5 23" xfId="25974"/>
    <cellStyle name="Normal 4 5 24" xfId="25975"/>
    <cellStyle name="Normal 4 5 25" xfId="25976"/>
    <cellStyle name="Normal 4 5 26" xfId="25977"/>
    <cellStyle name="Normal 4 5 27" xfId="25978"/>
    <cellStyle name="Normal 4 5 28" xfId="25979"/>
    <cellStyle name="Normal 4 5 29" xfId="25980"/>
    <cellStyle name="Normal 4 5 3" xfId="25981"/>
    <cellStyle name="Normal 4 5 30" xfId="25982"/>
    <cellStyle name="Normal 4 5 31" xfId="25983"/>
    <cellStyle name="Normal 4 5 32" xfId="25984"/>
    <cellStyle name="Normal 4 5 33" xfId="25985"/>
    <cellStyle name="Normal 4 5 34" xfId="25986"/>
    <cellStyle name="Normal 4 5 35" xfId="25987"/>
    <cellStyle name="Normal 4 5 36" xfId="25988"/>
    <cellStyle name="Normal 4 5 37" xfId="25989"/>
    <cellStyle name="Normal 4 5 38" xfId="25990"/>
    <cellStyle name="Normal 4 5 39" xfId="25991"/>
    <cellStyle name="Normal 4 5 4" xfId="25992"/>
    <cellStyle name="Normal 4 5 40" xfId="25993"/>
    <cellStyle name="Normal 4 5 41" xfId="25994"/>
    <cellStyle name="Normal 4 5 42" xfId="25995"/>
    <cellStyle name="Normal 4 5 43" xfId="25996"/>
    <cellStyle name="Normal 4 5 44" xfId="25997"/>
    <cellStyle name="Normal 4 5 45" xfId="25998"/>
    <cellStyle name="Normal 4 5 46" xfId="25999"/>
    <cellStyle name="Normal 4 5 47" xfId="26000"/>
    <cellStyle name="Normal 4 5 48" xfId="26001"/>
    <cellStyle name="Normal 4 5 49" xfId="26002"/>
    <cellStyle name="Normal 4 5 5" xfId="26003"/>
    <cellStyle name="Normal 4 5 50" xfId="26004"/>
    <cellStyle name="Normal 4 5 51" xfId="26005"/>
    <cellStyle name="Normal 4 5 52" xfId="26006"/>
    <cellStyle name="Normal 4 5 53" xfId="26007"/>
    <cellStyle name="Normal 4 5 54" xfId="26008"/>
    <cellStyle name="Normal 4 5 55" xfId="26009"/>
    <cellStyle name="Normal 4 5 56" xfId="26010"/>
    <cellStyle name="Normal 4 5 57" xfId="26011"/>
    <cellStyle name="Normal 4 5 58" xfId="26012"/>
    <cellStyle name="Normal 4 5 59" xfId="26013"/>
    <cellStyle name="Normal 4 5 6" xfId="26014"/>
    <cellStyle name="Normal 4 5 60" xfId="26015"/>
    <cellStyle name="Normal 4 5 61" xfId="26016"/>
    <cellStyle name="Normal 4 5 62" xfId="26017"/>
    <cellStyle name="Normal 4 5 63" xfId="26018"/>
    <cellStyle name="Normal 4 5 64" xfId="26019"/>
    <cellStyle name="Normal 4 5 65" xfId="26020"/>
    <cellStyle name="Normal 4 5 66" xfId="26021"/>
    <cellStyle name="Normal 4 5 67" xfId="26022"/>
    <cellStyle name="Normal 4 5 68" xfId="26023"/>
    <cellStyle name="Normal 4 5 69" xfId="26024"/>
    <cellStyle name="Normal 4 5 7" xfId="26025"/>
    <cellStyle name="Normal 4 5 70" xfId="26026"/>
    <cellStyle name="Normal 4 5 71" xfId="26027"/>
    <cellStyle name="Normal 4 5 72" xfId="26028"/>
    <cellStyle name="Normal 4 5 73" xfId="26029"/>
    <cellStyle name="Normal 4 5 74" xfId="26030"/>
    <cellStyle name="Normal 4 5 75" xfId="26031"/>
    <cellStyle name="Normal 4 5 76" xfId="26032"/>
    <cellStyle name="Normal 4 5 77" xfId="26033"/>
    <cellStyle name="Normal 4 5 78" xfId="26034"/>
    <cellStyle name="Normal 4 5 79" xfId="26035"/>
    <cellStyle name="Normal 4 5 8" xfId="26036"/>
    <cellStyle name="Normal 4 5 80" xfId="26037"/>
    <cellStyle name="Normal 4 5 81" xfId="26038"/>
    <cellStyle name="Normal 4 5 82" xfId="26039"/>
    <cellStyle name="Normal 4 5 83" xfId="26040"/>
    <cellStyle name="Normal 4 5 9" xfId="26041"/>
    <cellStyle name="Normal 4 50" xfId="26042"/>
    <cellStyle name="Normal 4 51" xfId="26043"/>
    <cellStyle name="Normal 4 52" xfId="26044"/>
    <cellStyle name="Normal 4 53" xfId="26045"/>
    <cellStyle name="Normal 4 54" xfId="26046"/>
    <cellStyle name="Normal 4 55" xfId="26047"/>
    <cellStyle name="Normal 4 56" xfId="26048"/>
    <cellStyle name="Normal 4 57" xfId="26049"/>
    <cellStyle name="Normal 4 58" xfId="26050"/>
    <cellStyle name="Normal 4 59" xfId="26051"/>
    <cellStyle name="Normal 4 6" xfId="26052"/>
    <cellStyle name="Normal 4 60" xfId="26053"/>
    <cellStyle name="Normal 4 61" xfId="26054"/>
    <cellStyle name="Normal 4 62" xfId="26055"/>
    <cellStyle name="Normal 4 63" xfId="26056"/>
    <cellStyle name="Normal 4 64" xfId="26057"/>
    <cellStyle name="Normal 4 65" xfId="26058"/>
    <cellStyle name="Normal 4 66" xfId="26059"/>
    <cellStyle name="Normal 4 67" xfId="26060"/>
    <cellStyle name="Normal 4 68" xfId="26061"/>
    <cellStyle name="Normal 4 69" xfId="26062"/>
    <cellStyle name="Normal 4 7" xfId="26063"/>
    <cellStyle name="Normal 4 70" xfId="26064"/>
    <cellStyle name="Normal 4 71" xfId="26065"/>
    <cellStyle name="Normal 4 72" xfId="26066"/>
    <cellStyle name="Normal 4 73" xfId="26067"/>
    <cellStyle name="Normal 4 74" xfId="26068"/>
    <cellStyle name="Normal 4 75" xfId="26069"/>
    <cellStyle name="Normal 4 76" xfId="26070"/>
    <cellStyle name="Normal 4 77" xfId="26071"/>
    <cellStyle name="Normal 4 78" xfId="26072"/>
    <cellStyle name="Normal 4 79" xfId="26073"/>
    <cellStyle name="Normal 4 8" xfId="26074"/>
    <cellStyle name="Normal 4 80" xfId="26075"/>
    <cellStyle name="Normal 4 81" xfId="26076"/>
    <cellStyle name="Normal 4 82" xfId="26077"/>
    <cellStyle name="Normal 4 83" xfId="26078"/>
    <cellStyle name="Normal 4 84" xfId="26079"/>
    <cellStyle name="Normal 4 85" xfId="26080"/>
    <cellStyle name="Normal 4 86" xfId="26081"/>
    <cellStyle name="Normal 4 87" xfId="26082"/>
    <cellStyle name="Normal 4 9" xfId="26083"/>
    <cellStyle name="Normal 4_Cultura y Tiempo libre 2011 base 2012 PGM - EMV  2013" xfId="26084"/>
    <cellStyle name="Normal 40" xfId="26085"/>
    <cellStyle name="Normal 41" xfId="26086"/>
    <cellStyle name="Normal 42" xfId="26087"/>
    <cellStyle name="Normal 43" xfId="26088"/>
    <cellStyle name="Normal 5" xfId="21"/>
    <cellStyle name="Normal 5 10" xfId="26089"/>
    <cellStyle name="Normal 5 11" xfId="26090"/>
    <cellStyle name="Normal 5 12" xfId="26091"/>
    <cellStyle name="Normal 5 13" xfId="26092"/>
    <cellStyle name="Normal 5 14" xfId="26093"/>
    <cellStyle name="Normal 5 15" xfId="26094"/>
    <cellStyle name="Normal 5 16" xfId="26095"/>
    <cellStyle name="Normal 5 17" xfId="26096"/>
    <cellStyle name="Normal 5 18" xfId="26097"/>
    <cellStyle name="Normal 5 19" xfId="26098"/>
    <cellStyle name="Normal 5 2" xfId="26099"/>
    <cellStyle name="Normal 5 2 10" xfId="26100"/>
    <cellStyle name="Normal 5 2 11" xfId="26101"/>
    <cellStyle name="Normal 5 2 12" xfId="26102"/>
    <cellStyle name="Normal 5 2 13" xfId="26103"/>
    <cellStyle name="Normal 5 2 14" xfId="26104"/>
    <cellStyle name="Normal 5 2 15" xfId="26105"/>
    <cellStyle name="Normal 5 2 16" xfId="26106"/>
    <cellStyle name="Normal 5 2 17" xfId="26107"/>
    <cellStyle name="Normal 5 2 18" xfId="26108"/>
    <cellStyle name="Normal 5 2 19" xfId="26109"/>
    <cellStyle name="Normal 5 2 2" xfId="26110"/>
    <cellStyle name="Normal 5 2 20" xfId="26111"/>
    <cellStyle name="Normal 5 2 21" xfId="26112"/>
    <cellStyle name="Normal 5 2 22" xfId="26113"/>
    <cellStyle name="Normal 5 2 23" xfId="26114"/>
    <cellStyle name="Normal 5 2 24" xfId="26115"/>
    <cellStyle name="Normal 5 2 25" xfId="26116"/>
    <cellStyle name="Normal 5 2 26" xfId="26117"/>
    <cellStyle name="Normal 5 2 27" xfId="26118"/>
    <cellStyle name="Normal 5 2 28" xfId="26119"/>
    <cellStyle name="Normal 5 2 29" xfId="26120"/>
    <cellStyle name="Normal 5 2 3" xfId="26121"/>
    <cellStyle name="Normal 5 2 30" xfId="26122"/>
    <cellStyle name="Normal 5 2 31" xfId="26123"/>
    <cellStyle name="Normal 5 2 32" xfId="26124"/>
    <cellStyle name="Normal 5 2 33" xfId="26125"/>
    <cellStyle name="Normal 5 2 34" xfId="26126"/>
    <cellStyle name="Normal 5 2 35" xfId="26127"/>
    <cellStyle name="Normal 5 2 36" xfId="26128"/>
    <cellStyle name="Normal 5 2 37" xfId="26129"/>
    <cellStyle name="Normal 5 2 38" xfId="26130"/>
    <cellStyle name="Normal 5 2 39" xfId="26131"/>
    <cellStyle name="Normal 5 2 4" xfId="26132"/>
    <cellStyle name="Normal 5 2 40" xfId="26133"/>
    <cellStyle name="Normal 5 2 41" xfId="26134"/>
    <cellStyle name="Normal 5 2 42" xfId="26135"/>
    <cellStyle name="Normal 5 2 43" xfId="26136"/>
    <cellStyle name="Normal 5 2 44" xfId="26137"/>
    <cellStyle name="Normal 5 2 45" xfId="26138"/>
    <cellStyle name="Normal 5 2 46" xfId="26139"/>
    <cellStyle name="Normal 5 2 47" xfId="26140"/>
    <cellStyle name="Normal 5 2 48" xfId="26141"/>
    <cellStyle name="Normal 5 2 49" xfId="26142"/>
    <cellStyle name="Normal 5 2 5" xfId="26143"/>
    <cellStyle name="Normal 5 2 50" xfId="26144"/>
    <cellStyle name="Normal 5 2 51" xfId="26145"/>
    <cellStyle name="Normal 5 2 52" xfId="26146"/>
    <cellStyle name="Normal 5 2 53" xfId="26147"/>
    <cellStyle name="Normal 5 2 54" xfId="26148"/>
    <cellStyle name="Normal 5 2 55" xfId="26149"/>
    <cellStyle name="Normal 5 2 56" xfId="26150"/>
    <cellStyle name="Normal 5 2 57" xfId="26151"/>
    <cellStyle name="Normal 5 2 58" xfId="26152"/>
    <cellStyle name="Normal 5 2 59" xfId="26153"/>
    <cellStyle name="Normal 5 2 6" xfId="26154"/>
    <cellStyle name="Normal 5 2 60" xfId="26155"/>
    <cellStyle name="Normal 5 2 61" xfId="26156"/>
    <cellStyle name="Normal 5 2 62" xfId="26157"/>
    <cellStyle name="Normal 5 2 63" xfId="26158"/>
    <cellStyle name="Normal 5 2 64" xfId="26159"/>
    <cellStyle name="Normal 5 2 65" xfId="26160"/>
    <cellStyle name="Normal 5 2 66" xfId="26161"/>
    <cellStyle name="Normal 5 2 67" xfId="26162"/>
    <cellStyle name="Normal 5 2 68" xfId="26163"/>
    <cellStyle name="Normal 5 2 69" xfId="26164"/>
    <cellStyle name="Normal 5 2 7" xfId="26165"/>
    <cellStyle name="Normal 5 2 70" xfId="26166"/>
    <cellStyle name="Normal 5 2 71" xfId="26167"/>
    <cellStyle name="Normal 5 2 72" xfId="26168"/>
    <cellStyle name="Normal 5 2 73" xfId="26169"/>
    <cellStyle name="Normal 5 2 74" xfId="26170"/>
    <cellStyle name="Normal 5 2 75" xfId="26171"/>
    <cellStyle name="Normal 5 2 76" xfId="26172"/>
    <cellStyle name="Normal 5 2 77" xfId="26173"/>
    <cellStyle name="Normal 5 2 78" xfId="26174"/>
    <cellStyle name="Normal 5 2 79" xfId="26175"/>
    <cellStyle name="Normal 5 2 8" xfId="26176"/>
    <cellStyle name="Normal 5 2 80" xfId="26177"/>
    <cellStyle name="Normal 5 2 81" xfId="26178"/>
    <cellStyle name="Normal 5 2 82" xfId="26179"/>
    <cellStyle name="Normal 5 2 83" xfId="26180"/>
    <cellStyle name="Normal 5 2 9" xfId="26181"/>
    <cellStyle name="Normal 5 20" xfId="26182"/>
    <cellStyle name="Normal 5 21" xfId="26183"/>
    <cellStyle name="Normal 5 22" xfId="26184"/>
    <cellStyle name="Normal 5 23" xfId="26185"/>
    <cellStyle name="Normal 5 24" xfId="26186"/>
    <cellStyle name="Normal 5 25" xfId="26187"/>
    <cellStyle name="Normal 5 26" xfId="26188"/>
    <cellStyle name="Normal 5 27" xfId="26189"/>
    <cellStyle name="Normal 5 28" xfId="26190"/>
    <cellStyle name="Normal 5 29" xfId="26191"/>
    <cellStyle name="Normal 5 3" xfId="26192"/>
    <cellStyle name="Normal 5 3 10" xfId="26193"/>
    <cellStyle name="Normal 5 3 11" xfId="26194"/>
    <cellStyle name="Normal 5 3 12" xfId="26195"/>
    <cellStyle name="Normal 5 3 13" xfId="26196"/>
    <cellStyle name="Normal 5 3 14" xfId="26197"/>
    <cellStyle name="Normal 5 3 15" xfId="26198"/>
    <cellStyle name="Normal 5 3 16" xfId="26199"/>
    <cellStyle name="Normal 5 3 17" xfId="26200"/>
    <cellStyle name="Normal 5 3 18" xfId="26201"/>
    <cellStyle name="Normal 5 3 19" xfId="26202"/>
    <cellStyle name="Normal 5 3 2" xfId="26203"/>
    <cellStyle name="Normal 5 3 20" xfId="26204"/>
    <cellStyle name="Normal 5 3 21" xfId="26205"/>
    <cellStyle name="Normal 5 3 22" xfId="26206"/>
    <cellStyle name="Normal 5 3 23" xfId="26207"/>
    <cellStyle name="Normal 5 3 24" xfId="26208"/>
    <cellStyle name="Normal 5 3 25" xfId="26209"/>
    <cellStyle name="Normal 5 3 26" xfId="26210"/>
    <cellStyle name="Normal 5 3 27" xfId="26211"/>
    <cellStyle name="Normal 5 3 28" xfId="26212"/>
    <cellStyle name="Normal 5 3 29" xfId="26213"/>
    <cellStyle name="Normal 5 3 3" xfId="26214"/>
    <cellStyle name="Normal 5 3 30" xfId="26215"/>
    <cellStyle name="Normal 5 3 31" xfId="26216"/>
    <cellStyle name="Normal 5 3 32" xfId="26217"/>
    <cellStyle name="Normal 5 3 33" xfId="26218"/>
    <cellStyle name="Normal 5 3 34" xfId="26219"/>
    <cellStyle name="Normal 5 3 35" xfId="26220"/>
    <cellStyle name="Normal 5 3 36" xfId="26221"/>
    <cellStyle name="Normal 5 3 37" xfId="26222"/>
    <cellStyle name="Normal 5 3 38" xfId="26223"/>
    <cellStyle name="Normal 5 3 39" xfId="26224"/>
    <cellStyle name="Normal 5 3 4" xfId="26225"/>
    <cellStyle name="Normal 5 3 40" xfId="26226"/>
    <cellStyle name="Normal 5 3 41" xfId="26227"/>
    <cellStyle name="Normal 5 3 42" xfId="26228"/>
    <cellStyle name="Normal 5 3 43" xfId="26229"/>
    <cellStyle name="Normal 5 3 44" xfId="26230"/>
    <cellStyle name="Normal 5 3 45" xfId="26231"/>
    <cellStyle name="Normal 5 3 46" xfId="26232"/>
    <cellStyle name="Normal 5 3 47" xfId="26233"/>
    <cellStyle name="Normal 5 3 48" xfId="26234"/>
    <cellStyle name="Normal 5 3 49" xfId="26235"/>
    <cellStyle name="Normal 5 3 5" xfId="26236"/>
    <cellStyle name="Normal 5 3 50" xfId="26237"/>
    <cellStyle name="Normal 5 3 51" xfId="26238"/>
    <cellStyle name="Normal 5 3 52" xfId="26239"/>
    <cellStyle name="Normal 5 3 53" xfId="26240"/>
    <cellStyle name="Normal 5 3 54" xfId="26241"/>
    <cellStyle name="Normal 5 3 55" xfId="26242"/>
    <cellStyle name="Normal 5 3 56" xfId="26243"/>
    <cellStyle name="Normal 5 3 57" xfId="26244"/>
    <cellStyle name="Normal 5 3 58" xfId="26245"/>
    <cellStyle name="Normal 5 3 59" xfId="26246"/>
    <cellStyle name="Normal 5 3 6" xfId="26247"/>
    <cellStyle name="Normal 5 3 60" xfId="26248"/>
    <cellStyle name="Normal 5 3 61" xfId="26249"/>
    <cellStyle name="Normal 5 3 62" xfId="26250"/>
    <cellStyle name="Normal 5 3 63" xfId="26251"/>
    <cellStyle name="Normal 5 3 64" xfId="26252"/>
    <cellStyle name="Normal 5 3 65" xfId="26253"/>
    <cellStyle name="Normal 5 3 66" xfId="26254"/>
    <cellStyle name="Normal 5 3 67" xfId="26255"/>
    <cellStyle name="Normal 5 3 68" xfId="26256"/>
    <cellStyle name="Normal 5 3 69" xfId="26257"/>
    <cellStyle name="Normal 5 3 7" xfId="26258"/>
    <cellStyle name="Normal 5 3 70" xfId="26259"/>
    <cellStyle name="Normal 5 3 71" xfId="26260"/>
    <cellStyle name="Normal 5 3 72" xfId="26261"/>
    <cellStyle name="Normal 5 3 73" xfId="26262"/>
    <cellStyle name="Normal 5 3 74" xfId="26263"/>
    <cellStyle name="Normal 5 3 75" xfId="26264"/>
    <cellStyle name="Normal 5 3 76" xfId="26265"/>
    <cellStyle name="Normal 5 3 77" xfId="26266"/>
    <cellStyle name="Normal 5 3 78" xfId="26267"/>
    <cellStyle name="Normal 5 3 79" xfId="26268"/>
    <cellStyle name="Normal 5 3 8" xfId="26269"/>
    <cellStyle name="Normal 5 3 80" xfId="26270"/>
    <cellStyle name="Normal 5 3 81" xfId="26271"/>
    <cellStyle name="Normal 5 3 82" xfId="26272"/>
    <cellStyle name="Normal 5 3 83" xfId="26273"/>
    <cellStyle name="Normal 5 3 9" xfId="26274"/>
    <cellStyle name="Normal 5 30" xfId="26275"/>
    <cellStyle name="Normal 5 31" xfId="26276"/>
    <cellStyle name="Normal 5 32" xfId="26277"/>
    <cellStyle name="Normal 5 33" xfId="26278"/>
    <cellStyle name="Normal 5 34" xfId="26279"/>
    <cellStyle name="Normal 5 35" xfId="26280"/>
    <cellStyle name="Normal 5 36" xfId="26281"/>
    <cellStyle name="Normal 5 37" xfId="26282"/>
    <cellStyle name="Normal 5 38" xfId="26283"/>
    <cellStyle name="Normal 5 39" xfId="26284"/>
    <cellStyle name="Normal 5 4" xfId="26285"/>
    <cellStyle name="Normal 5 4 10" xfId="26286"/>
    <cellStyle name="Normal 5 4 11" xfId="26287"/>
    <cellStyle name="Normal 5 4 12" xfId="26288"/>
    <cellStyle name="Normal 5 4 13" xfId="26289"/>
    <cellStyle name="Normal 5 4 14" xfId="26290"/>
    <cellStyle name="Normal 5 4 15" xfId="26291"/>
    <cellStyle name="Normal 5 4 16" xfId="26292"/>
    <cellStyle name="Normal 5 4 17" xfId="26293"/>
    <cellStyle name="Normal 5 4 18" xfId="26294"/>
    <cellStyle name="Normal 5 4 19" xfId="26295"/>
    <cellStyle name="Normal 5 4 2" xfId="26296"/>
    <cellStyle name="Normal 5 4 20" xfId="26297"/>
    <cellStyle name="Normal 5 4 21" xfId="26298"/>
    <cellStyle name="Normal 5 4 22" xfId="26299"/>
    <cellStyle name="Normal 5 4 23" xfId="26300"/>
    <cellStyle name="Normal 5 4 24" xfId="26301"/>
    <cellStyle name="Normal 5 4 25" xfId="26302"/>
    <cellStyle name="Normal 5 4 26" xfId="26303"/>
    <cellStyle name="Normal 5 4 27" xfId="26304"/>
    <cellStyle name="Normal 5 4 28" xfId="26305"/>
    <cellStyle name="Normal 5 4 29" xfId="26306"/>
    <cellStyle name="Normal 5 4 3" xfId="26307"/>
    <cellStyle name="Normal 5 4 30" xfId="26308"/>
    <cellStyle name="Normal 5 4 31" xfId="26309"/>
    <cellStyle name="Normal 5 4 32" xfId="26310"/>
    <cellStyle name="Normal 5 4 33" xfId="26311"/>
    <cellStyle name="Normal 5 4 34" xfId="26312"/>
    <cellStyle name="Normal 5 4 35" xfId="26313"/>
    <cellStyle name="Normal 5 4 36" xfId="26314"/>
    <cellStyle name="Normal 5 4 37" xfId="26315"/>
    <cellStyle name="Normal 5 4 38" xfId="26316"/>
    <cellStyle name="Normal 5 4 39" xfId="26317"/>
    <cellStyle name="Normal 5 4 4" xfId="26318"/>
    <cellStyle name="Normal 5 4 40" xfId="26319"/>
    <cellStyle name="Normal 5 4 41" xfId="26320"/>
    <cellStyle name="Normal 5 4 42" xfId="26321"/>
    <cellStyle name="Normal 5 4 43" xfId="26322"/>
    <cellStyle name="Normal 5 4 44" xfId="26323"/>
    <cellStyle name="Normal 5 4 45" xfId="26324"/>
    <cellStyle name="Normal 5 4 46" xfId="26325"/>
    <cellStyle name="Normal 5 4 47" xfId="26326"/>
    <cellStyle name="Normal 5 4 48" xfId="26327"/>
    <cellStyle name="Normal 5 4 49" xfId="26328"/>
    <cellStyle name="Normal 5 4 5" xfId="26329"/>
    <cellStyle name="Normal 5 4 50" xfId="26330"/>
    <cellStyle name="Normal 5 4 51" xfId="26331"/>
    <cellStyle name="Normal 5 4 52" xfId="26332"/>
    <cellStyle name="Normal 5 4 53" xfId="26333"/>
    <cellStyle name="Normal 5 4 54" xfId="26334"/>
    <cellStyle name="Normal 5 4 55" xfId="26335"/>
    <cellStyle name="Normal 5 4 56" xfId="26336"/>
    <cellStyle name="Normal 5 4 57" xfId="26337"/>
    <cellStyle name="Normal 5 4 58" xfId="26338"/>
    <cellStyle name="Normal 5 4 59" xfId="26339"/>
    <cellStyle name="Normal 5 4 6" xfId="26340"/>
    <cellStyle name="Normal 5 4 60" xfId="26341"/>
    <cellStyle name="Normal 5 4 61" xfId="26342"/>
    <cellStyle name="Normal 5 4 62" xfId="26343"/>
    <cellStyle name="Normal 5 4 63" xfId="26344"/>
    <cellStyle name="Normal 5 4 64" xfId="26345"/>
    <cellStyle name="Normal 5 4 65" xfId="26346"/>
    <cellStyle name="Normal 5 4 66" xfId="26347"/>
    <cellStyle name="Normal 5 4 67" xfId="26348"/>
    <cellStyle name="Normal 5 4 68" xfId="26349"/>
    <cellStyle name="Normal 5 4 69" xfId="26350"/>
    <cellStyle name="Normal 5 4 7" xfId="26351"/>
    <cellStyle name="Normal 5 4 70" xfId="26352"/>
    <cellStyle name="Normal 5 4 71" xfId="26353"/>
    <cellStyle name="Normal 5 4 72" xfId="26354"/>
    <cellStyle name="Normal 5 4 73" xfId="26355"/>
    <cellStyle name="Normal 5 4 74" xfId="26356"/>
    <cellStyle name="Normal 5 4 75" xfId="26357"/>
    <cellStyle name="Normal 5 4 76" xfId="26358"/>
    <cellStyle name="Normal 5 4 77" xfId="26359"/>
    <cellStyle name="Normal 5 4 78" xfId="26360"/>
    <cellStyle name="Normal 5 4 79" xfId="26361"/>
    <cellStyle name="Normal 5 4 8" xfId="26362"/>
    <cellStyle name="Normal 5 4 80" xfId="26363"/>
    <cellStyle name="Normal 5 4 81" xfId="26364"/>
    <cellStyle name="Normal 5 4 82" xfId="26365"/>
    <cellStyle name="Normal 5 4 83" xfId="26366"/>
    <cellStyle name="Normal 5 4 9" xfId="26367"/>
    <cellStyle name="Normal 5 40" xfId="26368"/>
    <cellStyle name="Normal 5 41" xfId="26369"/>
    <cellStyle name="Normal 5 42" xfId="26370"/>
    <cellStyle name="Normal 5 43" xfId="26371"/>
    <cellStyle name="Normal 5 44" xfId="26372"/>
    <cellStyle name="Normal 5 45" xfId="26373"/>
    <cellStyle name="Normal 5 46" xfId="26374"/>
    <cellStyle name="Normal 5 47" xfId="26375"/>
    <cellStyle name="Normal 5 48" xfId="26376"/>
    <cellStyle name="Normal 5 49" xfId="26377"/>
    <cellStyle name="Normal 5 5" xfId="26378"/>
    <cellStyle name="Normal 5 5 10" xfId="26379"/>
    <cellStyle name="Normal 5 5 11" xfId="26380"/>
    <cellStyle name="Normal 5 5 12" xfId="26381"/>
    <cellStyle name="Normal 5 5 13" xfId="26382"/>
    <cellStyle name="Normal 5 5 14" xfId="26383"/>
    <cellStyle name="Normal 5 5 15" xfId="26384"/>
    <cellStyle name="Normal 5 5 16" xfId="26385"/>
    <cellStyle name="Normal 5 5 17" xfId="26386"/>
    <cellStyle name="Normal 5 5 18" xfId="26387"/>
    <cellStyle name="Normal 5 5 19" xfId="26388"/>
    <cellStyle name="Normal 5 5 2" xfId="26389"/>
    <cellStyle name="Normal 5 5 20" xfId="26390"/>
    <cellStyle name="Normal 5 5 21" xfId="26391"/>
    <cellStyle name="Normal 5 5 22" xfId="26392"/>
    <cellStyle name="Normal 5 5 23" xfId="26393"/>
    <cellStyle name="Normal 5 5 24" xfId="26394"/>
    <cellStyle name="Normal 5 5 25" xfId="26395"/>
    <cellStyle name="Normal 5 5 26" xfId="26396"/>
    <cellStyle name="Normal 5 5 27" xfId="26397"/>
    <cellStyle name="Normal 5 5 28" xfId="26398"/>
    <cellStyle name="Normal 5 5 29" xfId="26399"/>
    <cellStyle name="Normal 5 5 3" xfId="26400"/>
    <cellStyle name="Normal 5 5 30" xfId="26401"/>
    <cellStyle name="Normal 5 5 31" xfId="26402"/>
    <cellStyle name="Normal 5 5 32" xfId="26403"/>
    <cellStyle name="Normal 5 5 33" xfId="26404"/>
    <cellStyle name="Normal 5 5 34" xfId="26405"/>
    <cellStyle name="Normal 5 5 35" xfId="26406"/>
    <cellStyle name="Normal 5 5 36" xfId="26407"/>
    <cellStyle name="Normal 5 5 37" xfId="26408"/>
    <cellStyle name="Normal 5 5 38" xfId="26409"/>
    <cellStyle name="Normal 5 5 39" xfId="26410"/>
    <cellStyle name="Normal 5 5 4" xfId="26411"/>
    <cellStyle name="Normal 5 5 40" xfId="26412"/>
    <cellStyle name="Normal 5 5 41" xfId="26413"/>
    <cellStyle name="Normal 5 5 42" xfId="26414"/>
    <cellStyle name="Normal 5 5 43" xfId="26415"/>
    <cellStyle name="Normal 5 5 44" xfId="26416"/>
    <cellStyle name="Normal 5 5 45" xfId="26417"/>
    <cellStyle name="Normal 5 5 46" xfId="26418"/>
    <cellStyle name="Normal 5 5 47" xfId="26419"/>
    <cellStyle name="Normal 5 5 48" xfId="26420"/>
    <cellStyle name="Normal 5 5 49" xfId="26421"/>
    <cellStyle name="Normal 5 5 5" xfId="26422"/>
    <cellStyle name="Normal 5 5 50" xfId="26423"/>
    <cellStyle name="Normal 5 5 51" xfId="26424"/>
    <cellStyle name="Normal 5 5 52" xfId="26425"/>
    <cellStyle name="Normal 5 5 53" xfId="26426"/>
    <cellStyle name="Normal 5 5 54" xfId="26427"/>
    <cellStyle name="Normal 5 5 55" xfId="26428"/>
    <cellStyle name="Normal 5 5 56" xfId="26429"/>
    <cellStyle name="Normal 5 5 57" xfId="26430"/>
    <cellStyle name="Normal 5 5 58" xfId="26431"/>
    <cellStyle name="Normal 5 5 59" xfId="26432"/>
    <cellStyle name="Normal 5 5 6" xfId="26433"/>
    <cellStyle name="Normal 5 5 60" xfId="26434"/>
    <cellStyle name="Normal 5 5 61" xfId="26435"/>
    <cellStyle name="Normal 5 5 62" xfId="26436"/>
    <cellStyle name="Normal 5 5 63" xfId="26437"/>
    <cellStyle name="Normal 5 5 64" xfId="26438"/>
    <cellStyle name="Normal 5 5 65" xfId="26439"/>
    <cellStyle name="Normal 5 5 66" xfId="26440"/>
    <cellStyle name="Normal 5 5 67" xfId="26441"/>
    <cellStyle name="Normal 5 5 68" xfId="26442"/>
    <cellStyle name="Normal 5 5 69" xfId="26443"/>
    <cellStyle name="Normal 5 5 7" xfId="26444"/>
    <cellStyle name="Normal 5 5 70" xfId="26445"/>
    <cellStyle name="Normal 5 5 71" xfId="26446"/>
    <cellStyle name="Normal 5 5 72" xfId="26447"/>
    <cellStyle name="Normal 5 5 73" xfId="26448"/>
    <cellStyle name="Normal 5 5 74" xfId="26449"/>
    <cellStyle name="Normal 5 5 75" xfId="26450"/>
    <cellStyle name="Normal 5 5 76" xfId="26451"/>
    <cellStyle name="Normal 5 5 77" xfId="26452"/>
    <cellStyle name="Normal 5 5 78" xfId="26453"/>
    <cellStyle name="Normal 5 5 79" xfId="26454"/>
    <cellStyle name="Normal 5 5 8" xfId="26455"/>
    <cellStyle name="Normal 5 5 80" xfId="26456"/>
    <cellStyle name="Normal 5 5 81" xfId="26457"/>
    <cellStyle name="Normal 5 5 82" xfId="26458"/>
    <cellStyle name="Normal 5 5 83" xfId="26459"/>
    <cellStyle name="Normal 5 5 9" xfId="26460"/>
    <cellStyle name="Normal 5 50" xfId="26461"/>
    <cellStyle name="Normal 5 51" xfId="26462"/>
    <cellStyle name="Normal 5 52" xfId="26463"/>
    <cellStyle name="Normal 5 53" xfId="26464"/>
    <cellStyle name="Normal 5 54" xfId="26465"/>
    <cellStyle name="Normal 5 55" xfId="26466"/>
    <cellStyle name="Normal 5 56" xfId="26467"/>
    <cellStyle name="Normal 5 57" xfId="26468"/>
    <cellStyle name="Normal 5 58" xfId="26469"/>
    <cellStyle name="Normal 5 59" xfId="26470"/>
    <cellStyle name="Normal 5 6" xfId="26471"/>
    <cellStyle name="Normal 5 60" xfId="26472"/>
    <cellStyle name="Normal 5 61" xfId="26473"/>
    <cellStyle name="Normal 5 62" xfId="26474"/>
    <cellStyle name="Normal 5 63" xfId="26475"/>
    <cellStyle name="Normal 5 64" xfId="26476"/>
    <cellStyle name="Normal 5 65" xfId="26477"/>
    <cellStyle name="Normal 5 66" xfId="26478"/>
    <cellStyle name="Normal 5 67" xfId="26479"/>
    <cellStyle name="Normal 5 68" xfId="26480"/>
    <cellStyle name="Normal 5 69" xfId="26481"/>
    <cellStyle name="Normal 5 7" xfId="26482"/>
    <cellStyle name="Normal 5 70" xfId="26483"/>
    <cellStyle name="Normal 5 71" xfId="26484"/>
    <cellStyle name="Normal 5 72" xfId="26485"/>
    <cellStyle name="Normal 5 73" xfId="26486"/>
    <cellStyle name="Normal 5 74" xfId="26487"/>
    <cellStyle name="Normal 5 75" xfId="26488"/>
    <cellStyle name="Normal 5 76" xfId="26489"/>
    <cellStyle name="Normal 5 77" xfId="26490"/>
    <cellStyle name="Normal 5 78" xfId="26491"/>
    <cellStyle name="Normal 5 79" xfId="26492"/>
    <cellStyle name="Normal 5 8" xfId="26493"/>
    <cellStyle name="Normal 5 80" xfId="26494"/>
    <cellStyle name="Normal 5 81" xfId="26495"/>
    <cellStyle name="Normal 5 82" xfId="26496"/>
    <cellStyle name="Normal 5 83" xfId="26497"/>
    <cellStyle name="Normal 5 84" xfId="26498"/>
    <cellStyle name="Normal 5 85" xfId="26499"/>
    <cellStyle name="Normal 5 86" xfId="26500"/>
    <cellStyle name="Normal 5 87" xfId="26501"/>
    <cellStyle name="Normal 5 9" xfId="26502"/>
    <cellStyle name="Normal 5_Cultura y Tiempo libre 2011 base 2012 PGM - EMV  2013" xfId="26503"/>
    <cellStyle name="Normal 6" xfId="26504"/>
    <cellStyle name="Normal 6 10" xfId="26505"/>
    <cellStyle name="Normal 6 11" xfId="26506"/>
    <cellStyle name="Normal 6 12" xfId="26507"/>
    <cellStyle name="Normal 6 13" xfId="26508"/>
    <cellStyle name="Normal 6 14" xfId="26509"/>
    <cellStyle name="Normal 6 15" xfId="26510"/>
    <cellStyle name="Normal 6 16" xfId="26511"/>
    <cellStyle name="Normal 6 17" xfId="26512"/>
    <cellStyle name="Normal 6 18" xfId="26513"/>
    <cellStyle name="Normal 6 19" xfId="26514"/>
    <cellStyle name="Normal 6 2" xfId="26515"/>
    <cellStyle name="Normal 6 2 10" xfId="26516"/>
    <cellStyle name="Normal 6 2 11" xfId="26517"/>
    <cellStyle name="Normal 6 2 12" xfId="26518"/>
    <cellStyle name="Normal 6 2 13" xfId="26519"/>
    <cellStyle name="Normal 6 2 14" xfId="26520"/>
    <cellStyle name="Normal 6 2 15" xfId="26521"/>
    <cellStyle name="Normal 6 2 16" xfId="26522"/>
    <cellStyle name="Normal 6 2 17" xfId="26523"/>
    <cellStyle name="Normal 6 2 18" xfId="26524"/>
    <cellStyle name="Normal 6 2 19" xfId="26525"/>
    <cellStyle name="Normal 6 2 2" xfId="26526"/>
    <cellStyle name="Normal 6 2 20" xfId="26527"/>
    <cellStyle name="Normal 6 2 21" xfId="26528"/>
    <cellStyle name="Normal 6 2 22" xfId="26529"/>
    <cellStyle name="Normal 6 2 23" xfId="26530"/>
    <cellStyle name="Normal 6 2 24" xfId="26531"/>
    <cellStyle name="Normal 6 2 25" xfId="26532"/>
    <cellStyle name="Normal 6 2 26" xfId="26533"/>
    <cellStyle name="Normal 6 2 27" xfId="26534"/>
    <cellStyle name="Normal 6 2 28" xfId="26535"/>
    <cellStyle name="Normal 6 2 29" xfId="26536"/>
    <cellStyle name="Normal 6 2 3" xfId="26537"/>
    <cellStyle name="Normal 6 2 30" xfId="26538"/>
    <cellStyle name="Normal 6 2 31" xfId="26539"/>
    <cellStyle name="Normal 6 2 32" xfId="26540"/>
    <cellStyle name="Normal 6 2 33" xfId="26541"/>
    <cellStyle name="Normal 6 2 34" xfId="26542"/>
    <cellStyle name="Normal 6 2 35" xfId="26543"/>
    <cellStyle name="Normal 6 2 36" xfId="26544"/>
    <cellStyle name="Normal 6 2 37" xfId="26545"/>
    <cellStyle name="Normal 6 2 38" xfId="26546"/>
    <cellStyle name="Normal 6 2 39" xfId="26547"/>
    <cellStyle name="Normal 6 2 4" xfId="26548"/>
    <cellStyle name="Normal 6 2 40" xfId="26549"/>
    <cellStyle name="Normal 6 2 41" xfId="26550"/>
    <cellStyle name="Normal 6 2 42" xfId="26551"/>
    <cellStyle name="Normal 6 2 43" xfId="26552"/>
    <cellStyle name="Normal 6 2 44" xfId="26553"/>
    <cellStyle name="Normal 6 2 45" xfId="26554"/>
    <cellStyle name="Normal 6 2 46" xfId="26555"/>
    <cellStyle name="Normal 6 2 47" xfId="26556"/>
    <cellStyle name="Normal 6 2 48" xfId="26557"/>
    <cellStyle name="Normal 6 2 49" xfId="26558"/>
    <cellStyle name="Normal 6 2 5" xfId="26559"/>
    <cellStyle name="Normal 6 2 50" xfId="26560"/>
    <cellStyle name="Normal 6 2 51" xfId="26561"/>
    <cellStyle name="Normal 6 2 52" xfId="26562"/>
    <cellStyle name="Normal 6 2 53" xfId="26563"/>
    <cellStyle name="Normal 6 2 54" xfId="26564"/>
    <cellStyle name="Normal 6 2 55" xfId="26565"/>
    <cellStyle name="Normal 6 2 56" xfId="26566"/>
    <cellStyle name="Normal 6 2 57" xfId="26567"/>
    <cellStyle name="Normal 6 2 58" xfId="26568"/>
    <cellStyle name="Normal 6 2 59" xfId="26569"/>
    <cellStyle name="Normal 6 2 6" xfId="26570"/>
    <cellStyle name="Normal 6 2 60" xfId="26571"/>
    <cellStyle name="Normal 6 2 61" xfId="26572"/>
    <cellStyle name="Normal 6 2 62" xfId="26573"/>
    <cellStyle name="Normal 6 2 63" xfId="26574"/>
    <cellStyle name="Normal 6 2 64" xfId="26575"/>
    <cellStyle name="Normal 6 2 65" xfId="26576"/>
    <cellStyle name="Normal 6 2 66" xfId="26577"/>
    <cellStyle name="Normal 6 2 67" xfId="26578"/>
    <cellStyle name="Normal 6 2 68" xfId="26579"/>
    <cellStyle name="Normal 6 2 69" xfId="26580"/>
    <cellStyle name="Normal 6 2 7" xfId="26581"/>
    <cellStyle name="Normal 6 2 70" xfId="26582"/>
    <cellStyle name="Normal 6 2 71" xfId="26583"/>
    <cellStyle name="Normal 6 2 72" xfId="26584"/>
    <cellStyle name="Normal 6 2 73" xfId="26585"/>
    <cellStyle name="Normal 6 2 74" xfId="26586"/>
    <cellStyle name="Normal 6 2 75" xfId="26587"/>
    <cellStyle name="Normal 6 2 76" xfId="26588"/>
    <cellStyle name="Normal 6 2 77" xfId="26589"/>
    <cellStyle name="Normal 6 2 78" xfId="26590"/>
    <cellStyle name="Normal 6 2 79" xfId="26591"/>
    <cellStyle name="Normal 6 2 8" xfId="26592"/>
    <cellStyle name="Normal 6 2 80" xfId="26593"/>
    <cellStyle name="Normal 6 2 81" xfId="26594"/>
    <cellStyle name="Normal 6 2 82" xfId="26595"/>
    <cellStyle name="Normal 6 2 83" xfId="26596"/>
    <cellStyle name="Normal 6 2 9" xfId="26597"/>
    <cellStyle name="Normal 6 20" xfId="26598"/>
    <cellStyle name="Normal 6 21" xfId="26599"/>
    <cellStyle name="Normal 6 22" xfId="26600"/>
    <cellStyle name="Normal 6 23" xfId="26601"/>
    <cellStyle name="Normal 6 24" xfId="26602"/>
    <cellStyle name="Normal 6 25" xfId="26603"/>
    <cellStyle name="Normal 6 26" xfId="26604"/>
    <cellStyle name="Normal 6 27" xfId="26605"/>
    <cellStyle name="Normal 6 28" xfId="26606"/>
    <cellStyle name="Normal 6 29" xfId="26607"/>
    <cellStyle name="Normal 6 3" xfId="26608"/>
    <cellStyle name="Normal 6 3 10" xfId="26609"/>
    <cellStyle name="Normal 6 3 11" xfId="26610"/>
    <cellStyle name="Normal 6 3 12" xfId="26611"/>
    <cellStyle name="Normal 6 3 13" xfId="26612"/>
    <cellStyle name="Normal 6 3 14" xfId="26613"/>
    <cellStyle name="Normal 6 3 15" xfId="26614"/>
    <cellStyle name="Normal 6 3 16" xfId="26615"/>
    <cellStyle name="Normal 6 3 17" xfId="26616"/>
    <cellStyle name="Normal 6 3 18" xfId="26617"/>
    <cellStyle name="Normal 6 3 19" xfId="26618"/>
    <cellStyle name="Normal 6 3 2" xfId="26619"/>
    <cellStyle name="Normal 6 3 20" xfId="26620"/>
    <cellStyle name="Normal 6 3 21" xfId="26621"/>
    <cellStyle name="Normal 6 3 22" xfId="26622"/>
    <cellStyle name="Normal 6 3 23" xfId="26623"/>
    <cellStyle name="Normal 6 3 24" xfId="26624"/>
    <cellStyle name="Normal 6 3 25" xfId="26625"/>
    <cellStyle name="Normal 6 3 26" xfId="26626"/>
    <cellStyle name="Normal 6 3 27" xfId="26627"/>
    <cellStyle name="Normal 6 3 28" xfId="26628"/>
    <cellStyle name="Normal 6 3 29" xfId="26629"/>
    <cellStyle name="Normal 6 3 3" xfId="26630"/>
    <cellStyle name="Normal 6 3 30" xfId="26631"/>
    <cellStyle name="Normal 6 3 31" xfId="26632"/>
    <cellStyle name="Normal 6 3 32" xfId="26633"/>
    <cellStyle name="Normal 6 3 33" xfId="26634"/>
    <cellStyle name="Normal 6 3 34" xfId="26635"/>
    <cellStyle name="Normal 6 3 35" xfId="26636"/>
    <cellStyle name="Normal 6 3 36" xfId="26637"/>
    <cellStyle name="Normal 6 3 37" xfId="26638"/>
    <cellStyle name="Normal 6 3 38" xfId="26639"/>
    <cellStyle name="Normal 6 3 39" xfId="26640"/>
    <cellStyle name="Normal 6 3 4" xfId="26641"/>
    <cellStyle name="Normal 6 3 40" xfId="26642"/>
    <cellStyle name="Normal 6 3 41" xfId="26643"/>
    <cellStyle name="Normal 6 3 42" xfId="26644"/>
    <cellStyle name="Normal 6 3 43" xfId="26645"/>
    <cellStyle name="Normal 6 3 44" xfId="26646"/>
    <cellStyle name="Normal 6 3 45" xfId="26647"/>
    <cellStyle name="Normal 6 3 46" xfId="26648"/>
    <cellStyle name="Normal 6 3 47" xfId="26649"/>
    <cellStyle name="Normal 6 3 48" xfId="26650"/>
    <cellStyle name="Normal 6 3 49" xfId="26651"/>
    <cellStyle name="Normal 6 3 5" xfId="26652"/>
    <cellStyle name="Normal 6 3 50" xfId="26653"/>
    <cellStyle name="Normal 6 3 51" xfId="26654"/>
    <cellStyle name="Normal 6 3 52" xfId="26655"/>
    <cellStyle name="Normal 6 3 53" xfId="26656"/>
    <cellStyle name="Normal 6 3 54" xfId="26657"/>
    <cellStyle name="Normal 6 3 55" xfId="26658"/>
    <cellStyle name="Normal 6 3 56" xfId="26659"/>
    <cellStyle name="Normal 6 3 57" xfId="26660"/>
    <cellStyle name="Normal 6 3 58" xfId="26661"/>
    <cellStyle name="Normal 6 3 59" xfId="26662"/>
    <cellStyle name="Normal 6 3 6" xfId="26663"/>
    <cellStyle name="Normal 6 3 60" xfId="26664"/>
    <cellStyle name="Normal 6 3 61" xfId="26665"/>
    <cellStyle name="Normal 6 3 62" xfId="26666"/>
    <cellStyle name="Normal 6 3 63" xfId="26667"/>
    <cellStyle name="Normal 6 3 64" xfId="26668"/>
    <cellStyle name="Normal 6 3 65" xfId="26669"/>
    <cellStyle name="Normal 6 3 66" xfId="26670"/>
    <cellStyle name="Normal 6 3 67" xfId="26671"/>
    <cellStyle name="Normal 6 3 68" xfId="26672"/>
    <cellStyle name="Normal 6 3 69" xfId="26673"/>
    <cellStyle name="Normal 6 3 7" xfId="26674"/>
    <cellStyle name="Normal 6 3 70" xfId="26675"/>
    <cellStyle name="Normal 6 3 71" xfId="26676"/>
    <cellStyle name="Normal 6 3 72" xfId="26677"/>
    <cellStyle name="Normal 6 3 73" xfId="26678"/>
    <cellStyle name="Normal 6 3 74" xfId="26679"/>
    <cellStyle name="Normal 6 3 75" xfId="26680"/>
    <cellStyle name="Normal 6 3 76" xfId="26681"/>
    <cellStyle name="Normal 6 3 77" xfId="26682"/>
    <cellStyle name="Normal 6 3 78" xfId="26683"/>
    <cellStyle name="Normal 6 3 79" xfId="26684"/>
    <cellStyle name="Normal 6 3 8" xfId="26685"/>
    <cellStyle name="Normal 6 3 80" xfId="26686"/>
    <cellStyle name="Normal 6 3 81" xfId="26687"/>
    <cellStyle name="Normal 6 3 82" xfId="26688"/>
    <cellStyle name="Normal 6 3 83" xfId="26689"/>
    <cellStyle name="Normal 6 3 9" xfId="26690"/>
    <cellStyle name="Normal 6 30" xfId="26691"/>
    <cellStyle name="Normal 6 31" xfId="26692"/>
    <cellStyle name="Normal 6 32" xfId="26693"/>
    <cellStyle name="Normal 6 33" xfId="26694"/>
    <cellStyle name="Normal 6 34" xfId="26695"/>
    <cellStyle name="Normal 6 35" xfId="26696"/>
    <cellStyle name="Normal 6 36" xfId="26697"/>
    <cellStyle name="Normal 6 37" xfId="26698"/>
    <cellStyle name="Normal 6 38" xfId="26699"/>
    <cellStyle name="Normal 6 39" xfId="26700"/>
    <cellStyle name="Normal 6 4" xfId="26701"/>
    <cellStyle name="Normal 6 4 10" xfId="26702"/>
    <cellStyle name="Normal 6 4 11" xfId="26703"/>
    <cellStyle name="Normal 6 4 12" xfId="26704"/>
    <cellStyle name="Normal 6 4 13" xfId="26705"/>
    <cellStyle name="Normal 6 4 14" xfId="26706"/>
    <cellStyle name="Normal 6 4 15" xfId="26707"/>
    <cellStyle name="Normal 6 4 16" xfId="26708"/>
    <cellStyle name="Normal 6 4 17" xfId="26709"/>
    <cellStyle name="Normal 6 4 18" xfId="26710"/>
    <cellStyle name="Normal 6 4 19" xfId="26711"/>
    <cellStyle name="Normal 6 4 2" xfId="26712"/>
    <cellStyle name="Normal 6 4 20" xfId="26713"/>
    <cellStyle name="Normal 6 4 21" xfId="26714"/>
    <cellStyle name="Normal 6 4 22" xfId="26715"/>
    <cellStyle name="Normal 6 4 23" xfId="26716"/>
    <cellStyle name="Normal 6 4 24" xfId="26717"/>
    <cellStyle name="Normal 6 4 25" xfId="26718"/>
    <cellStyle name="Normal 6 4 26" xfId="26719"/>
    <cellStyle name="Normal 6 4 27" xfId="26720"/>
    <cellStyle name="Normal 6 4 28" xfId="26721"/>
    <cellStyle name="Normal 6 4 29" xfId="26722"/>
    <cellStyle name="Normal 6 4 3" xfId="26723"/>
    <cellStyle name="Normal 6 4 30" xfId="26724"/>
    <cellStyle name="Normal 6 4 31" xfId="26725"/>
    <cellStyle name="Normal 6 4 32" xfId="26726"/>
    <cellStyle name="Normal 6 4 33" xfId="26727"/>
    <cellStyle name="Normal 6 4 34" xfId="26728"/>
    <cellStyle name="Normal 6 4 35" xfId="26729"/>
    <cellStyle name="Normal 6 4 36" xfId="26730"/>
    <cellStyle name="Normal 6 4 37" xfId="26731"/>
    <cellStyle name="Normal 6 4 38" xfId="26732"/>
    <cellStyle name="Normal 6 4 39" xfId="26733"/>
    <cellStyle name="Normal 6 4 4" xfId="26734"/>
    <cellStyle name="Normal 6 4 40" xfId="26735"/>
    <cellStyle name="Normal 6 4 41" xfId="26736"/>
    <cellStyle name="Normal 6 4 42" xfId="26737"/>
    <cellStyle name="Normal 6 4 43" xfId="26738"/>
    <cellStyle name="Normal 6 4 44" xfId="26739"/>
    <cellStyle name="Normal 6 4 45" xfId="26740"/>
    <cellStyle name="Normal 6 4 46" xfId="26741"/>
    <cellStyle name="Normal 6 4 47" xfId="26742"/>
    <cellStyle name="Normal 6 4 48" xfId="26743"/>
    <cellStyle name="Normal 6 4 49" xfId="26744"/>
    <cellStyle name="Normal 6 4 5" xfId="26745"/>
    <cellStyle name="Normal 6 4 50" xfId="26746"/>
    <cellStyle name="Normal 6 4 51" xfId="26747"/>
    <cellStyle name="Normal 6 4 52" xfId="26748"/>
    <cellStyle name="Normal 6 4 53" xfId="26749"/>
    <cellStyle name="Normal 6 4 54" xfId="26750"/>
    <cellStyle name="Normal 6 4 55" xfId="26751"/>
    <cellStyle name="Normal 6 4 56" xfId="26752"/>
    <cellStyle name="Normal 6 4 57" xfId="26753"/>
    <cellStyle name="Normal 6 4 58" xfId="26754"/>
    <cellStyle name="Normal 6 4 59" xfId="26755"/>
    <cellStyle name="Normal 6 4 6" xfId="26756"/>
    <cellStyle name="Normal 6 4 60" xfId="26757"/>
    <cellStyle name="Normal 6 4 61" xfId="26758"/>
    <cellStyle name="Normal 6 4 62" xfId="26759"/>
    <cellStyle name="Normal 6 4 63" xfId="26760"/>
    <cellStyle name="Normal 6 4 64" xfId="26761"/>
    <cellStyle name="Normal 6 4 65" xfId="26762"/>
    <cellStyle name="Normal 6 4 66" xfId="26763"/>
    <cellStyle name="Normal 6 4 67" xfId="26764"/>
    <cellStyle name="Normal 6 4 68" xfId="26765"/>
    <cellStyle name="Normal 6 4 69" xfId="26766"/>
    <cellStyle name="Normal 6 4 7" xfId="26767"/>
    <cellStyle name="Normal 6 4 70" xfId="26768"/>
    <cellStyle name="Normal 6 4 71" xfId="26769"/>
    <cellStyle name="Normal 6 4 72" xfId="26770"/>
    <cellStyle name="Normal 6 4 73" xfId="26771"/>
    <cellStyle name="Normal 6 4 74" xfId="26772"/>
    <cellStyle name="Normal 6 4 75" xfId="26773"/>
    <cellStyle name="Normal 6 4 76" xfId="26774"/>
    <cellStyle name="Normal 6 4 77" xfId="26775"/>
    <cellStyle name="Normal 6 4 78" xfId="26776"/>
    <cellStyle name="Normal 6 4 79" xfId="26777"/>
    <cellStyle name="Normal 6 4 8" xfId="26778"/>
    <cellStyle name="Normal 6 4 80" xfId="26779"/>
    <cellStyle name="Normal 6 4 81" xfId="26780"/>
    <cellStyle name="Normal 6 4 82" xfId="26781"/>
    <cellStyle name="Normal 6 4 83" xfId="26782"/>
    <cellStyle name="Normal 6 4 9" xfId="26783"/>
    <cellStyle name="Normal 6 40" xfId="26784"/>
    <cellStyle name="Normal 6 41" xfId="26785"/>
    <cellStyle name="Normal 6 42" xfId="26786"/>
    <cellStyle name="Normal 6 43" xfId="26787"/>
    <cellStyle name="Normal 6 44" xfId="26788"/>
    <cellStyle name="Normal 6 45" xfId="26789"/>
    <cellStyle name="Normal 6 46" xfId="26790"/>
    <cellStyle name="Normal 6 47" xfId="26791"/>
    <cellStyle name="Normal 6 48" xfId="26792"/>
    <cellStyle name="Normal 6 49" xfId="26793"/>
    <cellStyle name="Normal 6 5" xfId="26794"/>
    <cellStyle name="Normal 6 50" xfId="26795"/>
    <cellStyle name="Normal 6 51" xfId="26796"/>
    <cellStyle name="Normal 6 52" xfId="26797"/>
    <cellStyle name="Normal 6 53" xfId="26798"/>
    <cellStyle name="Normal 6 54" xfId="26799"/>
    <cellStyle name="Normal 6 55" xfId="26800"/>
    <cellStyle name="Normal 6 56" xfId="26801"/>
    <cellStyle name="Normal 6 57" xfId="26802"/>
    <cellStyle name="Normal 6 58" xfId="26803"/>
    <cellStyle name="Normal 6 59" xfId="26804"/>
    <cellStyle name="Normal 6 6" xfId="26805"/>
    <cellStyle name="Normal 6 60" xfId="26806"/>
    <cellStyle name="Normal 6 61" xfId="26807"/>
    <cellStyle name="Normal 6 62" xfId="26808"/>
    <cellStyle name="Normal 6 63" xfId="26809"/>
    <cellStyle name="Normal 6 64" xfId="26810"/>
    <cellStyle name="Normal 6 65" xfId="26811"/>
    <cellStyle name="Normal 6 66" xfId="26812"/>
    <cellStyle name="Normal 6 67" xfId="26813"/>
    <cellStyle name="Normal 6 68" xfId="26814"/>
    <cellStyle name="Normal 6 69" xfId="26815"/>
    <cellStyle name="Normal 6 7" xfId="26816"/>
    <cellStyle name="Normal 6 70" xfId="26817"/>
    <cellStyle name="Normal 6 71" xfId="26818"/>
    <cellStyle name="Normal 6 72" xfId="26819"/>
    <cellStyle name="Normal 6 73" xfId="26820"/>
    <cellStyle name="Normal 6 74" xfId="26821"/>
    <cellStyle name="Normal 6 75" xfId="26822"/>
    <cellStyle name="Normal 6 76" xfId="26823"/>
    <cellStyle name="Normal 6 77" xfId="26824"/>
    <cellStyle name="Normal 6 78" xfId="26825"/>
    <cellStyle name="Normal 6 79" xfId="26826"/>
    <cellStyle name="Normal 6 8" xfId="26827"/>
    <cellStyle name="Normal 6 80" xfId="26828"/>
    <cellStyle name="Normal 6 81" xfId="26829"/>
    <cellStyle name="Normal 6 82" xfId="26830"/>
    <cellStyle name="Normal 6 83" xfId="26831"/>
    <cellStyle name="Normal 6 84" xfId="26832"/>
    <cellStyle name="Normal 6 85" xfId="26833"/>
    <cellStyle name="Normal 6 86" xfId="26834"/>
    <cellStyle name="Normal 6 9" xfId="26835"/>
    <cellStyle name="Normal 6_Cultura y Tiempo libre 2011 base 2012 PGM - EMV  2013" xfId="26836"/>
    <cellStyle name="Normal 7" xfId="26837"/>
    <cellStyle name="Normal 7 10" xfId="26838"/>
    <cellStyle name="Normal 7 11" xfId="26839"/>
    <cellStyle name="Normal 7 12" xfId="26840"/>
    <cellStyle name="Normal 7 13" xfId="26841"/>
    <cellStyle name="Normal 7 14" xfId="26842"/>
    <cellStyle name="Normal 7 15" xfId="26843"/>
    <cellStyle name="Normal 7 16" xfId="26844"/>
    <cellStyle name="Normal 7 17" xfId="26845"/>
    <cellStyle name="Normal 7 18" xfId="26846"/>
    <cellStyle name="Normal 7 19" xfId="26847"/>
    <cellStyle name="Normal 7 2" xfId="26848"/>
    <cellStyle name="Normal 7 2 10" xfId="26849"/>
    <cellStyle name="Normal 7 2 11" xfId="26850"/>
    <cellStyle name="Normal 7 2 12" xfId="26851"/>
    <cellStyle name="Normal 7 2 13" xfId="26852"/>
    <cellStyle name="Normal 7 2 14" xfId="26853"/>
    <cellStyle name="Normal 7 2 15" xfId="26854"/>
    <cellStyle name="Normal 7 2 16" xfId="26855"/>
    <cellStyle name="Normal 7 2 17" xfId="26856"/>
    <cellStyle name="Normal 7 2 18" xfId="26857"/>
    <cellStyle name="Normal 7 2 19" xfId="26858"/>
    <cellStyle name="Normal 7 2 2" xfId="26859"/>
    <cellStyle name="Normal 7 2 20" xfId="26860"/>
    <cellStyle name="Normal 7 2 21" xfId="26861"/>
    <cellStyle name="Normal 7 2 22" xfId="26862"/>
    <cellStyle name="Normal 7 2 23" xfId="26863"/>
    <cellStyle name="Normal 7 2 24" xfId="26864"/>
    <cellStyle name="Normal 7 2 25" xfId="26865"/>
    <cellStyle name="Normal 7 2 26" xfId="26866"/>
    <cellStyle name="Normal 7 2 27" xfId="26867"/>
    <cellStyle name="Normal 7 2 28" xfId="26868"/>
    <cellStyle name="Normal 7 2 29" xfId="26869"/>
    <cellStyle name="Normal 7 2 3" xfId="26870"/>
    <cellStyle name="Normal 7 2 30" xfId="26871"/>
    <cellStyle name="Normal 7 2 31" xfId="26872"/>
    <cellStyle name="Normal 7 2 32" xfId="26873"/>
    <cellStyle name="Normal 7 2 33" xfId="26874"/>
    <cellStyle name="Normal 7 2 34" xfId="26875"/>
    <cellStyle name="Normal 7 2 35" xfId="26876"/>
    <cellStyle name="Normal 7 2 36" xfId="26877"/>
    <cellStyle name="Normal 7 2 37" xfId="26878"/>
    <cellStyle name="Normal 7 2 38" xfId="26879"/>
    <cellStyle name="Normal 7 2 39" xfId="26880"/>
    <cellStyle name="Normal 7 2 4" xfId="26881"/>
    <cellStyle name="Normal 7 2 40" xfId="26882"/>
    <cellStyle name="Normal 7 2 41" xfId="26883"/>
    <cellStyle name="Normal 7 2 42" xfId="26884"/>
    <cellStyle name="Normal 7 2 43" xfId="26885"/>
    <cellStyle name="Normal 7 2 44" xfId="26886"/>
    <cellStyle name="Normal 7 2 45" xfId="26887"/>
    <cellStyle name="Normal 7 2 46" xfId="26888"/>
    <cellStyle name="Normal 7 2 47" xfId="26889"/>
    <cellStyle name="Normal 7 2 48" xfId="26890"/>
    <cellStyle name="Normal 7 2 49" xfId="26891"/>
    <cellStyle name="Normal 7 2 5" xfId="26892"/>
    <cellStyle name="Normal 7 2 50" xfId="26893"/>
    <cellStyle name="Normal 7 2 51" xfId="26894"/>
    <cellStyle name="Normal 7 2 52" xfId="26895"/>
    <cellStyle name="Normal 7 2 53" xfId="26896"/>
    <cellStyle name="Normal 7 2 54" xfId="26897"/>
    <cellStyle name="Normal 7 2 55" xfId="26898"/>
    <cellStyle name="Normal 7 2 56" xfId="26899"/>
    <cellStyle name="Normal 7 2 57" xfId="26900"/>
    <cellStyle name="Normal 7 2 58" xfId="26901"/>
    <cellStyle name="Normal 7 2 59" xfId="26902"/>
    <cellStyle name="Normal 7 2 6" xfId="26903"/>
    <cellStyle name="Normal 7 2 60" xfId="26904"/>
    <cellStyle name="Normal 7 2 61" xfId="26905"/>
    <cellStyle name="Normal 7 2 62" xfId="26906"/>
    <cellStyle name="Normal 7 2 63" xfId="26907"/>
    <cellStyle name="Normal 7 2 64" xfId="26908"/>
    <cellStyle name="Normal 7 2 65" xfId="26909"/>
    <cellStyle name="Normal 7 2 66" xfId="26910"/>
    <cellStyle name="Normal 7 2 67" xfId="26911"/>
    <cellStyle name="Normal 7 2 68" xfId="26912"/>
    <cellStyle name="Normal 7 2 69" xfId="26913"/>
    <cellStyle name="Normal 7 2 7" xfId="26914"/>
    <cellStyle name="Normal 7 2 70" xfId="26915"/>
    <cellStyle name="Normal 7 2 71" xfId="26916"/>
    <cellStyle name="Normal 7 2 72" xfId="26917"/>
    <cellStyle name="Normal 7 2 73" xfId="26918"/>
    <cellStyle name="Normal 7 2 74" xfId="26919"/>
    <cellStyle name="Normal 7 2 75" xfId="26920"/>
    <cellStyle name="Normal 7 2 76" xfId="26921"/>
    <cellStyle name="Normal 7 2 77" xfId="26922"/>
    <cellStyle name="Normal 7 2 78" xfId="26923"/>
    <cellStyle name="Normal 7 2 79" xfId="26924"/>
    <cellStyle name="Normal 7 2 8" xfId="26925"/>
    <cellStyle name="Normal 7 2 80" xfId="26926"/>
    <cellStyle name="Normal 7 2 81" xfId="26927"/>
    <cellStyle name="Normal 7 2 82" xfId="26928"/>
    <cellStyle name="Normal 7 2 83" xfId="26929"/>
    <cellStyle name="Normal 7 2 9" xfId="26930"/>
    <cellStyle name="Normal 7 20" xfId="26931"/>
    <cellStyle name="Normal 7 21" xfId="26932"/>
    <cellStyle name="Normal 7 22" xfId="26933"/>
    <cellStyle name="Normal 7 23" xfId="26934"/>
    <cellStyle name="Normal 7 24" xfId="26935"/>
    <cellStyle name="Normal 7 25" xfId="26936"/>
    <cellStyle name="Normal 7 26" xfId="26937"/>
    <cellStyle name="Normal 7 27" xfId="26938"/>
    <cellStyle name="Normal 7 28" xfId="26939"/>
    <cellStyle name="Normal 7 29" xfId="26940"/>
    <cellStyle name="Normal 7 3" xfId="26941"/>
    <cellStyle name="Normal 7 3 10" xfId="26942"/>
    <cellStyle name="Normal 7 3 11" xfId="26943"/>
    <cellStyle name="Normal 7 3 12" xfId="26944"/>
    <cellStyle name="Normal 7 3 13" xfId="26945"/>
    <cellStyle name="Normal 7 3 14" xfId="26946"/>
    <cellStyle name="Normal 7 3 15" xfId="26947"/>
    <cellStyle name="Normal 7 3 16" xfId="26948"/>
    <cellStyle name="Normal 7 3 17" xfId="26949"/>
    <cellStyle name="Normal 7 3 18" xfId="26950"/>
    <cellStyle name="Normal 7 3 19" xfId="26951"/>
    <cellStyle name="Normal 7 3 2" xfId="26952"/>
    <cellStyle name="Normal 7 3 20" xfId="26953"/>
    <cellStyle name="Normal 7 3 21" xfId="26954"/>
    <cellStyle name="Normal 7 3 22" xfId="26955"/>
    <cellStyle name="Normal 7 3 23" xfId="26956"/>
    <cellStyle name="Normal 7 3 24" xfId="26957"/>
    <cellStyle name="Normal 7 3 25" xfId="26958"/>
    <cellStyle name="Normal 7 3 26" xfId="26959"/>
    <cellStyle name="Normal 7 3 27" xfId="26960"/>
    <cellStyle name="Normal 7 3 28" xfId="26961"/>
    <cellStyle name="Normal 7 3 29" xfId="26962"/>
    <cellStyle name="Normal 7 3 3" xfId="26963"/>
    <cellStyle name="Normal 7 3 30" xfId="26964"/>
    <cellStyle name="Normal 7 3 31" xfId="26965"/>
    <cellStyle name="Normal 7 3 32" xfId="26966"/>
    <cellStyle name="Normal 7 3 33" xfId="26967"/>
    <cellStyle name="Normal 7 3 34" xfId="26968"/>
    <cellStyle name="Normal 7 3 35" xfId="26969"/>
    <cellStyle name="Normal 7 3 36" xfId="26970"/>
    <cellStyle name="Normal 7 3 37" xfId="26971"/>
    <cellStyle name="Normal 7 3 38" xfId="26972"/>
    <cellStyle name="Normal 7 3 39" xfId="26973"/>
    <cellStyle name="Normal 7 3 4" xfId="26974"/>
    <cellStyle name="Normal 7 3 40" xfId="26975"/>
    <cellStyle name="Normal 7 3 41" xfId="26976"/>
    <cellStyle name="Normal 7 3 42" xfId="26977"/>
    <cellStyle name="Normal 7 3 43" xfId="26978"/>
    <cellStyle name="Normal 7 3 44" xfId="26979"/>
    <cellStyle name="Normal 7 3 45" xfId="26980"/>
    <cellStyle name="Normal 7 3 46" xfId="26981"/>
    <cellStyle name="Normal 7 3 47" xfId="26982"/>
    <cellStyle name="Normal 7 3 48" xfId="26983"/>
    <cellStyle name="Normal 7 3 49" xfId="26984"/>
    <cellStyle name="Normal 7 3 5" xfId="26985"/>
    <cellStyle name="Normal 7 3 50" xfId="26986"/>
    <cellStyle name="Normal 7 3 51" xfId="26987"/>
    <cellStyle name="Normal 7 3 52" xfId="26988"/>
    <cellStyle name="Normal 7 3 53" xfId="26989"/>
    <cellStyle name="Normal 7 3 54" xfId="26990"/>
    <cellStyle name="Normal 7 3 55" xfId="26991"/>
    <cellStyle name="Normal 7 3 56" xfId="26992"/>
    <cellStyle name="Normal 7 3 57" xfId="26993"/>
    <cellStyle name="Normal 7 3 58" xfId="26994"/>
    <cellStyle name="Normal 7 3 59" xfId="26995"/>
    <cellStyle name="Normal 7 3 6" xfId="26996"/>
    <cellStyle name="Normal 7 3 60" xfId="26997"/>
    <cellStyle name="Normal 7 3 61" xfId="26998"/>
    <cellStyle name="Normal 7 3 62" xfId="26999"/>
    <cellStyle name="Normal 7 3 63" xfId="27000"/>
    <cellStyle name="Normal 7 3 64" xfId="27001"/>
    <cellStyle name="Normal 7 3 65" xfId="27002"/>
    <cellStyle name="Normal 7 3 66" xfId="27003"/>
    <cellStyle name="Normal 7 3 67" xfId="27004"/>
    <cellStyle name="Normal 7 3 68" xfId="27005"/>
    <cellStyle name="Normal 7 3 69" xfId="27006"/>
    <cellStyle name="Normal 7 3 7" xfId="27007"/>
    <cellStyle name="Normal 7 3 70" xfId="27008"/>
    <cellStyle name="Normal 7 3 71" xfId="27009"/>
    <cellStyle name="Normal 7 3 72" xfId="27010"/>
    <cellStyle name="Normal 7 3 73" xfId="27011"/>
    <cellStyle name="Normal 7 3 74" xfId="27012"/>
    <cellStyle name="Normal 7 3 75" xfId="27013"/>
    <cellStyle name="Normal 7 3 76" xfId="27014"/>
    <cellStyle name="Normal 7 3 77" xfId="27015"/>
    <cellStyle name="Normal 7 3 78" xfId="27016"/>
    <cellStyle name="Normal 7 3 79" xfId="27017"/>
    <cellStyle name="Normal 7 3 8" xfId="27018"/>
    <cellStyle name="Normal 7 3 80" xfId="27019"/>
    <cellStyle name="Normal 7 3 81" xfId="27020"/>
    <cellStyle name="Normal 7 3 82" xfId="27021"/>
    <cellStyle name="Normal 7 3 83" xfId="27022"/>
    <cellStyle name="Normal 7 3 9" xfId="27023"/>
    <cellStyle name="Normal 7 30" xfId="27024"/>
    <cellStyle name="Normal 7 31" xfId="27025"/>
    <cellStyle name="Normal 7 32" xfId="27026"/>
    <cellStyle name="Normal 7 33" xfId="27027"/>
    <cellStyle name="Normal 7 34" xfId="27028"/>
    <cellStyle name="Normal 7 35" xfId="27029"/>
    <cellStyle name="Normal 7 36" xfId="27030"/>
    <cellStyle name="Normal 7 37" xfId="27031"/>
    <cellStyle name="Normal 7 38" xfId="27032"/>
    <cellStyle name="Normal 7 39" xfId="27033"/>
    <cellStyle name="Normal 7 4" xfId="27034"/>
    <cellStyle name="Normal 7 4 10" xfId="27035"/>
    <cellStyle name="Normal 7 4 11" xfId="27036"/>
    <cellStyle name="Normal 7 4 12" xfId="27037"/>
    <cellStyle name="Normal 7 4 13" xfId="27038"/>
    <cellStyle name="Normal 7 4 14" xfId="27039"/>
    <cellStyle name="Normal 7 4 15" xfId="27040"/>
    <cellStyle name="Normal 7 4 16" xfId="27041"/>
    <cellStyle name="Normal 7 4 17" xfId="27042"/>
    <cellStyle name="Normal 7 4 18" xfId="27043"/>
    <cellStyle name="Normal 7 4 19" xfId="27044"/>
    <cellStyle name="Normal 7 4 2" xfId="27045"/>
    <cellStyle name="Normal 7 4 20" xfId="27046"/>
    <cellStyle name="Normal 7 4 21" xfId="27047"/>
    <cellStyle name="Normal 7 4 22" xfId="27048"/>
    <cellStyle name="Normal 7 4 23" xfId="27049"/>
    <cellStyle name="Normal 7 4 24" xfId="27050"/>
    <cellStyle name="Normal 7 4 25" xfId="27051"/>
    <cellStyle name="Normal 7 4 26" xfId="27052"/>
    <cellStyle name="Normal 7 4 27" xfId="27053"/>
    <cellStyle name="Normal 7 4 28" xfId="27054"/>
    <cellStyle name="Normal 7 4 29" xfId="27055"/>
    <cellStyle name="Normal 7 4 3" xfId="27056"/>
    <cellStyle name="Normal 7 4 30" xfId="27057"/>
    <cellStyle name="Normal 7 4 31" xfId="27058"/>
    <cellStyle name="Normal 7 4 32" xfId="27059"/>
    <cellStyle name="Normal 7 4 33" xfId="27060"/>
    <cellStyle name="Normal 7 4 34" xfId="27061"/>
    <cellStyle name="Normal 7 4 35" xfId="27062"/>
    <cellStyle name="Normal 7 4 36" xfId="27063"/>
    <cellStyle name="Normal 7 4 37" xfId="27064"/>
    <cellStyle name="Normal 7 4 38" xfId="27065"/>
    <cellStyle name="Normal 7 4 39" xfId="27066"/>
    <cellStyle name="Normal 7 4 4" xfId="27067"/>
    <cellStyle name="Normal 7 4 40" xfId="27068"/>
    <cellStyle name="Normal 7 4 41" xfId="27069"/>
    <cellStyle name="Normal 7 4 42" xfId="27070"/>
    <cellStyle name="Normal 7 4 43" xfId="27071"/>
    <cellStyle name="Normal 7 4 44" xfId="27072"/>
    <cellStyle name="Normal 7 4 45" xfId="27073"/>
    <cellStyle name="Normal 7 4 46" xfId="27074"/>
    <cellStyle name="Normal 7 4 47" xfId="27075"/>
    <cellStyle name="Normal 7 4 48" xfId="27076"/>
    <cellStyle name="Normal 7 4 49" xfId="27077"/>
    <cellStyle name="Normal 7 4 5" xfId="27078"/>
    <cellStyle name="Normal 7 4 50" xfId="27079"/>
    <cellStyle name="Normal 7 4 51" xfId="27080"/>
    <cellStyle name="Normal 7 4 52" xfId="27081"/>
    <cellStyle name="Normal 7 4 53" xfId="27082"/>
    <cellStyle name="Normal 7 4 54" xfId="27083"/>
    <cellStyle name="Normal 7 4 55" xfId="27084"/>
    <cellStyle name="Normal 7 4 56" xfId="27085"/>
    <cellStyle name="Normal 7 4 57" xfId="27086"/>
    <cellStyle name="Normal 7 4 58" xfId="27087"/>
    <cellStyle name="Normal 7 4 59" xfId="27088"/>
    <cellStyle name="Normal 7 4 6" xfId="27089"/>
    <cellStyle name="Normal 7 4 60" xfId="27090"/>
    <cellStyle name="Normal 7 4 61" xfId="27091"/>
    <cellStyle name="Normal 7 4 62" xfId="27092"/>
    <cellStyle name="Normal 7 4 63" xfId="27093"/>
    <cellStyle name="Normal 7 4 64" xfId="27094"/>
    <cellStyle name="Normal 7 4 65" xfId="27095"/>
    <cellStyle name="Normal 7 4 66" xfId="27096"/>
    <cellStyle name="Normal 7 4 67" xfId="27097"/>
    <cellStyle name="Normal 7 4 68" xfId="27098"/>
    <cellStyle name="Normal 7 4 69" xfId="27099"/>
    <cellStyle name="Normal 7 4 7" xfId="27100"/>
    <cellStyle name="Normal 7 4 70" xfId="27101"/>
    <cellStyle name="Normal 7 4 71" xfId="27102"/>
    <cellStyle name="Normal 7 4 72" xfId="27103"/>
    <cellStyle name="Normal 7 4 73" xfId="27104"/>
    <cellStyle name="Normal 7 4 74" xfId="27105"/>
    <cellStyle name="Normal 7 4 75" xfId="27106"/>
    <cellStyle name="Normal 7 4 76" xfId="27107"/>
    <cellStyle name="Normal 7 4 77" xfId="27108"/>
    <cellStyle name="Normal 7 4 78" xfId="27109"/>
    <cellStyle name="Normal 7 4 79" xfId="27110"/>
    <cellStyle name="Normal 7 4 8" xfId="27111"/>
    <cellStyle name="Normal 7 4 80" xfId="27112"/>
    <cellStyle name="Normal 7 4 81" xfId="27113"/>
    <cellStyle name="Normal 7 4 82" xfId="27114"/>
    <cellStyle name="Normal 7 4 83" xfId="27115"/>
    <cellStyle name="Normal 7 4 9" xfId="27116"/>
    <cellStyle name="Normal 7 40" xfId="27117"/>
    <cellStyle name="Normal 7 41" xfId="27118"/>
    <cellStyle name="Normal 7 42" xfId="27119"/>
    <cellStyle name="Normal 7 43" xfId="27120"/>
    <cellStyle name="Normal 7 44" xfId="27121"/>
    <cellStyle name="Normal 7 45" xfId="27122"/>
    <cellStyle name="Normal 7 46" xfId="27123"/>
    <cellStyle name="Normal 7 47" xfId="27124"/>
    <cellStyle name="Normal 7 48" xfId="27125"/>
    <cellStyle name="Normal 7 49" xfId="27126"/>
    <cellStyle name="Normal 7 5" xfId="27127"/>
    <cellStyle name="Normal 7 50" xfId="27128"/>
    <cellStyle name="Normal 7 51" xfId="27129"/>
    <cellStyle name="Normal 7 52" xfId="27130"/>
    <cellStyle name="Normal 7 53" xfId="27131"/>
    <cellStyle name="Normal 7 54" xfId="27132"/>
    <cellStyle name="Normal 7 55" xfId="27133"/>
    <cellStyle name="Normal 7 56" xfId="27134"/>
    <cellStyle name="Normal 7 57" xfId="27135"/>
    <cellStyle name="Normal 7 58" xfId="27136"/>
    <cellStyle name="Normal 7 59" xfId="27137"/>
    <cellStyle name="Normal 7 6" xfId="27138"/>
    <cellStyle name="Normal 7 60" xfId="27139"/>
    <cellStyle name="Normal 7 61" xfId="27140"/>
    <cellStyle name="Normal 7 62" xfId="27141"/>
    <cellStyle name="Normal 7 63" xfId="27142"/>
    <cellStyle name="Normal 7 64" xfId="27143"/>
    <cellStyle name="Normal 7 65" xfId="27144"/>
    <cellStyle name="Normal 7 66" xfId="27145"/>
    <cellStyle name="Normal 7 67" xfId="27146"/>
    <cellStyle name="Normal 7 68" xfId="27147"/>
    <cellStyle name="Normal 7 69" xfId="27148"/>
    <cellStyle name="Normal 7 7" xfId="27149"/>
    <cellStyle name="Normal 7 70" xfId="27150"/>
    <cellStyle name="Normal 7 71" xfId="27151"/>
    <cellStyle name="Normal 7 72" xfId="27152"/>
    <cellStyle name="Normal 7 73" xfId="27153"/>
    <cellStyle name="Normal 7 74" xfId="27154"/>
    <cellStyle name="Normal 7 75" xfId="27155"/>
    <cellStyle name="Normal 7 76" xfId="27156"/>
    <cellStyle name="Normal 7 77" xfId="27157"/>
    <cellStyle name="Normal 7 78" xfId="27158"/>
    <cellStyle name="Normal 7 79" xfId="27159"/>
    <cellStyle name="Normal 7 8" xfId="27160"/>
    <cellStyle name="Normal 7 80" xfId="27161"/>
    <cellStyle name="Normal 7 81" xfId="27162"/>
    <cellStyle name="Normal 7 82" xfId="27163"/>
    <cellStyle name="Normal 7 83" xfId="27164"/>
    <cellStyle name="Normal 7 84" xfId="27165"/>
    <cellStyle name="Normal 7 85" xfId="27166"/>
    <cellStyle name="Normal 7 86" xfId="27167"/>
    <cellStyle name="Normal 7 9" xfId="27168"/>
    <cellStyle name="Normal 7_Cultura y Tiempo libre 2011 base 2012 PGM - EMV  2013" xfId="27169"/>
    <cellStyle name="Normal 8" xfId="27170"/>
    <cellStyle name="Normal 8 10" xfId="27171"/>
    <cellStyle name="Normal 8 11" xfId="27172"/>
    <cellStyle name="Normal 8 12" xfId="27173"/>
    <cellStyle name="Normal 8 13" xfId="27174"/>
    <cellStyle name="Normal 8 14" xfId="27175"/>
    <cellStyle name="Normal 8 15" xfId="27176"/>
    <cellStyle name="Normal 8 16" xfId="27177"/>
    <cellStyle name="Normal 8 17" xfId="27178"/>
    <cellStyle name="Normal 8 18" xfId="27179"/>
    <cellStyle name="Normal 8 19" xfId="27180"/>
    <cellStyle name="Normal 8 2" xfId="27181"/>
    <cellStyle name="Normal 8 2 10" xfId="27182"/>
    <cellStyle name="Normal 8 2 11" xfId="27183"/>
    <cellStyle name="Normal 8 2 12" xfId="27184"/>
    <cellStyle name="Normal 8 2 13" xfId="27185"/>
    <cellStyle name="Normal 8 2 14" xfId="27186"/>
    <cellStyle name="Normal 8 2 15" xfId="27187"/>
    <cellStyle name="Normal 8 2 16" xfId="27188"/>
    <cellStyle name="Normal 8 2 17" xfId="27189"/>
    <cellStyle name="Normal 8 2 18" xfId="27190"/>
    <cellStyle name="Normal 8 2 19" xfId="27191"/>
    <cellStyle name="Normal 8 2 2" xfId="27192"/>
    <cellStyle name="Normal 8 2 20" xfId="27193"/>
    <cellStyle name="Normal 8 2 21" xfId="27194"/>
    <cellStyle name="Normal 8 2 22" xfId="27195"/>
    <cellStyle name="Normal 8 2 23" xfId="27196"/>
    <cellStyle name="Normal 8 2 24" xfId="27197"/>
    <cellStyle name="Normal 8 2 25" xfId="27198"/>
    <cellStyle name="Normal 8 2 26" xfId="27199"/>
    <cellStyle name="Normal 8 2 27" xfId="27200"/>
    <cellStyle name="Normal 8 2 28" xfId="27201"/>
    <cellStyle name="Normal 8 2 29" xfId="27202"/>
    <cellStyle name="Normal 8 2 3" xfId="27203"/>
    <cellStyle name="Normal 8 2 30" xfId="27204"/>
    <cellStyle name="Normal 8 2 31" xfId="27205"/>
    <cellStyle name="Normal 8 2 32" xfId="27206"/>
    <cellStyle name="Normal 8 2 33" xfId="27207"/>
    <cellStyle name="Normal 8 2 34" xfId="27208"/>
    <cellStyle name="Normal 8 2 35" xfId="27209"/>
    <cellStyle name="Normal 8 2 36" xfId="27210"/>
    <cellStyle name="Normal 8 2 37" xfId="27211"/>
    <cellStyle name="Normal 8 2 38" xfId="27212"/>
    <cellStyle name="Normal 8 2 39" xfId="27213"/>
    <cellStyle name="Normal 8 2 4" xfId="27214"/>
    <cellStyle name="Normal 8 2 40" xfId="27215"/>
    <cellStyle name="Normal 8 2 41" xfId="27216"/>
    <cellStyle name="Normal 8 2 42" xfId="27217"/>
    <cellStyle name="Normal 8 2 43" xfId="27218"/>
    <cellStyle name="Normal 8 2 44" xfId="27219"/>
    <cellStyle name="Normal 8 2 45" xfId="27220"/>
    <cellStyle name="Normal 8 2 46" xfId="27221"/>
    <cellStyle name="Normal 8 2 47" xfId="27222"/>
    <cellStyle name="Normal 8 2 48" xfId="27223"/>
    <cellStyle name="Normal 8 2 49" xfId="27224"/>
    <cellStyle name="Normal 8 2 5" xfId="27225"/>
    <cellStyle name="Normal 8 2 50" xfId="27226"/>
    <cellStyle name="Normal 8 2 51" xfId="27227"/>
    <cellStyle name="Normal 8 2 52" xfId="27228"/>
    <cellStyle name="Normal 8 2 53" xfId="27229"/>
    <cellStyle name="Normal 8 2 54" xfId="27230"/>
    <cellStyle name="Normal 8 2 55" xfId="27231"/>
    <cellStyle name="Normal 8 2 56" xfId="27232"/>
    <cellStyle name="Normal 8 2 57" xfId="27233"/>
    <cellStyle name="Normal 8 2 58" xfId="27234"/>
    <cellStyle name="Normal 8 2 59" xfId="27235"/>
    <cellStyle name="Normal 8 2 6" xfId="27236"/>
    <cellStyle name="Normal 8 2 60" xfId="27237"/>
    <cellStyle name="Normal 8 2 61" xfId="27238"/>
    <cellStyle name="Normal 8 2 62" xfId="27239"/>
    <cellStyle name="Normal 8 2 63" xfId="27240"/>
    <cellStyle name="Normal 8 2 64" xfId="27241"/>
    <cellStyle name="Normal 8 2 65" xfId="27242"/>
    <cellStyle name="Normal 8 2 66" xfId="27243"/>
    <cellStyle name="Normal 8 2 67" xfId="27244"/>
    <cellStyle name="Normal 8 2 68" xfId="27245"/>
    <cellStyle name="Normal 8 2 69" xfId="27246"/>
    <cellStyle name="Normal 8 2 7" xfId="27247"/>
    <cellStyle name="Normal 8 2 70" xfId="27248"/>
    <cellStyle name="Normal 8 2 71" xfId="27249"/>
    <cellStyle name="Normal 8 2 72" xfId="27250"/>
    <cellStyle name="Normal 8 2 73" xfId="27251"/>
    <cellStyle name="Normal 8 2 74" xfId="27252"/>
    <cellStyle name="Normal 8 2 75" xfId="27253"/>
    <cellStyle name="Normal 8 2 76" xfId="27254"/>
    <cellStyle name="Normal 8 2 77" xfId="27255"/>
    <cellStyle name="Normal 8 2 78" xfId="27256"/>
    <cellStyle name="Normal 8 2 79" xfId="27257"/>
    <cellStyle name="Normal 8 2 8" xfId="27258"/>
    <cellStyle name="Normal 8 2 80" xfId="27259"/>
    <cellStyle name="Normal 8 2 81" xfId="27260"/>
    <cellStyle name="Normal 8 2 82" xfId="27261"/>
    <cellStyle name="Normal 8 2 83" xfId="27262"/>
    <cellStyle name="Normal 8 2 9" xfId="27263"/>
    <cellStyle name="Normal 8 20" xfId="27264"/>
    <cellStyle name="Normal 8 21" xfId="27265"/>
    <cellStyle name="Normal 8 22" xfId="27266"/>
    <cellStyle name="Normal 8 23" xfId="27267"/>
    <cellStyle name="Normal 8 24" xfId="27268"/>
    <cellStyle name="Normal 8 25" xfId="27269"/>
    <cellStyle name="Normal 8 26" xfId="27270"/>
    <cellStyle name="Normal 8 27" xfId="27271"/>
    <cellStyle name="Normal 8 28" xfId="27272"/>
    <cellStyle name="Normal 8 29" xfId="27273"/>
    <cellStyle name="Normal 8 3" xfId="27274"/>
    <cellStyle name="Normal 8 3 10" xfId="27275"/>
    <cellStyle name="Normal 8 3 11" xfId="27276"/>
    <cellStyle name="Normal 8 3 12" xfId="27277"/>
    <cellStyle name="Normal 8 3 13" xfId="27278"/>
    <cellStyle name="Normal 8 3 14" xfId="27279"/>
    <cellStyle name="Normal 8 3 15" xfId="27280"/>
    <cellStyle name="Normal 8 3 16" xfId="27281"/>
    <cellStyle name="Normal 8 3 17" xfId="27282"/>
    <cellStyle name="Normal 8 3 18" xfId="27283"/>
    <cellStyle name="Normal 8 3 19" xfId="27284"/>
    <cellStyle name="Normal 8 3 2" xfId="27285"/>
    <cellStyle name="Normal 8 3 20" xfId="27286"/>
    <cellStyle name="Normal 8 3 21" xfId="27287"/>
    <cellStyle name="Normal 8 3 22" xfId="27288"/>
    <cellStyle name="Normal 8 3 23" xfId="27289"/>
    <cellStyle name="Normal 8 3 24" xfId="27290"/>
    <cellStyle name="Normal 8 3 25" xfId="27291"/>
    <cellStyle name="Normal 8 3 26" xfId="27292"/>
    <cellStyle name="Normal 8 3 27" xfId="27293"/>
    <cellStyle name="Normal 8 3 28" xfId="27294"/>
    <cellStyle name="Normal 8 3 29" xfId="27295"/>
    <cellStyle name="Normal 8 3 3" xfId="27296"/>
    <cellStyle name="Normal 8 3 30" xfId="27297"/>
    <cellStyle name="Normal 8 3 31" xfId="27298"/>
    <cellStyle name="Normal 8 3 32" xfId="27299"/>
    <cellStyle name="Normal 8 3 33" xfId="27300"/>
    <cellStyle name="Normal 8 3 34" xfId="27301"/>
    <cellStyle name="Normal 8 3 35" xfId="27302"/>
    <cellStyle name="Normal 8 3 36" xfId="27303"/>
    <cellStyle name="Normal 8 3 37" xfId="27304"/>
    <cellStyle name="Normal 8 3 38" xfId="27305"/>
    <cellStyle name="Normal 8 3 39" xfId="27306"/>
    <cellStyle name="Normal 8 3 4" xfId="27307"/>
    <cellStyle name="Normal 8 3 40" xfId="27308"/>
    <cellStyle name="Normal 8 3 41" xfId="27309"/>
    <cellStyle name="Normal 8 3 42" xfId="27310"/>
    <cellStyle name="Normal 8 3 43" xfId="27311"/>
    <cellStyle name="Normal 8 3 44" xfId="27312"/>
    <cellStyle name="Normal 8 3 45" xfId="27313"/>
    <cellStyle name="Normal 8 3 46" xfId="27314"/>
    <cellStyle name="Normal 8 3 47" xfId="27315"/>
    <cellStyle name="Normal 8 3 48" xfId="27316"/>
    <cellStyle name="Normal 8 3 49" xfId="27317"/>
    <cellStyle name="Normal 8 3 5" xfId="27318"/>
    <cellStyle name="Normal 8 3 50" xfId="27319"/>
    <cellStyle name="Normal 8 3 51" xfId="27320"/>
    <cellStyle name="Normal 8 3 52" xfId="27321"/>
    <cellStyle name="Normal 8 3 53" xfId="27322"/>
    <cellStyle name="Normal 8 3 54" xfId="27323"/>
    <cellStyle name="Normal 8 3 55" xfId="27324"/>
    <cellStyle name="Normal 8 3 56" xfId="27325"/>
    <cellStyle name="Normal 8 3 57" xfId="27326"/>
    <cellStyle name="Normal 8 3 58" xfId="27327"/>
    <cellStyle name="Normal 8 3 59" xfId="27328"/>
    <cellStyle name="Normal 8 3 6" xfId="27329"/>
    <cellStyle name="Normal 8 3 60" xfId="27330"/>
    <cellStyle name="Normal 8 3 61" xfId="27331"/>
    <cellStyle name="Normal 8 3 62" xfId="27332"/>
    <cellStyle name="Normal 8 3 63" xfId="27333"/>
    <cellStyle name="Normal 8 3 64" xfId="27334"/>
    <cellStyle name="Normal 8 3 65" xfId="27335"/>
    <cellStyle name="Normal 8 3 66" xfId="27336"/>
    <cellStyle name="Normal 8 3 67" xfId="27337"/>
    <cellStyle name="Normal 8 3 68" xfId="27338"/>
    <cellStyle name="Normal 8 3 69" xfId="27339"/>
    <cellStyle name="Normal 8 3 7" xfId="27340"/>
    <cellStyle name="Normal 8 3 70" xfId="27341"/>
    <cellStyle name="Normal 8 3 71" xfId="27342"/>
    <cellStyle name="Normal 8 3 72" xfId="27343"/>
    <cellStyle name="Normal 8 3 73" xfId="27344"/>
    <cellStyle name="Normal 8 3 74" xfId="27345"/>
    <cellStyle name="Normal 8 3 75" xfId="27346"/>
    <cellStyle name="Normal 8 3 76" xfId="27347"/>
    <cellStyle name="Normal 8 3 77" xfId="27348"/>
    <cellStyle name="Normal 8 3 78" xfId="27349"/>
    <cellStyle name="Normal 8 3 79" xfId="27350"/>
    <cellStyle name="Normal 8 3 8" xfId="27351"/>
    <cellStyle name="Normal 8 3 80" xfId="27352"/>
    <cellStyle name="Normal 8 3 81" xfId="27353"/>
    <cellStyle name="Normal 8 3 82" xfId="27354"/>
    <cellStyle name="Normal 8 3 83" xfId="27355"/>
    <cellStyle name="Normal 8 3 9" xfId="27356"/>
    <cellStyle name="Normal 8 30" xfId="27357"/>
    <cellStyle name="Normal 8 31" xfId="27358"/>
    <cellStyle name="Normal 8 32" xfId="27359"/>
    <cellStyle name="Normal 8 33" xfId="27360"/>
    <cellStyle name="Normal 8 34" xfId="27361"/>
    <cellStyle name="Normal 8 35" xfId="27362"/>
    <cellStyle name="Normal 8 36" xfId="27363"/>
    <cellStyle name="Normal 8 37" xfId="27364"/>
    <cellStyle name="Normal 8 38" xfId="27365"/>
    <cellStyle name="Normal 8 39" xfId="27366"/>
    <cellStyle name="Normal 8 4" xfId="27367"/>
    <cellStyle name="Normal 8 4 10" xfId="27368"/>
    <cellStyle name="Normal 8 4 11" xfId="27369"/>
    <cellStyle name="Normal 8 4 12" xfId="27370"/>
    <cellStyle name="Normal 8 4 13" xfId="27371"/>
    <cellStyle name="Normal 8 4 14" xfId="27372"/>
    <cellStyle name="Normal 8 4 15" xfId="27373"/>
    <cellStyle name="Normal 8 4 16" xfId="27374"/>
    <cellStyle name="Normal 8 4 17" xfId="27375"/>
    <cellStyle name="Normal 8 4 18" xfId="27376"/>
    <cellStyle name="Normal 8 4 19" xfId="27377"/>
    <cellStyle name="Normal 8 4 2" xfId="27378"/>
    <cellStyle name="Normal 8 4 20" xfId="27379"/>
    <cellStyle name="Normal 8 4 21" xfId="27380"/>
    <cellStyle name="Normal 8 4 22" xfId="27381"/>
    <cellStyle name="Normal 8 4 23" xfId="27382"/>
    <cellStyle name="Normal 8 4 24" xfId="27383"/>
    <cellStyle name="Normal 8 4 25" xfId="27384"/>
    <cellStyle name="Normal 8 4 26" xfId="27385"/>
    <cellStyle name="Normal 8 4 27" xfId="27386"/>
    <cellStyle name="Normal 8 4 28" xfId="27387"/>
    <cellStyle name="Normal 8 4 29" xfId="27388"/>
    <cellStyle name="Normal 8 4 3" xfId="27389"/>
    <cellStyle name="Normal 8 4 30" xfId="27390"/>
    <cellStyle name="Normal 8 4 31" xfId="27391"/>
    <cellStyle name="Normal 8 4 32" xfId="27392"/>
    <cellStyle name="Normal 8 4 33" xfId="27393"/>
    <cellStyle name="Normal 8 4 34" xfId="27394"/>
    <cellStyle name="Normal 8 4 35" xfId="27395"/>
    <cellStyle name="Normal 8 4 36" xfId="27396"/>
    <cellStyle name="Normal 8 4 37" xfId="27397"/>
    <cellStyle name="Normal 8 4 38" xfId="27398"/>
    <cellStyle name="Normal 8 4 39" xfId="27399"/>
    <cellStyle name="Normal 8 4 4" xfId="27400"/>
    <cellStyle name="Normal 8 4 40" xfId="27401"/>
    <cellStyle name="Normal 8 4 41" xfId="27402"/>
    <cellStyle name="Normal 8 4 42" xfId="27403"/>
    <cellStyle name="Normal 8 4 43" xfId="27404"/>
    <cellStyle name="Normal 8 4 44" xfId="27405"/>
    <cellStyle name="Normal 8 4 45" xfId="27406"/>
    <cellStyle name="Normal 8 4 46" xfId="27407"/>
    <cellStyle name="Normal 8 4 47" xfId="27408"/>
    <cellStyle name="Normal 8 4 48" xfId="27409"/>
    <cellStyle name="Normal 8 4 49" xfId="27410"/>
    <cellStyle name="Normal 8 4 5" xfId="27411"/>
    <cellStyle name="Normal 8 4 50" xfId="27412"/>
    <cellStyle name="Normal 8 4 51" xfId="27413"/>
    <cellStyle name="Normal 8 4 52" xfId="27414"/>
    <cellStyle name="Normal 8 4 53" xfId="27415"/>
    <cellStyle name="Normal 8 4 54" xfId="27416"/>
    <cellStyle name="Normal 8 4 55" xfId="27417"/>
    <cellStyle name="Normal 8 4 56" xfId="27418"/>
    <cellStyle name="Normal 8 4 57" xfId="27419"/>
    <cellStyle name="Normal 8 4 58" xfId="27420"/>
    <cellStyle name="Normal 8 4 59" xfId="27421"/>
    <cellStyle name="Normal 8 4 6" xfId="27422"/>
    <cellStyle name="Normal 8 4 60" xfId="27423"/>
    <cellStyle name="Normal 8 4 61" xfId="27424"/>
    <cellStyle name="Normal 8 4 62" xfId="27425"/>
    <cellStyle name="Normal 8 4 63" xfId="27426"/>
    <cellStyle name="Normal 8 4 64" xfId="27427"/>
    <cellStyle name="Normal 8 4 65" xfId="27428"/>
    <cellStyle name="Normal 8 4 66" xfId="27429"/>
    <cellStyle name="Normal 8 4 67" xfId="27430"/>
    <cellStyle name="Normal 8 4 68" xfId="27431"/>
    <cellStyle name="Normal 8 4 69" xfId="27432"/>
    <cellStyle name="Normal 8 4 7" xfId="27433"/>
    <cellStyle name="Normal 8 4 70" xfId="27434"/>
    <cellStyle name="Normal 8 4 71" xfId="27435"/>
    <cellStyle name="Normal 8 4 72" xfId="27436"/>
    <cellStyle name="Normal 8 4 73" xfId="27437"/>
    <cellStyle name="Normal 8 4 74" xfId="27438"/>
    <cellStyle name="Normal 8 4 75" xfId="27439"/>
    <cellStyle name="Normal 8 4 76" xfId="27440"/>
    <cellStyle name="Normal 8 4 77" xfId="27441"/>
    <cellStyle name="Normal 8 4 78" xfId="27442"/>
    <cellStyle name="Normal 8 4 79" xfId="27443"/>
    <cellStyle name="Normal 8 4 8" xfId="27444"/>
    <cellStyle name="Normal 8 4 80" xfId="27445"/>
    <cellStyle name="Normal 8 4 81" xfId="27446"/>
    <cellStyle name="Normal 8 4 82" xfId="27447"/>
    <cellStyle name="Normal 8 4 83" xfId="27448"/>
    <cellStyle name="Normal 8 4 9" xfId="27449"/>
    <cellStyle name="Normal 8 40" xfId="27450"/>
    <cellStyle name="Normal 8 41" xfId="27451"/>
    <cellStyle name="Normal 8 42" xfId="27452"/>
    <cellStyle name="Normal 8 43" xfId="27453"/>
    <cellStyle name="Normal 8 44" xfId="27454"/>
    <cellStyle name="Normal 8 45" xfId="27455"/>
    <cellStyle name="Normal 8 46" xfId="27456"/>
    <cellStyle name="Normal 8 47" xfId="27457"/>
    <cellStyle name="Normal 8 48" xfId="27458"/>
    <cellStyle name="Normal 8 49" xfId="27459"/>
    <cellStyle name="Normal 8 5" xfId="27460"/>
    <cellStyle name="Normal 8 50" xfId="27461"/>
    <cellStyle name="Normal 8 51" xfId="27462"/>
    <cellStyle name="Normal 8 52" xfId="27463"/>
    <cellStyle name="Normal 8 53" xfId="27464"/>
    <cellStyle name="Normal 8 54" xfId="27465"/>
    <cellStyle name="Normal 8 55" xfId="27466"/>
    <cellStyle name="Normal 8 56" xfId="27467"/>
    <cellStyle name="Normal 8 57" xfId="27468"/>
    <cellStyle name="Normal 8 58" xfId="27469"/>
    <cellStyle name="Normal 8 59" xfId="27470"/>
    <cellStyle name="Normal 8 6" xfId="27471"/>
    <cellStyle name="Normal 8 60" xfId="27472"/>
    <cellStyle name="Normal 8 61" xfId="27473"/>
    <cellStyle name="Normal 8 62" xfId="27474"/>
    <cellStyle name="Normal 8 63" xfId="27475"/>
    <cellStyle name="Normal 8 64" xfId="27476"/>
    <cellStyle name="Normal 8 65" xfId="27477"/>
    <cellStyle name="Normal 8 66" xfId="27478"/>
    <cellStyle name="Normal 8 67" xfId="27479"/>
    <cellStyle name="Normal 8 68" xfId="27480"/>
    <cellStyle name="Normal 8 69" xfId="27481"/>
    <cellStyle name="Normal 8 7" xfId="27482"/>
    <cellStyle name="Normal 8 70" xfId="27483"/>
    <cellStyle name="Normal 8 71" xfId="27484"/>
    <cellStyle name="Normal 8 72" xfId="27485"/>
    <cellStyle name="Normal 8 73" xfId="27486"/>
    <cellStyle name="Normal 8 74" xfId="27487"/>
    <cellStyle name="Normal 8 75" xfId="27488"/>
    <cellStyle name="Normal 8 76" xfId="27489"/>
    <cellStyle name="Normal 8 77" xfId="27490"/>
    <cellStyle name="Normal 8 78" xfId="27491"/>
    <cellStyle name="Normal 8 79" xfId="27492"/>
    <cellStyle name="Normal 8 8" xfId="27493"/>
    <cellStyle name="Normal 8 80" xfId="27494"/>
    <cellStyle name="Normal 8 81" xfId="27495"/>
    <cellStyle name="Normal 8 82" xfId="27496"/>
    <cellStyle name="Normal 8 83" xfId="27497"/>
    <cellStyle name="Normal 8 84" xfId="27498"/>
    <cellStyle name="Normal 8 85" xfId="27499"/>
    <cellStyle name="Normal 8 86" xfId="27500"/>
    <cellStyle name="Normal 8 9" xfId="27501"/>
    <cellStyle name="Normal 8_Cultura y Tiempo libre 2011 base 2012 PGM - EMV  2013" xfId="27502"/>
    <cellStyle name="Normal 9" xfId="27503"/>
    <cellStyle name="Normal 9 10" xfId="27504"/>
    <cellStyle name="Normal 9 11" xfId="27505"/>
    <cellStyle name="Normal 9 12" xfId="27506"/>
    <cellStyle name="Normal 9 13" xfId="27507"/>
    <cellStyle name="Normal 9 14" xfId="27508"/>
    <cellStyle name="Normal 9 15" xfId="27509"/>
    <cellStyle name="Normal 9 16" xfId="27510"/>
    <cellStyle name="Normal 9 17" xfId="27511"/>
    <cellStyle name="Normal 9 18" xfId="27512"/>
    <cellStyle name="Normal 9 19" xfId="27513"/>
    <cellStyle name="Normal 9 2" xfId="27514"/>
    <cellStyle name="Normal 9 2 10" xfId="27515"/>
    <cellStyle name="Normal 9 2 11" xfId="27516"/>
    <cellStyle name="Normal 9 2 12" xfId="27517"/>
    <cellStyle name="Normal 9 2 13" xfId="27518"/>
    <cellStyle name="Normal 9 2 14" xfId="27519"/>
    <cellStyle name="Normal 9 2 15" xfId="27520"/>
    <cellStyle name="Normal 9 2 16" xfId="27521"/>
    <cellStyle name="Normal 9 2 17" xfId="27522"/>
    <cellStyle name="Normal 9 2 18" xfId="27523"/>
    <cellStyle name="Normal 9 2 19" xfId="27524"/>
    <cellStyle name="Normal 9 2 2" xfId="27525"/>
    <cellStyle name="Normal 9 2 20" xfId="27526"/>
    <cellStyle name="Normal 9 2 21" xfId="27527"/>
    <cellStyle name="Normal 9 2 22" xfId="27528"/>
    <cellStyle name="Normal 9 2 23" xfId="27529"/>
    <cellStyle name="Normal 9 2 24" xfId="27530"/>
    <cellStyle name="Normal 9 2 25" xfId="27531"/>
    <cellStyle name="Normal 9 2 26" xfId="27532"/>
    <cellStyle name="Normal 9 2 27" xfId="27533"/>
    <cellStyle name="Normal 9 2 28" xfId="27534"/>
    <cellStyle name="Normal 9 2 29" xfId="27535"/>
    <cellStyle name="Normal 9 2 3" xfId="27536"/>
    <cellStyle name="Normal 9 2 30" xfId="27537"/>
    <cellStyle name="Normal 9 2 31" xfId="27538"/>
    <cellStyle name="Normal 9 2 32" xfId="27539"/>
    <cellStyle name="Normal 9 2 33" xfId="27540"/>
    <cellStyle name="Normal 9 2 34" xfId="27541"/>
    <cellStyle name="Normal 9 2 35" xfId="27542"/>
    <cellStyle name="Normal 9 2 36" xfId="27543"/>
    <cellStyle name="Normal 9 2 37" xfId="27544"/>
    <cellStyle name="Normal 9 2 38" xfId="27545"/>
    <cellStyle name="Normal 9 2 39" xfId="27546"/>
    <cellStyle name="Normal 9 2 4" xfId="27547"/>
    <cellStyle name="Normal 9 2 40" xfId="27548"/>
    <cellStyle name="Normal 9 2 41" xfId="27549"/>
    <cellStyle name="Normal 9 2 42" xfId="27550"/>
    <cellStyle name="Normal 9 2 43" xfId="27551"/>
    <cellStyle name="Normal 9 2 44" xfId="27552"/>
    <cellStyle name="Normal 9 2 45" xfId="27553"/>
    <cellStyle name="Normal 9 2 46" xfId="27554"/>
    <cellStyle name="Normal 9 2 47" xfId="27555"/>
    <cellStyle name="Normal 9 2 48" xfId="27556"/>
    <cellStyle name="Normal 9 2 49" xfId="27557"/>
    <cellStyle name="Normal 9 2 5" xfId="27558"/>
    <cellStyle name="Normal 9 2 50" xfId="27559"/>
    <cellStyle name="Normal 9 2 51" xfId="27560"/>
    <cellStyle name="Normal 9 2 52" xfId="27561"/>
    <cellStyle name="Normal 9 2 53" xfId="27562"/>
    <cellStyle name="Normal 9 2 54" xfId="27563"/>
    <cellStyle name="Normal 9 2 55" xfId="27564"/>
    <cellStyle name="Normal 9 2 56" xfId="27565"/>
    <cellStyle name="Normal 9 2 57" xfId="27566"/>
    <cellStyle name="Normal 9 2 58" xfId="27567"/>
    <cellStyle name="Normal 9 2 59" xfId="27568"/>
    <cellStyle name="Normal 9 2 6" xfId="27569"/>
    <cellStyle name="Normal 9 2 60" xfId="27570"/>
    <cellStyle name="Normal 9 2 61" xfId="27571"/>
    <cellStyle name="Normal 9 2 62" xfId="27572"/>
    <cellStyle name="Normal 9 2 63" xfId="27573"/>
    <cellStyle name="Normal 9 2 64" xfId="27574"/>
    <cellStyle name="Normal 9 2 65" xfId="27575"/>
    <cellStyle name="Normal 9 2 66" xfId="27576"/>
    <cellStyle name="Normal 9 2 67" xfId="27577"/>
    <cellStyle name="Normal 9 2 68" xfId="27578"/>
    <cellStyle name="Normal 9 2 69" xfId="27579"/>
    <cellStyle name="Normal 9 2 7" xfId="27580"/>
    <cellStyle name="Normal 9 2 70" xfId="27581"/>
    <cellStyle name="Normal 9 2 71" xfId="27582"/>
    <cellStyle name="Normal 9 2 72" xfId="27583"/>
    <cellStyle name="Normal 9 2 73" xfId="27584"/>
    <cellStyle name="Normal 9 2 74" xfId="27585"/>
    <cellStyle name="Normal 9 2 75" xfId="27586"/>
    <cellStyle name="Normal 9 2 76" xfId="27587"/>
    <cellStyle name="Normal 9 2 77" xfId="27588"/>
    <cellStyle name="Normal 9 2 78" xfId="27589"/>
    <cellStyle name="Normal 9 2 79" xfId="27590"/>
    <cellStyle name="Normal 9 2 8" xfId="27591"/>
    <cellStyle name="Normal 9 2 80" xfId="27592"/>
    <cellStyle name="Normal 9 2 81" xfId="27593"/>
    <cellStyle name="Normal 9 2 82" xfId="27594"/>
    <cellStyle name="Normal 9 2 83" xfId="27595"/>
    <cellStyle name="Normal 9 2 9" xfId="27596"/>
    <cellStyle name="Normal 9 20" xfId="27597"/>
    <cellStyle name="Normal 9 21" xfId="27598"/>
    <cellStyle name="Normal 9 22" xfId="27599"/>
    <cellStyle name="Normal 9 23" xfId="27600"/>
    <cellStyle name="Normal 9 24" xfId="27601"/>
    <cellStyle name="Normal 9 25" xfId="27602"/>
    <cellStyle name="Normal 9 26" xfId="27603"/>
    <cellStyle name="Normal 9 27" xfId="27604"/>
    <cellStyle name="Normal 9 28" xfId="27605"/>
    <cellStyle name="Normal 9 29" xfId="27606"/>
    <cellStyle name="Normal 9 3" xfId="27607"/>
    <cellStyle name="Normal 9 3 10" xfId="27608"/>
    <cellStyle name="Normal 9 3 11" xfId="27609"/>
    <cellStyle name="Normal 9 3 12" xfId="27610"/>
    <cellStyle name="Normal 9 3 13" xfId="27611"/>
    <cellStyle name="Normal 9 3 14" xfId="27612"/>
    <cellStyle name="Normal 9 3 15" xfId="27613"/>
    <cellStyle name="Normal 9 3 16" xfId="27614"/>
    <cellStyle name="Normal 9 3 17" xfId="27615"/>
    <cellStyle name="Normal 9 3 18" xfId="27616"/>
    <cellStyle name="Normal 9 3 19" xfId="27617"/>
    <cellStyle name="Normal 9 3 2" xfId="27618"/>
    <cellStyle name="Normal 9 3 20" xfId="27619"/>
    <cellStyle name="Normal 9 3 21" xfId="27620"/>
    <cellStyle name="Normal 9 3 22" xfId="27621"/>
    <cellStyle name="Normal 9 3 23" xfId="27622"/>
    <cellStyle name="Normal 9 3 24" xfId="27623"/>
    <cellStyle name="Normal 9 3 25" xfId="27624"/>
    <cellStyle name="Normal 9 3 26" xfId="27625"/>
    <cellStyle name="Normal 9 3 27" xfId="27626"/>
    <cellStyle name="Normal 9 3 28" xfId="27627"/>
    <cellStyle name="Normal 9 3 29" xfId="27628"/>
    <cellStyle name="Normal 9 3 3" xfId="27629"/>
    <cellStyle name="Normal 9 3 30" xfId="27630"/>
    <cellStyle name="Normal 9 3 31" xfId="27631"/>
    <cellStyle name="Normal 9 3 32" xfId="27632"/>
    <cellStyle name="Normal 9 3 33" xfId="27633"/>
    <cellStyle name="Normal 9 3 34" xfId="27634"/>
    <cellStyle name="Normal 9 3 35" xfId="27635"/>
    <cellStyle name="Normal 9 3 36" xfId="27636"/>
    <cellStyle name="Normal 9 3 37" xfId="27637"/>
    <cellStyle name="Normal 9 3 38" xfId="27638"/>
    <cellStyle name="Normal 9 3 39" xfId="27639"/>
    <cellStyle name="Normal 9 3 4" xfId="27640"/>
    <cellStyle name="Normal 9 3 40" xfId="27641"/>
    <cellStyle name="Normal 9 3 41" xfId="27642"/>
    <cellStyle name="Normal 9 3 42" xfId="27643"/>
    <cellStyle name="Normal 9 3 43" xfId="27644"/>
    <cellStyle name="Normal 9 3 44" xfId="27645"/>
    <cellStyle name="Normal 9 3 45" xfId="27646"/>
    <cellStyle name="Normal 9 3 46" xfId="27647"/>
    <cellStyle name="Normal 9 3 47" xfId="27648"/>
    <cellStyle name="Normal 9 3 48" xfId="27649"/>
    <cellStyle name="Normal 9 3 49" xfId="27650"/>
    <cellStyle name="Normal 9 3 5" xfId="27651"/>
    <cellStyle name="Normal 9 3 50" xfId="27652"/>
    <cellStyle name="Normal 9 3 51" xfId="27653"/>
    <cellStyle name="Normal 9 3 52" xfId="27654"/>
    <cellStyle name="Normal 9 3 53" xfId="27655"/>
    <cellStyle name="Normal 9 3 54" xfId="27656"/>
    <cellStyle name="Normal 9 3 55" xfId="27657"/>
    <cellStyle name="Normal 9 3 56" xfId="27658"/>
    <cellStyle name="Normal 9 3 57" xfId="27659"/>
    <cellStyle name="Normal 9 3 58" xfId="27660"/>
    <cellStyle name="Normal 9 3 59" xfId="27661"/>
    <cellStyle name="Normal 9 3 6" xfId="27662"/>
    <cellStyle name="Normal 9 3 60" xfId="27663"/>
    <cellStyle name="Normal 9 3 61" xfId="27664"/>
    <cellStyle name="Normal 9 3 62" xfId="27665"/>
    <cellStyle name="Normal 9 3 63" xfId="27666"/>
    <cellStyle name="Normal 9 3 64" xfId="27667"/>
    <cellStyle name="Normal 9 3 65" xfId="27668"/>
    <cellStyle name="Normal 9 3 66" xfId="27669"/>
    <cellStyle name="Normal 9 3 67" xfId="27670"/>
    <cellStyle name="Normal 9 3 68" xfId="27671"/>
    <cellStyle name="Normal 9 3 69" xfId="27672"/>
    <cellStyle name="Normal 9 3 7" xfId="27673"/>
    <cellStyle name="Normal 9 3 70" xfId="27674"/>
    <cellStyle name="Normal 9 3 71" xfId="27675"/>
    <cellStyle name="Normal 9 3 72" xfId="27676"/>
    <cellStyle name="Normal 9 3 73" xfId="27677"/>
    <cellStyle name="Normal 9 3 74" xfId="27678"/>
    <cellStyle name="Normal 9 3 75" xfId="27679"/>
    <cellStyle name="Normal 9 3 76" xfId="27680"/>
    <cellStyle name="Normal 9 3 77" xfId="27681"/>
    <cellStyle name="Normal 9 3 78" xfId="27682"/>
    <cellStyle name="Normal 9 3 79" xfId="27683"/>
    <cellStyle name="Normal 9 3 8" xfId="27684"/>
    <cellStyle name="Normal 9 3 80" xfId="27685"/>
    <cellStyle name="Normal 9 3 81" xfId="27686"/>
    <cellStyle name="Normal 9 3 82" xfId="27687"/>
    <cellStyle name="Normal 9 3 83" xfId="27688"/>
    <cellStyle name="Normal 9 3 9" xfId="27689"/>
    <cellStyle name="Normal 9 30" xfId="27690"/>
    <cellStyle name="Normal 9 31" xfId="27691"/>
    <cellStyle name="Normal 9 32" xfId="27692"/>
    <cellStyle name="Normal 9 33" xfId="27693"/>
    <cellStyle name="Normal 9 34" xfId="27694"/>
    <cellStyle name="Normal 9 35" xfId="27695"/>
    <cellStyle name="Normal 9 36" xfId="27696"/>
    <cellStyle name="Normal 9 37" xfId="27697"/>
    <cellStyle name="Normal 9 38" xfId="27698"/>
    <cellStyle name="Normal 9 39" xfId="27699"/>
    <cellStyle name="Normal 9 4" xfId="27700"/>
    <cellStyle name="Normal 9 4 10" xfId="27701"/>
    <cellStyle name="Normal 9 4 11" xfId="27702"/>
    <cellStyle name="Normal 9 4 12" xfId="27703"/>
    <cellStyle name="Normal 9 4 13" xfId="27704"/>
    <cellStyle name="Normal 9 4 14" xfId="27705"/>
    <cellStyle name="Normal 9 4 15" xfId="27706"/>
    <cellStyle name="Normal 9 4 16" xfId="27707"/>
    <cellStyle name="Normal 9 4 17" xfId="27708"/>
    <cellStyle name="Normal 9 4 18" xfId="27709"/>
    <cellStyle name="Normal 9 4 19" xfId="27710"/>
    <cellStyle name="Normal 9 4 2" xfId="27711"/>
    <cellStyle name="Normal 9 4 20" xfId="27712"/>
    <cellStyle name="Normal 9 4 21" xfId="27713"/>
    <cellStyle name="Normal 9 4 22" xfId="27714"/>
    <cellStyle name="Normal 9 4 23" xfId="27715"/>
    <cellStyle name="Normal 9 4 24" xfId="27716"/>
    <cellStyle name="Normal 9 4 25" xfId="27717"/>
    <cellStyle name="Normal 9 4 26" xfId="27718"/>
    <cellStyle name="Normal 9 4 27" xfId="27719"/>
    <cellStyle name="Normal 9 4 28" xfId="27720"/>
    <cellStyle name="Normal 9 4 29" xfId="27721"/>
    <cellStyle name="Normal 9 4 3" xfId="27722"/>
    <cellStyle name="Normal 9 4 30" xfId="27723"/>
    <cellStyle name="Normal 9 4 31" xfId="27724"/>
    <cellStyle name="Normal 9 4 32" xfId="27725"/>
    <cellStyle name="Normal 9 4 33" xfId="27726"/>
    <cellStyle name="Normal 9 4 34" xfId="27727"/>
    <cellStyle name="Normal 9 4 35" xfId="27728"/>
    <cellStyle name="Normal 9 4 36" xfId="27729"/>
    <cellStyle name="Normal 9 4 37" xfId="27730"/>
    <cellStyle name="Normal 9 4 38" xfId="27731"/>
    <cellStyle name="Normal 9 4 39" xfId="27732"/>
    <cellStyle name="Normal 9 4 4" xfId="27733"/>
    <cellStyle name="Normal 9 4 40" xfId="27734"/>
    <cellStyle name="Normal 9 4 41" xfId="27735"/>
    <cellStyle name="Normal 9 4 42" xfId="27736"/>
    <cellStyle name="Normal 9 4 43" xfId="27737"/>
    <cellStyle name="Normal 9 4 44" xfId="27738"/>
    <cellStyle name="Normal 9 4 45" xfId="27739"/>
    <cellStyle name="Normal 9 4 46" xfId="27740"/>
    <cellStyle name="Normal 9 4 47" xfId="27741"/>
    <cellStyle name="Normal 9 4 48" xfId="27742"/>
    <cellStyle name="Normal 9 4 49" xfId="27743"/>
    <cellStyle name="Normal 9 4 5" xfId="27744"/>
    <cellStyle name="Normal 9 4 50" xfId="27745"/>
    <cellStyle name="Normal 9 4 51" xfId="27746"/>
    <cellStyle name="Normal 9 4 52" xfId="27747"/>
    <cellStyle name="Normal 9 4 53" xfId="27748"/>
    <cellStyle name="Normal 9 4 54" xfId="27749"/>
    <cellStyle name="Normal 9 4 55" xfId="27750"/>
    <cellStyle name="Normal 9 4 56" xfId="27751"/>
    <cellStyle name="Normal 9 4 57" xfId="27752"/>
    <cellStyle name="Normal 9 4 58" xfId="27753"/>
    <cellStyle name="Normal 9 4 59" xfId="27754"/>
    <cellStyle name="Normal 9 4 6" xfId="27755"/>
    <cellStyle name="Normal 9 4 60" xfId="27756"/>
    <cellStyle name="Normal 9 4 61" xfId="27757"/>
    <cellStyle name="Normal 9 4 62" xfId="27758"/>
    <cellStyle name="Normal 9 4 63" xfId="27759"/>
    <cellStyle name="Normal 9 4 64" xfId="27760"/>
    <cellStyle name="Normal 9 4 65" xfId="27761"/>
    <cellStyle name="Normal 9 4 66" xfId="27762"/>
    <cellStyle name="Normal 9 4 67" xfId="27763"/>
    <cellStyle name="Normal 9 4 68" xfId="27764"/>
    <cellStyle name="Normal 9 4 69" xfId="27765"/>
    <cellStyle name="Normal 9 4 7" xfId="27766"/>
    <cellStyle name="Normal 9 4 70" xfId="27767"/>
    <cellStyle name="Normal 9 4 71" xfId="27768"/>
    <cellStyle name="Normal 9 4 72" xfId="27769"/>
    <cellStyle name="Normal 9 4 73" xfId="27770"/>
    <cellStyle name="Normal 9 4 74" xfId="27771"/>
    <cellStyle name="Normal 9 4 75" xfId="27772"/>
    <cellStyle name="Normal 9 4 76" xfId="27773"/>
    <cellStyle name="Normal 9 4 77" xfId="27774"/>
    <cellStyle name="Normal 9 4 78" xfId="27775"/>
    <cellStyle name="Normal 9 4 79" xfId="27776"/>
    <cellStyle name="Normal 9 4 8" xfId="27777"/>
    <cellStyle name="Normal 9 4 80" xfId="27778"/>
    <cellStyle name="Normal 9 4 81" xfId="27779"/>
    <cellStyle name="Normal 9 4 82" xfId="27780"/>
    <cellStyle name="Normal 9 4 83" xfId="27781"/>
    <cellStyle name="Normal 9 4 9" xfId="27782"/>
    <cellStyle name="Normal 9 40" xfId="27783"/>
    <cellStyle name="Normal 9 41" xfId="27784"/>
    <cellStyle name="Normal 9 42" xfId="27785"/>
    <cellStyle name="Normal 9 43" xfId="27786"/>
    <cellStyle name="Normal 9 44" xfId="27787"/>
    <cellStyle name="Normal 9 45" xfId="27788"/>
    <cellStyle name="Normal 9 46" xfId="27789"/>
    <cellStyle name="Normal 9 47" xfId="27790"/>
    <cellStyle name="Normal 9 48" xfId="27791"/>
    <cellStyle name="Normal 9 49" xfId="27792"/>
    <cellStyle name="Normal 9 5" xfId="27793"/>
    <cellStyle name="Normal 9 5 10" xfId="27794"/>
    <cellStyle name="Normal 9 5 11" xfId="27795"/>
    <cellStyle name="Normal 9 5 12" xfId="27796"/>
    <cellStyle name="Normal 9 5 13" xfId="27797"/>
    <cellStyle name="Normal 9 5 14" xfId="27798"/>
    <cellStyle name="Normal 9 5 15" xfId="27799"/>
    <cellStyle name="Normal 9 5 16" xfId="27800"/>
    <cellStyle name="Normal 9 5 17" xfId="27801"/>
    <cellStyle name="Normal 9 5 18" xfId="27802"/>
    <cellStyle name="Normal 9 5 19" xfId="27803"/>
    <cellStyle name="Normal 9 5 2" xfId="27804"/>
    <cellStyle name="Normal 9 5 20" xfId="27805"/>
    <cellStyle name="Normal 9 5 21" xfId="27806"/>
    <cellStyle name="Normal 9 5 22" xfId="27807"/>
    <cellStyle name="Normal 9 5 23" xfId="27808"/>
    <cellStyle name="Normal 9 5 24" xfId="27809"/>
    <cellStyle name="Normal 9 5 25" xfId="27810"/>
    <cellStyle name="Normal 9 5 26" xfId="27811"/>
    <cellStyle name="Normal 9 5 27" xfId="27812"/>
    <cellStyle name="Normal 9 5 28" xfId="27813"/>
    <cellStyle name="Normal 9 5 29" xfId="27814"/>
    <cellStyle name="Normal 9 5 3" xfId="27815"/>
    <cellStyle name="Normal 9 5 30" xfId="27816"/>
    <cellStyle name="Normal 9 5 31" xfId="27817"/>
    <cellStyle name="Normal 9 5 32" xfId="27818"/>
    <cellStyle name="Normal 9 5 33" xfId="27819"/>
    <cellStyle name="Normal 9 5 34" xfId="27820"/>
    <cellStyle name="Normal 9 5 35" xfId="27821"/>
    <cellStyle name="Normal 9 5 36" xfId="27822"/>
    <cellStyle name="Normal 9 5 37" xfId="27823"/>
    <cellStyle name="Normal 9 5 38" xfId="27824"/>
    <cellStyle name="Normal 9 5 39" xfId="27825"/>
    <cellStyle name="Normal 9 5 4" xfId="27826"/>
    <cellStyle name="Normal 9 5 40" xfId="27827"/>
    <cellStyle name="Normal 9 5 41" xfId="27828"/>
    <cellStyle name="Normal 9 5 42" xfId="27829"/>
    <cellStyle name="Normal 9 5 43" xfId="27830"/>
    <cellStyle name="Normal 9 5 44" xfId="27831"/>
    <cellStyle name="Normal 9 5 45" xfId="27832"/>
    <cellStyle name="Normal 9 5 46" xfId="27833"/>
    <cellStyle name="Normal 9 5 47" xfId="27834"/>
    <cellStyle name="Normal 9 5 48" xfId="27835"/>
    <cellStyle name="Normal 9 5 49" xfId="27836"/>
    <cellStyle name="Normal 9 5 5" xfId="27837"/>
    <cellStyle name="Normal 9 5 50" xfId="27838"/>
    <cellStyle name="Normal 9 5 51" xfId="27839"/>
    <cellStyle name="Normal 9 5 52" xfId="27840"/>
    <cellStyle name="Normal 9 5 53" xfId="27841"/>
    <cellStyle name="Normal 9 5 54" xfId="27842"/>
    <cellStyle name="Normal 9 5 55" xfId="27843"/>
    <cellStyle name="Normal 9 5 56" xfId="27844"/>
    <cellStyle name="Normal 9 5 57" xfId="27845"/>
    <cellStyle name="Normal 9 5 58" xfId="27846"/>
    <cellStyle name="Normal 9 5 59" xfId="27847"/>
    <cellStyle name="Normal 9 5 6" xfId="27848"/>
    <cellStyle name="Normal 9 5 60" xfId="27849"/>
    <cellStyle name="Normal 9 5 61" xfId="27850"/>
    <cellStyle name="Normal 9 5 62" xfId="27851"/>
    <cellStyle name="Normal 9 5 63" xfId="27852"/>
    <cellStyle name="Normal 9 5 64" xfId="27853"/>
    <cellStyle name="Normal 9 5 65" xfId="27854"/>
    <cellStyle name="Normal 9 5 66" xfId="27855"/>
    <cellStyle name="Normal 9 5 67" xfId="27856"/>
    <cellStyle name="Normal 9 5 68" xfId="27857"/>
    <cellStyle name="Normal 9 5 69" xfId="27858"/>
    <cellStyle name="Normal 9 5 7" xfId="27859"/>
    <cellStyle name="Normal 9 5 70" xfId="27860"/>
    <cellStyle name="Normal 9 5 71" xfId="27861"/>
    <cellStyle name="Normal 9 5 72" xfId="27862"/>
    <cellStyle name="Normal 9 5 73" xfId="27863"/>
    <cellStyle name="Normal 9 5 74" xfId="27864"/>
    <cellStyle name="Normal 9 5 75" xfId="27865"/>
    <cellStyle name="Normal 9 5 76" xfId="27866"/>
    <cellStyle name="Normal 9 5 77" xfId="27867"/>
    <cellStyle name="Normal 9 5 78" xfId="27868"/>
    <cellStyle name="Normal 9 5 79" xfId="27869"/>
    <cellStyle name="Normal 9 5 8" xfId="27870"/>
    <cellStyle name="Normal 9 5 80" xfId="27871"/>
    <cellStyle name="Normal 9 5 81" xfId="27872"/>
    <cellStyle name="Normal 9 5 82" xfId="27873"/>
    <cellStyle name="Normal 9 5 83" xfId="27874"/>
    <cellStyle name="Normal 9 5 9" xfId="27875"/>
    <cellStyle name="Normal 9 50" xfId="27876"/>
    <cellStyle name="Normal 9 51" xfId="27877"/>
    <cellStyle name="Normal 9 52" xfId="27878"/>
    <cellStyle name="Normal 9 53" xfId="27879"/>
    <cellStyle name="Normal 9 54" xfId="27880"/>
    <cellStyle name="Normal 9 55" xfId="27881"/>
    <cellStyle name="Normal 9 56" xfId="27882"/>
    <cellStyle name="Normal 9 57" xfId="27883"/>
    <cellStyle name="Normal 9 58" xfId="27884"/>
    <cellStyle name="Normal 9 59" xfId="27885"/>
    <cellStyle name="Normal 9 6" xfId="27886"/>
    <cellStyle name="Normal 9 6 10" xfId="27887"/>
    <cellStyle name="Normal 9 6 11" xfId="27888"/>
    <cellStyle name="Normal 9 6 12" xfId="27889"/>
    <cellStyle name="Normal 9 6 13" xfId="27890"/>
    <cellStyle name="Normal 9 6 14" xfId="27891"/>
    <cellStyle name="Normal 9 6 15" xfId="27892"/>
    <cellStyle name="Normal 9 6 16" xfId="27893"/>
    <cellStyle name="Normal 9 6 17" xfId="27894"/>
    <cellStyle name="Normal 9 6 18" xfId="27895"/>
    <cellStyle name="Normal 9 6 19" xfId="27896"/>
    <cellStyle name="Normal 9 6 2" xfId="27897"/>
    <cellStyle name="Normal 9 6 20" xfId="27898"/>
    <cellStyle name="Normal 9 6 21" xfId="27899"/>
    <cellStyle name="Normal 9 6 22" xfId="27900"/>
    <cellStyle name="Normal 9 6 23" xfId="27901"/>
    <cellStyle name="Normal 9 6 24" xfId="27902"/>
    <cellStyle name="Normal 9 6 25" xfId="27903"/>
    <cellStyle name="Normal 9 6 26" xfId="27904"/>
    <cellStyle name="Normal 9 6 27" xfId="27905"/>
    <cellStyle name="Normal 9 6 28" xfId="27906"/>
    <cellStyle name="Normal 9 6 29" xfId="27907"/>
    <cellStyle name="Normal 9 6 3" xfId="27908"/>
    <cellStyle name="Normal 9 6 30" xfId="27909"/>
    <cellStyle name="Normal 9 6 31" xfId="27910"/>
    <cellStyle name="Normal 9 6 32" xfId="27911"/>
    <cellStyle name="Normal 9 6 33" xfId="27912"/>
    <cellStyle name="Normal 9 6 34" xfId="27913"/>
    <cellStyle name="Normal 9 6 35" xfId="27914"/>
    <cellStyle name="Normal 9 6 36" xfId="27915"/>
    <cellStyle name="Normal 9 6 37" xfId="27916"/>
    <cellStyle name="Normal 9 6 38" xfId="27917"/>
    <cellStyle name="Normal 9 6 39" xfId="27918"/>
    <cellStyle name="Normal 9 6 4" xfId="27919"/>
    <cellStyle name="Normal 9 6 40" xfId="27920"/>
    <cellStyle name="Normal 9 6 41" xfId="27921"/>
    <cellStyle name="Normal 9 6 42" xfId="27922"/>
    <cellStyle name="Normal 9 6 43" xfId="27923"/>
    <cellStyle name="Normal 9 6 44" xfId="27924"/>
    <cellStyle name="Normal 9 6 45" xfId="27925"/>
    <cellStyle name="Normal 9 6 46" xfId="27926"/>
    <cellStyle name="Normal 9 6 47" xfId="27927"/>
    <cellStyle name="Normal 9 6 48" xfId="27928"/>
    <cellStyle name="Normal 9 6 49" xfId="27929"/>
    <cellStyle name="Normal 9 6 5" xfId="27930"/>
    <cellStyle name="Normal 9 6 50" xfId="27931"/>
    <cellStyle name="Normal 9 6 51" xfId="27932"/>
    <cellStyle name="Normal 9 6 52" xfId="27933"/>
    <cellStyle name="Normal 9 6 53" xfId="27934"/>
    <cellStyle name="Normal 9 6 54" xfId="27935"/>
    <cellStyle name="Normal 9 6 55" xfId="27936"/>
    <cellStyle name="Normal 9 6 56" xfId="27937"/>
    <cellStyle name="Normal 9 6 57" xfId="27938"/>
    <cellStyle name="Normal 9 6 58" xfId="27939"/>
    <cellStyle name="Normal 9 6 59" xfId="27940"/>
    <cellStyle name="Normal 9 6 6" xfId="27941"/>
    <cellStyle name="Normal 9 6 60" xfId="27942"/>
    <cellStyle name="Normal 9 6 61" xfId="27943"/>
    <cellStyle name="Normal 9 6 62" xfId="27944"/>
    <cellStyle name="Normal 9 6 63" xfId="27945"/>
    <cellStyle name="Normal 9 6 64" xfId="27946"/>
    <cellStyle name="Normal 9 6 65" xfId="27947"/>
    <cellStyle name="Normal 9 6 66" xfId="27948"/>
    <cellStyle name="Normal 9 6 67" xfId="27949"/>
    <cellStyle name="Normal 9 6 68" xfId="27950"/>
    <cellStyle name="Normal 9 6 69" xfId="27951"/>
    <cellStyle name="Normal 9 6 7" xfId="27952"/>
    <cellStyle name="Normal 9 6 70" xfId="27953"/>
    <cellStyle name="Normal 9 6 71" xfId="27954"/>
    <cellStyle name="Normal 9 6 72" xfId="27955"/>
    <cellStyle name="Normal 9 6 73" xfId="27956"/>
    <cellStyle name="Normal 9 6 74" xfId="27957"/>
    <cellStyle name="Normal 9 6 75" xfId="27958"/>
    <cellStyle name="Normal 9 6 76" xfId="27959"/>
    <cellStyle name="Normal 9 6 77" xfId="27960"/>
    <cellStyle name="Normal 9 6 78" xfId="27961"/>
    <cellStyle name="Normal 9 6 79" xfId="27962"/>
    <cellStyle name="Normal 9 6 8" xfId="27963"/>
    <cellStyle name="Normal 9 6 80" xfId="27964"/>
    <cellStyle name="Normal 9 6 81" xfId="27965"/>
    <cellStyle name="Normal 9 6 82" xfId="27966"/>
    <cellStyle name="Normal 9 6 83" xfId="27967"/>
    <cellStyle name="Normal 9 6 9" xfId="27968"/>
    <cellStyle name="Normal 9 60" xfId="27969"/>
    <cellStyle name="Normal 9 61" xfId="27970"/>
    <cellStyle name="Normal 9 62" xfId="27971"/>
    <cellStyle name="Normal 9 63" xfId="27972"/>
    <cellStyle name="Normal 9 64" xfId="27973"/>
    <cellStyle name="Normal 9 65" xfId="27974"/>
    <cellStyle name="Normal 9 66" xfId="27975"/>
    <cellStyle name="Normal 9 67" xfId="27976"/>
    <cellStyle name="Normal 9 68" xfId="27977"/>
    <cellStyle name="Normal 9 69" xfId="27978"/>
    <cellStyle name="Normal 9 7" xfId="27979"/>
    <cellStyle name="Normal 9 70" xfId="27980"/>
    <cellStyle name="Normal 9 71" xfId="27981"/>
    <cellStyle name="Normal 9 72" xfId="27982"/>
    <cellStyle name="Normal 9 73" xfId="27983"/>
    <cellStyle name="Normal 9 74" xfId="27984"/>
    <cellStyle name="Normal 9 75" xfId="27985"/>
    <cellStyle name="Normal 9 76" xfId="27986"/>
    <cellStyle name="Normal 9 77" xfId="27987"/>
    <cellStyle name="Normal 9 78" xfId="27988"/>
    <cellStyle name="Normal 9 79" xfId="27989"/>
    <cellStyle name="Normal 9 8" xfId="27990"/>
    <cellStyle name="Normal 9 80" xfId="27991"/>
    <cellStyle name="Normal 9 81" xfId="27992"/>
    <cellStyle name="Normal 9 82" xfId="27993"/>
    <cellStyle name="Normal 9 83" xfId="27994"/>
    <cellStyle name="Normal 9 84" xfId="27995"/>
    <cellStyle name="Normal 9 85" xfId="27996"/>
    <cellStyle name="Normal 9 86" xfId="27997"/>
    <cellStyle name="Normal 9 87" xfId="27998"/>
    <cellStyle name="Normal 9 88" xfId="27999"/>
    <cellStyle name="Normal 9 9" xfId="28000"/>
    <cellStyle name="Normal 9_Cultura y Tiempo libre 2011 base 2012 PGM - EMV  2013" xfId="28001"/>
    <cellStyle name="Normal_153-02" xfId="36430"/>
    <cellStyle name="Normal_153-03 compendio 2008" xfId="30864"/>
    <cellStyle name="Normal_3.7.2-05" xfId="36422"/>
    <cellStyle name="Normal_3.7.2-06" xfId="36423"/>
    <cellStyle name="Normal_3.7.2-09" xfId="36428"/>
    <cellStyle name="Normal_3.7.2-10" xfId="36429"/>
    <cellStyle name="Normal_Anuario CTL 2006 al 28 nov 2007" xfId="28002"/>
    <cellStyle name="Normal_Carabineros Estadísticas Apr. y Den. para Anuario de Cultura y Tiempo Libre 2010 2" xfId="36436"/>
    <cellStyle name="Normal_CINES PORREGIÓN 2005 CALIFICACIÓN CINEMATOGRÁFICA" xfId="36431"/>
    <cellStyle name="Normal_CINES PORREGIÓN 2005 MESES" xfId="36432"/>
    <cellStyle name="Normal_cuadro presupuesto 2006" xfId="36435"/>
    <cellStyle name="Normal_Cuadros Anuario 2006-INDICADORES TRANSVERSALES" xfId="30873"/>
    <cellStyle name="Normal_Datos 2005" xfId="30865"/>
    <cellStyle name="Normal_DELITOS INVEST. POR COMUNAS" xfId="36437"/>
    <cellStyle name="Normal_Descritivos grals" xfId="36424"/>
    <cellStyle name="Normal_Fondo CNTV oferta y consumo" xfId="36427"/>
    <cellStyle name="Normal_Genero oferta y consumo" xfId="36421"/>
    <cellStyle name="Normal_Hoja1" xfId="30872"/>
    <cellStyle name="Normal_PDI ANUARIO CULTURA 2010 2" xfId="36438"/>
    <cellStyle name="Normal_PDI ANUARIO CULTURA 2010_Cultura y Tiempo libre 2011 base 2012 PGM - EMV  2013" xfId="36439"/>
    <cellStyle name="Normal_PDI Anuario Cultura JENADEC 2010" xfId="36440"/>
    <cellStyle name="Normal_PENAL A INE CAPJ" xfId="9"/>
    <cellStyle name="Normal_PENAL A INE CAPJ 2" xfId="36441"/>
    <cellStyle name="Normal_Planilla de Datos BN.xls 2007-2006-2005" xfId="36434"/>
    <cellStyle name="Normal_Prog Inf segun Procedencia" xfId="36425"/>
    <cellStyle name="Normal_Pub Obj oferta y consumo" xfId="36420"/>
    <cellStyle name="Normal_Tabla 3-2-03" xfId="28003"/>
    <cellStyle name="Normal_THV Por región" xfId="14"/>
    <cellStyle name="Normal_THV Por resultado 2" xfId="20"/>
    <cellStyle name="Notas 2" xfId="28004"/>
    <cellStyle name="Notas 2 10" xfId="28005"/>
    <cellStyle name="Notas 2 10 10" xfId="28006"/>
    <cellStyle name="Notas 2 10 10 2" xfId="34513"/>
    <cellStyle name="Notas 2 10 11" xfId="28007"/>
    <cellStyle name="Notas 2 10 11 2" xfId="34514"/>
    <cellStyle name="Notas 2 10 12" xfId="28008"/>
    <cellStyle name="Notas 2 10 12 2" xfId="34515"/>
    <cellStyle name="Notas 2 10 13" xfId="28009"/>
    <cellStyle name="Notas 2 10 13 2" xfId="34516"/>
    <cellStyle name="Notas 2 10 14" xfId="34517"/>
    <cellStyle name="Notas 2 10 2" xfId="28010"/>
    <cellStyle name="Notas 2 10 2 2" xfId="34518"/>
    <cellStyle name="Notas 2 10 3" xfId="28011"/>
    <cellStyle name="Notas 2 10 3 2" xfId="34519"/>
    <cellStyle name="Notas 2 10 4" xfId="28012"/>
    <cellStyle name="Notas 2 10 4 2" xfId="34520"/>
    <cellStyle name="Notas 2 10 5" xfId="28013"/>
    <cellStyle name="Notas 2 10 5 2" xfId="34521"/>
    <cellStyle name="Notas 2 10 6" xfId="28014"/>
    <cellStyle name="Notas 2 10 6 2" xfId="34522"/>
    <cellStyle name="Notas 2 10 7" xfId="28015"/>
    <cellStyle name="Notas 2 10 7 2" xfId="34523"/>
    <cellStyle name="Notas 2 10 8" xfId="28016"/>
    <cellStyle name="Notas 2 10 8 2" xfId="34524"/>
    <cellStyle name="Notas 2 10 9" xfId="28017"/>
    <cellStyle name="Notas 2 10 9 2" xfId="34525"/>
    <cellStyle name="Notas 2 11" xfId="28018"/>
    <cellStyle name="Notas 2 11 10" xfId="28019"/>
    <cellStyle name="Notas 2 11 10 2" xfId="34526"/>
    <cellStyle name="Notas 2 11 11" xfId="28020"/>
    <cellStyle name="Notas 2 11 11 2" xfId="34527"/>
    <cellStyle name="Notas 2 11 12" xfId="28021"/>
    <cellStyle name="Notas 2 11 12 2" xfId="34528"/>
    <cellStyle name="Notas 2 11 13" xfId="28022"/>
    <cellStyle name="Notas 2 11 13 2" xfId="34529"/>
    <cellStyle name="Notas 2 11 14" xfId="34530"/>
    <cellStyle name="Notas 2 11 2" xfId="28023"/>
    <cellStyle name="Notas 2 11 2 2" xfId="34531"/>
    <cellStyle name="Notas 2 11 3" xfId="28024"/>
    <cellStyle name="Notas 2 11 3 2" xfId="34532"/>
    <cellStyle name="Notas 2 11 4" xfId="28025"/>
    <cellStyle name="Notas 2 11 4 2" xfId="34533"/>
    <cellStyle name="Notas 2 11 5" xfId="28026"/>
    <cellStyle name="Notas 2 11 5 2" xfId="34534"/>
    <cellStyle name="Notas 2 11 6" xfId="28027"/>
    <cellStyle name="Notas 2 11 6 2" xfId="34535"/>
    <cellStyle name="Notas 2 11 7" xfId="28028"/>
    <cellStyle name="Notas 2 11 7 2" xfId="34536"/>
    <cellStyle name="Notas 2 11 8" xfId="28029"/>
    <cellStyle name="Notas 2 11 8 2" xfId="34537"/>
    <cellStyle name="Notas 2 11 9" xfId="28030"/>
    <cellStyle name="Notas 2 11 9 2" xfId="34538"/>
    <cellStyle name="Notas 2 12" xfId="28031"/>
    <cellStyle name="Notas 2 12 10" xfId="28032"/>
    <cellStyle name="Notas 2 12 10 2" xfId="34539"/>
    <cellStyle name="Notas 2 12 11" xfId="28033"/>
    <cellStyle name="Notas 2 12 11 2" xfId="34540"/>
    <cellStyle name="Notas 2 12 12" xfId="28034"/>
    <cellStyle name="Notas 2 12 12 2" xfId="34541"/>
    <cellStyle name="Notas 2 12 13" xfId="28035"/>
    <cellStyle name="Notas 2 12 13 2" xfId="34542"/>
    <cellStyle name="Notas 2 12 14" xfId="34543"/>
    <cellStyle name="Notas 2 12 2" xfId="28036"/>
    <cellStyle name="Notas 2 12 2 2" xfId="34544"/>
    <cellStyle name="Notas 2 12 3" xfId="28037"/>
    <cellStyle name="Notas 2 12 3 2" xfId="34545"/>
    <cellStyle name="Notas 2 12 4" xfId="28038"/>
    <cellStyle name="Notas 2 12 4 2" xfId="34546"/>
    <cellStyle name="Notas 2 12 5" xfId="28039"/>
    <cellStyle name="Notas 2 12 5 2" xfId="34547"/>
    <cellStyle name="Notas 2 12 6" xfId="28040"/>
    <cellStyle name="Notas 2 12 6 2" xfId="34548"/>
    <cellStyle name="Notas 2 12 7" xfId="28041"/>
    <cellStyle name="Notas 2 12 7 2" xfId="34549"/>
    <cellStyle name="Notas 2 12 8" xfId="28042"/>
    <cellStyle name="Notas 2 12 8 2" xfId="34550"/>
    <cellStyle name="Notas 2 12 9" xfId="28043"/>
    <cellStyle name="Notas 2 12 9 2" xfId="34551"/>
    <cellStyle name="Notas 2 13" xfId="28044"/>
    <cellStyle name="Notas 2 13 10" xfId="28045"/>
    <cellStyle name="Notas 2 13 10 2" xfId="34552"/>
    <cellStyle name="Notas 2 13 11" xfId="28046"/>
    <cellStyle name="Notas 2 13 11 2" xfId="34553"/>
    <cellStyle name="Notas 2 13 12" xfId="28047"/>
    <cellStyle name="Notas 2 13 12 2" xfId="34554"/>
    <cellStyle name="Notas 2 13 13" xfId="28048"/>
    <cellStyle name="Notas 2 13 13 2" xfId="34555"/>
    <cellStyle name="Notas 2 13 14" xfId="34556"/>
    <cellStyle name="Notas 2 13 2" xfId="28049"/>
    <cellStyle name="Notas 2 13 2 2" xfId="34557"/>
    <cellStyle name="Notas 2 13 3" xfId="28050"/>
    <cellStyle name="Notas 2 13 3 2" xfId="34558"/>
    <cellStyle name="Notas 2 13 4" xfId="28051"/>
    <cellStyle name="Notas 2 13 4 2" xfId="34559"/>
    <cellStyle name="Notas 2 13 5" xfId="28052"/>
    <cellStyle name="Notas 2 13 5 2" xfId="34560"/>
    <cellStyle name="Notas 2 13 6" xfId="28053"/>
    <cellStyle name="Notas 2 13 6 2" xfId="34561"/>
    <cellStyle name="Notas 2 13 7" xfId="28054"/>
    <cellStyle name="Notas 2 13 7 2" xfId="34562"/>
    <cellStyle name="Notas 2 13 8" xfId="28055"/>
    <cellStyle name="Notas 2 13 8 2" xfId="34563"/>
    <cellStyle name="Notas 2 13 9" xfId="28056"/>
    <cellStyle name="Notas 2 13 9 2" xfId="34564"/>
    <cellStyle name="Notas 2 14" xfId="28057"/>
    <cellStyle name="Notas 2 14 10" xfId="28058"/>
    <cellStyle name="Notas 2 14 10 2" xfId="34565"/>
    <cellStyle name="Notas 2 14 11" xfId="28059"/>
    <cellStyle name="Notas 2 14 11 2" xfId="34566"/>
    <cellStyle name="Notas 2 14 12" xfId="28060"/>
    <cellStyle name="Notas 2 14 12 2" xfId="34567"/>
    <cellStyle name="Notas 2 14 13" xfId="28061"/>
    <cellStyle name="Notas 2 14 13 2" xfId="34568"/>
    <cellStyle name="Notas 2 14 14" xfId="34569"/>
    <cellStyle name="Notas 2 14 2" xfId="28062"/>
    <cellStyle name="Notas 2 14 2 2" xfId="34570"/>
    <cellStyle name="Notas 2 14 3" xfId="28063"/>
    <cellStyle name="Notas 2 14 3 2" xfId="34571"/>
    <cellStyle name="Notas 2 14 4" xfId="28064"/>
    <cellStyle name="Notas 2 14 4 2" xfId="34572"/>
    <cellStyle name="Notas 2 14 5" xfId="28065"/>
    <cellStyle name="Notas 2 14 5 2" xfId="34573"/>
    <cellStyle name="Notas 2 14 6" xfId="28066"/>
    <cellStyle name="Notas 2 14 6 2" xfId="34574"/>
    <cellStyle name="Notas 2 14 7" xfId="28067"/>
    <cellStyle name="Notas 2 14 7 2" xfId="34575"/>
    <cellStyle name="Notas 2 14 8" xfId="28068"/>
    <cellStyle name="Notas 2 14 8 2" xfId="34576"/>
    <cellStyle name="Notas 2 14 9" xfId="28069"/>
    <cellStyle name="Notas 2 14 9 2" xfId="34577"/>
    <cellStyle name="Notas 2 15" xfId="28070"/>
    <cellStyle name="Notas 2 15 10" xfId="28071"/>
    <cellStyle name="Notas 2 15 10 2" xfId="34578"/>
    <cellStyle name="Notas 2 15 11" xfId="28072"/>
    <cellStyle name="Notas 2 15 11 2" xfId="34579"/>
    <cellStyle name="Notas 2 15 12" xfId="28073"/>
    <cellStyle name="Notas 2 15 12 2" xfId="34580"/>
    <cellStyle name="Notas 2 15 13" xfId="28074"/>
    <cellStyle name="Notas 2 15 13 2" xfId="34581"/>
    <cellStyle name="Notas 2 15 14" xfId="34582"/>
    <cellStyle name="Notas 2 15 2" xfId="28075"/>
    <cellStyle name="Notas 2 15 2 2" xfId="34583"/>
    <cellStyle name="Notas 2 15 3" xfId="28076"/>
    <cellStyle name="Notas 2 15 3 2" xfId="34584"/>
    <cellStyle name="Notas 2 15 4" xfId="28077"/>
    <cellStyle name="Notas 2 15 4 2" xfId="34585"/>
    <cellStyle name="Notas 2 15 5" xfId="28078"/>
    <cellStyle name="Notas 2 15 5 2" xfId="34586"/>
    <cellStyle name="Notas 2 15 6" xfId="28079"/>
    <cellStyle name="Notas 2 15 6 2" xfId="34587"/>
    <cellStyle name="Notas 2 15 7" xfId="28080"/>
    <cellStyle name="Notas 2 15 7 2" xfId="34588"/>
    <cellStyle name="Notas 2 15 8" xfId="28081"/>
    <cellStyle name="Notas 2 15 8 2" xfId="34589"/>
    <cellStyle name="Notas 2 15 9" xfId="28082"/>
    <cellStyle name="Notas 2 15 9 2" xfId="34590"/>
    <cellStyle name="Notas 2 16" xfId="28083"/>
    <cellStyle name="Notas 2 16 10" xfId="28084"/>
    <cellStyle name="Notas 2 16 10 2" xfId="34591"/>
    <cellStyle name="Notas 2 16 11" xfId="28085"/>
    <cellStyle name="Notas 2 16 11 2" xfId="34592"/>
    <cellStyle name="Notas 2 16 12" xfId="28086"/>
    <cellStyle name="Notas 2 16 12 2" xfId="34593"/>
    <cellStyle name="Notas 2 16 13" xfId="28087"/>
    <cellStyle name="Notas 2 16 13 2" xfId="34594"/>
    <cellStyle name="Notas 2 16 14" xfId="34595"/>
    <cellStyle name="Notas 2 16 2" xfId="28088"/>
    <cellStyle name="Notas 2 16 2 2" xfId="34596"/>
    <cellStyle name="Notas 2 16 3" xfId="28089"/>
    <cellStyle name="Notas 2 16 3 2" xfId="34597"/>
    <cellStyle name="Notas 2 16 4" xfId="28090"/>
    <cellStyle name="Notas 2 16 4 2" xfId="34598"/>
    <cellStyle name="Notas 2 16 5" xfId="28091"/>
    <cellStyle name="Notas 2 16 5 2" xfId="34599"/>
    <cellStyle name="Notas 2 16 6" xfId="28092"/>
    <cellStyle name="Notas 2 16 6 2" xfId="34600"/>
    <cellStyle name="Notas 2 16 7" xfId="28093"/>
    <cellStyle name="Notas 2 16 7 2" xfId="34601"/>
    <cellStyle name="Notas 2 16 8" xfId="28094"/>
    <cellStyle name="Notas 2 16 8 2" xfId="34602"/>
    <cellStyle name="Notas 2 16 9" xfId="28095"/>
    <cellStyle name="Notas 2 16 9 2" xfId="34603"/>
    <cellStyle name="Notas 2 17" xfId="28096"/>
    <cellStyle name="Notas 2 17 10" xfId="28097"/>
    <cellStyle name="Notas 2 17 10 2" xfId="34604"/>
    <cellStyle name="Notas 2 17 11" xfId="28098"/>
    <cellStyle name="Notas 2 17 11 2" xfId="34605"/>
    <cellStyle name="Notas 2 17 12" xfId="28099"/>
    <cellStyle name="Notas 2 17 12 2" xfId="34606"/>
    <cellStyle name="Notas 2 17 13" xfId="28100"/>
    <cellStyle name="Notas 2 17 13 2" xfId="34607"/>
    <cellStyle name="Notas 2 17 14" xfId="34608"/>
    <cellStyle name="Notas 2 17 2" xfId="28101"/>
    <cellStyle name="Notas 2 17 2 2" xfId="34609"/>
    <cellStyle name="Notas 2 17 3" xfId="28102"/>
    <cellStyle name="Notas 2 17 3 2" xfId="34610"/>
    <cellStyle name="Notas 2 17 4" xfId="28103"/>
    <cellStyle name="Notas 2 17 4 2" xfId="34611"/>
    <cellStyle name="Notas 2 17 5" xfId="28104"/>
    <cellStyle name="Notas 2 17 5 2" xfId="34612"/>
    <cellStyle name="Notas 2 17 6" xfId="28105"/>
    <cellStyle name="Notas 2 17 6 2" xfId="34613"/>
    <cellStyle name="Notas 2 17 7" xfId="28106"/>
    <cellStyle name="Notas 2 17 7 2" xfId="34614"/>
    <cellStyle name="Notas 2 17 8" xfId="28107"/>
    <cellStyle name="Notas 2 17 8 2" xfId="34615"/>
    <cellStyle name="Notas 2 17 9" xfId="28108"/>
    <cellStyle name="Notas 2 17 9 2" xfId="34616"/>
    <cellStyle name="Notas 2 18" xfId="28109"/>
    <cellStyle name="Notas 2 18 10" xfId="28110"/>
    <cellStyle name="Notas 2 18 10 2" xfId="34617"/>
    <cellStyle name="Notas 2 18 11" xfId="28111"/>
    <cellStyle name="Notas 2 18 11 2" xfId="34618"/>
    <cellStyle name="Notas 2 18 12" xfId="28112"/>
    <cellStyle name="Notas 2 18 12 2" xfId="34619"/>
    <cellStyle name="Notas 2 18 13" xfId="28113"/>
    <cellStyle name="Notas 2 18 13 2" xfId="34620"/>
    <cellStyle name="Notas 2 18 14" xfId="34621"/>
    <cellStyle name="Notas 2 18 2" xfId="28114"/>
    <cellStyle name="Notas 2 18 2 2" xfId="34622"/>
    <cellStyle name="Notas 2 18 3" xfId="28115"/>
    <cellStyle name="Notas 2 18 3 2" xfId="34623"/>
    <cellStyle name="Notas 2 18 4" xfId="28116"/>
    <cellStyle name="Notas 2 18 4 2" xfId="34624"/>
    <cellStyle name="Notas 2 18 5" xfId="28117"/>
    <cellStyle name="Notas 2 18 5 2" xfId="34625"/>
    <cellStyle name="Notas 2 18 6" xfId="28118"/>
    <cellStyle name="Notas 2 18 6 2" xfId="34626"/>
    <cellStyle name="Notas 2 18 7" xfId="28119"/>
    <cellStyle name="Notas 2 18 7 2" xfId="34627"/>
    <cellStyle name="Notas 2 18 8" xfId="28120"/>
    <cellStyle name="Notas 2 18 8 2" xfId="34628"/>
    <cellStyle name="Notas 2 18 9" xfId="28121"/>
    <cellStyle name="Notas 2 18 9 2" xfId="34629"/>
    <cellStyle name="Notas 2 19" xfId="28122"/>
    <cellStyle name="Notas 2 19 10" xfId="28123"/>
    <cellStyle name="Notas 2 19 10 2" xfId="34630"/>
    <cellStyle name="Notas 2 19 11" xfId="28124"/>
    <cellStyle name="Notas 2 19 11 2" xfId="34631"/>
    <cellStyle name="Notas 2 19 12" xfId="28125"/>
    <cellStyle name="Notas 2 19 12 2" xfId="34632"/>
    <cellStyle name="Notas 2 19 13" xfId="28126"/>
    <cellStyle name="Notas 2 19 13 2" xfId="34633"/>
    <cellStyle name="Notas 2 19 14" xfId="34634"/>
    <cellStyle name="Notas 2 19 2" xfId="28127"/>
    <cellStyle name="Notas 2 19 2 2" xfId="34635"/>
    <cellStyle name="Notas 2 19 3" xfId="28128"/>
    <cellStyle name="Notas 2 19 3 2" xfId="34636"/>
    <cellStyle name="Notas 2 19 4" xfId="28129"/>
    <cellStyle name="Notas 2 19 4 2" xfId="34637"/>
    <cellStyle name="Notas 2 19 5" xfId="28130"/>
    <cellStyle name="Notas 2 19 5 2" xfId="34638"/>
    <cellStyle name="Notas 2 19 6" xfId="28131"/>
    <cellStyle name="Notas 2 19 6 2" xfId="34639"/>
    <cellStyle name="Notas 2 19 7" xfId="28132"/>
    <cellStyle name="Notas 2 19 7 2" xfId="34640"/>
    <cellStyle name="Notas 2 19 8" xfId="28133"/>
    <cellStyle name="Notas 2 19 8 2" xfId="34641"/>
    <cellStyle name="Notas 2 19 9" xfId="28134"/>
    <cellStyle name="Notas 2 19 9 2" xfId="34642"/>
    <cellStyle name="Notas 2 2" xfId="28135"/>
    <cellStyle name="Notas 2 2 10" xfId="28136"/>
    <cellStyle name="Notas 2 2 10 10" xfId="28137"/>
    <cellStyle name="Notas 2 2 10 11" xfId="28138"/>
    <cellStyle name="Notas 2 2 10 12" xfId="28139"/>
    <cellStyle name="Notas 2 2 10 13" xfId="28140"/>
    <cellStyle name="Notas 2 2 10 2" xfId="28141"/>
    <cellStyle name="Notas 2 2 10 3" xfId="28142"/>
    <cellStyle name="Notas 2 2 10 4" xfId="28143"/>
    <cellStyle name="Notas 2 2 10 5" xfId="28144"/>
    <cellStyle name="Notas 2 2 10 6" xfId="28145"/>
    <cellStyle name="Notas 2 2 10 7" xfId="28146"/>
    <cellStyle name="Notas 2 2 10 8" xfId="28147"/>
    <cellStyle name="Notas 2 2 10 9" xfId="28148"/>
    <cellStyle name="Notas 2 2 11" xfId="28149"/>
    <cellStyle name="Notas 2 2 11 10" xfId="28150"/>
    <cellStyle name="Notas 2 2 11 11" xfId="28151"/>
    <cellStyle name="Notas 2 2 11 12" xfId="28152"/>
    <cellStyle name="Notas 2 2 11 13" xfId="28153"/>
    <cellStyle name="Notas 2 2 11 2" xfId="28154"/>
    <cellStyle name="Notas 2 2 11 3" xfId="28155"/>
    <cellStyle name="Notas 2 2 11 4" xfId="28156"/>
    <cellStyle name="Notas 2 2 11 5" xfId="28157"/>
    <cellStyle name="Notas 2 2 11 6" xfId="28158"/>
    <cellStyle name="Notas 2 2 11 7" xfId="28159"/>
    <cellStyle name="Notas 2 2 11 8" xfId="28160"/>
    <cellStyle name="Notas 2 2 11 9" xfId="28161"/>
    <cellStyle name="Notas 2 2 12" xfId="28162"/>
    <cellStyle name="Notas 2 2 12 10" xfId="28163"/>
    <cellStyle name="Notas 2 2 12 11" xfId="28164"/>
    <cellStyle name="Notas 2 2 12 12" xfId="28165"/>
    <cellStyle name="Notas 2 2 12 13" xfId="28166"/>
    <cellStyle name="Notas 2 2 12 2" xfId="28167"/>
    <cellStyle name="Notas 2 2 12 3" xfId="28168"/>
    <cellStyle name="Notas 2 2 12 4" xfId="28169"/>
    <cellStyle name="Notas 2 2 12 5" xfId="28170"/>
    <cellStyle name="Notas 2 2 12 6" xfId="28171"/>
    <cellStyle name="Notas 2 2 12 7" xfId="28172"/>
    <cellStyle name="Notas 2 2 12 8" xfId="28173"/>
    <cellStyle name="Notas 2 2 12 9" xfId="28174"/>
    <cellStyle name="Notas 2 2 13" xfId="28175"/>
    <cellStyle name="Notas 2 2 13 10" xfId="28176"/>
    <cellStyle name="Notas 2 2 13 11" xfId="28177"/>
    <cellStyle name="Notas 2 2 13 12" xfId="28178"/>
    <cellStyle name="Notas 2 2 13 13" xfId="28179"/>
    <cellStyle name="Notas 2 2 13 2" xfId="28180"/>
    <cellStyle name="Notas 2 2 13 3" xfId="28181"/>
    <cellStyle name="Notas 2 2 13 4" xfId="28182"/>
    <cellStyle name="Notas 2 2 13 5" xfId="28183"/>
    <cellStyle name="Notas 2 2 13 6" xfId="28184"/>
    <cellStyle name="Notas 2 2 13 7" xfId="28185"/>
    <cellStyle name="Notas 2 2 13 8" xfId="28186"/>
    <cellStyle name="Notas 2 2 13 9" xfId="28187"/>
    <cellStyle name="Notas 2 2 14" xfId="28188"/>
    <cellStyle name="Notas 2 2 14 10" xfId="28189"/>
    <cellStyle name="Notas 2 2 14 11" xfId="28190"/>
    <cellStyle name="Notas 2 2 14 12" xfId="28191"/>
    <cellStyle name="Notas 2 2 14 13" xfId="28192"/>
    <cellStyle name="Notas 2 2 14 2" xfId="28193"/>
    <cellStyle name="Notas 2 2 14 3" xfId="28194"/>
    <cellStyle name="Notas 2 2 14 4" xfId="28195"/>
    <cellStyle name="Notas 2 2 14 5" xfId="28196"/>
    <cellStyle name="Notas 2 2 14 6" xfId="28197"/>
    <cellStyle name="Notas 2 2 14 7" xfId="28198"/>
    <cellStyle name="Notas 2 2 14 8" xfId="28199"/>
    <cellStyle name="Notas 2 2 14 9" xfId="28200"/>
    <cellStyle name="Notas 2 2 15" xfId="28201"/>
    <cellStyle name="Notas 2 2 15 10" xfId="28202"/>
    <cellStyle name="Notas 2 2 15 11" xfId="28203"/>
    <cellStyle name="Notas 2 2 15 12" xfId="28204"/>
    <cellStyle name="Notas 2 2 15 13" xfId="28205"/>
    <cellStyle name="Notas 2 2 15 2" xfId="28206"/>
    <cellStyle name="Notas 2 2 15 3" xfId="28207"/>
    <cellStyle name="Notas 2 2 15 4" xfId="28208"/>
    <cellStyle name="Notas 2 2 15 5" xfId="28209"/>
    <cellStyle name="Notas 2 2 15 6" xfId="28210"/>
    <cellStyle name="Notas 2 2 15 7" xfId="28211"/>
    <cellStyle name="Notas 2 2 15 8" xfId="28212"/>
    <cellStyle name="Notas 2 2 15 9" xfId="28213"/>
    <cellStyle name="Notas 2 2 16" xfId="28214"/>
    <cellStyle name="Notas 2 2 16 10" xfId="28215"/>
    <cellStyle name="Notas 2 2 16 11" xfId="28216"/>
    <cellStyle name="Notas 2 2 16 12" xfId="28217"/>
    <cellStyle name="Notas 2 2 16 13" xfId="28218"/>
    <cellStyle name="Notas 2 2 16 2" xfId="28219"/>
    <cellStyle name="Notas 2 2 16 3" xfId="28220"/>
    <cellStyle name="Notas 2 2 16 4" xfId="28221"/>
    <cellStyle name="Notas 2 2 16 5" xfId="28222"/>
    <cellStyle name="Notas 2 2 16 6" xfId="28223"/>
    <cellStyle name="Notas 2 2 16 7" xfId="28224"/>
    <cellStyle name="Notas 2 2 16 8" xfId="28225"/>
    <cellStyle name="Notas 2 2 16 9" xfId="28226"/>
    <cellStyle name="Notas 2 2 17" xfId="28227"/>
    <cellStyle name="Notas 2 2 17 10" xfId="28228"/>
    <cellStyle name="Notas 2 2 17 11" xfId="28229"/>
    <cellStyle name="Notas 2 2 17 12" xfId="28230"/>
    <cellStyle name="Notas 2 2 17 13" xfId="28231"/>
    <cellStyle name="Notas 2 2 17 2" xfId="28232"/>
    <cellStyle name="Notas 2 2 17 3" xfId="28233"/>
    <cellStyle name="Notas 2 2 17 4" xfId="28234"/>
    <cellStyle name="Notas 2 2 17 5" xfId="28235"/>
    <cellStyle name="Notas 2 2 17 6" xfId="28236"/>
    <cellStyle name="Notas 2 2 17 7" xfId="28237"/>
    <cellStyle name="Notas 2 2 17 8" xfId="28238"/>
    <cellStyle name="Notas 2 2 17 9" xfId="28239"/>
    <cellStyle name="Notas 2 2 18" xfId="28240"/>
    <cellStyle name="Notas 2 2 18 10" xfId="28241"/>
    <cellStyle name="Notas 2 2 18 11" xfId="28242"/>
    <cellStyle name="Notas 2 2 18 12" xfId="28243"/>
    <cellStyle name="Notas 2 2 18 13" xfId="28244"/>
    <cellStyle name="Notas 2 2 18 2" xfId="28245"/>
    <cellStyle name="Notas 2 2 18 3" xfId="28246"/>
    <cellStyle name="Notas 2 2 18 4" xfId="28247"/>
    <cellStyle name="Notas 2 2 18 5" xfId="28248"/>
    <cellStyle name="Notas 2 2 18 6" xfId="28249"/>
    <cellStyle name="Notas 2 2 18 7" xfId="28250"/>
    <cellStyle name="Notas 2 2 18 8" xfId="28251"/>
    <cellStyle name="Notas 2 2 18 9" xfId="28252"/>
    <cellStyle name="Notas 2 2 19" xfId="28253"/>
    <cellStyle name="Notas 2 2 19 10" xfId="28254"/>
    <cellStyle name="Notas 2 2 19 11" xfId="28255"/>
    <cellStyle name="Notas 2 2 19 12" xfId="28256"/>
    <cellStyle name="Notas 2 2 19 13" xfId="28257"/>
    <cellStyle name="Notas 2 2 19 2" xfId="28258"/>
    <cellStyle name="Notas 2 2 19 3" xfId="28259"/>
    <cellStyle name="Notas 2 2 19 4" xfId="28260"/>
    <cellStyle name="Notas 2 2 19 5" xfId="28261"/>
    <cellStyle name="Notas 2 2 19 6" xfId="28262"/>
    <cellStyle name="Notas 2 2 19 7" xfId="28263"/>
    <cellStyle name="Notas 2 2 19 8" xfId="28264"/>
    <cellStyle name="Notas 2 2 19 9" xfId="28265"/>
    <cellStyle name="Notas 2 2 2" xfId="28266"/>
    <cellStyle name="Notas 2 2 2 10" xfId="28267"/>
    <cellStyle name="Notas 2 2 2 10 2" xfId="34643"/>
    <cellStyle name="Notas 2 2 2 11" xfId="28268"/>
    <cellStyle name="Notas 2 2 2 11 2" xfId="34644"/>
    <cellStyle name="Notas 2 2 2 12" xfId="28269"/>
    <cellStyle name="Notas 2 2 2 12 2" xfId="34645"/>
    <cellStyle name="Notas 2 2 2 13" xfId="28270"/>
    <cellStyle name="Notas 2 2 2 13 2" xfId="34646"/>
    <cellStyle name="Notas 2 2 2 2" xfId="28271"/>
    <cellStyle name="Notas 2 2 2 2 10" xfId="28272"/>
    <cellStyle name="Notas 2 2 2 2 11" xfId="28273"/>
    <cellStyle name="Notas 2 2 2 2 12" xfId="28274"/>
    <cellStyle name="Notas 2 2 2 2 13" xfId="28275"/>
    <cellStyle name="Notas 2 2 2 2 14" xfId="34647"/>
    <cellStyle name="Notas 2 2 2 2 2" xfId="28276"/>
    <cellStyle name="Notas 2 2 2 2 3" xfId="28277"/>
    <cellStyle name="Notas 2 2 2 2 4" xfId="28278"/>
    <cellStyle name="Notas 2 2 2 2 5" xfId="28279"/>
    <cellStyle name="Notas 2 2 2 2 6" xfId="28280"/>
    <cellStyle name="Notas 2 2 2 2 7" xfId="28281"/>
    <cellStyle name="Notas 2 2 2 2 8" xfId="28282"/>
    <cellStyle name="Notas 2 2 2 2 9" xfId="28283"/>
    <cellStyle name="Notas 2 2 2 3" xfId="28284"/>
    <cellStyle name="Notas 2 2 2 3 2" xfId="34648"/>
    <cellStyle name="Notas 2 2 2 4" xfId="28285"/>
    <cellStyle name="Notas 2 2 2 4 2" xfId="34649"/>
    <cellStyle name="Notas 2 2 2 5" xfId="28286"/>
    <cellStyle name="Notas 2 2 2 5 2" xfId="34650"/>
    <cellStyle name="Notas 2 2 2 6" xfId="28287"/>
    <cellStyle name="Notas 2 2 2 6 2" xfId="34651"/>
    <cellStyle name="Notas 2 2 2 7" xfId="28288"/>
    <cellStyle name="Notas 2 2 2 7 2" xfId="34652"/>
    <cellStyle name="Notas 2 2 2 8" xfId="28289"/>
    <cellStyle name="Notas 2 2 2 8 2" xfId="34653"/>
    <cellStyle name="Notas 2 2 2 9" xfId="28290"/>
    <cellStyle name="Notas 2 2 2 9 2" xfId="34654"/>
    <cellStyle name="Notas 2 2 20" xfId="28291"/>
    <cellStyle name="Notas 2 2 20 10" xfId="28292"/>
    <cellStyle name="Notas 2 2 20 11" xfId="28293"/>
    <cellStyle name="Notas 2 2 20 12" xfId="28294"/>
    <cellStyle name="Notas 2 2 20 13" xfId="28295"/>
    <cellStyle name="Notas 2 2 20 2" xfId="28296"/>
    <cellStyle name="Notas 2 2 20 3" xfId="28297"/>
    <cellStyle name="Notas 2 2 20 4" xfId="28298"/>
    <cellStyle name="Notas 2 2 20 5" xfId="28299"/>
    <cellStyle name="Notas 2 2 20 6" xfId="28300"/>
    <cellStyle name="Notas 2 2 20 7" xfId="28301"/>
    <cellStyle name="Notas 2 2 20 8" xfId="28302"/>
    <cellStyle name="Notas 2 2 20 9" xfId="28303"/>
    <cellStyle name="Notas 2 2 21" xfId="28304"/>
    <cellStyle name="Notas 2 2 21 10" xfId="28305"/>
    <cellStyle name="Notas 2 2 21 11" xfId="28306"/>
    <cellStyle name="Notas 2 2 21 12" xfId="28307"/>
    <cellStyle name="Notas 2 2 21 13" xfId="28308"/>
    <cellStyle name="Notas 2 2 21 2" xfId="28309"/>
    <cellStyle name="Notas 2 2 21 3" xfId="28310"/>
    <cellStyle name="Notas 2 2 21 4" xfId="28311"/>
    <cellStyle name="Notas 2 2 21 5" xfId="28312"/>
    <cellStyle name="Notas 2 2 21 6" xfId="28313"/>
    <cellStyle name="Notas 2 2 21 7" xfId="28314"/>
    <cellStyle name="Notas 2 2 21 8" xfId="28315"/>
    <cellStyle name="Notas 2 2 21 9" xfId="28316"/>
    <cellStyle name="Notas 2 2 22" xfId="28317"/>
    <cellStyle name="Notas 2 2 22 10" xfId="28318"/>
    <cellStyle name="Notas 2 2 22 11" xfId="28319"/>
    <cellStyle name="Notas 2 2 22 12" xfId="28320"/>
    <cellStyle name="Notas 2 2 22 13" xfId="28321"/>
    <cellStyle name="Notas 2 2 22 2" xfId="28322"/>
    <cellStyle name="Notas 2 2 22 3" xfId="28323"/>
    <cellStyle name="Notas 2 2 22 4" xfId="28324"/>
    <cellStyle name="Notas 2 2 22 5" xfId="28325"/>
    <cellStyle name="Notas 2 2 22 6" xfId="28326"/>
    <cellStyle name="Notas 2 2 22 7" xfId="28327"/>
    <cellStyle name="Notas 2 2 22 8" xfId="28328"/>
    <cellStyle name="Notas 2 2 22 9" xfId="28329"/>
    <cellStyle name="Notas 2 2 23" xfId="28330"/>
    <cellStyle name="Notas 2 2 23 10" xfId="28331"/>
    <cellStyle name="Notas 2 2 23 11" xfId="28332"/>
    <cellStyle name="Notas 2 2 23 12" xfId="28333"/>
    <cellStyle name="Notas 2 2 23 13" xfId="28334"/>
    <cellStyle name="Notas 2 2 23 2" xfId="28335"/>
    <cellStyle name="Notas 2 2 23 3" xfId="28336"/>
    <cellStyle name="Notas 2 2 23 4" xfId="28337"/>
    <cellStyle name="Notas 2 2 23 5" xfId="28338"/>
    <cellStyle name="Notas 2 2 23 6" xfId="28339"/>
    <cellStyle name="Notas 2 2 23 7" xfId="28340"/>
    <cellStyle name="Notas 2 2 23 8" xfId="28341"/>
    <cellStyle name="Notas 2 2 23 9" xfId="28342"/>
    <cellStyle name="Notas 2 2 24" xfId="28343"/>
    <cellStyle name="Notas 2 2 24 10" xfId="28344"/>
    <cellStyle name="Notas 2 2 24 11" xfId="28345"/>
    <cellStyle name="Notas 2 2 24 12" xfId="28346"/>
    <cellStyle name="Notas 2 2 24 13" xfId="28347"/>
    <cellStyle name="Notas 2 2 24 2" xfId="28348"/>
    <cellStyle name="Notas 2 2 24 3" xfId="28349"/>
    <cellStyle name="Notas 2 2 24 4" xfId="28350"/>
    <cellStyle name="Notas 2 2 24 5" xfId="28351"/>
    <cellStyle name="Notas 2 2 24 6" xfId="28352"/>
    <cellStyle name="Notas 2 2 24 7" xfId="28353"/>
    <cellStyle name="Notas 2 2 24 8" xfId="28354"/>
    <cellStyle name="Notas 2 2 24 9" xfId="28355"/>
    <cellStyle name="Notas 2 2 25" xfId="28356"/>
    <cellStyle name="Notas 2 2 25 10" xfId="28357"/>
    <cellStyle name="Notas 2 2 25 11" xfId="28358"/>
    <cellStyle name="Notas 2 2 25 12" xfId="28359"/>
    <cellStyle name="Notas 2 2 25 13" xfId="28360"/>
    <cellStyle name="Notas 2 2 25 2" xfId="28361"/>
    <cellStyle name="Notas 2 2 25 3" xfId="28362"/>
    <cellStyle name="Notas 2 2 25 4" xfId="28363"/>
    <cellStyle name="Notas 2 2 25 5" xfId="28364"/>
    <cellStyle name="Notas 2 2 25 6" xfId="28365"/>
    <cellStyle name="Notas 2 2 25 7" xfId="28366"/>
    <cellStyle name="Notas 2 2 25 8" xfId="28367"/>
    <cellStyle name="Notas 2 2 25 9" xfId="28368"/>
    <cellStyle name="Notas 2 2 26" xfId="28369"/>
    <cellStyle name="Notas 2 2 26 10" xfId="28370"/>
    <cellStyle name="Notas 2 2 26 11" xfId="28371"/>
    <cellStyle name="Notas 2 2 26 12" xfId="28372"/>
    <cellStyle name="Notas 2 2 26 13" xfId="28373"/>
    <cellStyle name="Notas 2 2 26 2" xfId="28374"/>
    <cellStyle name="Notas 2 2 26 3" xfId="28375"/>
    <cellStyle name="Notas 2 2 26 4" xfId="28376"/>
    <cellStyle name="Notas 2 2 26 5" xfId="28377"/>
    <cellStyle name="Notas 2 2 26 6" xfId="28378"/>
    <cellStyle name="Notas 2 2 26 7" xfId="28379"/>
    <cellStyle name="Notas 2 2 26 8" xfId="28380"/>
    <cellStyle name="Notas 2 2 26 9" xfId="28381"/>
    <cellStyle name="Notas 2 2 27" xfId="28382"/>
    <cellStyle name="Notas 2 2 27 10" xfId="28383"/>
    <cellStyle name="Notas 2 2 27 11" xfId="28384"/>
    <cellStyle name="Notas 2 2 27 12" xfId="28385"/>
    <cellStyle name="Notas 2 2 27 13" xfId="28386"/>
    <cellStyle name="Notas 2 2 27 2" xfId="28387"/>
    <cellStyle name="Notas 2 2 27 3" xfId="28388"/>
    <cellStyle name="Notas 2 2 27 4" xfId="28389"/>
    <cellStyle name="Notas 2 2 27 5" xfId="28390"/>
    <cellStyle name="Notas 2 2 27 6" xfId="28391"/>
    <cellStyle name="Notas 2 2 27 7" xfId="28392"/>
    <cellStyle name="Notas 2 2 27 8" xfId="28393"/>
    <cellStyle name="Notas 2 2 27 9" xfId="28394"/>
    <cellStyle name="Notas 2 2 28" xfId="28395"/>
    <cellStyle name="Notas 2 2 28 10" xfId="28396"/>
    <cellStyle name="Notas 2 2 28 11" xfId="28397"/>
    <cellStyle name="Notas 2 2 28 12" xfId="28398"/>
    <cellStyle name="Notas 2 2 28 13" xfId="28399"/>
    <cellStyle name="Notas 2 2 28 2" xfId="28400"/>
    <cellStyle name="Notas 2 2 28 3" xfId="28401"/>
    <cellStyle name="Notas 2 2 28 4" xfId="28402"/>
    <cellStyle name="Notas 2 2 28 5" xfId="28403"/>
    <cellStyle name="Notas 2 2 28 6" xfId="28404"/>
    <cellStyle name="Notas 2 2 28 7" xfId="28405"/>
    <cellStyle name="Notas 2 2 28 8" xfId="28406"/>
    <cellStyle name="Notas 2 2 28 9" xfId="28407"/>
    <cellStyle name="Notas 2 2 29" xfId="28408"/>
    <cellStyle name="Notas 2 2 29 10" xfId="28409"/>
    <cellStyle name="Notas 2 2 29 11" xfId="28410"/>
    <cellStyle name="Notas 2 2 29 12" xfId="28411"/>
    <cellStyle name="Notas 2 2 29 13" xfId="28412"/>
    <cellStyle name="Notas 2 2 29 2" xfId="28413"/>
    <cellStyle name="Notas 2 2 29 3" xfId="28414"/>
    <cellStyle name="Notas 2 2 29 4" xfId="28415"/>
    <cellStyle name="Notas 2 2 29 5" xfId="28416"/>
    <cellStyle name="Notas 2 2 29 6" xfId="28417"/>
    <cellStyle name="Notas 2 2 29 7" xfId="28418"/>
    <cellStyle name="Notas 2 2 29 8" xfId="28419"/>
    <cellStyle name="Notas 2 2 29 9" xfId="28420"/>
    <cellStyle name="Notas 2 2 3" xfId="28421"/>
    <cellStyle name="Notas 2 2 3 10" xfId="28422"/>
    <cellStyle name="Notas 2 2 3 11" xfId="28423"/>
    <cellStyle name="Notas 2 2 3 12" xfId="28424"/>
    <cellStyle name="Notas 2 2 3 13" xfId="28425"/>
    <cellStyle name="Notas 2 2 3 2" xfId="28426"/>
    <cellStyle name="Notas 2 2 3 3" xfId="28427"/>
    <cellStyle name="Notas 2 2 3 4" xfId="28428"/>
    <cellStyle name="Notas 2 2 3 5" xfId="28429"/>
    <cellStyle name="Notas 2 2 3 6" xfId="28430"/>
    <cellStyle name="Notas 2 2 3 7" xfId="28431"/>
    <cellStyle name="Notas 2 2 3 8" xfId="28432"/>
    <cellStyle name="Notas 2 2 3 9" xfId="28433"/>
    <cellStyle name="Notas 2 2 30" xfId="28434"/>
    <cellStyle name="Notas 2 2 30 10" xfId="28435"/>
    <cellStyle name="Notas 2 2 30 11" xfId="28436"/>
    <cellStyle name="Notas 2 2 30 12" xfId="28437"/>
    <cellStyle name="Notas 2 2 30 13" xfId="28438"/>
    <cellStyle name="Notas 2 2 30 2" xfId="28439"/>
    <cellStyle name="Notas 2 2 30 3" xfId="28440"/>
    <cellStyle name="Notas 2 2 30 4" xfId="28441"/>
    <cellStyle name="Notas 2 2 30 5" xfId="28442"/>
    <cellStyle name="Notas 2 2 30 6" xfId="28443"/>
    <cellStyle name="Notas 2 2 30 7" xfId="28444"/>
    <cellStyle name="Notas 2 2 30 8" xfId="28445"/>
    <cellStyle name="Notas 2 2 30 9" xfId="28446"/>
    <cellStyle name="Notas 2 2 31" xfId="28447"/>
    <cellStyle name="Notas 2 2 31 10" xfId="28448"/>
    <cellStyle name="Notas 2 2 31 11" xfId="28449"/>
    <cellStyle name="Notas 2 2 31 12" xfId="28450"/>
    <cellStyle name="Notas 2 2 31 13" xfId="28451"/>
    <cellStyle name="Notas 2 2 31 2" xfId="28452"/>
    <cellStyle name="Notas 2 2 31 3" xfId="28453"/>
    <cellStyle name="Notas 2 2 31 4" xfId="28454"/>
    <cellStyle name="Notas 2 2 31 5" xfId="28455"/>
    <cellStyle name="Notas 2 2 31 6" xfId="28456"/>
    <cellStyle name="Notas 2 2 31 7" xfId="28457"/>
    <cellStyle name="Notas 2 2 31 8" xfId="28458"/>
    <cellStyle name="Notas 2 2 31 9" xfId="28459"/>
    <cellStyle name="Notas 2 2 32" xfId="28460"/>
    <cellStyle name="Notas 2 2 32 10" xfId="28461"/>
    <cellStyle name="Notas 2 2 32 11" xfId="28462"/>
    <cellStyle name="Notas 2 2 32 12" xfId="28463"/>
    <cellStyle name="Notas 2 2 32 13" xfId="28464"/>
    <cellStyle name="Notas 2 2 32 2" xfId="28465"/>
    <cellStyle name="Notas 2 2 32 3" xfId="28466"/>
    <cellStyle name="Notas 2 2 32 4" xfId="28467"/>
    <cellStyle name="Notas 2 2 32 5" xfId="28468"/>
    <cellStyle name="Notas 2 2 32 6" xfId="28469"/>
    <cellStyle name="Notas 2 2 32 7" xfId="28470"/>
    <cellStyle name="Notas 2 2 32 8" xfId="28471"/>
    <cellStyle name="Notas 2 2 32 9" xfId="28472"/>
    <cellStyle name="Notas 2 2 33" xfId="28473"/>
    <cellStyle name="Notas 2 2 33 10" xfId="28474"/>
    <cellStyle name="Notas 2 2 33 11" xfId="28475"/>
    <cellStyle name="Notas 2 2 33 12" xfId="28476"/>
    <cellStyle name="Notas 2 2 33 13" xfId="28477"/>
    <cellStyle name="Notas 2 2 33 2" xfId="28478"/>
    <cellStyle name="Notas 2 2 33 3" xfId="28479"/>
    <cellStyle name="Notas 2 2 33 4" xfId="28480"/>
    <cellStyle name="Notas 2 2 33 5" xfId="28481"/>
    <cellStyle name="Notas 2 2 33 6" xfId="28482"/>
    <cellStyle name="Notas 2 2 33 7" xfId="28483"/>
    <cellStyle name="Notas 2 2 33 8" xfId="28484"/>
    <cellStyle name="Notas 2 2 33 9" xfId="28485"/>
    <cellStyle name="Notas 2 2 34" xfId="28486"/>
    <cellStyle name="Notas 2 2 34 10" xfId="28487"/>
    <cellStyle name="Notas 2 2 34 11" xfId="28488"/>
    <cellStyle name="Notas 2 2 34 12" xfId="28489"/>
    <cellStyle name="Notas 2 2 34 13" xfId="28490"/>
    <cellStyle name="Notas 2 2 34 2" xfId="28491"/>
    <cellStyle name="Notas 2 2 34 3" xfId="28492"/>
    <cellStyle name="Notas 2 2 34 4" xfId="28493"/>
    <cellStyle name="Notas 2 2 34 5" xfId="28494"/>
    <cellStyle name="Notas 2 2 34 6" xfId="28495"/>
    <cellStyle name="Notas 2 2 34 7" xfId="28496"/>
    <cellStyle name="Notas 2 2 34 8" xfId="28497"/>
    <cellStyle name="Notas 2 2 34 9" xfId="28498"/>
    <cellStyle name="Notas 2 2 35" xfId="28499"/>
    <cellStyle name="Notas 2 2 35 10" xfId="28500"/>
    <cellStyle name="Notas 2 2 35 11" xfId="28501"/>
    <cellStyle name="Notas 2 2 35 12" xfId="28502"/>
    <cellStyle name="Notas 2 2 35 13" xfId="28503"/>
    <cellStyle name="Notas 2 2 35 2" xfId="28504"/>
    <cellStyle name="Notas 2 2 35 3" xfId="28505"/>
    <cellStyle name="Notas 2 2 35 4" xfId="28506"/>
    <cellStyle name="Notas 2 2 35 5" xfId="28507"/>
    <cellStyle name="Notas 2 2 35 6" xfId="28508"/>
    <cellStyle name="Notas 2 2 35 7" xfId="28509"/>
    <cellStyle name="Notas 2 2 35 8" xfId="28510"/>
    <cellStyle name="Notas 2 2 35 9" xfId="28511"/>
    <cellStyle name="Notas 2 2 36" xfId="28512"/>
    <cellStyle name="Notas 2 2 36 10" xfId="28513"/>
    <cellStyle name="Notas 2 2 36 11" xfId="28514"/>
    <cellStyle name="Notas 2 2 36 12" xfId="28515"/>
    <cellStyle name="Notas 2 2 36 13" xfId="28516"/>
    <cellStyle name="Notas 2 2 36 2" xfId="28517"/>
    <cellStyle name="Notas 2 2 36 3" xfId="28518"/>
    <cellStyle name="Notas 2 2 36 4" xfId="28519"/>
    <cellStyle name="Notas 2 2 36 5" xfId="28520"/>
    <cellStyle name="Notas 2 2 36 6" xfId="28521"/>
    <cellStyle name="Notas 2 2 36 7" xfId="28522"/>
    <cellStyle name="Notas 2 2 36 8" xfId="28523"/>
    <cellStyle name="Notas 2 2 36 9" xfId="28524"/>
    <cellStyle name="Notas 2 2 37" xfId="28525"/>
    <cellStyle name="Notas 2 2 37 10" xfId="28526"/>
    <cellStyle name="Notas 2 2 37 11" xfId="28527"/>
    <cellStyle name="Notas 2 2 37 12" xfId="28528"/>
    <cellStyle name="Notas 2 2 37 13" xfId="28529"/>
    <cellStyle name="Notas 2 2 37 2" xfId="28530"/>
    <cellStyle name="Notas 2 2 37 3" xfId="28531"/>
    <cellStyle name="Notas 2 2 37 4" xfId="28532"/>
    <cellStyle name="Notas 2 2 37 5" xfId="28533"/>
    <cellStyle name="Notas 2 2 37 6" xfId="28534"/>
    <cellStyle name="Notas 2 2 37 7" xfId="28535"/>
    <cellStyle name="Notas 2 2 37 8" xfId="28536"/>
    <cellStyle name="Notas 2 2 37 9" xfId="28537"/>
    <cellStyle name="Notas 2 2 38" xfId="28538"/>
    <cellStyle name="Notas 2 2 38 10" xfId="28539"/>
    <cellStyle name="Notas 2 2 38 11" xfId="28540"/>
    <cellStyle name="Notas 2 2 38 12" xfId="28541"/>
    <cellStyle name="Notas 2 2 38 13" xfId="28542"/>
    <cellStyle name="Notas 2 2 38 2" xfId="28543"/>
    <cellStyle name="Notas 2 2 38 3" xfId="28544"/>
    <cellStyle name="Notas 2 2 38 4" xfId="28545"/>
    <cellStyle name="Notas 2 2 38 5" xfId="28546"/>
    <cellStyle name="Notas 2 2 38 6" xfId="28547"/>
    <cellStyle name="Notas 2 2 38 7" xfId="28548"/>
    <cellStyle name="Notas 2 2 38 8" xfId="28549"/>
    <cellStyle name="Notas 2 2 38 9" xfId="28550"/>
    <cellStyle name="Notas 2 2 39" xfId="28551"/>
    <cellStyle name="Notas 2 2 39 10" xfId="28552"/>
    <cellStyle name="Notas 2 2 39 11" xfId="28553"/>
    <cellStyle name="Notas 2 2 39 12" xfId="28554"/>
    <cellStyle name="Notas 2 2 39 13" xfId="28555"/>
    <cellStyle name="Notas 2 2 39 2" xfId="28556"/>
    <cellStyle name="Notas 2 2 39 3" xfId="28557"/>
    <cellStyle name="Notas 2 2 39 4" xfId="28558"/>
    <cellStyle name="Notas 2 2 39 5" xfId="28559"/>
    <cellStyle name="Notas 2 2 39 6" xfId="28560"/>
    <cellStyle name="Notas 2 2 39 7" xfId="28561"/>
    <cellStyle name="Notas 2 2 39 8" xfId="28562"/>
    <cellStyle name="Notas 2 2 39 9" xfId="28563"/>
    <cellStyle name="Notas 2 2 4" xfId="28564"/>
    <cellStyle name="Notas 2 2 4 10" xfId="28565"/>
    <cellStyle name="Notas 2 2 4 11" xfId="28566"/>
    <cellStyle name="Notas 2 2 4 12" xfId="28567"/>
    <cellStyle name="Notas 2 2 4 13" xfId="28568"/>
    <cellStyle name="Notas 2 2 4 2" xfId="28569"/>
    <cellStyle name="Notas 2 2 4 3" xfId="28570"/>
    <cellStyle name="Notas 2 2 4 4" xfId="28571"/>
    <cellStyle name="Notas 2 2 4 5" xfId="28572"/>
    <cellStyle name="Notas 2 2 4 6" xfId="28573"/>
    <cellStyle name="Notas 2 2 4 7" xfId="28574"/>
    <cellStyle name="Notas 2 2 4 8" xfId="28575"/>
    <cellStyle name="Notas 2 2 4 9" xfId="28576"/>
    <cellStyle name="Notas 2 2 40" xfId="28577"/>
    <cellStyle name="Notas 2 2 40 10" xfId="28578"/>
    <cellStyle name="Notas 2 2 40 11" xfId="28579"/>
    <cellStyle name="Notas 2 2 40 12" xfId="28580"/>
    <cellStyle name="Notas 2 2 40 13" xfId="28581"/>
    <cellStyle name="Notas 2 2 40 2" xfId="28582"/>
    <cellStyle name="Notas 2 2 40 3" xfId="28583"/>
    <cellStyle name="Notas 2 2 40 4" xfId="28584"/>
    <cellStyle name="Notas 2 2 40 5" xfId="28585"/>
    <cellStyle name="Notas 2 2 40 6" xfId="28586"/>
    <cellStyle name="Notas 2 2 40 7" xfId="28587"/>
    <cellStyle name="Notas 2 2 40 8" xfId="28588"/>
    <cellStyle name="Notas 2 2 40 9" xfId="28589"/>
    <cellStyle name="Notas 2 2 41" xfId="28590"/>
    <cellStyle name="Notas 2 2 41 10" xfId="28591"/>
    <cellStyle name="Notas 2 2 41 11" xfId="28592"/>
    <cellStyle name="Notas 2 2 41 12" xfId="28593"/>
    <cellStyle name="Notas 2 2 41 13" xfId="28594"/>
    <cellStyle name="Notas 2 2 41 2" xfId="28595"/>
    <cellStyle name="Notas 2 2 41 3" xfId="28596"/>
    <cellStyle name="Notas 2 2 41 4" xfId="28597"/>
    <cellStyle name="Notas 2 2 41 5" xfId="28598"/>
    <cellStyle name="Notas 2 2 41 6" xfId="28599"/>
    <cellStyle name="Notas 2 2 41 7" xfId="28600"/>
    <cellStyle name="Notas 2 2 41 8" xfId="28601"/>
    <cellStyle name="Notas 2 2 41 9" xfId="28602"/>
    <cellStyle name="Notas 2 2 42" xfId="28603"/>
    <cellStyle name="Notas 2 2 42 10" xfId="28604"/>
    <cellStyle name="Notas 2 2 42 11" xfId="28605"/>
    <cellStyle name="Notas 2 2 42 12" xfId="28606"/>
    <cellStyle name="Notas 2 2 42 13" xfId="28607"/>
    <cellStyle name="Notas 2 2 42 2" xfId="28608"/>
    <cellStyle name="Notas 2 2 42 3" xfId="28609"/>
    <cellStyle name="Notas 2 2 42 4" xfId="28610"/>
    <cellStyle name="Notas 2 2 42 5" xfId="28611"/>
    <cellStyle name="Notas 2 2 42 6" xfId="28612"/>
    <cellStyle name="Notas 2 2 42 7" xfId="28613"/>
    <cellStyle name="Notas 2 2 42 8" xfId="28614"/>
    <cellStyle name="Notas 2 2 42 9" xfId="28615"/>
    <cellStyle name="Notas 2 2 43" xfId="28616"/>
    <cellStyle name="Notas 2 2 43 10" xfId="28617"/>
    <cellStyle name="Notas 2 2 43 11" xfId="28618"/>
    <cellStyle name="Notas 2 2 43 12" xfId="28619"/>
    <cellStyle name="Notas 2 2 43 13" xfId="28620"/>
    <cellStyle name="Notas 2 2 43 2" xfId="28621"/>
    <cellStyle name="Notas 2 2 43 3" xfId="28622"/>
    <cellStyle name="Notas 2 2 43 4" xfId="28623"/>
    <cellStyle name="Notas 2 2 43 5" xfId="28624"/>
    <cellStyle name="Notas 2 2 43 6" xfId="28625"/>
    <cellStyle name="Notas 2 2 43 7" xfId="28626"/>
    <cellStyle name="Notas 2 2 43 8" xfId="28627"/>
    <cellStyle name="Notas 2 2 43 9" xfId="28628"/>
    <cellStyle name="Notas 2 2 44" xfId="28629"/>
    <cellStyle name="Notas 2 2 44 10" xfId="28630"/>
    <cellStyle name="Notas 2 2 44 11" xfId="28631"/>
    <cellStyle name="Notas 2 2 44 12" xfId="28632"/>
    <cellStyle name="Notas 2 2 44 13" xfId="28633"/>
    <cellStyle name="Notas 2 2 44 2" xfId="28634"/>
    <cellStyle name="Notas 2 2 44 3" xfId="28635"/>
    <cellStyle name="Notas 2 2 44 4" xfId="28636"/>
    <cellStyle name="Notas 2 2 44 5" xfId="28637"/>
    <cellStyle name="Notas 2 2 44 6" xfId="28638"/>
    <cellStyle name="Notas 2 2 44 7" xfId="28639"/>
    <cellStyle name="Notas 2 2 44 8" xfId="28640"/>
    <cellStyle name="Notas 2 2 44 9" xfId="28641"/>
    <cellStyle name="Notas 2 2 45" xfId="28642"/>
    <cellStyle name="Notas 2 2 45 10" xfId="28643"/>
    <cellStyle name="Notas 2 2 45 11" xfId="28644"/>
    <cellStyle name="Notas 2 2 45 12" xfId="28645"/>
    <cellStyle name="Notas 2 2 45 13" xfId="28646"/>
    <cellStyle name="Notas 2 2 45 2" xfId="28647"/>
    <cellStyle name="Notas 2 2 45 3" xfId="28648"/>
    <cellStyle name="Notas 2 2 45 4" xfId="28649"/>
    <cellStyle name="Notas 2 2 45 5" xfId="28650"/>
    <cellStyle name="Notas 2 2 45 6" xfId="28651"/>
    <cellStyle name="Notas 2 2 45 7" xfId="28652"/>
    <cellStyle name="Notas 2 2 45 8" xfId="28653"/>
    <cellStyle name="Notas 2 2 45 9" xfId="28654"/>
    <cellStyle name="Notas 2 2 46" xfId="28655"/>
    <cellStyle name="Notas 2 2 46 10" xfId="28656"/>
    <cellStyle name="Notas 2 2 46 11" xfId="28657"/>
    <cellStyle name="Notas 2 2 46 12" xfId="28658"/>
    <cellStyle name="Notas 2 2 46 13" xfId="28659"/>
    <cellStyle name="Notas 2 2 46 2" xfId="28660"/>
    <cellStyle name="Notas 2 2 46 3" xfId="28661"/>
    <cellStyle name="Notas 2 2 46 4" xfId="28662"/>
    <cellStyle name="Notas 2 2 46 5" xfId="28663"/>
    <cellStyle name="Notas 2 2 46 6" xfId="28664"/>
    <cellStyle name="Notas 2 2 46 7" xfId="28665"/>
    <cellStyle name="Notas 2 2 46 8" xfId="28666"/>
    <cellStyle name="Notas 2 2 46 9" xfId="28667"/>
    <cellStyle name="Notas 2 2 47" xfId="28668"/>
    <cellStyle name="Notas 2 2 47 10" xfId="28669"/>
    <cellStyle name="Notas 2 2 47 11" xfId="28670"/>
    <cellStyle name="Notas 2 2 47 12" xfId="28671"/>
    <cellStyle name="Notas 2 2 47 13" xfId="28672"/>
    <cellStyle name="Notas 2 2 47 2" xfId="28673"/>
    <cellStyle name="Notas 2 2 47 3" xfId="28674"/>
    <cellStyle name="Notas 2 2 47 4" xfId="28675"/>
    <cellStyle name="Notas 2 2 47 5" xfId="28676"/>
    <cellStyle name="Notas 2 2 47 6" xfId="28677"/>
    <cellStyle name="Notas 2 2 47 7" xfId="28678"/>
    <cellStyle name="Notas 2 2 47 8" xfId="28679"/>
    <cellStyle name="Notas 2 2 47 9" xfId="28680"/>
    <cellStyle name="Notas 2 2 48" xfId="28681"/>
    <cellStyle name="Notas 2 2 48 10" xfId="28682"/>
    <cellStyle name="Notas 2 2 48 11" xfId="28683"/>
    <cellStyle name="Notas 2 2 48 12" xfId="28684"/>
    <cellStyle name="Notas 2 2 48 13" xfId="28685"/>
    <cellStyle name="Notas 2 2 48 2" xfId="28686"/>
    <cellStyle name="Notas 2 2 48 3" xfId="28687"/>
    <cellStyle name="Notas 2 2 48 4" xfId="28688"/>
    <cellStyle name="Notas 2 2 48 5" xfId="28689"/>
    <cellStyle name="Notas 2 2 48 6" xfId="28690"/>
    <cellStyle name="Notas 2 2 48 7" xfId="28691"/>
    <cellStyle name="Notas 2 2 48 8" xfId="28692"/>
    <cellStyle name="Notas 2 2 48 9" xfId="28693"/>
    <cellStyle name="Notas 2 2 49" xfId="28694"/>
    <cellStyle name="Notas 2 2 49 10" xfId="28695"/>
    <cellStyle name="Notas 2 2 49 11" xfId="28696"/>
    <cellStyle name="Notas 2 2 49 12" xfId="28697"/>
    <cellStyle name="Notas 2 2 49 13" xfId="28698"/>
    <cellStyle name="Notas 2 2 49 2" xfId="28699"/>
    <cellStyle name="Notas 2 2 49 3" xfId="28700"/>
    <cellStyle name="Notas 2 2 49 4" xfId="28701"/>
    <cellStyle name="Notas 2 2 49 5" xfId="28702"/>
    <cellStyle name="Notas 2 2 49 6" xfId="28703"/>
    <cellStyle name="Notas 2 2 49 7" xfId="28704"/>
    <cellStyle name="Notas 2 2 49 8" xfId="28705"/>
    <cellStyle name="Notas 2 2 49 9" xfId="28706"/>
    <cellStyle name="Notas 2 2 5" xfId="28707"/>
    <cellStyle name="Notas 2 2 5 10" xfId="28708"/>
    <cellStyle name="Notas 2 2 5 11" xfId="28709"/>
    <cellStyle name="Notas 2 2 5 12" xfId="28710"/>
    <cellStyle name="Notas 2 2 5 13" xfId="28711"/>
    <cellStyle name="Notas 2 2 5 2" xfId="28712"/>
    <cellStyle name="Notas 2 2 5 3" xfId="28713"/>
    <cellStyle name="Notas 2 2 5 4" xfId="28714"/>
    <cellStyle name="Notas 2 2 5 5" xfId="28715"/>
    <cellStyle name="Notas 2 2 5 6" xfId="28716"/>
    <cellStyle name="Notas 2 2 5 7" xfId="28717"/>
    <cellStyle name="Notas 2 2 5 8" xfId="28718"/>
    <cellStyle name="Notas 2 2 5 9" xfId="28719"/>
    <cellStyle name="Notas 2 2 50" xfId="28720"/>
    <cellStyle name="Notas 2 2 50 10" xfId="28721"/>
    <cellStyle name="Notas 2 2 50 11" xfId="28722"/>
    <cellStyle name="Notas 2 2 50 12" xfId="28723"/>
    <cellStyle name="Notas 2 2 50 13" xfId="28724"/>
    <cellStyle name="Notas 2 2 50 2" xfId="28725"/>
    <cellStyle name="Notas 2 2 50 3" xfId="28726"/>
    <cellStyle name="Notas 2 2 50 4" xfId="28727"/>
    <cellStyle name="Notas 2 2 50 5" xfId="28728"/>
    <cellStyle name="Notas 2 2 50 6" xfId="28729"/>
    <cellStyle name="Notas 2 2 50 7" xfId="28730"/>
    <cellStyle name="Notas 2 2 50 8" xfId="28731"/>
    <cellStyle name="Notas 2 2 50 9" xfId="28732"/>
    <cellStyle name="Notas 2 2 51" xfId="28733"/>
    <cellStyle name="Notas 2 2 51 10" xfId="28734"/>
    <cellStyle name="Notas 2 2 51 11" xfId="28735"/>
    <cellStyle name="Notas 2 2 51 12" xfId="28736"/>
    <cellStyle name="Notas 2 2 51 13" xfId="28737"/>
    <cellStyle name="Notas 2 2 51 2" xfId="28738"/>
    <cellStyle name="Notas 2 2 51 3" xfId="28739"/>
    <cellStyle name="Notas 2 2 51 4" xfId="28740"/>
    <cellStyle name="Notas 2 2 51 5" xfId="28741"/>
    <cellStyle name="Notas 2 2 51 6" xfId="28742"/>
    <cellStyle name="Notas 2 2 51 7" xfId="28743"/>
    <cellStyle name="Notas 2 2 51 8" xfId="28744"/>
    <cellStyle name="Notas 2 2 51 9" xfId="28745"/>
    <cellStyle name="Notas 2 2 52" xfId="28746"/>
    <cellStyle name="Notas 2 2 52 10" xfId="28747"/>
    <cellStyle name="Notas 2 2 52 11" xfId="28748"/>
    <cellStyle name="Notas 2 2 52 12" xfId="28749"/>
    <cellStyle name="Notas 2 2 52 13" xfId="28750"/>
    <cellStyle name="Notas 2 2 52 2" xfId="28751"/>
    <cellStyle name="Notas 2 2 52 3" xfId="28752"/>
    <cellStyle name="Notas 2 2 52 4" xfId="28753"/>
    <cellStyle name="Notas 2 2 52 5" xfId="28754"/>
    <cellStyle name="Notas 2 2 52 6" xfId="28755"/>
    <cellStyle name="Notas 2 2 52 7" xfId="28756"/>
    <cellStyle name="Notas 2 2 52 8" xfId="28757"/>
    <cellStyle name="Notas 2 2 52 9" xfId="28758"/>
    <cellStyle name="Notas 2 2 53" xfId="28759"/>
    <cellStyle name="Notas 2 2 53 10" xfId="28760"/>
    <cellStyle name="Notas 2 2 53 11" xfId="28761"/>
    <cellStyle name="Notas 2 2 53 12" xfId="28762"/>
    <cellStyle name="Notas 2 2 53 13" xfId="28763"/>
    <cellStyle name="Notas 2 2 53 2" xfId="28764"/>
    <cellStyle name="Notas 2 2 53 3" xfId="28765"/>
    <cellStyle name="Notas 2 2 53 4" xfId="28766"/>
    <cellStyle name="Notas 2 2 53 5" xfId="28767"/>
    <cellStyle name="Notas 2 2 53 6" xfId="28768"/>
    <cellStyle name="Notas 2 2 53 7" xfId="28769"/>
    <cellStyle name="Notas 2 2 53 8" xfId="28770"/>
    <cellStyle name="Notas 2 2 53 9" xfId="28771"/>
    <cellStyle name="Notas 2 2 54" xfId="28772"/>
    <cellStyle name="Notas 2 2 54 10" xfId="28773"/>
    <cellStyle name="Notas 2 2 54 11" xfId="28774"/>
    <cellStyle name="Notas 2 2 54 12" xfId="28775"/>
    <cellStyle name="Notas 2 2 54 13" xfId="28776"/>
    <cellStyle name="Notas 2 2 54 2" xfId="28777"/>
    <cellStyle name="Notas 2 2 54 3" xfId="28778"/>
    <cellStyle name="Notas 2 2 54 4" xfId="28779"/>
    <cellStyle name="Notas 2 2 54 5" xfId="28780"/>
    <cellStyle name="Notas 2 2 54 6" xfId="28781"/>
    <cellStyle name="Notas 2 2 54 7" xfId="28782"/>
    <cellStyle name="Notas 2 2 54 8" xfId="28783"/>
    <cellStyle name="Notas 2 2 54 9" xfId="28784"/>
    <cellStyle name="Notas 2 2 55" xfId="28785"/>
    <cellStyle name="Notas 2 2 55 10" xfId="28786"/>
    <cellStyle name="Notas 2 2 55 11" xfId="28787"/>
    <cellStyle name="Notas 2 2 55 12" xfId="28788"/>
    <cellStyle name="Notas 2 2 55 13" xfId="28789"/>
    <cellStyle name="Notas 2 2 55 2" xfId="28790"/>
    <cellStyle name="Notas 2 2 55 3" xfId="28791"/>
    <cellStyle name="Notas 2 2 55 4" xfId="28792"/>
    <cellStyle name="Notas 2 2 55 5" xfId="28793"/>
    <cellStyle name="Notas 2 2 55 6" xfId="28794"/>
    <cellStyle name="Notas 2 2 55 7" xfId="28795"/>
    <cellStyle name="Notas 2 2 55 8" xfId="28796"/>
    <cellStyle name="Notas 2 2 55 9" xfId="28797"/>
    <cellStyle name="Notas 2 2 56" xfId="28798"/>
    <cellStyle name="Notas 2 2 56 10" xfId="28799"/>
    <cellStyle name="Notas 2 2 56 11" xfId="28800"/>
    <cellStyle name="Notas 2 2 56 12" xfId="28801"/>
    <cellStyle name="Notas 2 2 56 13" xfId="28802"/>
    <cellStyle name="Notas 2 2 56 2" xfId="28803"/>
    <cellStyle name="Notas 2 2 56 3" xfId="28804"/>
    <cellStyle name="Notas 2 2 56 4" xfId="28805"/>
    <cellStyle name="Notas 2 2 56 5" xfId="28806"/>
    <cellStyle name="Notas 2 2 56 6" xfId="28807"/>
    <cellStyle name="Notas 2 2 56 7" xfId="28808"/>
    <cellStyle name="Notas 2 2 56 8" xfId="28809"/>
    <cellStyle name="Notas 2 2 56 9" xfId="28810"/>
    <cellStyle name="Notas 2 2 57" xfId="28811"/>
    <cellStyle name="Notas 2 2 57 10" xfId="28812"/>
    <cellStyle name="Notas 2 2 57 11" xfId="28813"/>
    <cellStyle name="Notas 2 2 57 12" xfId="28814"/>
    <cellStyle name="Notas 2 2 57 13" xfId="28815"/>
    <cellStyle name="Notas 2 2 57 2" xfId="28816"/>
    <cellStyle name="Notas 2 2 57 3" xfId="28817"/>
    <cellStyle name="Notas 2 2 57 4" xfId="28818"/>
    <cellStyle name="Notas 2 2 57 5" xfId="28819"/>
    <cellStyle name="Notas 2 2 57 6" xfId="28820"/>
    <cellStyle name="Notas 2 2 57 7" xfId="28821"/>
    <cellStyle name="Notas 2 2 57 8" xfId="28822"/>
    <cellStyle name="Notas 2 2 57 9" xfId="28823"/>
    <cellStyle name="Notas 2 2 58" xfId="28824"/>
    <cellStyle name="Notas 2 2 58 10" xfId="28825"/>
    <cellStyle name="Notas 2 2 58 11" xfId="28826"/>
    <cellStyle name="Notas 2 2 58 12" xfId="28827"/>
    <cellStyle name="Notas 2 2 58 13" xfId="28828"/>
    <cellStyle name="Notas 2 2 58 2" xfId="28829"/>
    <cellStyle name="Notas 2 2 58 3" xfId="28830"/>
    <cellStyle name="Notas 2 2 58 4" xfId="28831"/>
    <cellStyle name="Notas 2 2 58 5" xfId="28832"/>
    <cellStyle name="Notas 2 2 58 6" xfId="28833"/>
    <cellStyle name="Notas 2 2 58 7" xfId="28834"/>
    <cellStyle name="Notas 2 2 58 8" xfId="28835"/>
    <cellStyle name="Notas 2 2 58 9" xfId="28836"/>
    <cellStyle name="Notas 2 2 59" xfId="28837"/>
    <cellStyle name="Notas 2 2 59 10" xfId="28838"/>
    <cellStyle name="Notas 2 2 59 11" xfId="28839"/>
    <cellStyle name="Notas 2 2 59 12" xfId="28840"/>
    <cellStyle name="Notas 2 2 59 13" xfId="28841"/>
    <cellStyle name="Notas 2 2 59 2" xfId="28842"/>
    <cellStyle name="Notas 2 2 59 3" xfId="28843"/>
    <cellStyle name="Notas 2 2 59 4" xfId="28844"/>
    <cellStyle name="Notas 2 2 59 5" xfId="28845"/>
    <cellStyle name="Notas 2 2 59 6" xfId="28846"/>
    <cellStyle name="Notas 2 2 59 7" xfId="28847"/>
    <cellStyle name="Notas 2 2 59 8" xfId="28848"/>
    <cellStyle name="Notas 2 2 59 9" xfId="28849"/>
    <cellStyle name="Notas 2 2 6" xfId="28850"/>
    <cellStyle name="Notas 2 2 6 10" xfId="28851"/>
    <cellStyle name="Notas 2 2 6 11" xfId="28852"/>
    <cellStyle name="Notas 2 2 6 12" xfId="28853"/>
    <cellStyle name="Notas 2 2 6 13" xfId="28854"/>
    <cellStyle name="Notas 2 2 6 2" xfId="28855"/>
    <cellStyle name="Notas 2 2 6 3" xfId="28856"/>
    <cellStyle name="Notas 2 2 6 4" xfId="28857"/>
    <cellStyle name="Notas 2 2 6 5" xfId="28858"/>
    <cellStyle name="Notas 2 2 6 6" xfId="28859"/>
    <cellStyle name="Notas 2 2 6 7" xfId="28860"/>
    <cellStyle name="Notas 2 2 6 8" xfId="28861"/>
    <cellStyle name="Notas 2 2 6 9" xfId="28862"/>
    <cellStyle name="Notas 2 2 60" xfId="28863"/>
    <cellStyle name="Notas 2 2 60 10" xfId="28864"/>
    <cellStyle name="Notas 2 2 60 11" xfId="28865"/>
    <cellStyle name="Notas 2 2 60 12" xfId="28866"/>
    <cellStyle name="Notas 2 2 60 13" xfId="28867"/>
    <cellStyle name="Notas 2 2 60 2" xfId="28868"/>
    <cellStyle name="Notas 2 2 60 3" xfId="28869"/>
    <cellStyle name="Notas 2 2 60 4" xfId="28870"/>
    <cellStyle name="Notas 2 2 60 5" xfId="28871"/>
    <cellStyle name="Notas 2 2 60 6" xfId="28872"/>
    <cellStyle name="Notas 2 2 60 7" xfId="28873"/>
    <cellStyle name="Notas 2 2 60 8" xfId="28874"/>
    <cellStyle name="Notas 2 2 60 9" xfId="28875"/>
    <cellStyle name="Notas 2 2 61" xfId="28876"/>
    <cellStyle name="Notas 2 2 61 10" xfId="28877"/>
    <cellStyle name="Notas 2 2 61 11" xfId="28878"/>
    <cellStyle name="Notas 2 2 61 12" xfId="28879"/>
    <cellStyle name="Notas 2 2 61 13" xfId="28880"/>
    <cellStyle name="Notas 2 2 61 2" xfId="28881"/>
    <cellStyle name="Notas 2 2 61 3" xfId="28882"/>
    <cellStyle name="Notas 2 2 61 4" xfId="28883"/>
    <cellStyle name="Notas 2 2 61 5" xfId="28884"/>
    <cellStyle name="Notas 2 2 61 6" xfId="28885"/>
    <cellStyle name="Notas 2 2 61 7" xfId="28886"/>
    <cellStyle name="Notas 2 2 61 8" xfId="28887"/>
    <cellStyle name="Notas 2 2 61 9" xfId="28888"/>
    <cellStyle name="Notas 2 2 62" xfId="28889"/>
    <cellStyle name="Notas 2 2 62 10" xfId="28890"/>
    <cellStyle name="Notas 2 2 62 11" xfId="28891"/>
    <cellStyle name="Notas 2 2 62 12" xfId="28892"/>
    <cellStyle name="Notas 2 2 62 13" xfId="28893"/>
    <cellStyle name="Notas 2 2 62 2" xfId="28894"/>
    <cellStyle name="Notas 2 2 62 3" xfId="28895"/>
    <cellStyle name="Notas 2 2 62 4" xfId="28896"/>
    <cellStyle name="Notas 2 2 62 5" xfId="28897"/>
    <cellStyle name="Notas 2 2 62 6" xfId="28898"/>
    <cellStyle name="Notas 2 2 62 7" xfId="28899"/>
    <cellStyle name="Notas 2 2 62 8" xfId="28900"/>
    <cellStyle name="Notas 2 2 62 9" xfId="28901"/>
    <cellStyle name="Notas 2 2 63" xfId="28902"/>
    <cellStyle name="Notas 2 2 63 10" xfId="28903"/>
    <cellStyle name="Notas 2 2 63 11" xfId="28904"/>
    <cellStyle name="Notas 2 2 63 12" xfId="28905"/>
    <cellStyle name="Notas 2 2 63 13" xfId="28906"/>
    <cellStyle name="Notas 2 2 63 2" xfId="28907"/>
    <cellStyle name="Notas 2 2 63 3" xfId="28908"/>
    <cellStyle name="Notas 2 2 63 4" xfId="28909"/>
    <cellStyle name="Notas 2 2 63 5" xfId="28910"/>
    <cellStyle name="Notas 2 2 63 6" xfId="28911"/>
    <cellStyle name="Notas 2 2 63 7" xfId="28912"/>
    <cellStyle name="Notas 2 2 63 8" xfId="28913"/>
    <cellStyle name="Notas 2 2 63 9" xfId="28914"/>
    <cellStyle name="Notas 2 2 64" xfId="28915"/>
    <cellStyle name="Notas 2 2 64 10" xfId="28916"/>
    <cellStyle name="Notas 2 2 64 11" xfId="28917"/>
    <cellStyle name="Notas 2 2 64 12" xfId="28918"/>
    <cellStyle name="Notas 2 2 64 13" xfId="28919"/>
    <cellStyle name="Notas 2 2 64 2" xfId="28920"/>
    <cellStyle name="Notas 2 2 64 3" xfId="28921"/>
    <cellStyle name="Notas 2 2 64 4" xfId="28922"/>
    <cellStyle name="Notas 2 2 64 5" xfId="28923"/>
    <cellStyle name="Notas 2 2 64 6" xfId="28924"/>
    <cellStyle name="Notas 2 2 64 7" xfId="28925"/>
    <cellStyle name="Notas 2 2 64 8" xfId="28926"/>
    <cellStyle name="Notas 2 2 64 9" xfId="28927"/>
    <cellStyle name="Notas 2 2 65" xfId="28928"/>
    <cellStyle name="Notas 2 2 65 10" xfId="28929"/>
    <cellStyle name="Notas 2 2 65 11" xfId="28930"/>
    <cellStyle name="Notas 2 2 65 12" xfId="28931"/>
    <cellStyle name="Notas 2 2 65 13" xfId="28932"/>
    <cellStyle name="Notas 2 2 65 2" xfId="28933"/>
    <cellStyle name="Notas 2 2 65 3" xfId="28934"/>
    <cellStyle name="Notas 2 2 65 4" xfId="28935"/>
    <cellStyle name="Notas 2 2 65 5" xfId="28936"/>
    <cellStyle name="Notas 2 2 65 6" xfId="28937"/>
    <cellStyle name="Notas 2 2 65 7" xfId="28938"/>
    <cellStyle name="Notas 2 2 65 8" xfId="28939"/>
    <cellStyle name="Notas 2 2 65 9" xfId="28940"/>
    <cellStyle name="Notas 2 2 66" xfId="28941"/>
    <cellStyle name="Notas 2 2 66 10" xfId="28942"/>
    <cellStyle name="Notas 2 2 66 11" xfId="28943"/>
    <cellStyle name="Notas 2 2 66 12" xfId="28944"/>
    <cellStyle name="Notas 2 2 66 13" xfId="28945"/>
    <cellStyle name="Notas 2 2 66 2" xfId="28946"/>
    <cellStyle name="Notas 2 2 66 3" xfId="28947"/>
    <cellStyle name="Notas 2 2 66 4" xfId="28948"/>
    <cellStyle name="Notas 2 2 66 5" xfId="28949"/>
    <cellStyle name="Notas 2 2 66 6" xfId="28950"/>
    <cellStyle name="Notas 2 2 66 7" xfId="28951"/>
    <cellStyle name="Notas 2 2 66 8" xfId="28952"/>
    <cellStyle name="Notas 2 2 66 9" xfId="28953"/>
    <cellStyle name="Notas 2 2 67" xfId="28954"/>
    <cellStyle name="Notas 2 2 67 10" xfId="28955"/>
    <cellStyle name="Notas 2 2 67 11" xfId="28956"/>
    <cellStyle name="Notas 2 2 67 12" xfId="28957"/>
    <cellStyle name="Notas 2 2 67 13" xfId="28958"/>
    <cellStyle name="Notas 2 2 67 2" xfId="28959"/>
    <cellStyle name="Notas 2 2 67 3" xfId="28960"/>
    <cellStyle name="Notas 2 2 67 4" xfId="28961"/>
    <cellStyle name="Notas 2 2 67 5" xfId="28962"/>
    <cellStyle name="Notas 2 2 67 6" xfId="28963"/>
    <cellStyle name="Notas 2 2 67 7" xfId="28964"/>
    <cellStyle name="Notas 2 2 67 8" xfId="28965"/>
    <cellStyle name="Notas 2 2 67 9" xfId="28966"/>
    <cellStyle name="Notas 2 2 68" xfId="28967"/>
    <cellStyle name="Notas 2 2 68 10" xfId="28968"/>
    <cellStyle name="Notas 2 2 68 11" xfId="28969"/>
    <cellStyle name="Notas 2 2 68 12" xfId="28970"/>
    <cellStyle name="Notas 2 2 68 13" xfId="28971"/>
    <cellStyle name="Notas 2 2 68 2" xfId="28972"/>
    <cellStyle name="Notas 2 2 68 3" xfId="28973"/>
    <cellStyle name="Notas 2 2 68 4" xfId="28974"/>
    <cellStyle name="Notas 2 2 68 5" xfId="28975"/>
    <cellStyle name="Notas 2 2 68 6" xfId="28976"/>
    <cellStyle name="Notas 2 2 68 7" xfId="28977"/>
    <cellStyle name="Notas 2 2 68 8" xfId="28978"/>
    <cellStyle name="Notas 2 2 68 9" xfId="28979"/>
    <cellStyle name="Notas 2 2 69" xfId="28980"/>
    <cellStyle name="Notas 2 2 69 10" xfId="28981"/>
    <cellStyle name="Notas 2 2 69 11" xfId="28982"/>
    <cellStyle name="Notas 2 2 69 12" xfId="28983"/>
    <cellStyle name="Notas 2 2 69 13" xfId="28984"/>
    <cellStyle name="Notas 2 2 69 2" xfId="28985"/>
    <cellStyle name="Notas 2 2 69 3" xfId="28986"/>
    <cellStyle name="Notas 2 2 69 4" xfId="28987"/>
    <cellStyle name="Notas 2 2 69 5" xfId="28988"/>
    <cellStyle name="Notas 2 2 69 6" xfId="28989"/>
    <cellStyle name="Notas 2 2 69 7" xfId="28990"/>
    <cellStyle name="Notas 2 2 69 8" xfId="28991"/>
    <cellStyle name="Notas 2 2 69 9" xfId="28992"/>
    <cellStyle name="Notas 2 2 7" xfId="28993"/>
    <cellStyle name="Notas 2 2 7 10" xfId="28994"/>
    <cellStyle name="Notas 2 2 7 11" xfId="28995"/>
    <cellStyle name="Notas 2 2 7 12" xfId="28996"/>
    <cellStyle name="Notas 2 2 7 13" xfId="28997"/>
    <cellStyle name="Notas 2 2 7 2" xfId="28998"/>
    <cellStyle name="Notas 2 2 7 3" xfId="28999"/>
    <cellStyle name="Notas 2 2 7 4" xfId="29000"/>
    <cellStyle name="Notas 2 2 7 5" xfId="29001"/>
    <cellStyle name="Notas 2 2 7 6" xfId="29002"/>
    <cellStyle name="Notas 2 2 7 7" xfId="29003"/>
    <cellStyle name="Notas 2 2 7 8" xfId="29004"/>
    <cellStyle name="Notas 2 2 7 9" xfId="29005"/>
    <cellStyle name="Notas 2 2 70" xfId="29006"/>
    <cellStyle name="Notas 2 2 70 10" xfId="29007"/>
    <cellStyle name="Notas 2 2 70 11" xfId="29008"/>
    <cellStyle name="Notas 2 2 70 12" xfId="29009"/>
    <cellStyle name="Notas 2 2 70 13" xfId="29010"/>
    <cellStyle name="Notas 2 2 70 2" xfId="29011"/>
    <cellStyle name="Notas 2 2 70 3" xfId="29012"/>
    <cellStyle name="Notas 2 2 70 4" xfId="29013"/>
    <cellStyle name="Notas 2 2 70 5" xfId="29014"/>
    <cellStyle name="Notas 2 2 70 6" xfId="29015"/>
    <cellStyle name="Notas 2 2 70 7" xfId="29016"/>
    <cellStyle name="Notas 2 2 70 8" xfId="29017"/>
    <cellStyle name="Notas 2 2 70 9" xfId="29018"/>
    <cellStyle name="Notas 2 2 71" xfId="29019"/>
    <cellStyle name="Notas 2 2 71 10" xfId="29020"/>
    <cellStyle name="Notas 2 2 71 11" xfId="29021"/>
    <cellStyle name="Notas 2 2 71 12" xfId="29022"/>
    <cellStyle name="Notas 2 2 71 13" xfId="29023"/>
    <cellStyle name="Notas 2 2 71 2" xfId="29024"/>
    <cellStyle name="Notas 2 2 71 3" xfId="29025"/>
    <cellStyle name="Notas 2 2 71 4" xfId="29026"/>
    <cellStyle name="Notas 2 2 71 5" xfId="29027"/>
    <cellStyle name="Notas 2 2 71 6" xfId="29028"/>
    <cellStyle name="Notas 2 2 71 7" xfId="29029"/>
    <cellStyle name="Notas 2 2 71 8" xfId="29030"/>
    <cellStyle name="Notas 2 2 71 9" xfId="29031"/>
    <cellStyle name="Notas 2 2 72" xfId="29032"/>
    <cellStyle name="Notas 2 2 73" xfId="29033"/>
    <cellStyle name="Notas 2 2 74" xfId="29034"/>
    <cellStyle name="Notas 2 2 75" xfId="29035"/>
    <cellStyle name="Notas 2 2 76" xfId="29036"/>
    <cellStyle name="Notas 2 2 77" xfId="29037"/>
    <cellStyle name="Notas 2 2 78" xfId="29038"/>
    <cellStyle name="Notas 2 2 79" xfId="29039"/>
    <cellStyle name="Notas 2 2 8" xfId="29040"/>
    <cellStyle name="Notas 2 2 8 10" xfId="29041"/>
    <cellStyle name="Notas 2 2 8 11" xfId="29042"/>
    <cellStyle name="Notas 2 2 8 12" xfId="29043"/>
    <cellStyle name="Notas 2 2 8 13" xfId="29044"/>
    <cellStyle name="Notas 2 2 8 2" xfId="29045"/>
    <cellStyle name="Notas 2 2 8 3" xfId="29046"/>
    <cellStyle name="Notas 2 2 8 4" xfId="29047"/>
    <cellStyle name="Notas 2 2 8 5" xfId="29048"/>
    <cellStyle name="Notas 2 2 8 6" xfId="29049"/>
    <cellStyle name="Notas 2 2 8 7" xfId="29050"/>
    <cellStyle name="Notas 2 2 8 8" xfId="29051"/>
    <cellStyle name="Notas 2 2 8 9" xfId="29052"/>
    <cellStyle name="Notas 2 2 80" xfId="29053"/>
    <cellStyle name="Notas 2 2 81" xfId="29054"/>
    <cellStyle name="Notas 2 2 82" xfId="29055"/>
    <cellStyle name="Notas 2 2 83" xfId="29056"/>
    <cellStyle name="Notas 2 2 84" xfId="34655"/>
    <cellStyle name="Notas 2 2 9" xfId="29057"/>
    <cellStyle name="Notas 2 2 9 10" xfId="29058"/>
    <cellStyle name="Notas 2 2 9 11" xfId="29059"/>
    <cellStyle name="Notas 2 2 9 12" xfId="29060"/>
    <cellStyle name="Notas 2 2 9 13" xfId="29061"/>
    <cellStyle name="Notas 2 2 9 2" xfId="29062"/>
    <cellStyle name="Notas 2 2 9 3" xfId="29063"/>
    <cellStyle name="Notas 2 2 9 4" xfId="29064"/>
    <cellStyle name="Notas 2 2 9 5" xfId="29065"/>
    <cellStyle name="Notas 2 2 9 6" xfId="29066"/>
    <cellStyle name="Notas 2 2 9 7" xfId="29067"/>
    <cellStyle name="Notas 2 2 9 8" xfId="29068"/>
    <cellStyle name="Notas 2 2 9 9" xfId="29069"/>
    <cellStyle name="Notas 2 20" xfId="29070"/>
    <cellStyle name="Notas 2 20 10" xfId="29071"/>
    <cellStyle name="Notas 2 20 10 2" xfId="34656"/>
    <cellStyle name="Notas 2 20 11" xfId="29072"/>
    <cellStyle name="Notas 2 20 11 2" xfId="34657"/>
    <cellStyle name="Notas 2 20 12" xfId="29073"/>
    <cellStyle name="Notas 2 20 12 2" xfId="34658"/>
    <cellStyle name="Notas 2 20 13" xfId="29074"/>
    <cellStyle name="Notas 2 20 13 2" xfId="34659"/>
    <cellStyle name="Notas 2 20 14" xfId="34660"/>
    <cellStyle name="Notas 2 20 2" xfId="29075"/>
    <cellStyle name="Notas 2 20 2 2" xfId="34661"/>
    <cellStyle name="Notas 2 20 3" xfId="29076"/>
    <cellStyle name="Notas 2 20 3 2" xfId="34662"/>
    <cellStyle name="Notas 2 20 4" xfId="29077"/>
    <cellStyle name="Notas 2 20 4 2" xfId="34663"/>
    <cellStyle name="Notas 2 20 5" xfId="29078"/>
    <cellStyle name="Notas 2 20 5 2" xfId="34664"/>
    <cellStyle name="Notas 2 20 6" xfId="29079"/>
    <cellStyle name="Notas 2 20 6 2" xfId="34665"/>
    <cellStyle name="Notas 2 20 7" xfId="29080"/>
    <cellStyle name="Notas 2 20 7 2" xfId="34666"/>
    <cellStyle name="Notas 2 20 8" xfId="29081"/>
    <cellStyle name="Notas 2 20 8 2" xfId="34667"/>
    <cellStyle name="Notas 2 20 9" xfId="29082"/>
    <cellStyle name="Notas 2 20 9 2" xfId="34668"/>
    <cellStyle name="Notas 2 21" xfId="29083"/>
    <cellStyle name="Notas 2 21 10" xfId="29084"/>
    <cellStyle name="Notas 2 21 10 2" xfId="34669"/>
    <cellStyle name="Notas 2 21 11" xfId="29085"/>
    <cellStyle name="Notas 2 21 11 2" xfId="34670"/>
    <cellStyle name="Notas 2 21 12" xfId="29086"/>
    <cellStyle name="Notas 2 21 12 2" xfId="34671"/>
    <cellStyle name="Notas 2 21 13" xfId="29087"/>
    <cellStyle name="Notas 2 21 13 2" xfId="34672"/>
    <cellStyle name="Notas 2 21 14" xfId="34673"/>
    <cellStyle name="Notas 2 21 2" xfId="29088"/>
    <cellStyle name="Notas 2 21 2 2" xfId="34674"/>
    <cellStyle name="Notas 2 21 3" xfId="29089"/>
    <cellStyle name="Notas 2 21 3 2" xfId="34675"/>
    <cellStyle name="Notas 2 21 4" xfId="29090"/>
    <cellStyle name="Notas 2 21 4 2" xfId="34676"/>
    <cellStyle name="Notas 2 21 5" xfId="29091"/>
    <cellStyle name="Notas 2 21 5 2" xfId="34677"/>
    <cellStyle name="Notas 2 21 6" xfId="29092"/>
    <cellStyle name="Notas 2 21 6 2" xfId="34678"/>
    <cellStyle name="Notas 2 21 7" xfId="29093"/>
    <cellStyle name="Notas 2 21 7 2" xfId="34679"/>
    <cellStyle name="Notas 2 21 8" xfId="29094"/>
    <cellStyle name="Notas 2 21 8 2" xfId="34680"/>
    <cellStyle name="Notas 2 21 9" xfId="29095"/>
    <cellStyle name="Notas 2 21 9 2" xfId="34681"/>
    <cellStyle name="Notas 2 22" xfId="29096"/>
    <cellStyle name="Notas 2 22 10" xfId="29097"/>
    <cellStyle name="Notas 2 22 10 2" xfId="34682"/>
    <cellStyle name="Notas 2 22 11" xfId="29098"/>
    <cellStyle name="Notas 2 22 11 2" xfId="34683"/>
    <cellStyle name="Notas 2 22 12" xfId="29099"/>
    <cellStyle name="Notas 2 22 12 2" xfId="34684"/>
    <cellStyle name="Notas 2 22 13" xfId="29100"/>
    <cellStyle name="Notas 2 22 13 2" xfId="34685"/>
    <cellStyle name="Notas 2 22 14" xfId="34686"/>
    <cellStyle name="Notas 2 22 2" xfId="29101"/>
    <cellStyle name="Notas 2 22 2 2" xfId="34687"/>
    <cellStyle name="Notas 2 22 3" xfId="29102"/>
    <cellStyle name="Notas 2 22 3 2" xfId="34688"/>
    <cellStyle name="Notas 2 22 4" xfId="29103"/>
    <cellStyle name="Notas 2 22 4 2" xfId="34689"/>
    <cellStyle name="Notas 2 22 5" xfId="29104"/>
    <cellStyle name="Notas 2 22 5 2" xfId="34690"/>
    <cellStyle name="Notas 2 22 6" xfId="29105"/>
    <cellStyle name="Notas 2 22 6 2" xfId="34691"/>
    <cellStyle name="Notas 2 22 7" xfId="29106"/>
    <cellStyle name="Notas 2 22 7 2" xfId="34692"/>
    <cellStyle name="Notas 2 22 8" xfId="29107"/>
    <cellStyle name="Notas 2 22 8 2" xfId="34693"/>
    <cellStyle name="Notas 2 22 9" xfId="29108"/>
    <cellStyle name="Notas 2 22 9 2" xfId="34694"/>
    <cellStyle name="Notas 2 23" xfId="29109"/>
    <cellStyle name="Notas 2 23 10" xfId="29110"/>
    <cellStyle name="Notas 2 23 10 2" xfId="34695"/>
    <cellStyle name="Notas 2 23 11" xfId="29111"/>
    <cellStyle name="Notas 2 23 11 2" xfId="34696"/>
    <cellStyle name="Notas 2 23 12" xfId="29112"/>
    <cellStyle name="Notas 2 23 12 2" xfId="34697"/>
    <cellStyle name="Notas 2 23 13" xfId="29113"/>
    <cellStyle name="Notas 2 23 13 2" xfId="34698"/>
    <cellStyle name="Notas 2 23 14" xfId="34699"/>
    <cellStyle name="Notas 2 23 2" xfId="29114"/>
    <cellStyle name="Notas 2 23 2 2" xfId="34700"/>
    <cellStyle name="Notas 2 23 3" xfId="29115"/>
    <cellStyle name="Notas 2 23 3 2" xfId="34701"/>
    <cellStyle name="Notas 2 23 4" xfId="29116"/>
    <cellStyle name="Notas 2 23 4 2" xfId="34702"/>
    <cellStyle name="Notas 2 23 5" xfId="29117"/>
    <cellStyle name="Notas 2 23 5 2" xfId="34703"/>
    <cellStyle name="Notas 2 23 6" xfId="29118"/>
    <cellStyle name="Notas 2 23 6 2" xfId="34704"/>
    <cellStyle name="Notas 2 23 7" xfId="29119"/>
    <cellStyle name="Notas 2 23 7 2" xfId="34705"/>
    <cellStyle name="Notas 2 23 8" xfId="29120"/>
    <cellStyle name="Notas 2 23 8 2" xfId="34706"/>
    <cellStyle name="Notas 2 23 9" xfId="29121"/>
    <cellStyle name="Notas 2 23 9 2" xfId="34707"/>
    <cellStyle name="Notas 2 24" xfId="29122"/>
    <cellStyle name="Notas 2 24 10" xfId="29123"/>
    <cellStyle name="Notas 2 24 10 2" xfId="34708"/>
    <cellStyle name="Notas 2 24 11" xfId="29124"/>
    <cellStyle name="Notas 2 24 11 2" xfId="34709"/>
    <cellStyle name="Notas 2 24 12" xfId="29125"/>
    <cellStyle name="Notas 2 24 12 2" xfId="34710"/>
    <cellStyle name="Notas 2 24 13" xfId="29126"/>
    <cellStyle name="Notas 2 24 13 2" xfId="34711"/>
    <cellStyle name="Notas 2 24 14" xfId="34712"/>
    <cellStyle name="Notas 2 24 2" xfId="29127"/>
    <cellStyle name="Notas 2 24 2 2" xfId="34713"/>
    <cellStyle name="Notas 2 24 3" xfId="29128"/>
    <cellStyle name="Notas 2 24 3 2" xfId="34714"/>
    <cellStyle name="Notas 2 24 4" xfId="29129"/>
    <cellStyle name="Notas 2 24 4 2" xfId="34715"/>
    <cellStyle name="Notas 2 24 5" xfId="29130"/>
    <cellStyle name="Notas 2 24 5 2" xfId="34716"/>
    <cellStyle name="Notas 2 24 6" xfId="29131"/>
    <cellStyle name="Notas 2 24 6 2" xfId="34717"/>
    <cellStyle name="Notas 2 24 7" xfId="29132"/>
    <cellStyle name="Notas 2 24 7 2" xfId="34718"/>
    <cellStyle name="Notas 2 24 8" xfId="29133"/>
    <cellStyle name="Notas 2 24 8 2" xfId="34719"/>
    <cellStyle name="Notas 2 24 9" xfId="29134"/>
    <cellStyle name="Notas 2 24 9 2" xfId="34720"/>
    <cellStyle name="Notas 2 25" xfId="29135"/>
    <cellStyle name="Notas 2 25 10" xfId="29136"/>
    <cellStyle name="Notas 2 25 10 2" xfId="34721"/>
    <cellStyle name="Notas 2 25 11" xfId="29137"/>
    <cellStyle name="Notas 2 25 11 2" xfId="34722"/>
    <cellStyle name="Notas 2 25 12" xfId="29138"/>
    <cellStyle name="Notas 2 25 12 2" xfId="34723"/>
    <cellStyle name="Notas 2 25 13" xfId="29139"/>
    <cellStyle name="Notas 2 25 13 2" xfId="34724"/>
    <cellStyle name="Notas 2 25 14" xfId="34725"/>
    <cellStyle name="Notas 2 25 2" xfId="29140"/>
    <cellStyle name="Notas 2 25 2 2" xfId="34726"/>
    <cellStyle name="Notas 2 25 3" xfId="29141"/>
    <cellStyle name="Notas 2 25 3 2" xfId="34727"/>
    <cellStyle name="Notas 2 25 4" xfId="29142"/>
    <cellStyle name="Notas 2 25 4 2" xfId="34728"/>
    <cellStyle name="Notas 2 25 5" xfId="29143"/>
    <cellStyle name="Notas 2 25 5 2" xfId="34729"/>
    <cellStyle name="Notas 2 25 6" xfId="29144"/>
    <cellStyle name="Notas 2 25 6 2" xfId="34730"/>
    <cellStyle name="Notas 2 25 7" xfId="29145"/>
    <cellStyle name="Notas 2 25 7 2" xfId="34731"/>
    <cellStyle name="Notas 2 25 8" xfId="29146"/>
    <cellStyle name="Notas 2 25 8 2" xfId="34732"/>
    <cellStyle name="Notas 2 25 9" xfId="29147"/>
    <cellStyle name="Notas 2 25 9 2" xfId="34733"/>
    <cellStyle name="Notas 2 26" xfId="29148"/>
    <cellStyle name="Notas 2 26 10" xfId="29149"/>
    <cellStyle name="Notas 2 26 10 2" xfId="34734"/>
    <cellStyle name="Notas 2 26 11" xfId="29150"/>
    <cellStyle name="Notas 2 26 11 2" xfId="34735"/>
    <cellStyle name="Notas 2 26 12" xfId="29151"/>
    <cellStyle name="Notas 2 26 12 2" xfId="34736"/>
    <cellStyle name="Notas 2 26 13" xfId="29152"/>
    <cellStyle name="Notas 2 26 13 2" xfId="34737"/>
    <cellStyle name="Notas 2 26 14" xfId="34738"/>
    <cellStyle name="Notas 2 26 2" xfId="29153"/>
    <cellStyle name="Notas 2 26 2 2" xfId="34739"/>
    <cellStyle name="Notas 2 26 3" xfId="29154"/>
    <cellStyle name="Notas 2 26 3 2" xfId="34740"/>
    <cellStyle name="Notas 2 26 4" xfId="29155"/>
    <cellStyle name="Notas 2 26 4 2" xfId="34741"/>
    <cellStyle name="Notas 2 26 5" xfId="29156"/>
    <cellStyle name="Notas 2 26 5 2" xfId="34742"/>
    <cellStyle name="Notas 2 26 6" xfId="29157"/>
    <cellStyle name="Notas 2 26 6 2" xfId="34743"/>
    <cellStyle name="Notas 2 26 7" xfId="29158"/>
    <cellStyle name="Notas 2 26 7 2" xfId="34744"/>
    <cellStyle name="Notas 2 26 8" xfId="29159"/>
    <cellStyle name="Notas 2 26 8 2" xfId="34745"/>
    <cellStyle name="Notas 2 26 9" xfId="29160"/>
    <cellStyle name="Notas 2 26 9 2" xfId="34746"/>
    <cellStyle name="Notas 2 27" xfId="29161"/>
    <cellStyle name="Notas 2 27 10" xfId="29162"/>
    <cellStyle name="Notas 2 27 10 2" xfId="34747"/>
    <cellStyle name="Notas 2 27 11" xfId="29163"/>
    <cellStyle name="Notas 2 27 11 2" xfId="34748"/>
    <cellStyle name="Notas 2 27 12" xfId="29164"/>
    <cellStyle name="Notas 2 27 12 2" xfId="34749"/>
    <cellStyle name="Notas 2 27 13" xfId="29165"/>
    <cellStyle name="Notas 2 27 13 2" xfId="34750"/>
    <cellStyle name="Notas 2 27 14" xfId="34751"/>
    <cellStyle name="Notas 2 27 2" xfId="29166"/>
    <cellStyle name="Notas 2 27 2 2" xfId="34752"/>
    <cellStyle name="Notas 2 27 3" xfId="29167"/>
    <cellStyle name="Notas 2 27 3 2" xfId="34753"/>
    <cellStyle name="Notas 2 27 4" xfId="29168"/>
    <cellStyle name="Notas 2 27 4 2" xfId="34754"/>
    <cellStyle name="Notas 2 27 5" xfId="29169"/>
    <cellStyle name="Notas 2 27 5 2" xfId="34755"/>
    <cellStyle name="Notas 2 27 6" xfId="29170"/>
    <cellStyle name="Notas 2 27 6 2" xfId="34756"/>
    <cellStyle name="Notas 2 27 7" xfId="29171"/>
    <cellStyle name="Notas 2 27 7 2" xfId="34757"/>
    <cellStyle name="Notas 2 27 8" xfId="29172"/>
    <cellStyle name="Notas 2 27 8 2" xfId="34758"/>
    <cellStyle name="Notas 2 27 9" xfId="29173"/>
    <cellStyle name="Notas 2 27 9 2" xfId="34759"/>
    <cellStyle name="Notas 2 28" xfId="29174"/>
    <cellStyle name="Notas 2 28 10" xfId="29175"/>
    <cellStyle name="Notas 2 28 10 2" xfId="34760"/>
    <cellStyle name="Notas 2 28 11" xfId="29176"/>
    <cellStyle name="Notas 2 28 11 2" xfId="34761"/>
    <cellStyle name="Notas 2 28 12" xfId="29177"/>
    <cellStyle name="Notas 2 28 12 2" xfId="34762"/>
    <cellStyle name="Notas 2 28 13" xfId="29178"/>
    <cellStyle name="Notas 2 28 13 2" xfId="34763"/>
    <cellStyle name="Notas 2 28 14" xfId="34764"/>
    <cellStyle name="Notas 2 28 2" xfId="29179"/>
    <cellStyle name="Notas 2 28 2 2" xfId="34765"/>
    <cellStyle name="Notas 2 28 3" xfId="29180"/>
    <cellStyle name="Notas 2 28 3 2" xfId="34766"/>
    <cellStyle name="Notas 2 28 4" xfId="29181"/>
    <cellStyle name="Notas 2 28 4 2" xfId="34767"/>
    <cellStyle name="Notas 2 28 5" xfId="29182"/>
    <cellStyle name="Notas 2 28 5 2" xfId="34768"/>
    <cellStyle name="Notas 2 28 6" xfId="29183"/>
    <cellStyle name="Notas 2 28 6 2" xfId="34769"/>
    <cellStyle name="Notas 2 28 7" xfId="29184"/>
    <cellStyle name="Notas 2 28 7 2" xfId="34770"/>
    <cellStyle name="Notas 2 28 8" xfId="29185"/>
    <cellStyle name="Notas 2 28 8 2" xfId="34771"/>
    <cellStyle name="Notas 2 28 9" xfId="29186"/>
    <cellStyle name="Notas 2 28 9 2" xfId="34772"/>
    <cellStyle name="Notas 2 29" xfId="29187"/>
    <cellStyle name="Notas 2 29 10" xfId="29188"/>
    <cellStyle name="Notas 2 29 10 2" xfId="34773"/>
    <cellStyle name="Notas 2 29 11" xfId="29189"/>
    <cellStyle name="Notas 2 29 11 2" xfId="34774"/>
    <cellStyle name="Notas 2 29 12" xfId="29190"/>
    <cellStyle name="Notas 2 29 12 2" xfId="34775"/>
    <cellStyle name="Notas 2 29 13" xfId="29191"/>
    <cellStyle name="Notas 2 29 13 2" xfId="34776"/>
    <cellStyle name="Notas 2 29 14" xfId="34777"/>
    <cellStyle name="Notas 2 29 2" xfId="29192"/>
    <cellStyle name="Notas 2 29 2 2" xfId="34778"/>
    <cellStyle name="Notas 2 29 3" xfId="29193"/>
    <cellStyle name="Notas 2 29 3 2" xfId="34779"/>
    <cellStyle name="Notas 2 29 4" xfId="29194"/>
    <cellStyle name="Notas 2 29 4 2" xfId="34780"/>
    <cellStyle name="Notas 2 29 5" xfId="29195"/>
    <cellStyle name="Notas 2 29 5 2" xfId="34781"/>
    <cellStyle name="Notas 2 29 6" xfId="29196"/>
    <cellStyle name="Notas 2 29 6 2" xfId="34782"/>
    <cellStyle name="Notas 2 29 7" xfId="29197"/>
    <cellStyle name="Notas 2 29 7 2" xfId="34783"/>
    <cellStyle name="Notas 2 29 8" xfId="29198"/>
    <cellStyle name="Notas 2 29 8 2" xfId="34784"/>
    <cellStyle name="Notas 2 29 9" xfId="29199"/>
    <cellStyle name="Notas 2 29 9 2" xfId="34785"/>
    <cellStyle name="Notas 2 3" xfId="29200"/>
    <cellStyle name="Notas 2 3 10" xfId="29201"/>
    <cellStyle name="Notas 2 3 11" xfId="29202"/>
    <cellStyle name="Notas 2 3 12" xfId="29203"/>
    <cellStyle name="Notas 2 3 13" xfId="29204"/>
    <cellStyle name="Notas 2 3 2" xfId="29205"/>
    <cellStyle name="Notas 2 3 3" xfId="29206"/>
    <cellStyle name="Notas 2 3 4" xfId="29207"/>
    <cellStyle name="Notas 2 3 5" xfId="29208"/>
    <cellStyle name="Notas 2 3 6" xfId="29209"/>
    <cellStyle name="Notas 2 3 7" xfId="29210"/>
    <cellStyle name="Notas 2 3 8" xfId="29211"/>
    <cellStyle name="Notas 2 3 9" xfId="29212"/>
    <cellStyle name="Notas 2 30" xfId="29213"/>
    <cellStyle name="Notas 2 30 10" xfId="29214"/>
    <cellStyle name="Notas 2 30 10 2" xfId="34786"/>
    <cellStyle name="Notas 2 30 11" xfId="29215"/>
    <cellStyle name="Notas 2 30 11 2" xfId="34787"/>
    <cellStyle name="Notas 2 30 12" xfId="29216"/>
    <cellStyle name="Notas 2 30 12 2" xfId="34788"/>
    <cellStyle name="Notas 2 30 13" xfId="29217"/>
    <cellStyle name="Notas 2 30 13 2" xfId="34789"/>
    <cellStyle name="Notas 2 30 14" xfId="34790"/>
    <cellStyle name="Notas 2 30 2" xfId="29218"/>
    <cellStyle name="Notas 2 30 2 2" xfId="34791"/>
    <cellStyle name="Notas 2 30 3" xfId="29219"/>
    <cellStyle name="Notas 2 30 3 2" xfId="34792"/>
    <cellStyle name="Notas 2 30 4" xfId="29220"/>
    <cellStyle name="Notas 2 30 4 2" xfId="34793"/>
    <cellStyle name="Notas 2 30 5" xfId="29221"/>
    <cellStyle name="Notas 2 30 5 2" xfId="34794"/>
    <cellStyle name="Notas 2 30 6" xfId="29222"/>
    <cellStyle name="Notas 2 30 6 2" xfId="34795"/>
    <cellStyle name="Notas 2 30 7" xfId="29223"/>
    <cellStyle name="Notas 2 30 7 2" xfId="34796"/>
    <cellStyle name="Notas 2 30 8" xfId="29224"/>
    <cellStyle name="Notas 2 30 8 2" xfId="34797"/>
    <cellStyle name="Notas 2 30 9" xfId="29225"/>
    <cellStyle name="Notas 2 30 9 2" xfId="34798"/>
    <cellStyle name="Notas 2 31" xfId="29226"/>
    <cellStyle name="Notas 2 31 10" xfId="29227"/>
    <cellStyle name="Notas 2 31 10 2" xfId="34799"/>
    <cellStyle name="Notas 2 31 11" xfId="29228"/>
    <cellStyle name="Notas 2 31 11 2" xfId="34800"/>
    <cellStyle name="Notas 2 31 12" xfId="29229"/>
    <cellStyle name="Notas 2 31 12 2" xfId="34801"/>
    <cellStyle name="Notas 2 31 13" xfId="29230"/>
    <cellStyle name="Notas 2 31 13 2" xfId="34802"/>
    <cellStyle name="Notas 2 31 14" xfId="34803"/>
    <cellStyle name="Notas 2 31 2" xfId="29231"/>
    <cellStyle name="Notas 2 31 2 2" xfId="34804"/>
    <cellStyle name="Notas 2 31 3" xfId="29232"/>
    <cellStyle name="Notas 2 31 3 2" xfId="34805"/>
    <cellStyle name="Notas 2 31 4" xfId="29233"/>
    <cellStyle name="Notas 2 31 4 2" xfId="34806"/>
    <cellStyle name="Notas 2 31 5" xfId="29234"/>
    <cellStyle name="Notas 2 31 5 2" xfId="34807"/>
    <cellStyle name="Notas 2 31 6" xfId="29235"/>
    <cellStyle name="Notas 2 31 6 2" xfId="34808"/>
    <cellStyle name="Notas 2 31 7" xfId="29236"/>
    <cellStyle name="Notas 2 31 7 2" xfId="34809"/>
    <cellStyle name="Notas 2 31 8" xfId="29237"/>
    <cellStyle name="Notas 2 31 8 2" xfId="34810"/>
    <cellStyle name="Notas 2 31 9" xfId="29238"/>
    <cellStyle name="Notas 2 31 9 2" xfId="34811"/>
    <cellStyle name="Notas 2 32" xfId="29239"/>
    <cellStyle name="Notas 2 32 10" xfId="29240"/>
    <cellStyle name="Notas 2 32 10 2" xfId="34812"/>
    <cellStyle name="Notas 2 32 11" xfId="29241"/>
    <cellStyle name="Notas 2 32 11 2" xfId="34813"/>
    <cellStyle name="Notas 2 32 12" xfId="29242"/>
    <cellStyle name="Notas 2 32 12 2" xfId="34814"/>
    <cellStyle name="Notas 2 32 13" xfId="29243"/>
    <cellStyle name="Notas 2 32 13 2" xfId="34815"/>
    <cellStyle name="Notas 2 32 14" xfId="34816"/>
    <cellStyle name="Notas 2 32 2" xfId="29244"/>
    <cellStyle name="Notas 2 32 2 2" xfId="34817"/>
    <cellStyle name="Notas 2 32 3" xfId="29245"/>
    <cellStyle name="Notas 2 32 3 2" xfId="34818"/>
    <cellStyle name="Notas 2 32 4" xfId="29246"/>
    <cellStyle name="Notas 2 32 4 2" xfId="34819"/>
    <cellStyle name="Notas 2 32 5" xfId="29247"/>
    <cellStyle name="Notas 2 32 5 2" xfId="34820"/>
    <cellStyle name="Notas 2 32 6" xfId="29248"/>
    <cellStyle name="Notas 2 32 6 2" xfId="34821"/>
    <cellStyle name="Notas 2 32 7" xfId="29249"/>
    <cellStyle name="Notas 2 32 7 2" xfId="34822"/>
    <cellStyle name="Notas 2 32 8" xfId="29250"/>
    <cellStyle name="Notas 2 32 8 2" xfId="34823"/>
    <cellStyle name="Notas 2 32 9" xfId="29251"/>
    <cellStyle name="Notas 2 32 9 2" xfId="34824"/>
    <cellStyle name="Notas 2 33" xfId="29252"/>
    <cellStyle name="Notas 2 33 10" xfId="29253"/>
    <cellStyle name="Notas 2 33 10 2" xfId="34825"/>
    <cellStyle name="Notas 2 33 11" xfId="29254"/>
    <cellStyle name="Notas 2 33 11 2" xfId="34826"/>
    <cellStyle name="Notas 2 33 12" xfId="29255"/>
    <cellStyle name="Notas 2 33 12 2" xfId="34827"/>
    <cellStyle name="Notas 2 33 13" xfId="29256"/>
    <cellStyle name="Notas 2 33 13 2" xfId="34828"/>
    <cellStyle name="Notas 2 33 14" xfId="34829"/>
    <cellStyle name="Notas 2 33 2" xfId="29257"/>
    <cellStyle name="Notas 2 33 2 2" xfId="34830"/>
    <cellStyle name="Notas 2 33 3" xfId="29258"/>
    <cellStyle name="Notas 2 33 3 2" xfId="34831"/>
    <cellStyle name="Notas 2 33 4" xfId="29259"/>
    <cellStyle name="Notas 2 33 4 2" xfId="34832"/>
    <cellStyle name="Notas 2 33 5" xfId="29260"/>
    <cellStyle name="Notas 2 33 5 2" xfId="34833"/>
    <cellStyle name="Notas 2 33 6" xfId="29261"/>
    <cellStyle name="Notas 2 33 6 2" xfId="34834"/>
    <cellStyle name="Notas 2 33 7" xfId="29262"/>
    <cellStyle name="Notas 2 33 7 2" xfId="34835"/>
    <cellStyle name="Notas 2 33 8" xfId="29263"/>
    <cellStyle name="Notas 2 33 8 2" xfId="34836"/>
    <cellStyle name="Notas 2 33 9" xfId="29264"/>
    <cellStyle name="Notas 2 33 9 2" xfId="34837"/>
    <cellStyle name="Notas 2 34" xfId="29265"/>
    <cellStyle name="Notas 2 34 10" xfId="29266"/>
    <cellStyle name="Notas 2 34 10 2" xfId="34838"/>
    <cellStyle name="Notas 2 34 11" xfId="29267"/>
    <cellStyle name="Notas 2 34 11 2" xfId="34839"/>
    <cellStyle name="Notas 2 34 12" xfId="29268"/>
    <cellStyle name="Notas 2 34 12 2" xfId="34840"/>
    <cellStyle name="Notas 2 34 13" xfId="29269"/>
    <cellStyle name="Notas 2 34 13 2" xfId="34841"/>
    <cellStyle name="Notas 2 34 14" xfId="34842"/>
    <cellStyle name="Notas 2 34 2" xfId="29270"/>
    <cellStyle name="Notas 2 34 2 2" xfId="34843"/>
    <cellStyle name="Notas 2 34 3" xfId="29271"/>
    <cellStyle name="Notas 2 34 3 2" xfId="34844"/>
    <cellStyle name="Notas 2 34 4" xfId="29272"/>
    <cellStyle name="Notas 2 34 4 2" xfId="34845"/>
    <cellStyle name="Notas 2 34 5" xfId="29273"/>
    <cellStyle name="Notas 2 34 5 2" xfId="34846"/>
    <cellStyle name="Notas 2 34 6" xfId="29274"/>
    <cellStyle name="Notas 2 34 6 2" xfId="34847"/>
    <cellStyle name="Notas 2 34 7" xfId="29275"/>
    <cellStyle name="Notas 2 34 7 2" xfId="34848"/>
    <cellStyle name="Notas 2 34 8" xfId="29276"/>
    <cellStyle name="Notas 2 34 8 2" xfId="34849"/>
    <cellStyle name="Notas 2 34 9" xfId="29277"/>
    <cellStyle name="Notas 2 34 9 2" xfId="34850"/>
    <cellStyle name="Notas 2 35" xfId="29278"/>
    <cellStyle name="Notas 2 35 10" xfId="29279"/>
    <cellStyle name="Notas 2 35 10 2" xfId="34851"/>
    <cellStyle name="Notas 2 35 11" xfId="29280"/>
    <cellStyle name="Notas 2 35 11 2" xfId="34852"/>
    <cellStyle name="Notas 2 35 12" xfId="29281"/>
    <cellStyle name="Notas 2 35 12 2" xfId="34853"/>
    <cellStyle name="Notas 2 35 13" xfId="29282"/>
    <cellStyle name="Notas 2 35 13 2" xfId="34854"/>
    <cellStyle name="Notas 2 35 14" xfId="34855"/>
    <cellStyle name="Notas 2 35 2" xfId="29283"/>
    <cellStyle name="Notas 2 35 2 2" xfId="34856"/>
    <cellStyle name="Notas 2 35 3" xfId="29284"/>
    <cellStyle name="Notas 2 35 3 2" xfId="34857"/>
    <cellStyle name="Notas 2 35 4" xfId="29285"/>
    <cellStyle name="Notas 2 35 4 2" xfId="34858"/>
    <cellStyle name="Notas 2 35 5" xfId="29286"/>
    <cellStyle name="Notas 2 35 5 2" xfId="34859"/>
    <cellStyle name="Notas 2 35 6" xfId="29287"/>
    <cellStyle name="Notas 2 35 6 2" xfId="34860"/>
    <cellStyle name="Notas 2 35 7" xfId="29288"/>
    <cellStyle name="Notas 2 35 7 2" xfId="34861"/>
    <cellStyle name="Notas 2 35 8" xfId="29289"/>
    <cellStyle name="Notas 2 35 8 2" xfId="34862"/>
    <cellStyle name="Notas 2 35 9" xfId="29290"/>
    <cellStyle name="Notas 2 35 9 2" xfId="34863"/>
    <cellStyle name="Notas 2 36" xfId="29291"/>
    <cellStyle name="Notas 2 36 10" xfId="29292"/>
    <cellStyle name="Notas 2 36 10 2" xfId="34864"/>
    <cellStyle name="Notas 2 36 11" xfId="29293"/>
    <cellStyle name="Notas 2 36 11 2" xfId="34865"/>
    <cellStyle name="Notas 2 36 12" xfId="29294"/>
    <cellStyle name="Notas 2 36 12 2" xfId="34866"/>
    <cellStyle name="Notas 2 36 13" xfId="29295"/>
    <cellStyle name="Notas 2 36 13 2" xfId="34867"/>
    <cellStyle name="Notas 2 36 14" xfId="34868"/>
    <cellStyle name="Notas 2 36 2" xfId="29296"/>
    <cellStyle name="Notas 2 36 2 2" xfId="34869"/>
    <cellStyle name="Notas 2 36 3" xfId="29297"/>
    <cellStyle name="Notas 2 36 3 2" xfId="34870"/>
    <cellStyle name="Notas 2 36 4" xfId="29298"/>
    <cellStyle name="Notas 2 36 4 2" xfId="34871"/>
    <cellStyle name="Notas 2 36 5" xfId="29299"/>
    <cellStyle name="Notas 2 36 5 2" xfId="34872"/>
    <cellStyle name="Notas 2 36 6" xfId="29300"/>
    <cellStyle name="Notas 2 36 6 2" xfId="34873"/>
    <cellStyle name="Notas 2 36 7" xfId="29301"/>
    <cellStyle name="Notas 2 36 7 2" xfId="34874"/>
    <cellStyle name="Notas 2 36 8" xfId="29302"/>
    <cellStyle name="Notas 2 36 8 2" xfId="34875"/>
    <cellStyle name="Notas 2 36 9" xfId="29303"/>
    <cellStyle name="Notas 2 36 9 2" xfId="34876"/>
    <cellStyle name="Notas 2 37" xfId="29304"/>
    <cellStyle name="Notas 2 37 10" xfId="29305"/>
    <cellStyle name="Notas 2 37 10 2" xfId="34877"/>
    <cellStyle name="Notas 2 37 11" xfId="29306"/>
    <cellStyle name="Notas 2 37 11 2" xfId="34878"/>
    <cellStyle name="Notas 2 37 12" xfId="29307"/>
    <cellStyle name="Notas 2 37 12 2" xfId="34879"/>
    <cellStyle name="Notas 2 37 13" xfId="29308"/>
    <cellStyle name="Notas 2 37 13 2" xfId="34880"/>
    <cellStyle name="Notas 2 37 14" xfId="34881"/>
    <cellStyle name="Notas 2 37 2" xfId="29309"/>
    <cellStyle name="Notas 2 37 2 2" xfId="34882"/>
    <cellStyle name="Notas 2 37 3" xfId="29310"/>
    <cellStyle name="Notas 2 37 3 2" xfId="34883"/>
    <cellStyle name="Notas 2 37 4" xfId="29311"/>
    <cellStyle name="Notas 2 37 4 2" xfId="34884"/>
    <cellStyle name="Notas 2 37 5" xfId="29312"/>
    <cellStyle name="Notas 2 37 5 2" xfId="34885"/>
    <cellStyle name="Notas 2 37 6" xfId="29313"/>
    <cellStyle name="Notas 2 37 6 2" xfId="34886"/>
    <cellStyle name="Notas 2 37 7" xfId="29314"/>
    <cellStyle name="Notas 2 37 7 2" xfId="34887"/>
    <cellStyle name="Notas 2 37 8" xfId="29315"/>
    <cellStyle name="Notas 2 37 8 2" xfId="34888"/>
    <cellStyle name="Notas 2 37 9" xfId="29316"/>
    <cellStyle name="Notas 2 37 9 2" xfId="34889"/>
    <cellStyle name="Notas 2 38" xfId="29317"/>
    <cellStyle name="Notas 2 38 10" xfId="29318"/>
    <cellStyle name="Notas 2 38 10 2" xfId="34890"/>
    <cellStyle name="Notas 2 38 11" xfId="29319"/>
    <cellStyle name="Notas 2 38 11 2" xfId="34891"/>
    <cellStyle name="Notas 2 38 12" xfId="29320"/>
    <cellStyle name="Notas 2 38 12 2" xfId="34892"/>
    <cellStyle name="Notas 2 38 13" xfId="29321"/>
    <cellStyle name="Notas 2 38 13 2" xfId="34893"/>
    <cellStyle name="Notas 2 38 14" xfId="34894"/>
    <cellStyle name="Notas 2 38 2" xfId="29322"/>
    <cellStyle name="Notas 2 38 2 2" xfId="34895"/>
    <cellStyle name="Notas 2 38 3" xfId="29323"/>
    <cellStyle name="Notas 2 38 3 2" xfId="34896"/>
    <cellStyle name="Notas 2 38 4" xfId="29324"/>
    <cellStyle name="Notas 2 38 4 2" xfId="34897"/>
    <cellStyle name="Notas 2 38 5" xfId="29325"/>
    <cellStyle name="Notas 2 38 5 2" xfId="34898"/>
    <cellStyle name="Notas 2 38 6" xfId="29326"/>
    <cellStyle name="Notas 2 38 6 2" xfId="34899"/>
    <cellStyle name="Notas 2 38 7" xfId="29327"/>
    <cellStyle name="Notas 2 38 7 2" xfId="34900"/>
    <cellStyle name="Notas 2 38 8" xfId="29328"/>
    <cellStyle name="Notas 2 38 8 2" xfId="34901"/>
    <cellStyle name="Notas 2 38 9" xfId="29329"/>
    <cellStyle name="Notas 2 38 9 2" xfId="34902"/>
    <cellStyle name="Notas 2 39" xfId="29330"/>
    <cellStyle name="Notas 2 39 10" xfId="29331"/>
    <cellStyle name="Notas 2 39 10 2" xfId="34903"/>
    <cellStyle name="Notas 2 39 11" xfId="29332"/>
    <cellStyle name="Notas 2 39 11 2" xfId="34904"/>
    <cellStyle name="Notas 2 39 12" xfId="29333"/>
    <cellStyle name="Notas 2 39 12 2" xfId="34905"/>
    <cellStyle name="Notas 2 39 13" xfId="29334"/>
    <cellStyle name="Notas 2 39 13 2" xfId="34906"/>
    <cellStyle name="Notas 2 39 14" xfId="34907"/>
    <cellStyle name="Notas 2 39 2" xfId="29335"/>
    <cellStyle name="Notas 2 39 2 2" xfId="34908"/>
    <cellStyle name="Notas 2 39 3" xfId="29336"/>
    <cellStyle name="Notas 2 39 3 2" xfId="34909"/>
    <cellStyle name="Notas 2 39 4" xfId="29337"/>
    <cellStyle name="Notas 2 39 4 2" xfId="34910"/>
    <cellStyle name="Notas 2 39 5" xfId="29338"/>
    <cellStyle name="Notas 2 39 5 2" xfId="34911"/>
    <cellStyle name="Notas 2 39 6" xfId="29339"/>
    <cellStyle name="Notas 2 39 6 2" xfId="34912"/>
    <cellStyle name="Notas 2 39 7" xfId="29340"/>
    <cellStyle name="Notas 2 39 7 2" xfId="34913"/>
    <cellStyle name="Notas 2 39 8" xfId="29341"/>
    <cellStyle name="Notas 2 39 8 2" xfId="34914"/>
    <cellStyle name="Notas 2 39 9" xfId="29342"/>
    <cellStyle name="Notas 2 39 9 2" xfId="34915"/>
    <cellStyle name="Notas 2 4" xfId="29343"/>
    <cellStyle name="Notas 2 4 10" xfId="29344"/>
    <cellStyle name="Notas 2 4 10 2" xfId="34916"/>
    <cellStyle name="Notas 2 4 11" xfId="29345"/>
    <cellStyle name="Notas 2 4 11 2" xfId="34917"/>
    <cellStyle name="Notas 2 4 12" xfId="29346"/>
    <cellStyle name="Notas 2 4 12 2" xfId="34918"/>
    <cellStyle name="Notas 2 4 13" xfId="29347"/>
    <cellStyle name="Notas 2 4 13 2" xfId="34919"/>
    <cellStyle name="Notas 2 4 14" xfId="34920"/>
    <cellStyle name="Notas 2 4 2" xfId="29348"/>
    <cellStyle name="Notas 2 4 2 2" xfId="34921"/>
    <cellStyle name="Notas 2 4 3" xfId="29349"/>
    <cellStyle name="Notas 2 4 3 2" xfId="34922"/>
    <cellStyle name="Notas 2 4 4" xfId="29350"/>
    <cellStyle name="Notas 2 4 4 2" xfId="34923"/>
    <cellStyle name="Notas 2 4 5" xfId="29351"/>
    <cellStyle name="Notas 2 4 5 2" xfId="34924"/>
    <cellStyle name="Notas 2 4 6" xfId="29352"/>
    <cellStyle name="Notas 2 4 6 2" xfId="34925"/>
    <cellStyle name="Notas 2 4 7" xfId="29353"/>
    <cellStyle name="Notas 2 4 7 2" xfId="34926"/>
    <cellStyle name="Notas 2 4 8" xfId="29354"/>
    <cellStyle name="Notas 2 4 8 2" xfId="34927"/>
    <cellStyle name="Notas 2 4 9" xfId="29355"/>
    <cellStyle name="Notas 2 4 9 2" xfId="34928"/>
    <cellStyle name="Notas 2 40" xfId="29356"/>
    <cellStyle name="Notas 2 40 10" xfId="29357"/>
    <cellStyle name="Notas 2 40 10 2" xfId="34929"/>
    <cellStyle name="Notas 2 40 11" xfId="29358"/>
    <cellStyle name="Notas 2 40 11 2" xfId="34930"/>
    <cellStyle name="Notas 2 40 12" xfId="29359"/>
    <cellStyle name="Notas 2 40 12 2" xfId="34931"/>
    <cellStyle name="Notas 2 40 13" xfId="29360"/>
    <cellStyle name="Notas 2 40 13 2" xfId="34932"/>
    <cellStyle name="Notas 2 40 14" xfId="34933"/>
    <cellStyle name="Notas 2 40 2" xfId="29361"/>
    <cellStyle name="Notas 2 40 2 2" xfId="34934"/>
    <cellStyle name="Notas 2 40 3" xfId="29362"/>
    <cellStyle name="Notas 2 40 3 2" xfId="34935"/>
    <cellStyle name="Notas 2 40 4" xfId="29363"/>
    <cellStyle name="Notas 2 40 4 2" xfId="34936"/>
    <cellStyle name="Notas 2 40 5" xfId="29364"/>
    <cellStyle name="Notas 2 40 5 2" xfId="34937"/>
    <cellStyle name="Notas 2 40 6" xfId="29365"/>
    <cellStyle name="Notas 2 40 6 2" xfId="34938"/>
    <cellStyle name="Notas 2 40 7" xfId="29366"/>
    <cellStyle name="Notas 2 40 7 2" xfId="34939"/>
    <cellStyle name="Notas 2 40 8" xfId="29367"/>
    <cellStyle name="Notas 2 40 8 2" xfId="34940"/>
    <cellStyle name="Notas 2 40 9" xfId="29368"/>
    <cellStyle name="Notas 2 40 9 2" xfId="34941"/>
    <cellStyle name="Notas 2 41" xfId="29369"/>
    <cellStyle name="Notas 2 41 10" xfId="29370"/>
    <cellStyle name="Notas 2 41 10 2" xfId="34942"/>
    <cellStyle name="Notas 2 41 11" xfId="29371"/>
    <cellStyle name="Notas 2 41 11 2" xfId="34943"/>
    <cellStyle name="Notas 2 41 12" xfId="29372"/>
    <cellStyle name="Notas 2 41 12 2" xfId="34944"/>
    <cellStyle name="Notas 2 41 13" xfId="29373"/>
    <cellStyle name="Notas 2 41 13 2" xfId="34945"/>
    <cellStyle name="Notas 2 41 14" xfId="34946"/>
    <cellStyle name="Notas 2 41 2" xfId="29374"/>
    <cellStyle name="Notas 2 41 2 2" xfId="34947"/>
    <cellStyle name="Notas 2 41 3" xfId="29375"/>
    <cellStyle name="Notas 2 41 3 2" xfId="34948"/>
    <cellStyle name="Notas 2 41 4" xfId="29376"/>
    <cellStyle name="Notas 2 41 4 2" xfId="34949"/>
    <cellStyle name="Notas 2 41 5" xfId="29377"/>
    <cellStyle name="Notas 2 41 5 2" xfId="34950"/>
    <cellStyle name="Notas 2 41 6" xfId="29378"/>
    <cellStyle name="Notas 2 41 6 2" xfId="34951"/>
    <cellStyle name="Notas 2 41 7" xfId="29379"/>
    <cellStyle name="Notas 2 41 7 2" xfId="34952"/>
    <cellStyle name="Notas 2 41 8" xfId="29380"/>
    <cellStyle name="Notas 2 41 8 2" xfId="34953"/>
    <cellStyle name="Notas 2 41 9" xfId="29381"/>
    <cellStyle name="Notas 2 41 9 2" xfId="34954"/>
    <cellStyle name="Notas 2 42" xfId="29382"/>
    <cellStyle name="Notas 2 42 10" xfId="29383"/>
    <cellStyle name="Notas 2 42 10 2" xfId="34955"/>
    <cellStyle name="Notas 2 42 11" xfId="29384"/>
    <cellStyle name="Notas 2 42 11 2" xfId="34956"/>
    <cellStyle name="Notas 2 42 12" xfId="29385"/>
    <cellStyle name="Notas 2 42 12 2" xfId="34957"/>
    <cellStyle name="Notas 2 42 13" xfId="29386"/>
    <cellStyle name="Notas 2 42 13 2" xfId="34958"/>
    <cellStyle name="Notas 2 42 14" xfId="34959"/>
    <cellStyle name="Notas 2 42 2" xfId="29387"/>
    <cellStyle name="Notas 2 42 2 2" xfId="34960"/>
    <cellStyle name="Notas 2 42 3" xfId="29388"/>
    <cellStyle name="Notas 2 42 3 2" xfId="34961"/>
    <cellStyle name="Notas 2 42 4" xfId="29389"/>
    <cellStyle name="Notas 2 42 4 2" xfId="34962"/>
    <cellStyle name="Notas 2 42 5" xfId="29390"/>
    <cellStyle name="Notas 2 42 5 2" xfId="34963"/>
    <cellStyle name="Notas 2 42 6" xfId="29391"/>
    <cellStyle name="Notas 2 42 6 2" xfId="34964"/>
    <cellStyle name="Notas 2 42 7" xfId="29392"/>
    <cellStyle name="Notas 2 42 7 2" xfId="34965"/>
    <cellStyle name="Notas 2 42 8" xfId="29393"/>
    <cellStyle name="Notas 2 42 8 2" xfId="34966"/>
    <cellStyle name="Notas 2 42 9" xfId="29394"/>
    <cellStyle name="Notas 2 42 9 2" xfId="34967"/>
    <cellStyle name="Notas 2 43" xfId="29395"/>
    <cellStyle name="Notas 2 43 10" xfId="29396"/>
    <cellStyle name="Notas 2 43 10 2" xfId="34968"/>
    <cellStyle name="Notas 2 43 11" xfId="29397"/>
    <cellStyle name="Notas 2 43 11 2" xfId="34969"/>
    <cellStyle name="Notas 2 43 12" xfId="29398"/>
    <cellStyle name="Notas 2 43 12 2" xfId="34970"/>
    <cellStyle name="Notas 2 43 13" xfId="29399"/>
    <cellStyle name="Notas 2 43 13 2" xfId="34971"/>
    <cellStyle name="Notas 2 43 14" xfId="34972"/>
    <cellStyle name="Notas 2 43 2" xfId="29400"/>
    <cellStyle name="Notas 2 43 2 2" xfId="34973"/>
    <cellStyle name="Notas 2 43 3" xfId="29401"/>
    <cellStyle name="Notas 2 43 3 2" xfId="34974"/>
    <cellStyle name="Notas 2 43 4" xfId="29402"/>
    <cellStyle name="Notas 2 43 4 2" xfId="34975"/>
    <cellStyle name="Notas 2 43 5" xfId="29403"/>
    <cellStyle name="Notas 2 43 5 2" xfId="34976"/>
    <cellStyle name="Notas 2 43 6" xfId="29404"/>
    <cellStyle name="Notas 2 43 6 2" xfId="34977"/>
    <cellStyle name="Notas 2 43 7" xfId="29405"/>
    <cellStyle name="Notas 2 43 7 2" xfId="34978"/>
    <cellStyle name="Notas 2 43 8" xfId="29406"/>
    <cellStyle name="Notas 2 43 8 2" xfId="34979"/>
    <cellStyle name="Notas 2 43 9" xfId="29407"/>
    <cellStyle name="Notas 2 43 9 2" xfId="34980"/>
    <cellStyle name="Notas 2 44" xfId="29408"/>
    <cellStyle name="Notas 2 44 10" xfId="29409"/>
    <cellStyle name="Notas 2 44 10 2" xfId="34981"/>
    <cellStyle name="Notas 2 44 11" xfId="29410"/>
    <cellStyle name="Notas 2 44 11 2" xfId="34982"/>
    <cellStyle name="Notas 2 44 12" xfId="29411"/>
    <cellStyle name="Notas 2 44 12 2" xfId="34983"/>
    <cellStyle name="Notas 2 44 13" xfId="29412"/>
    <cellStyle name="Notas 2 44 13 2" xfId="34984"/>
    <cellStyle name="Notas 2 44 14" xfId="34985"/>
    <cellStyle name="Notas 2 44 2" xfId="29413"/>
    <cellStyle name="Notas 2 44 2 2" xfId="34986"/>
    <cellStyle name="Notas 2 44 3" xfId="29414"/>
    <cellStyle name="Notas 2 44 3 2" xfId="34987"/>
    <cellStyle name="Notas 2 44 4" xfId="29415"/>
    <cellStyle name="Notas 2 44 4 2" xfId="34988"/>
    <cellStyle name="Notas 2 44 5" xfId="29416"/>
    <cellStyle name="Notas 2 44 5 2" xfId="34989"/>
    <cellStyle name="Notas 2 44 6" xfId="29417"/>
    <cellStyle name="Notas 2 44 6 2" xfId="34990"/>
    <cellStyle name="Notas 2 44 7" xfId="29418"/>
    <cellStyle name="Notas 2 44 7 2" xfId="34991"/>
    <cellStyle name="Notas 2 44 8" xfId="29419"/>
    <cellStyle name="Notas 2 44 8 2" xfId="34992"/>
    <cellStyle name="Notas 2 44 9" xfId="29420"/>
    <cellStyle name="Notas 2 44 9 2" xfId="34993"/>
    <cellStyle name="Notas 2 45" xfId="29421"/>
    <cellStyle name="Notas 2 45 10" xfId="29422"/>
    <cellStyle name="Notas 2 45 10 2" xfId="34994"/>
    <cellStyle name="Notas 2 45 11" xfId="29423"/>
    <cellStyle name="Notas 2 45 11 2" xfId="34995"/>
    <cellStyle name="Notas 2 45 12" xfId="29424"/>
    <cellStyle name="Notas 2 45 12 2" xfId="34996"/>
    <cellStyle name="Notas 2 45 13" xfId="29425"/>
    <cellStyle name="Notas 2 45 13 2" xfId="34997"/>
    <cellStyle name="Notas 2 45 14" xfId="34998"/>
    <cellStyle name="Notas 2 45 2" xfId="29426"/>
    <cellStyle name="Notas 2 45 2 2" xfId="34999"/>
    <cellStyle name="Notas 2 45 3" xfId="29427"/>
    <cellStyle name="Notas 2 45 3 2" xfId="35000"/>
    <cellStyle name="Notas 2 45 4" xfId="29428"/>
    <cellStyle name="Notas 2 45 4 2" xfId="35001"/>
    <cellStyle name="Notas 2 45 5" xfId="29429"/>
    <cellStyle name="Notas 2 45 5 2" xfId="35002"/>
    <cellStyle name="Notas 2 45 6" xfId="29430"/>
    <cellStyle name="Notas 2 45 6 2" xfId="35003"/>
    <cellStyle name="Notas 2 45 7" xfId="29431"/>
    <cellStyle name="Notas 2 45 7 2" xfId="35004"/>
    <cellStyle name="Notas 2 45 8" xfId="29432"/>
    <cellStyle name="Notas 2 45 8 2" xfId="35005"/>
    <cellStyle name="Notas 2 45 9" xfId="29433"/>
    <cellStyle name="Notas 2 45 9 2" xfId="35006"/>
    <cellStyle name="Notas 2 46" xfId="29434"/>
    <cellStyle name="Notas 2 46 10" xfId="29435"/>
    <cellStyle name="Notas 2 46 10 2" xfId="35007"/>
    <cellStyle name="Notas 2 46 11" xfId="29436"/>
    <cellStyle name="Notas 2 46 11 2" xfId="35008"/>
    <cellStyle name="Notas 2 46 12" xfId="29437"/>
    <cellStyle name="Notas 2 46 12 2" xfId="35009"/>
    <cellStyle name="Notas 2 46 13" xfId="29438"/>
    <cellStyle name="Notas 2 46 13 2" xfId="35010"/>
    <cellStyle name="Notas 2 46 14" xfId="35011"/>
    <cellStyle name="Notas 2 46 2" xfId="29439"/>
    <cellStyle name="Notas 2 46 2 2" xfId="35012"/>
    <cellStyle name="Notas 2 46 3" xfId="29440"/>
    <cellStyle name="Notas 2 46 3 2" xfId="35013"/>
    <cellStyle name="Notas 2 46 4" xfId="29441"/>
    <cellStyle name="Notas 2 46 4 2" xfId="35014"/>
    <cellStyle name="Notas 2 46 5" xfId="29442"/>
    <cellStyle name="Notas 2 46 5 2" xfId="35015"/>
    <cellStyle name="Notas 2 46 6" xfId="29443"/>
    <cellStyle name="Notas 2 46 6 2" xfId="35016"/>
    <cellStyle name="Notas 2 46 7" xfId="29444"/>
    <cellStyle name="Notas 2 46 7 2" xfId="35017"/>
    <cellStyle name="Notas 2 46 8" xfId="29445"/>
    <cellStyle name="Notas 2 46 8 2" xfId="35018"/>
    <cellStyle name="Notas 2 46 9" xfId="29446"/>
    <cellStyle name="Notas 2 46 9 2" xfId="35019"/>
    <cellStyle name="Notas 2 47" xfId="29447"/>
    <cellStyle name="Notas 2 47 10" xfId="29448"/>
    <cellStyle name="Notas 2 47 10 2" xfId="35020"/>
    <cellStyle name="Notas 2 47 11" xfId="29449"/>
    <cellStyle name="Notas 2 47 11 2" xfId="35021"/>
    <cellStyle name="Notas 2 47 12" xfId="29450"/>
    <cellStyle name="Notas 2 47 12 2" xfId="35022"/>
    <cellStyle name="Notas 2 47 13" xfId="29451"/>
    <cellStyle name="Notas 2 47 13 2" xfId="35023"/>
    <cellStyle name="Notas 2 47 14" xfId="35024"/>
    <cellStyle name="Notas 2 47 2" xfId="29452"/>
    <cellStyle name="Notas 2 47 2 2" xfId="35025"/>
    <cellStyle name="Notas 2 47 3" xfId="29453"/>
    <cellStyle name="Notas 2 47 3 2" xfId="35026"/>
    <cellStyle name="Notas 2 47 4" xfId="29454"/>
    <cellStyle name="Notas 2 47 4 2" xfId="35027"/>
    <cellStyle name="Notas 2 47 5" xfId="29455"/>
    <cellStyle name="Notas 2 47 5 2" xfId="35028"/>
    <cellStyle name="Notas 2 47 6" xfId="29456"/>
    <cellStyle name="Notas 2 47 6 2" xfId="35029"/>
    <cellStyle name="Notas 2 47 7" xfId="29457"/>
    <cellStyle name="Notas 2 47 7 2" xfId="35030"/>
    <cellStyle name="Notas 2 47 8" xfId="29458"/>
    <cellStyle name="Notas 2 47 8 2" xfId="35031"/>
    <cellStyle name="Notas 2 47 9" xfId="29459"/>
    <cellStyle name="Notas 2 47 9 2" xfId="35032"/>
    <cellStyle name="Notas 2 48" xfId="29460"/>
    <cellStyle name="Notas 2 48 10" xfId="29461"/>
    <cellStyle name="Notas 2 48 10 2" xfId="35033"/>
    <cellStyle name="Notas 2 48 11" xfId="29462"/>
    <cellStyle name="Notas 2 48 11 2" xfId="35034"/>
    <cellStyle name="Notas 2 48 12" xfId="29463"/>
    <cellStyle name="Notas 2 48 12 2" xfId="35035"/>
    <cellStyle name="Notas 2 48 13" xfId="29464"/>
    <cellStyle name="Notas 2 48 13 2" xfId="35036"/>
    <cellStyle name="Notas 2 48 14" xfId="35037"/>
    <cellStyle name="Notas 2 48 2" xfId="29465"/>
    <cellStyle name="Notas 2 48 2 2" xfId="35038"/>
    <cellStyle name="Notas 2 48 3" xfId="29466"/>
    <cellStyle name="Notas 2 48 3 2" xfId="35039"/>
    <cellStyle name="Notas 2 48 4" xfId="29467"/>
    <cellStyle name="Notas 2 48 4 2" xfId="35040"/>
    <cellStyle name="Notas 2 48 5" xfId="29468"/>
    <cellStyle name="Notas 2 48 5 2" xfId="35041"/>
    <cellStyle name="Notas 2 48 6" xfId="29469"/>
    <cellStyle name="Notas 2 48 6 2" xfId="35042"/>
    <cellStyle name="Notas 2 48 7" xfId="29470"/>
    <cellStyle name="Notas 2 48 7 2" xfId="35043"/>
    <cellStyle name="Notas 2 48 8" xfId="29471"/>
    <cellStyle name="Notas 2 48 8 2" xfId="35044"/>
    <cellStyle name="Notas 2 48 9" xfId="29472"/>
    <cellStyle name="Notas 2 48 9 2" xfId="35045"/>
    <cellStyle name="Notas 2 49" xfId="29473"/>
    <cellStyle name="Notas 2 49 10" xfId="29474"/>
    <cellStyle name="Notas 2 49 10 2" xfId="35046"/>
    <cellStyle name="Notas 2 49 11" xfId="29475"/>
    <cellStyle name="Notas 2 49 11 2" xfId="35047"/>
    <cellStyle name="Notas 2 49 12" xfId="29476"/>
    <cellStyle name="Notas 2 49 12 2" xfId="35048"/>
    <cellStyle name="Notas 2 49 13" xfId="29477"/>
    <cellStyle name="Notas 2 49 13 2" xfId="35049"/>
    <cellStyle name="Notas 2 49 14" xfId="35050"/>
    <cellStyle name="Notas 2 49 2" xfId="29478"/>
    <cellStyle name="Notas 2 49 2 2" xfId="35051"/>
    <cellStyle name="Notas 2 49 3" xfId="29479"/>
    <cellStyle name="Notas 2 49 3 2" xfId="35052"/>
    <cellStyle name="Notas 2 49 4" xfId="29480"/>
    <cellStyle name="Notas 2 49 4 2" xfId="35053"/>
    <cellStyle name="Notas 2 49 5" xfId="29481"/>
    <cellStyle name="Notas 2 49 5 2" xfId="35054"/>
    <cellStyle name="Notas 2 49 6" xfId="29482"/>
    <cellStyle name="Notas 2 49 6 2" xfId="35055"/>
    <cellStyle name="Notas 2 49 7" xfId="29483"/>
    <cellStyle name="Notas 2 49 7 2" xfId="35056"/>
    <cellStyle name="Notas 2 49 8" xfId="29484"/>
    <cellStyle name="Notas 2 49 8 2" xfId="35057"/>
    <cellStyle name="Notas 2 49 9" xfId="29485"/>
    <cellStyle name="Notas 2 49 9 2" xfId="35058"/>
    <cellStyle name="Notas 2 5" xfId="29486"/>
    <cellStyle name="Notas 2 5 10" xfId="29487"/>
    <cellStyle name="Notas 2 5 10 2" xfId="35059"/>
    <cellStyle name="Notas 2 5 11" xfId="29488"/>
    <cellStyle name="Notas 2 5 11 2" xfId="35060"/>
    <cellStyle name="Notas 2 5 12" xfId="29489"/>
    <cellStyle name="Notas 2 5 12 2" xfId="35061"/>
    <cellStyle name="Notas 2 5 13" xfId="29490"/>
    <cellStyle name="Notas 2 5 13 2" xfId="35062"/>
    <cellStyle name="Notas 2 5 14" xfId="35063"/>
    <cellStyle name="Notas 2 5 2" xfId="29491"/>
    <cellStyle name="Notas 2 5 2 2" xfId="35064"/>
    <cellStyle name="Notas 2 5 3" xfId="29492"/>
    <cellStyle name="Notas 2 5 3 2" xfId="35065"/>
    <cellStyle name="Notas 2 5 4" xfId="29493"/>
    <cellStyle name="Notas 2 5 4 2" xfId="35066"/>
    <cellStyle name="Notas 2 5 5" xfId="29494"/>
    <cellStyle name="Notas 2 5 5 2" xfId="35067"/>
    <cellStyle name="Notas 2 5 6" xfId="29495"/>
    <cellStyle name="Notas 2 5 6 2" xfId="35068"/>
    <cellStyle name="Notas 2 5 7" xfId="29496"/>
    <cellStyle name="Notas 2 5 7 2" xfId="35069"/>
    <cellStyle name="Notas 2 5 8" xfId="29497"/>
    <cellStyle name="Notas 2 5 8 2" xfId="35070"/>
    <cellStyle name="Notas 2 5 9" xfId="29498"/>
    <cellStyle name="Notas 2 5 9 2" xfId="35071"/>
    <cellStyle name="Notas 2 50" xfId="29499"/>
    <cellStyle name="Notas 2 50 10" xfId="29500"/>
    <cellStyle name="Notas 2 50 10 2" xfId="35072"/>
    <cellStyle name="Notas 2 50 11" xfId="29501"/>
    <cellStyle name="Notas 2 50 11 2" xfId="35073"/>
    <cellStyle name="Notas 2 50 12" xfId="29502"/>
    <cellStyle name="Notas 2 50 12 2" xfId="35074"/>
    <cellStyle name="Notas 2 50 13" xfId="29503"/>
    <cellStyle name="Notas 2 50 13 2" xfId="35075"/>
    <cellStyle name="Notas 2 50 14" xfId="35076"/>
    <cellStyle name="Notas 2 50 2" xfId="29504"/>
    <cellStyle name="Notas 2 50 2 2" xfId="35077"/>
    <cellStyle name="Notas 2 50 3" xfId="29505"/>
    <cellStyle name="Notas 2 50 3 2" xfId="35078"/>
    <cellStyle name="Notas 2 50 4" xfId="29506"/>
    <cellStyle name="Notas 2 50 4 2" xfId="35079"/>
    <cellStyle name="Notas 2 50 5" xfId="29507"/>
    <cellStyle name="Notas 2 50 5 2" xfId="35080"/>
    <cellStyle name="Notas 2 50 6" xfId="29508"/>
    <cellStyle name="Notas 2 50 6 2" xfId="35081"/>
    <cellStyle name="Notas 2 50 7" xfId="29509"/>
    <cellStyle name="Notas 2 50 7 2" xfId="35082"/>
    <cellStyle name="Notas 2 50 8" xfId="29510"/>
    <cellStyle name="Notas 2 50 8 2" xfId="35083"/>
    <cellStyle name="Notas 2 50 9" xfId="29511"/>
    <cellStyle name="Notas 2 50 9 2" xfId="35084"/>
    <cellStyle name="Notas 2 51" xfId="29512"/>
    <cellStyle name="Notas 2 51 10" xfId="29513"/>
    <cellStyle name="Notas 2 51 10 2" xfId="35085"/>
    <cellStyle name="Notas 2 51 11" xfId="29514"/>
    <cellStyle name="Notas 2 51 11 2" xfId="35086"/>
    <cellStyle name="Notas 2 51 12" xfId="29515"/>
    <cellStyle name="Notas 2 51 12 2" xfId="35087"/>
    <cellStyle name="Notas 2 51 13" xfId="29516"/>
    <cellStyle name="Notas 2 51 13 2" xfId="35088"/>
    <cellStyle name="Notas 2 51 14" xfId="35089"/>
    <cellStyle name="Notas 2 51 2" xfId="29517"/>
    <cellStyle name="Notas 2 51 2 2" xfId="35090"/>
    <cellStyle name="Notas 2 51 3" xfId="29518"/>
    <cellStyle name="Notas 2 51 3 2" xfId="35091"/>
    <cellStyle name="Notas 2 51 4" xfId="29519"/>
    <cellStyle name="Notas 2 51 4 2" xfId="35092"/>
    <cellStyle name="Notas 2 51 5" xfId="29520"/>
    <cellStyle name="Notas 2 51 5 2" xfId="35093"/>
    <cellStyle name="Notas 2 51 6" xfId="29521"/>
    <cellStyle name="Notas 2 51 6 2" xfId="35094"/>
    <cellStyle name="Notas 2 51 7" xfId="29522"/>
    <cellStyle name="Notas 2 51 7 2" xfId="35095"/>
    <cellStyle name="Notas 2 51 8" xfId="29523"/>
    <cellStyle name="Notas 2 51 8 2" xfId="35096"/>
    <cellStyle name="Notas 2 51 9" xfId="29524"/>
    <cellStyle name="Notas 2 51 9 2" xfId="35097"/>
    <cellStyle name="Notas 2 52" xfId="29525"/>
    <cellStyle name="Notas 2 52 10" xfId="29526"/>
    <cellStyle name="Notas 2 52 10 2" xfId="35098"/>
    <cellStyle name="Notas 2 52 11" xfId="29527"/>
    <cellStyle name="Notas 2 52 11 2" xfId="35099"/>
    <cellStyle name="Notas 2 52 12" xfId="29528"/>
    <cellStyle name="Notas 2 52 12 2" xfId="35100"/>
    <cellStyle name="Notas 2 52 13" xfId="29529"/>
    <cellStyle name="Notas 2 52 13 2" xfId="35101"/>
    <cellStyle name="Notas 2 52 14" xfId="35102"/>
    <cellStyle name="Notas 2 52 2" xfId="29530"/>
    <cellStyle name="Notas 2 52 2 2" xfId="35103"/>
    <cellStyle name="Notas 2 52 3" xfId="29531"/>
    <cellStyle name="Notas 2 52 3 2" xfId="35104"/>
    <cellStyle name="Notas 2 52 4" xfId="29532"/>
    <cellStyle name="Notas 2 52 4 2" xfId="35105"/>
    <cellStyle name="Notas 2 52 5" xfId="29533"/>
    <cellStyle name="Notas 2 52 5 2" xfId="35106"/>
    <cellStyle name="Notas 2 52 6" xfId="29534"/>
    <cellStyle name="Notas 2 52 6 2" xfId="35107"/>
    <cellStyle name="Notas 2 52 7" xfId="29535"/>
    <cellStyle name="Notas 2 52 7 2" xfId="35108"/>
    <cellStyle name="Notas 2 52 8" xfId="29536"/>
    <cellStyle name="Notas 2 52 8 2" xfId="35109"/>
    <cellStyle name="Notas 2 52 9" xfId="29537"/>
    <cellStyle name="Notas 2 52 9 2" xfId="35110"/>
    <cellStyle name="Notas 2 53" xfId="29538"/>
    <cellStyle name="Notas 2 53 10" xfId="29539"/>
    <cellStyle name="Notas 2 53 10 2" xfId="35111"/>
    <cellStyle name="Notas 2 53 11" xfId="29540"/>
    <cellStyle name="Notas 2 53 11 2" xfId="35112"/>
    <cellStyle name="Notas 2 53 12" xfId="29541"/>
    <cellStyle name="Notas 2 53 12 2" xfId="35113"/>
    <cellStyle name="Notas 2 53 13" xfId="29542"/>
    <cellStyle name="Notas 2 53 13 2" xfId="35114"/>
    <cellStyle name="Notas 2 53 14" xfId="35115"/>
    <cellStyle name="Notas 2 53 2" xfId="29543"/>
    <cellStyle name="Notas 2 53 2 2" xfId="35116"/>
    <cellStyle name="Notas 2 53 3" xfId="29544"/>
    <cellStyle name="Notas 2 53 3 2" xfId="35117"/>
    <cellStyle name="Notas 2 53 4" xfId="29545"/>
    <cellStyle name="Notas 2 53 4 2" xfId="35118"/>
    <cellStyle name="Notas 2 53 5" xfId="29546"/>
    <cellStyle name="Notas 2 53 5 2" xfId="35119"/>
    <cellStyle name="Notas 2 53 6" xfId="29547"/>
    <cellStyle name="Notas 2 53 6 2" xfId="35120"/>
    <cellStyle name="Notas 2 53 7" xfId="29548"/>
    <cellStyle name="Notas 2 53 7 2" xfId="35121"/>
    <cellStyle name="Notas 2 53 8" xfId="29549"/>
    <cellStyle name="Notas 2 53 8 2" xfId="35122"/>
    <cellStyle name="Notas 2 53 9" xfId="29550"/>
    <cellStyle name="Notas 2 53 9 2" xfId="35123"/>
    <cellStyle name="Notas 2 54" xfId="29551"/>
    <cellStyle name="Notas 2 54 10" xfId="29552"/>
    <cellStyle name="Notas 2 54 10 2" xfId="35124"/>
    <cellStyle name="Notas 2 54 11" xfId="29553"/>
    <cellStyle name="Notas 2 54 11 2" xfId="35125"/>
    <cellStyle name="Notas 2 54 12" xfId="29554"/>
    <cellStyle name="Notas 2 54 12 2" xfId="35126"/>
    <cellStyle name="Notas 2 54 13" xfId="29555"/>
    <cellStyle name="Notas 2 54 13 2" xfId="35127"/>
    <cellStyle name="Notas 2 54 14" xfId="35128"/>
    <cellStyle name="Notas 2 54 2" xfId="29556"/>
    <cellStyle name="Notas 2 54 2 2" xfId="35129"/>
    <cellStyle name="Notas 2 54 3" xfId="29557"/>
    <cellStyle name="Notas 2 54 3 2" xfId="35130"/>
    <cellStyle name="Notas 2 54 4" xfId="29558"/>
    <cellStyle name="Notas 2 54 4 2" xfId="35131"/>
    <cellStyle name="Notas 2 54 5" xfId="29559"/>
    <cellStyle name="Notas 2 54 5 2" xfId="35132"/>
    <cellStyle name="Notas 2 54 6" xfId="29560"/>
    <cellStyle name="Notas 2 54 6 2" xfId="35133"/>
    <cellStyle name="Notas 2 54 7" xfId="29561"/>
    <cellStyle name="Notas 2 54 7 2" xfId="35134"/>
    <cellStyle name="Notas 2 54 8" xfId="29562"/>
    <cellStyle name="Notas 2 54 8 2" xfId="35135"/>
    <cellStyle name="Notas 2 54 9" xfId="29563"/>
    <cellStyle name="Notas 2 54 9 2" xfId="35136"/>
    <cellStyle name="Notas 2 55" xfId="29564"/>
    <cellStyle name="Notas 2 55 10" xfId="29565"/>
    <cellStyle name="Notas 2 55 10 2" xfId="35137"/>
    <cellStyle name="Notas 2 55 11" xfId="29566"/>
    <cellStyle name="Notas 2 55 11 2" xfId="35138"/>
    <cellStyle name="Notas 2 55 12" xfId="29567"/>
    <cellStyle name="Notas 2 55 12 2" xfId="35139"/>
    <cellStyle name="Notas 2 55 13" xfId="29568"/>
    <cellStyle name="Notas 2 55 13 2" xfId="35140"/>
    <cellStyle name="Notas 2 55 14" xfId="35141"/>
    <cellStyle name="Notas 2 55 2" xfId="29569"/>
    <cellStyle name="Notas 2 55 2 2" xfId="35142"/>
    <cellStyle name="Notas 2 55 3" xfId="29570"/>
    <cellStyle name="Notas 2 55 3 2" xfId="35143"/>
    <cellStyle name="Notas 2 55 4" xfId="29571"/>
    <cellStyle name="Notas 2 55 4 2" xfId="35144"/>
    <cellStyle name="Notas 2 55 5" xfId="29572"/>
    <cellStyle name="Notas 2 55 5 2" xfId="35145"/>
    <cellStyle name="Notas 2 55 6" xfId="29573"/>
    <cellStyle name="Notas 2 55 6 2" xfId="35146"/>
    <cellStyle name="Notas 2 55 7" xfId="29574"/>
    <cellStyle name="Notas 2 55 7 2" xfId="35147"/>
    <cellStyle name="Notas 2 55 8" xfId="29575"/>
    <cellStyle name="Notas 2 55 8 2" xfId="35148"/>
    <cellStyle name="Notas 2 55 9" xfId="29576"/>
    <cellStyle name="Notas 2 55 9 2" xfId="35149"/>
    <cellStyle name="Notas 2 56" xfId="29577"/>
    <cellStyle name="Notas 2 56 10" xfId="29578"/>
    <cellStyle name="Notas 2 56 10 2" xfId="35150"/>
    <cellStyle name="Notas 2 56 11" xfId="29579"/>
    <cellStyle name="Notas 2 56 11 2" xfId="35151"/>
    <cellStyle name="Notas 2 56 12" xfId="29580"/>
    <cellStyle name="Notas 2 56 12 2" xfId="35152"/>
    <cellStyle name="Notas 2 56 13" xfId="29581"/>
    <cellStyle name="Notas 2 56 13 2" xfId="35153"/>
    <cellStyle name="Notas 2 56 14" xfId="35154"/>
    <cellStyle name="Notas 2 56 2" xfId="29582"/>
    <cellStyle name="Notas 2 56 2 2" xfId="35155"/>
    <cellStyle name="Notas 2 56 3" xfId="29583"/>
    <cellStyle name="Notas 2 56 3 2" xfId="35156"/>
    <cellStyle name="Notas 2 56 4" xfId="29584"/>
    <cellStyle name="Notas 2 56 4 2" xfId="35157"/>
    <cellStyle name="Notas 2 56 5" xfId="29585"/>
    <cellStyle name="Notas 2 56 5 2" xfId="35158"/>
    <cellStyle name="Notas 2 56 6" xfId="29586"/>
    <cellStyle name="Notas 2 56 6 2" xfId="35159"/>
    <cellStyle name="Notas 2 56 7" xfId="29587"/>
    <cellStyle name="Notas 2 56 7 2" xfId="35160"/>
    <cellStyle name="Notas 2 56 8" xfId="29588"/>
    <cellStyle name="Notas 2 56 8 2" xfId="35161"/>
    <cellStyle name="Notas 2 56 9" xfId="29589"/>
    <cellStyle name="Notas 2 56 9 2" xfId="35162"/>
    <cellStyle name="Notas 2 57" xfId="29590"/>
    <cellStyle name="Notas 2 57 10" xfId="29591"/>
    <cellStyle name="Notas 2 57 10 2" xfId="35163"/>
    <cellStyle name="Notas 2 57 11" xfId="29592"/>
    <cellStyle name="Notas 2 57 11 2" xfId="35164"/>
    <cellStyle name="Notas 2 57 12" xfId="29593"/>
    <cellStyle name="Notas 2 57 12 2" xfId="35165"/>
    <cellStyle name="Notas 2 57 13" xfId="29594"/>
    <cellStyle name="Notas 2 57 13 2" xfId="35166"/>
    <cellStyle name="Notas 2 57 14" xfId="35167"/>
    <cellStyle name="Notas 2 57 2" xfId="29595"/>
    <cellStyle name="Notas 2 57 2 2" xfId="35168"/>
    <cellStyle name="Notas 2 57 3" xfId="29596"/>
    <cellStyle name="Notas 2 57 3 2" xfId="35169"/>
    <cellStyle name="Notas 2 57 4" xfId="29597"/>
    <cellStyle name="Notas 2 57 4 2" xfId="35170"/>
    <cellStyle name="Notas 2 57 5" xfId="29598"/>
    <cellStyle name="Notas 2 57 5 2" xfId="35171"/>
    <cellStyle name="Notas 2 57 6" xfId="29599"/>
    <cellStyle name="Notas 2 57 6 2" xfId="35172"/>
    <cellStyle name="Notas 2 57 7" xfId="29600"/>
    <cellStyle name="Notas 2 57 7 2" xfId="35173"/>
    <cellStyle name="Notas 2 57 8" xfId="29601"/>
    <cellStyle name="Notas 2 57 8 2" xfId="35174"/>
    <cellStyle name="Notas 2 57 9" xfId="29602"/>
    <cellStyle name="Notas 2 57 9 2" xfId="35175"/>
    <cellStyle name="Notas 2 58" xfId="29603"/>
    <cellStyle name="Notas 2 58 10" xfId="29604"/>
    <cellStyle name="Notas 2 58 10 2" xfId="35176"/>
    <cellStyle name="Notas 2 58 11" xfId="29605"/>
    <cellStyle name="Notas 2 58 11 2" xfId="35177"/>
    <cellStyle name="Notas 2 58 12" xfId="29606"/>
    <cellStyle name="Notas 2 58 12 2" xfId="35178"/>
    <cellStyle name="Notas 2 58 13" xfId="29607"/>
    <cellStyle name="Notas 2 58 13 2" xfId="35179"/>
    <cellStyle name="Notas 2 58 14" xfId="35180"/>
    <cellStyle name="Notas 2 58 2" xfId="29608"/>
    <cellStyle name="Notas 2 58 2 2" xfId="35181"/>
    <cellStyle name="Notas 2 58 3" xfId="29609"/>
    <cellStyle name="Notas 2 58 3 2" xfId="35182"/>
    <cellStyle name="Notas 2 58 4" xfId="29610"/>
    <cellStyle name="Notas 2 58 4 2" xfId="35183"/>
    <cellStyle name="Notas 2 58 5" xfId="29611"/>
    <cellStyle name="Notas 2 58 5 2" xfId="35184"/>
    <cellStyle name="Notas 2 58 6" xfId="29612"/>
    <cellStyle name="Notas 2 58 6 2" xfId="35185"/>
    <cellStyle name="Notas 2 58 7" xfId="29613"/>
    <cellStyle name="Notas 2 58 7 2" xfId="35186"/>
    <cellStyle name="Notas 2 58 8" xfId="29614"/>
    <cellStyle name="Notas 2 58 8 2" xfId="35187"/>
    <cellStyle name="Notas 2 58 9" xfId="29615"/>
    <cellStyle name="Notas 2 58 9 2" xfId="35188"/>
    <cellStyle name="Notas 2 59" xfId="29616"/>
    <cellStyle name="Notas 2 59 10" xfId="29617"/>
    <cellStyle name="Notas 2 59 10 2" xfId="35189"/>
    <cellStyle name="Notas 2 59 11" xfId="29618"/>
    <cellStyle name="Notas 2 59 11 2" xfId="35190"/>
    <cellStyle name="Notas 2 59 12" xfId="29619"/>
    <cellStyle name="Notas 2 59 12 2" xfId="35191"/>
    <cellStyle name="Notas 2 59 13" xfId="29620"/>
    <cellStyle name="Notas 2 59 13 2" xfId="35192"/>
    <cellStyle name="Notas 2 59 14" xfId="35193"/>
    <cellStyle name="Notas 2 59 2" xfId="29621"/>
    <cellStyle name="Notas 2 59 2 2" xfId="35194"/>
    <cellStyle name="Notas 2 59 3" xfId="29622"/>
    <cellStyle name="Notas 2 59 3 2" xfId="35195"/>
    <cellStyle name="Notas 2 59 4" xfId="29623"/>
    <cellStyle name="Notas 2 59 4 2" xfId="35196"/>
    <cellStyle name="Notas 2 59 5" xfId="29624"/>
    <cellStyle name="Notas 2 59 5 2" xfId="35197"/>
    <cellStyle name="Notas 2 59 6" xfId="29625"/>
    <cellStyle name="Notas 2 59 6 2" xfId="35198"/>
    <cellStyle name="Notas 2 59 7" xfId="29626"/>
    <cellStyle name="Notas 2 59 7 2" xfId="35199"/>
    <cellStyle name="Notas 2 59 8" xfId="29627"/>
    <cellStyle name="Notas 2 59 8 2" xfId="35200"/>
    <cellStyle name="Notas 2 59 9" xfId="29628"/>
    <cellStyle name="Notas 2 59 9 2" xfId="35201"/>
    <cellStyle name="Notas 2 6" xfId="29629"/>
    <cellStyle name="Notas 2 6 10" xfId="29630"/>
    <cellStyle name="Notas 2 6 10 2" xfId="35202"/>
    <cellStyle name="Notas 2 6 11" xfId="29631"/>
    <cellStyle name="Notas 2 6 11 2" xfId="35203"/>
    <cellStyle name="Notas 2 6 12" xfId="29632"/>
    <cellStyle name="Notas 2 6 12 2" xfId="35204"/>
    <cellStyle name="Notas 2 6 13" xfId="29633"/>
    <cellStyle name="Notas 2 6 13 2" xfId="35205"/>
    <cellStyle name="Notas 2 6 14" xfId="35206"/>
    <cellStyle name="Notas 2 6 2" xfId="29634"/>
    <cellStyle name="Notas 2 6 2 2" xfId="35207"/>
    <cellStyle name="Notas 2 6 3" xfId="29635"/>
    <cellStyle name="Notas 2 6 3 2" xfId="35208"/>
    <cellStyle name="Notas 2 6 4" xfId="29636"/>
    <cellStyle name="Notas 2 6 4 2" xfId="35209"/>
    <cellStyle name="Notas 2 6 5" xfId="29637"/>
    <cellStyle name="Notas 2 6 5 2" xfId="35210"/>
    <cellStyle name="Notas 2 6 6" xfId="29638"/>
    <cellStyle name="Notas 2 6 6 2" xfId="35211"/>
    <cellStyle name="Notas 2 6 7" xfId="29639"/>
    <cellStyle name="Notas 2 6 7 2" xfId="35212"/>
    <cellStyle name="Notas 2 6 8" xfId="29640"/>
    <cellStyle name="Notas 2 6 8 2" xfId="35213"/>
    <cellStyle name="Notas 2 6 9" xfId="29641"/>
    <cellStyle name="Notas 2 6 9 2" xfId="35214"/>
    <cellStyle name="Notas 2 60" xfId="29642"/>
    <cellStyle name="Notas 2 60 10" xfId="29643"/>
    <cellStyle name="Notas 2 60 10 2" xfId="35215"/>
    <cellStyle name="Notas 2 60 11" xfId="29644"/>
    <cellStyle name="Notas 2 60 11 2" xfId="35216"/>
    <cellStyle name="Notas 2 60 12" xfId="29645"/>
    <cellStyle name="Notas 2 60 12 2" xfId="35217"/>
    <cellStyle name="Notas 2 60 13" xfId="29646"/>
    <cellStyle name="Notas 2 60 13 2" xfId="35218"/>
    <cellStyle name="Notas 2 60 14" xfId="35219"/>
    <cellStyle name="Notas 2 60 2" xfId="29647"/>
    <cellStyle name="Notas 2 60 2 2" xfId="35220"/>
    <cellStyle name="Notas 2 60 3" xfId="29648"/>
    <cellStyle name="Notas 2 60 3 2" xfId="35221"/>
    <cellStyle name="Notas 2 60 4" xfId="29649"/>
    <cellStyle name="Notas 2 60 4 2" xfId="35222"/>
    <cellStyle name="Notas 2 60 5" xfId="29650"/>
    <cellStyle name="Notas 2 60 5 2" xfId="35223"/>
    <cellStyle name="Notas 2 60 6" xfId="29651"/>
    <cellStyle name="Notas 2 60 6 2" xfId="35224"/>
    <cellStyle name="Notas 2 60 7" xfId="29652"/>
    <cellStyle name="Notas 2 60 7 2" xfId="35225"/>
    <cellStyle name="Notas 2 60 8" xfId="29653"/>
    <cellStyle name="Notas 2 60 8 2" xfId="35226"/>
    <cellStyle name="Notas 2 60 9" xfId="29654"/>
    <cellStyle name="Notas 2 60 9 2" xfId="35227"/>
    <cellStyle name="Notas 2 61" xfId="29655"/>
    <cellStyle name="Notas 2 61 10" xfId="29656"/>
    <cellStyle name="Notas 2 61 10 2" xfId="35228"/>
    <cellStyle name="Notas 2 61 11" xfId="29657"/>
    <cellStyle name="Notas 2 61 11 2" xfId="35229"/>
    <cellStyle name="Notas 2 61 12" xfId="29658"/>
    <cellStyle name="Notas 2 61 12 2" xfId="35230"/>
    <cellStyle name="Notas 2 61 13" xfId="29659"/>
    <cellStyle name="Notas 2 61 13 2" xfId="35231"/>
    <cellStyle name="Notas 2 61 14" xfId="35232"/>
    <cellStyle name="Notas 2 61 2" xfId="29660"/>
    <cellStyle name="Notas 2 61 2 2" xfId="35233"/>
    <cellStyle name="Notas 2 61 3" xfId="29661"/>
    <cellStyle name="Notas 2 61 3 2" xfId="35234"/>
    <cellStyle name="Notas 2 61 4" xfId="29662"/>
    <cellStyle name="Notas 2 61 4 2" xfId="35235"/>
    <cellStyle name="Notas 2 61 5" xfId="29663"/>
    <cellStyle name="Notas 2 61 5 2" xfId="35236"/>
    <cellStyle name="Notas 2 61 6" xfId="29664"/>
    <cellStyle name="Notas 2 61 6 2" xfId="35237"/>
    <cellStyle name="Notas 2 61 7" xfId="29665"/>
    <cellStyle name="Notas 2 61 7 2" xfId="35238"/>
    <cellStyle name="Notas 2 61 8" xfId="29666"/>
    <cellStyle name="Notas 2 61 8 2" xfId="35239"/>
    <cellStyle name="Notas 2 61 9" xfId="29667"/>
    <cellStyle name="Notas 2 61 9 2" xfId="35240"/>
    <cellStyle name="Notas 2 62" xfId="29668"/>
    <cellStyle name="Notas 2 62 10" xfId="29669"/>
    <cellStyle name="Notas 2 62 10 2" xfId="35241"/>
    <cellStyle name="Notas 2 62 11" xfId="29670"/>
    <cellStyle name="Notas 2 62 11 2" xfId="35242"/>
    <cellStyle name="Notas 2 62 12" xfId="29671"/>
    <cellStyle name="Notas 2 62 12 2" xfId="35243"/>
    <cellStyle name="Notas 2 62 13" xfId="29672"/>
    <cellStyle name="Notas 2 62 13 2" xfId="35244"/>
    <cellStyle name="Notas 2 62 14" xfId="35245"/>
    <cellStyle name="Notas 2 62 2" xfId="29673"/>
    <cellStyle name="Notas 2 62 2 2" xfId="35246"/>
    <cellStyle name="Notas 2 62 3" xfId="29674"/>
    <cellStyle name="Notas 2 62 3 2" xfId="35247"/>
    <cellStyle name="Notas 2 62 4" xfId="29675"/>
    <cellStyle name="Notas 2 62 4 2" xfId="35248"/>
    <cellStyle name="Notas 2 62 5" xfId="29676"/>
    <cellStyle name="Notas 2 62 5 2" xfId="35249"/>
    <cellStyle name="Notas 2 62 6" xfId="29677"/>
    <cellStyle name="Notas 2 62 6 2" xfId="35250"/>
    <cellStyle name="Notas 2 62 7" xfId="29678"/>
    <cellStyle name="Notas 2 62 7 2" xfId="35251"/>
    <cellStyle name="Notas 2 62 8" xfId="29679"/>
    <cellStyle name="Notas 2 62 8 2" xfId="35252"/>
    <cellStyle name="Notas 2 62 9" xfId="29680"/>
    <cellStyle name="Notas 2 62 9 2" xfId="35253"/>
    <cellStyle name="Notas 2 63" xfId="29681"/>
    <cellStyle name="Notas 2 63 10" xfId="29682"/>
    <cellStyle name="Notas 2 63 10 2" xfId="35254"/>
    <cellStyle name="Notas 2 63 11" xfId="29683"/>
    <cellStyle name="Notas 2 63 11 2" xfId="35255"/>
    <cellStyle name="Notas 2 63 12" xfId="29684"/>
    <cellStyle name="Notas 2 63 12 2" xfId="35256"/>
    <cellStyle name="Notas 2 63 13" xfId="29685"/>
    <cellStyle name="Notas 2 63 13 2" xfId="35257"/>
    <cellStyle name="Notas 2 63 14" xfId="35258"/>
    <cellStyle name="Notas 2 63 2" xfId="29686"/>
    <cellStyle name="Notas 2 63 2 2" xfId="35259"/>
    <cellStyle name="Notas 2 63 3" xfId="29687"/>
    <cellStyle name="Notas 2 63 3 2" xfId="35260"/>
    <cellStyle name="Notas 2 63 4" xfId="29688"/>
    <cellStyle name="Notas 2 63 4 2" xfId="35261"/>
    <cellStyle name="Notas 2 63 5" xfId="29689"/>
    <cellStyle name="Notas 2 63 5 2" xfId="35262"/>
    <cellStyle name="Notas 2 63 6" xfId="29690"/>
    <cellStyle name="Notas 2 63 6 2" xfId="35263"/>
    <cellStyle name="Notas 2 63 7" xfId="29691"/>
    <cellStyle name="Notas 2 63 7 2" xfId="35264"/>
    <cellStyle name="Notas 2 63 8" xfId="29692"/>
    <cellStyle name="Notas 2 63 8 2" xfId="35265"/>
    <cellStyle name="Notas 2 63 9" xfId="29693"/>
    <cellStyle name="Notas 2 63 9 2" xfId="35266"/>
    <cellStyle name="Notas 2 64" xfId="29694"/>
    <cellStyle name="Notas 2 64 10" xfId="29695"/>
    <cellStyle name="Notas 2 64 10 2" xfId="35267"/>
    <cellStyle name="Notas 2 64 11" xfId="29696"/>
    <cellStyle name="Notas 2 64 11 2" xfId="35268"/>
    <cellStyle name="Notas 2 64 12" xfId="29697"/>
    <cellStyle name="Notas 2 64 12 2" xfId="35269"/>
    <cellStyle name="Notas 2 64 13" xfId="29698"/>
    <cellStyle name="Notas 2 64 13 2" xfId="35270"/>
    <cellStyle name="Notas 2 64 14" xfId="35271"/>
    <cellStyle name="Notas 2 64 2" xfId="29699"/>
    <cellStyle name="Notas 2 64 2 2" xfId="35272"/>
    <cellStyle name="Notas 2 64 3" xfId="29700"/>
    <cellStyle name="Notas 2 64 3 2" xfId="35273"/>
    <cellStyle name="Notas 2 64 4" xfId="29701"/>
    <cellStyle name="Notas 2 64 4 2" xfId="35274"/>
    <cellStyle name="Notas 2 64 5" xfId="29702"/>
    <cellStyle name="Notas 2 64 5 2" xfId="35275"/>
    <cellStyle name="Notas 2 64 6" xfId="29703"/>
    <cellStyle name="Notas 2 64 6 2" xfId="35276"/>
    <cellStyle name="Notas 2 64 7" xfId="29704"/>
    <cellStyle name="Notas 2 64 7 2" xfId="35277"/>
    <cellStyle name="Notas 2 64 8" xfId="29705"/>
    <cellStyle name="Notas 2 64 8 2" xfId="35278"/>
    <cellStyle name="Notas 2 64 9" xfId="29706"/>
    <cellStyle name="Notas 2 64 9 2" xfId="35279"/>
    <cellStyle name="Notas 2 65" xfId="29707"/>
    <cellStyle name="Notas 2 65 10" xfId="29708"/>
    <cellStyle name="Notas 2 65 10 2" xfId="35280"/>
    <cellStyle name="Notas 2 65 11" xfId="29709"/>
    <cellStyle name="Notas 2 65 11 2" xfId="35281"/>
    <cellStyle name="Notas 2 65 12" xfId="29710"/>
    <cellStyle name="Notas 2 65 12 2" xfId="35282"/>
    <cellStyle name="Notas 2 65 13" xfId="29711"/>
    <cellStyle name="Notas 2 65 13 2" xfId="35283"/>
    <cellStyle name="Notas 2 65 14" xfId="35284"/>
    <cellStyle name="Notas 2 65 2" xfId="29712"/>
    <cellStyle name="Notas 2 65 2 2" xfId="35285"/>
    <cellStyle name="Notas 2 65 3" xfId="29713"/>
    <cellStyle name="Notas 2 65 3 2" xfId="35286"/>
    <cellStyle name="Notas 2 65 4" xfId="29714"/>
    <cellStyle name="Notas 2 65 4 2" xfId="35287"/>
    <cellStyle name="Notas 2 65 5" xfId="29715"/>
    <cellStyle name="Notas 2 65 5 2" xfId="35288"/>
    <cellStyle name="Notas 2 65 6" xfId="29716"/>
    <cellStyle name="Notas 2 65 6 2" xfId="35289"/>
    <cellStyle name="Notas 2 65 7" xfId="29717"/>
    <cellStyle name="Notas 2 65 7 2" xfId="35290"/>
    <cellStyle name="Notas 2 65 8" xfId="29718"/>
    <cellStyle name="Notas 2 65 8 2" xfId="35291"/>
    <cellStyle name="Notas 2 65 9" xfId="29719"/>
    <cellStyle name="Notas 2 65 9 2" xfId="35292"/>
    <cellStyle name="Notas 2 66" xfId="29720"/>
    <cellStyle name="Notas 2 66 10" xfId="29721"/>
    <cellStyle name="Notas 2 66 10 2" xfId="35293"/>
    <cellStyle name="Notas 2 66 11" xfId="29722"/>
    <cellStyle name="Notas 2 66 11 2" xfId="35294"/>
    <cellStyle name="Notas 2 66 12" xfId="29723"/>
    <cellStyle name="Notas 2 66 12 2" xfId="35295"/>
    <cellStyle name="Notas 2 66 13" xfId="29724"/>
    <cellStyle name="Notas 2 66 13 2" xfId="35296"/>
    <cellStyle name="Notas 2 66 14" xfId="35297"/>
    <cellStyle name="Notas 2 66 2" xfId="29725"/>
    <cellStyle name="Notas 2 66 2 2" xfId="35298"/>
    <cellStyle name="Notas 2 66 3" xfId="29726"/>
    <cellStyle name="Notas 2 66 3 2" xfId="35299"/>
    <cellStyle name="Notas 2 66 4" xfId="29727"/>
    <cellStyle name="Notas 2 66 4 2" xfId="35300"/>
    <cellStyle name="Notas 2 66 5" xfId="29728"/>
    <cellStyle name="Notas 2 66 5 2" xfId="35301"/>
    <cellStyle name="Notas 2 66 6" xfId="29729"/>
    <cellStyle name="Notas 2 66 6 2" xfId="35302"/>
    <cellStyle name="Notas 2 66 7" xfId="29730"/>
    <cellStyle name="Notas 2 66 7 2" xfId="35303"/>
    <cellStyle name="Notas 2 66 8" xfId="29731"/>
    <cellStyle name="Notas 2 66 8 2" xfId="35304"/>
    <cellStyle name="Notas 2 66 9" xfId="29732"/>
    <cellStyle name="Notas 2 66 9 2" xfId="35305"/>
    <cellStyle name="Notas 2 67" xfId="29733"/>
    <cellStyle name="Notas 2 67 10" xfId="29734"/>
    <cellStyle name="Notas 2 67 10 2" xfId="35306"/>
    <cellStyle name="Notas 2 67 11" xfId="29735"/>
    <cellStyle name="Notas 2 67 11 2" xfId="35307"/>
    <cellStyle name="Notas 2 67 12" xfId="29736"/>
    <cellStyle name="Notas 2 67 12 2" xfId="35308"/>
    <cellStyle name="Notas 2 67 13" xfId="29737"/>
    <cellStyle name="Notas 2 67 13 2" xfId="35309"/>
    <cellStyle name="Notas 2 67 14" xfId="35310"/>
    <cellStyle name="Notas 2 67 2" xfId="29738"/>
    <cellStyle name="Notas 2 67 2 2" xfId="35311"/>
    <cellStyle name="Notas 2 67 3" xfId="29739"/>
    <cellStyle name="Notas 2 67 3 2" xfId="35312"/>
    <cellStyle name="Notas 2 67 4" xfId="29740"/>
    <cellStyle name="Notas 2 67 4 2" xfId="35313"/>
    <cellStyle name="Notas 2 67 5" xfId="29741"/>
    <cellStyle name="Notas 2 67 5 2" xfId="35314"/>
    <cellStyle name="Notas 2 67 6" xfId="29742"/>
    <cellStyle name="Notas 2 67 6 2" xfId="35315"/>
    <cellStyle name="Notas 2 67 7" xfId="29743"/>
    <cellStyle name="Notas 2 67 7 2" xfId="35316"/>
    <cellStyle name="Notas 2 67 8" xfId="29744"/>
    <cellStyle name="Notas 2 67 8 2" xfId="35317"/>
    <cellStyle name="Notas 2 67 9" xfId="29745"/>
    <cellStyle name="Notas 2 67 9 2" xfId="35318"/>
    <cellStyle name="Notas 2 68" xfId="29746"/>
    <cellStyle name="Notas 2 68 10" xfId="29747"/>
    <cellStyle name="Notas 2 68 10 2" xfId="35319"/>
    <cellStyle name="Notas 2 68 11" xfId="29748"/>
    <cellStyle name="Notas 2 68 11 2" xfId="35320"/>
    <cellStyle name="Notas 2 68 12" xfId="29749"/>
    <cellStyle name="Notas 2 68 12 2" xfId="35321"/>
    <cellStyle name="Notas 2 68 13" xfId="29750"/>
    <cellStyle name="Notas 2 68 13 2" xfId="35322"/>
    <cellStyle name="Notas 2 68 14" xfId="35323"/>
    <cellStyle name="Notas 2 68 2" xfId="29751"/>
    <cellStyle name="Notas 2 68 2 2" xfId="35324"/>
    <cellStyle name="Notas 2 68 3" xfId="29752"/>
    <cellStyle name="Notas 2 68 3 2" xfId="35325"/>
    <cellStyle name="Notas 2 68 4" xfId="29753"/>
    <cellStyle name="Notas 2 68 4 2" xfId="35326"/>
    <cellStyle name="Notas 2 68 5" xfId="29754"/>
    <cellStyle name="Notas 2 68 5 2" xfId="35327"/>
    <cellStyle name="Notas 2 68 6" xfId="29755"/>
    <cellStyle name="Notas 2 68 6 2" xfId="35328"/>
    <cellStyle name="Notas 2 68 7" xfId="29756"/>
    <cellStyle name="Notas 2 68 7 2" xfId="35329"/>
    <cellStyle name="Notas 2 68 8" xfId="29757"/>
    <cellStyle name="Notas 2 68 8 2" xfId="35330"/>
    <cellStyle name="Notas 2 68 9" xfId="29758"/>
    <cellStyle name="Notas 2 68 9 2" xfId="35331"/>
    <cellStyle name="Notas 2 69" xfId="29759"/>
    <cellStyle name="Notas 2 69 10" xfId="29760"/>
    <cellStyle name="Notas 2 69 10 2" xfId="35332"/>
    <cellStyle name="Notas 2 69 11" xfId="29761"/>
    <cellStyle name="Notas 2 69 11 2" xfId="35333"/>
    <cellStyle name="Notas 2 69 12" xfId="29762"/>
    <cellStyle name="Notas 2 69 12 2" xfId="35334"/>
    <cellStyle name="Notas 2 69 13" xfId="29763"/>
    <cellStyle name="Notas 2 69 13 2" xfId="35335"/>
    <cellStyle name="Notas 2 69 14" xfId="35336"/>
    <cellStyle name="Notas 2 69 2" xfId="29764"/>
    <cellStyle name="Notas 2 69 2 2" xfId="35337"/>
    <cellStyle name="Notas 2 69 3" xfId="29765"/>
    <cellStyle name="Notas 2 69 3 2" xfId="35338"/>
    <cellStyle name="Notas 2 69 4" xfId="29766"/>
    <cellStyle name="Notas 2 69 4 2" xfId="35339"/>
    <cellStyle name="Notas 2 69 5" xfId="29767"/>
    <cellStyle name="Notas 2 69 5 2" xfId="35340"/>
    <cellStyle name="Notas 2 69 6" xfId="29768"/>
    <cellStyle name="Notas 2 69 6 2" xfId="35341"/>
    <cellStyle name="Notas 2 69 7" xfId="29769"/>
    <cellStyle name="Notas 2 69 7 2" xfId="35342"/>
    <cellStyle name="Notas 2 69 8" xfId="29770"/>
    <cellStyle name="Notas 2 69 8 2" xfId="35343"/>
    <cellStyle name="Notas 2 69 9" xfId="29771"/>
    <cellStyle name="Notas 2 69 9 2" xfId="35344"/>
    <cellStyle name="Notas 2 7" xfId="29772"/>
    <cellStyle name="Notas 2 7 10" xfId="29773"/>
    <cellStyle name="Notas 2 7 10 2" xfId="35345"/>
    <cellStyle name="Notas 2 7 11" xfId="29774"/>
    <cellStyle name="Notas 2 7 11 2" xfId="35346"/>
    <cellStyle name="Notas 2 7 12" xfId="29775"/>
    <cellStyle name="Notas 2 7 12 2" xfId="35347"/>
    <cellStyle name="Notas 2 7 13" xfId="29776"/>
    <cellStyle name="Notas 2 7 13 2" xfId="35348"/>
    <cellStyle name="Notas 2 7 14" xfId="35349"/>
    <cellStyle name="Notas 2 7 2" xfId="29777"/>
    <cellStyle name="Notas 2 7 2 2" xfId="35350"/>
    <cellStyle name="Notas 2 7 3" xfId="29778"/>
    <cellStyle name="Notas 2 7 3 2" xfId="35351"/>
    <cellStyle name="Notas 2 7 4" xfId="29779"/>
    <cellStyle name="Notas 2 7 4 2" xfId="35352"/>
    <cellStyle name="Notas 2 7 5" xfId="29780"/>
    <cellStyle name="Notas 2 7 5 2" xfId="35353"/>
    <cellStyle name="Notas 2 7 6" xfId="29781"/>
    <cellStyle name="Notas 2 7 6 2" xfId="35354"/>
    <cellStyle name="Notas 2 7 7" xfId="29782"/>
    <cellStyle name="Notas 2 7 7 2" xfId="35355"/>
    <cellStyle name="Notas 2 7 8" xfId="29783"/>
    <cellStyle name="Notas 2 7 8 2" xfId="35356"/>
    <cellStyle name="Notas 2 7 9" xfId="29784"/>
    <cellStyle name="Notas 2 7 9 2" xfId="35357"/>
    <cellStyle name="Notas 2 70" xfId="29785"/>
    <cellStyle name="Notas 2 70 10" xfId="29786"/>
    <cellStyle name="Notas 2 70 10 2" xfId="35358"/>
    <cellStyle name="Notas 2 70 11" xfId="29787"/>
    <cellStyle name="Notas 2 70 11 2" xfId="35359"/>
    <cellStyle name="Notas 2 70 12" xfId="29788"/>
    <cellStyle name="Notas 2 70 12 2" xfId="35360"/>
    <cellStyle name="Notas 2 70 13" xfId="29789"/>
    <cellStyle name="Notas 2 70 13 2" xfId="35361"/>
    <cellStyle name="Notas 2 70 14" xfId="35362"/>
    <cellStyle name="Notas 2 70 2" xfId="29790"/>
    <cellStyle name="Notas 2 70 2 2" xfId="35363"/>
    <cellStyle name="Notas 2 70 3" xfId="29791"/>
    <cellStyle name="Notas 2 70 3 2" xfId="35364"/>
    <cellStyle name="Notas 2 70 4" xfId="29792"/>
    <cellStyle name="Notas 2 70 4 2" xfId="35365"/>
    <cellStyle name="Notas 2 70 5" xfId="29793"/>
    <cellStyle name="Notas 2 70 5 2" xfId="35366"/>
    <cellStyle name="Notas 2 70 6" xfId="29794"/>
    <cellStyle name="Notas 2 70 6 2" xfId="35367"/>
    <cellStyle name="Notas 2 70 7" xfId="29795"/>
    <cellStyle name="Notas 2 70 7 2" xfId="35368"/>
    <cellStyle name="Notas 2 70 8" xfId="29796"/>
    <cellStyle name="Notas 2 70 8 2" xfId="35369"/>
    <cellStyle name="Notas 2 70 9" xfId="29797"/>
    <cellStyle name="Notas 2 70 9 2" xfId="35370"/>
    <cellStyle name="Notas 2 71" xfId="29798"/>
    <cellStyle name="Notas 2 71 10" xfId="29799"/>
    <cellStyle name="Notas 2 71 10 2" xfId="35371"/>
    <cellStyle name="Notas 2 71 11" xfId="29800"/>
    <cellStyle name="Notas 2 71 11 2" xfId="35372"/>
    <cellStyle name="Notas 2 71 12" xfId="29801"/>
    <cellStyle name="Notas 2 71 12 2" xfId="35373"/>
    <cellStyle name="Notas 2 71 13" xfId="29802"/>
    <cellStyle name="Notas 2 71 13 2" xfId="35374"/>
    <cellStyle name="Notas 2 71 14" xfId="35375"/>
    <cellStyle name="Notas 2 71 2" xfId="29803"/>
    <cellStyle name="Notas 2 71 2 2" xfId="35376"/>
    <cellStyle name="Notas 2 71 3" xfId="29804"/>
    <cellStyle name="Notas 2 71 3 2" xfId="35377"/>
    <cellStyle name="Notas 2 71 4" xfId="29805"/>
    <cellStyle name="Notas 2 71 4 2" xfId="35378"/>
    <cellStyle name="Notas 2 71 5" xfId="29806"/>
    <cellStyle name="Notas 2 71 5 2" xfId="35379"/>
    <cellStyle name="Notas 2 71 6" xfId="29807"/>
    <cellStyle name="Notas 2 71 6 2" xfId="35380"/>
    <cellStyle name="Notas 2 71 7" xfId="29808"/>
    <cellStyle name="Notas 2 71 7 2" xfId="35381"/>
    <cellStyle name="Notas 2 71 8" xfId="29809"/>
    <cellStyle name="Notas 2 71 8 2" xfId="35382"/>
    <cellStyle name="Notas 2 71 9" xfId="29810"/>
    <cellStyle name="Notas 2 71 9 2" xfId="35383"/>
    <cellStyle name="Notas 2 72" xfId="29811"/>
    <cellStyle name="Notas 2 72 10" xfId="29812"/>
    <cellStyle name="Notas 2 72 10 2" xfId="35384"/>
    <cellStyle name="Notas 2 72 11" xfId="29813"/>
    <cellStyle name="Notas 2 72 11 2" xfId="35385"/>
    <cellStyle name="Notas 2 72 12" xfId="29814"/>
    <cellStyle name="Notas 2 72 12 2" xfId="35386"/>
    <cellStyle name="Notas 2 72 13" xfId="29815"/>
    <cellStyle name="Notas 2 72 13 2" xfId="35387"/>
    <cellStyle name="Notas 2 72 14" xfId="35388"/>
    <cellStyle name="Notas 2 72 2" xfId="29816"/>
    <cellStyle name="Notas 2 72 2 2" xfId="35389"/>
    <cellStyle name="Notas 2 72 3" xfId="29817"/>
    <cellStyle name="Notas 2 72 3 2" xfId="35390"/>
    <cellStyle name="Notas 2 72 4" xfId="29818"/>
    <cellStyle name="Notas 2 72 4 2" xfId="35391"/>
    <cellStyle name="Notas 2 72 5" xfId="29819"/>
    <cellStyle name="Notas 2 72 5 2" xfId="35392"/>
    <cellStyle name="Notas 2 72 6" xfId="29820"/>
    <cellStyle name="Notas 2 72 6 2" xfId="35393"/>
    <cellStyle name="Notas 2 72 7" xfId="29821"/>
    <cellStyle name="Notas 2 72 7 2" xfId="35394"/>
    <cellStyle name="Notas 2 72 8" xfId="29822"/>
    <cellStyle name="Notas 2 72 8 2" xfId="35395"/>
    <cellStyle name="Notas 2 72 9" xfId="29823"/>
    <cellStyle name="Notas 2 72 9 2" xfId="35396"/>
    <cellStyle name="Notas 2 73" xfId="29824"/>
    <cellStyle name="Notas 2 73 2" xfId="35397"/>
    <cellStyle name="Notas 2 74" xfId="29825"/>
    <cellStyle name="Notas 2 74 2" xfId="35398"/>
    <cellStyle name="Notas 2 75" xfId="29826"/>
    <cellStyle name="Notas 2 75 2" xfId="35399"/>
    <cellStyle name="Notas 2 76" xfId="29827"/>
    <cellStyle name="Notas 2 76 2" xfId="35400"/>
    <cellStyle name="Notas 2 77" xfId="29828"/>
    <cellStyle name="Notas 2 77 2" xfId="35401"/>
    <cellStyle name="Notas 2 78" xfId="29829"/>
    <cellStyle name="Notas 2 78 2" xfId="35402"/>
    <cellStyle name="Notas 2 79" xfId="29830"/>
    <cellStyle name="Notas 2 79 2" xfId="35403"/>
    <cellStyle name="Notas 2 8" xfId="29831"/>
    <cellStyle name="Notas 2 8 10" xfId="29832"/>
    <cellStyle name="Notas 2 8 10 2" xfId="35404"/>
    <cellStyle name="Notas 2 8 11" xfId="29833"/>
    <cellStyle name="Notas 2 8 11 2" xfId="35405"/>
    <cellStyle name="Notas 2 8 12" xfId="29834"/>
    <cellStyle name="Notas 2 8 12 2" xfId="35406"/>
    <cellStyle name="Notas 2 8 13" xfId="29835"/>
    <cellStyle name="Notas 2 8 13 2" xfId="35407"/>
    <cellStyle name="Notas 2 8 14" xfId="35408"/>
    <cellStyle name="Notas 2 8 2" xfId="29836"/>
    <cellStyle name="Notas 2 8 2 2" xfId="35409"/>
    <cellStyle name="Notas 2 8 3" xfId="29837"/>
    <cellStyle name="Notas 2 8 3 2" xfId="35410"/>
    <cellStyle name="Notas 2 8 4" xfId="29838"/>
    <cellStyle name="Notas 2 8 4 2" xfId="35411"/>
    <cellStyle name="Notas 2 8 5" xfId="29839"/>
    <cellStyle name="Notas 2 8 5 2" xfId="35412"/>
    <cellStyle name="Notas 2 8 6" xfId="29840"/>
    <cellStyle name="Notas 2 8 6 2" xfId="35413"/>
    <cellStyle name="Notas 2 8 7" xfId="29841"/>
    <cellStyle name="Notas 2 8 7 2" xfId="35414"/>
    <cellStyle name="Notas 2 8 8" xfId="29842"/>
    <cellStyle name="Notas 2 8 8 2" xfId="35415"/>
    <cellStyle name="Notas 2 8 9" xfId="29843"/>
    <cellStyle name="Notas 2 8 9 2" xfId="35416"/>
    <cellStyle name="Notas 2 80" xfId="29844"/>
    <cellStyle name="Notas 2 80 2" xfId="35417"/>
    <cellStyle name="Notas 2 81" xfId="29845"/>
    <cellStyle name="Notas 2 81 2" xfId="35418"/>
    <cellStyle name="Notas 2 82" xfId="29846"/>
    <cellStyle name="Notas 2 82 2" xfId="35419"/>
    <cellStyle name="Notas 2 83" xfId="29847"/>
    <cellStyle name="Notas 2 83 2" xfId="35420"/>
    <cellStyle name="Notas 2 84" xfId="29848"/>
    <cellStyle name="Notas 2 84 2" xfId="35421"/>
    <cellStyle name="Notas 2 9" xfId="29849"/>
    <cellStyle name="Notas 2 9 10" xfId="29850"/>
    <cellStyle name="Notas 2 9 10 2" xfId="35422"/>
    <cellStyle name="Notas 2 9 11" xfId="29851"/>
    <cellStyle name="Notas 2 9 11 2" xfId="35423"/>
    <cellStyle name="Notas 2 9 12" xfId="29852"/>
    <cellStyle name="Notas 2 9 12 2" xfId="35424"/>
    <cellStyle name="Notas 2 9 13" xfId="29853"/>
    <cellStyle name="Notas 2 9 13 2" xfId="35425"/>
    <cellStyle name="Notas 2 9 14" xfId="35426"/>
    <cellStyle name="Notas 2 9 2" xfId="29854"/>
    <cellStyle name="Notas 2 9 2 2" xfId="35427"/>
    <cellStyle name="Notas 2 9 3" xfId="29855"/>
    <cellStyle name="Notas 2 9 3 2" xfId="35428"/>
    <cellStyle name="Notas 2 9 4" xfId="29856"/>
    <cellStyle name="Notas 2 9 4 2" xfId="35429"/>
    <cellStyle name="Notas 2 9 5" xfId="29857"/>
    <cellStyle name="Notas 2 9 5 2" xfId="35430"/>
    <cellStyle name="Notas 2 9 6" xfId="29858"/>
    <cellStyle name="Notas 2 9 6 2" xfId="35431"/>
    <cellStyle name="Notas 2 9 7" xfId="29859"/>
    <cellStyle name="Notas 2 9 7 2" xfId="35432"/>
    <cellStyle name="Notas 2 9 8" xfId="29860"/>
    <cellStyle name="Notas 2 9 8 2" xfId="35433"/>
    <cellStyle name="Notas 2 9 9" xfId="29861"/>
    <cellStyle name="Notas 2 9 9 2" xfId="35434"/>
    <cellStyle name="Notas 3" xfId="29862"/>
    <cellStyle name="Notas 3 10" xfId="29863"/>
    <cellStyle name="Notas 3 10 10" xfId="29864"/>
    <cellStyle name="Notas 3 10 10 2" xfId="35435"/>
    <cellStyle name="Notas 3 10 11" xfId="29865"/>
    <cellStyle name="Notas 3 10 11 2" xfId="35436"/>
    <cellStyle name="Notas 3 10 12" xfId="29866"/>
    <cellStyle name="Notas 3 10 12 2" xfId="35437"/>
    <cellStyle name="Notas 3 10 13" xfId="29867"/>
    <cellStyle name="Notas 3 10 13 2" xfId="35438"/>
    <cellStyle name="Notas 3 10 14" xfId="35439"/>
    <cellStyle name="Notas 3 10 2" xfId="29868"/>
    <cellStyle name="Notas 3 10 2 2" xfId="35440"/>
    <cellStyle name="Notas 3 10 3" xfId="29869"/>
    <cellStyle name="Notas 3 10 3 2" xfId="35441"/>
    <cellStyle name="Notas 3 10 4" xfId="29870"/>
    <cellStyle name="Notas 3 10 4 2" xfId="35442"/>
    <cellStyle name="Notas 3 10 5" xfId="29871"/>
    <cellStyle name="Notas 3 10 5 2" xfId="35443"/>
    <cellStyle name="Notas 3 10 6" xfId="29872"/>
    <cellStyle name="Notas 3 10 6 2" xfId="35444"/>
    <cellStyle name="Notas 3 10 7" xfId="29873"/>
    <cellStyle name="Notas 3 10 7 2" xfId="35445"/>
    <cellStyle name="Notas 3 10 8" xfId="29874"/>
    <cellStyle name="Notas 3 10 8 2" xfId="35446"/>
    <cellStyle name="Notas 3 10 9" xfId="29875"/>
    <cellStyle name="Notas 3 10 9 2" xfId="35447"/>
    <cellStyle name="Notas 3 11" xfId="29876"/>
    <cellStyle name="Notas 3 11 10" xfId="29877"/>
    <cellStyle name="Notas 3 11 10 2" xfId="35448"/>
    <cellStyle name="Notas 3 11 11" xfId="29878"/>
    <cellStyle name="Notas 3 11 11 2" xfId="35449"/>
    <cellStyle name="Notas 3 11 12" xfId="29879"/>
    <cellStyle name="Notas 3 11 12 2" xfId="35450"/>
    <cellStyle name="Notas 3 11 13" xfId="29880"/>
    <cellStyle name="Notas 3 11 13 2" xfId="35451"/>
    <cellStyle name="Notas 3 11 14" xfId="35452"/>
    <cellStyle name="Notas 3 11 2" xfId="29881"/>
    <cellStyle name="Notas 3 11 2 2" xfId="35453"/>
    <cellStyle name="Notas 3 11 3" xfId="29882"/>
    <cellStyle name="Notas 3 11 3 2" xfId="35454"/>
    <cellStyle name="Notas 3 11 4" xfId="29883"/>
    <cellStyle name="Notas 3 11 4 2" xfId="35455"/>
    <cellStyle name="Notas 3 11 5" xfId="29884"/>
    <cellStyle name="Notas 3 11 5 2" xfId="35456"/>
    <cellStyle name="Notas 3 11 6" xfId="29885"/>
    <cellStyle name="Notas 3 11 6 2" xfId="35457"/>
    <cellStyle name="Notas 3 11 7" xfId="29886"/>
    <cellStyle name="Notas 3 11 7 2" xfId="35458"/>
    <cellStyle name="Notas 3 11 8" xfId="29887"/>
    <cellStyle name="Notas 3 11 8 2" xfId="35459"/>
    <cellStyle name="Notas 3 11 9" xfId="29888"/>
    <cellStyle name="Notas 3 11 9 2" xfId="35460"/>
    <cellStyle name="Notas 3 12" xfId="29889"/>
    <cellStyle name="Notas 3 12 10" xfId="29890"/>
    <cellStyle name="Notas 3 12 10 2" xfId="35461"/>
    <cellStyle name="Notas 3 12 11" xfId="29891"/>
    <cellStyle name="Notas 3 12 11 2" xfId="35462"/>
    <cellStyle name="Notas 3 12 12" xfId="29892"/>
    <cellStyle name="Notas 3 12 12 2" xfId="35463"/>
    <cellStyle name="Notas 3 12 13" xfId="29893"/>
    <cellStyle name="Notas 3 12 13 2" xfId="35464"/>
    <cellStyle name="Notas 3 12 14" xfId="35465"/>
    <cellStyle name="Notas 3 12 2" xfId="29894"/>
    <cellStyle name="Notas 3 12 2 2" xfId="35466"/>
    <cellStyle name="Notas 3 12 3" xfId="29895"/>
    <cellStyle name="Notas 3 12 3 2" xfId="35467"/>
    <cellStyle name="Notas 3 12 4" xfId="29896"/>
    <cellStyle name="Notas 3 12 4 2" xfId="35468"/>
    <cellStyle name="Notas 3 12 5" xfId="29897"/>
    <cellStyle name="Notas 3 12 5 2" xfId="35469"/>
    <cellStyle name="Notas 3 12 6" xfId="29898"/>
    <cellStyle name="Notas 3 12 6 2" xfId="35470"/>
    <cellStyle name="Notas 3 12 7" xfId="29899"/>
    <cellStyle name="Notas 3 12 7 2" xfId="35471"/>
    <cellStyle name="Notas 3 12 8" xfId="29900"/>
    <cellStyle name="Notas 3 12 8 2" xfId="35472"/>
    <cellStyle name="Notas 3 12 9" xfId="29901"/>
    <cellStyle name="Notas 3 12 9 2" xfId="35473"/>
    <cellStyle name="Notas 3 13" xfId="29902"/>
    <cellStyle name="Notas 3 13 10" xfId="29903"/>
    <cellStyle name="Notas 3 13 10 2" xfId="35474"/>
    <cellStyle name="Notas 3 13 11" xfId="29904"/>
    <cellStyle name="Notas 3 13 11 2" xfId="35475"/>
    <cellStyle name="Notas 3 13 12" xfId="29905"/>
    <cellStyle name="Notas 3 13 12 2" xfId="35476"/>
    <cellStyle name="Notas 3 13 13" xfId="29906"/>
    <cellStyle name="Notas 3 13 13 2" xfId="35477"/>
    <cellStyle name="Notas 3 13 14" xfId="35478"/>
    <cellStyle name="Notas 3 13 2" xfId="29907"/>
    <cellStyle name="Notas 3 13 2 2" xfId="35479"/>
    <cellStyle name="Notas 3 13 3" xfId="29908"/>
    <cellStyle name="Notas 3 13 3 2" xfId="35480"/>
    <cellStyle name="Notas 3 13 4" xfId="29909"/>
    <cellStyle name="Notas 3 13 4 2" xfId="35481"/>
    <cellStyle name="Notas 3 13 5" xfId="29910"/>
    <cellStyle name="Notas 3 13 5 2" xfId="35482"/>
    <cellStyle name="Notas 3 13 6" xfId="29911"/>
    <cellStyle name="Notas 3 13 6 2" xfId="35483"/>
    <cellStyle name="Notas 3 13 7" xfId="29912"/>
    <cellStyle name="Notas 3 13 7 2" xfId="35484"/>
    <cellStyle name="Notas 3 13 8" xfId="29913"/>
    <cellStyle name="Notas 3 13 8 2" xfId="35485"/>
    <cellStyle name="Notas 3 13 9" xfId="29914"/>
    <cellStyle name="Notas 3 13 9 2" xfId="35486"/>
    <cellStyle name="Notas 3 14" xfId="29915"/>
    <cellStyle name="Notas 3 14 10" xfId="29916"/>
    <cellStyle name="Notas 3 14 10 2" xfId="35487"/>
    <cellStyle name="Notas 3 14 11" xfId="29917"/>
    <cellStyle name="Notas 3 14 11 2" xfId="35488"/>
    <cellStyle name="Notas 3 14 12" xfId="29918"/>
    <cellStyle name="Notas 3 14 12 2" xfId="35489"/>
    <cellStyle name="Notas 3 14 13" xfId="29919"/>
    <cellStyle name="Notas 3 14 13 2" xfId="35490"/>
    <cellStyle name="Notas 3 14 14" xfId="35491"/>
    <cellStyle name="Notas 3 14 2" xfId="29920"/>
    <cellStyle name="Notas 3 14 2 2" xfId="35492"/>
    <cellStyle name="Notas 3 14 3" xfId="29921"/>
    <cellStyle name="Notas 3 14 3 2" xfId="35493"/>
    <cellStyle name="Notas 3 14 4" xfId="29922"/>
    <cellStyle name="Notas 3 14 4 2" xfId="35494"/>
    <cellStyle name="Notas 3 14 5" xfId="29923"/>
    <cellStyle name="Notas 3 14 5 2" xfId="35495"/>
    <cellStyle name="Notas 3 14 6" xfId="29924"/>
    <cellStyle name="Notas 3 14 6 2" xfId="35496"/>
    <cellStyle name="Notas 3 14 7" xfId="29925"/>
    <cellStyle name="Notas 3 14 7 2" xfId="35497"/>
    <cellStyle name="Notas 3 14 8" xfId="29926"/>
    <cellStyle name="Notas 3 14 8 2" xfId="35498"/>
    <cellStyle name="Notas 3 14 9" xfId="29927"/>
    <cellStyle name="Notas 3 14 9 2" xfId="35499"/>
    <cellStyle name="Notas 3 15" xfId="29928"/>
    <cellStyle name="Notas 3 15 10" xfId="29929"/>
    <cellStyle name="Notas 3 15 10 2" xfId="35500"/>
    <cellStyle name="Notas 3 15 11" xfId="29930"/>
    <cellStyle name="Notas 3 15 11 2" xfId="35501"/>
    <cellStyle name="Notas 3 15 12" xfId="29931"/>
    <cellStyle name="Notas 3 15 12 2" xfId="35502"/>
    <cellStyle name="Notas 3 15 13" xfId="29932"/>
    <cellStyle name="Notas 3 15 13 2" xfId="35503"/>
    <cellStyle name="Notas 3 15 14" xfId="35504"/>
    <cellStyle name="Notas 3 15 2" xfId="29933"/>
    <cellStyle name="Notas 3 15 2 2" xfId="35505"/>
    <cellStyle name="Notas 3 15 3" xfId="29934"/>
    <cellStyle name="Notas 3 15 3 2" xfId="35506"/>
    <cellStyle name="Notas 3 15 4" xfId="29935"/>
    <cellStyle name="Notas 3 15 4 2" xfId="35507"/>
    <cellStyle name="Notas 3 15 5" xfId="29936"/>
    <cellStyle name="Notas 3 15 5 2" xfId="35508"/>
    <cellStyle name="Notas 3 15 6" xfId="29937"/>
    <cellStyle name="Notas 3 15 6 2" xfId="35509"/>
    <cellStyle name="Notas 3 15 7" xfId="29938"/>
    <cellStyle name="Notas 3 15 7 2" xfId="35510"/>
    <cellStyle name="Notas 3 15 8" xfId="29939"/>
    <cellStyle name="Notas 3 15 8 2" xfId="35511"/>
    <cellStyle name="Notas 3 15 9" xfId="29940"/>
    <cellStyle name="Notas 3 15 9 2" xfId="35512"/>
    <cellStyle name="Notas 3 16" xfId="29941"/>
    <cellStyle name="Notas 3 16 10" xfId="29942"/>
    <cellStyle name="Notas 3 16 10 2" xfId="35513"/>
    <cellStyle name="Notas 3 16 11" xfId="29943"/>
    <cellStyle name="Notas 3 16 11 2" xfId="35514"/>
    <cellStyle name="Notas 3 16 12" xfId="29944"/>
    <cellStyle name="Notas 3 16 12 2" xfId="35515"/>
    <cellStyle name="Notas 3 16 13" xfId="29945"/>
    <cellStyle name="Notas 3 16 13 2" xfId="35516"/>
    <cellStyle name="Notas 3 16 14" xfId="35517"/>
    <cellStyle name="Notas 3 16 2" xfId="29946"/>
    <cellStyle name="Notas 3 16 2 2" xfId="35518"/>
    <cellStyle name="Notas 3 16 3" xfId="29947"/>
    <cellStyle name="Notas 3 16 3 2" xfId="35519"/>
    <cellStyle name="Notas 3 16 4" xfId="29948"/>
    <cellStyle name="Notas 3 16 4 2" xfId="35520"/>
    <cellStyle name="Notas 3 16 5" xfId="29949"/>
    <cellStyle name="Notas 3 16 5 2" xfId="35521"/>
    <cellStyle name="Notas 3 16 6" xfId="29950"/>
    <cellStyle name="Notas 3 16 6 2" xfId="35522"/>
    <cellStyle name="Notas 3 16 7" xfId="29951"/>
    <cellStyle name="Notas 3 16 7 2" xfId="35523"/>
    <cellStyle name="Notas 3 16 8" xfId="29952"/>
    <cellStyle name="Notas 3 16 8 2" xfId="35524"/>
    <cellStyle name="Notas 3 16 9" xfId="29953"/>
    <cellStyle name="Notas 3 16 9 2" xfId="35525"/>
    <cellStyle name="Notas 3 17" xfId="29954"/>
    <cellStyle name="Notas 3 17 10" xfId="29955"/>
    <cellStyle name="Notas 3 17 10 2" xfId="35526"/>
    <cellStyle name="Notas 3 17 11" xfId="29956"/>
    <cellStyle name="Notas 3 17 11 2" xfId="35527"/>
    <cellStyle name="Notas 3 17 12" xfId="29957"/>
    <cellStyle name="Notas 3 17 12 2" xfId="35528"/>
    <cellStyle name="Notas 3 17 13" xfId="29958"/>
    <cellStyle name="Notas 3 17 13 2" xfId="35529"/>
    <cellStyle name="Notas 3 17 14" xfId="35530"/>
    <cellStyle name="Notas 3 17 2" xfId="29959"/>
    <cellStyle name="Notas 3 17 2 2" xfId="35531"/>
    <cellStyle name="Notas 3 17 3" xfId="29960"/>
    <cellStyle name="Notas 3 17 3 2" xfId="35532"/>
    <cellStyle name="Notas 3 17 4" xfId="29961"/>
    <cellStyle name="Notas 3 17 4 2" xfId="35533"/>
    <cellStyle name="Notas 3 17 5" xfId="29962"/>
    <cellStyle name="Notas 3 17 5 2" xfId="35534"/>
    <cellStyle name="Notas 3 17 6" xfId="29963"/>
    <cellStyle name="Notas 3 17 6 2" xfId="35535"/>
    <cellStyle name="Notas 3 17 7" xfId="29964"/>
    <cellStyle name="Notas 3 17 7 2" xfId="35536"/>
    <cellStyle name="Notas 3 17 8" xfId="29965"/>
    <cellStyle name="Notas 3 17 8 2" xfId="35537"/>
    <cellStyle name="Notas 3 17 9" xfId="29966"/>
    <cellStyle name="Notas 3 17 9 2" xfId="35538"/>
    <cellStyle name="Notas 3 18" xfId="29967"/>
    <cellStyle name="Notas 3 18 10" xfId="29968"/>
    <cellStyle name="Notas 3 18 10 2" xfId="35539"/>
    <cellStyle name="Notas 3 18 11" xfId="29969"/>
    <cellStyle name="Notas 3 18 11 2" xfId="35540"/>
    <cellStyle name="Notas 3 18 12" xfId="29970"/>
    <cellStyle name="Notas 3 18 12 2" xfId="35541"/>
    <cellStyle name="Notas 3 18 13" xfId="29971"/>
    <cellStyle name="Notas 3 18 13 2" xfId="35542"/>
    <cellStyle name="Notas 3 18 14" xfId="35543"/>
    <cellStyle name="Notas 3 18 2" xfId="29972"/>
    <cellStyle name="Notas 3 18 2 2" xfId="35544"/>
    <cellStyle name="Notas 3 18 3" xfId="29973"/>
    <cellStyle name="Notas 3 18 3 2" xfId="35545"/>
    <cellStyle name="Notas 3 18 4" xfId="29974"/>
    <cellStyle name="Notas 3 18 4 2" xfId="35546"/>
    <cellStyle name="Notas 3 18 5" xfId="29975"/>
    <cellStyle name="Notas 3 18 5 2" xfId="35547"/>
    <cellStyle name="Notas 3 18 6" xfId="29976"/>
    <cellStyle name="Notas 3 18 6 2" xfId="35548"/>
    <cellStyle name="Notas 3 18 7" xfId="29977"/>
    <cellStyle name="Notas 3 18 7 2" xfId="35549"/>
    <cellStyle name="Notas 3 18 8" xfId="29978"/>
    <cellStyle name="Notas 3 18 8 2" xfId="35550"/>
    <cellStyle name="Notas 3 18 9" xfId="29979"/>
    <cellStyle name="Notas 3 18 9 2" xfId="35551"/>
    <cellStyle name="Notas 3 19" xfId="29980"/>
    <cellStyle name="Notas 3 19 10" xfId="29981"/>
    <cellStyle name="Notas 3 19 10 2" xfId="35552"/>
    <cellStyle name="Notas 3 19 11" xfId="29982"/>
    <cellStyle name="Notas 3 19 11 2" xfId="35553"/>
    <cellStyle name="Notas 3 19 12" xfId="29983"/>
    <cellStyle name="Notas 3 19 12 2" xfId="35554"/>
    <cellStyle name="Notas 3 19 13" xfId="29984"/>
    <cellStyle name="Notas 3 19 13 2" xfId="35555"/>
    <cellStyle name="Notas 3 19 14" xfId="35556"/>
    <cellStyle name="Notas 3 19 2" xfId="29985"/>
    <cellStyle name="Notas 3 19 2 2" xfId="35557"/>
    <cellStyle name="Notas 3 19 3" xfId="29986"/>
    <cellStyle name="Notas 3 19 3 2" xfId="35558"/>
    <cellStyle name="Notas 3 19 4" xfId="29987"/>
    <cellStyle name="Notas 3 19 4 2" xfId="35559"/>
    <cellStyle name="Notas 3 19 5" xfId="29988"/>
    <cellStyle name="Notas 3 19 5 2" xfId="35560"/>
    <cellStyle name="Notas 3 19 6" xfId="29989"/>
    <cellStyle name="Notas 3 19 6 2" xfId="35561"/>
    <cellStyle name="Notas 3 19 7" xfId="29990"/>
    <cellStyle name="Notas 3 19 7 2" xfId="35562"/>
    <cellStyle name="Notas 3 19 8" xfId="29991"/>
    <cellStyle name="Notas 3 19 8 2" xfId="35563"/>
    <cellStyle name="Notas 3 19 9" xfId="29992"/>
    <cellStyle name="Notas 3 19 9 2" xfId="35564"/>
    <cellStyle name="Notas 3 2" xfId="29993"/>
    <cellStyle name="Notas 3 2 10" xfId="29994"/>
    <cellStyle name="Notas 3 2 10 2" xfId="35565"/>
    <cellStyle name="Notas 3 2 11" xfId="29995"/>
    <cellStyle name="Notas 3 2 11 2" xfId="35566"/>
    <cellStyle name="Notas 3 2 12" xfId="29996"/>
    <cellStyle name="Notas 3 2 12 2" xfId="35567"/>
    <cellStyle name="Notas 3 2 13" xfId="29997"/>
    <cellStyle name="Notas 3 2 13 2" xfId="35568"/>
    <cellStyle name="Notas 3 2 14" xfId="35569"/>
    <cellStyle name="Notas 3 2 2" xfId="29998"/>
    <cellStyle name="Notas 3 2 2 2" xfId="35570"/>
    <cellStyle name="Notas 3 2 3" xfId="29999"/>
    <cellStyle name="Notas 3 2 3 2" xfId="35571"/>
    <cellStyle name="Notas 3 2 4" xfId="30000"/>
    <cellStyle name="Notas 3 2 4 2" xfId="35572"/>
    <cellStyle name="Notas 3 2 5" xfId="30001"/>
    <cellStyle name="Notas 3 2 5 2" xfId="35573"/>
    <cellStyle name="Notas 3 2 6" xfId="30002"/>
    <cellStyle name="Notas 3 2 6 2" xfId="35574"/>
    <cellStyle name="Notas 3 2 7" xfId="30003"/>
    <cellStyle name="Notas 3 2 7 2" xfId="35575"/>
    <cellStyle name="Notas 3 2 8" xfId="30004"/>
    <cellStyle name="Notas 3 2 8 2" xfId="35576"/>
    <cellStyle name="Notas 3 2 9" xfId="30005"/>
    <cellStyle name="Notas 3 2 9 2" xfId="35577"/>
    <cellStyle name="Notas 3 20" xfId="30006"/>
    <cellStyle name="Notas 3 20 10" xfId="30007"/>
    <cellStyle name="Notas 3 20 10 2" xfId="35578"/>
    <cellStyle name="Notas 3 20 11" xfId="30008"/>
    <cellStyle name="Notas 3 20 11 2" xfId="35579"/>
    <cellStyle name="Notas 3 20 12" xfId="30009"/>
    <cellStyle name="Notas 3 20 12 2" xfId="35580"/>
    <cellStyle name="Notas 3 20 13" xfId="30010"/>
    <cellStyle name="Notas 3 20 13 2" xfId="35581"/>
    <cellStyle name="Notas 3 20 14" xfId="35582"/>
    <cellStyle name="Notas 3 20 2" xfId="30011"/>
    <cellStyle name="Notas 3 20 2 2" xfId="35583"/>
    <cellStyle name="Notas 3 20 3" xfId="30012"/>
    <cellStyle name="Notas 3 20 3 2" xfId="35584"/>
    <cellStyle name="Notas 3 20 4" xfId="30013"/>
    <cellStyle name="Notas 3 20 4 2" xfId="35585"/>
    <cellStyle name="Notas 3 20 5" xfId="30014"/>
    <cellStyle name="Notas 3 20 5 2" xfId="35586"/>
    <cellStyle name="Notas 3 20 6" xfId="30015"/>
    <cellStyle name="Notas 3 20 6 2" xfId="35587"/>
    <cellStyle name="Notas 3 20 7" xfId="30016"/>
    <cellStyle name="Notas 3 20 7 2" xfId="35588"/>
    <cellStyle name="Notas 3 20 8" xfId="30017"/>
    <cellStyle name="Notas 3 20 8 2" xfId="35589"/>
    <cellStyle name="Notas 3 20 9" xfId="30018"/>
    <cellStyle name="Notas 3 20 9 2" xfId="35590"/>
    <cellStyle name="Notas 3 21" xfId="30019"/>
    <cellStyle name="Notas 3 21 10" xfId="30020"/>
    <cellStyle name="Notas 3 21 10 2" xfId="35591"/>
    <cellStyle name="Notas 3 21 11" xfId="30021"/>
    <cellStyle name="Notas 3 21 11 2" xfId="35592"/>
    <cellStyle name="Notas 3 21 12" xfId="30022"/>
    <cellStyle name="Notas 3 21 12 2" xfId="35593"/>
    <cellStyle name="Notas 3 21 13" xfId="30023"/>
    <cellStyle name="Notas 3 21 13 2" xfId="35594"/>
    <cellStyle name="Notas 3 21 14" xfId="35595"/>
    <cellStyle name="Notas 3 21 2" xfId="30024"/>
    <cellStyle name="Notas 3 21 2 2" xfId="35596"/>
    <cellStyle name="Notas 3 21 3" xfId="30025"/>
    <cellStyle name="Notas 3 21 3 2" xfId="35597"/>
    <cellStyle name="Notas 3 21 4" xfId="30026"/>
    <cellStyle name="Notas 3 21 4 2" xfId="35598"/>
    <cellStyle name="Notas 3 21 5" xfId="30027"/>
    <cellStyle name="Notas 3 21 5 2" xfId="35599"/>
    <cellStyle name="Notas 3 21 6" xfId="30028"/>
    <cellStyle name="Notas 3 21 6 2" xfId="35600"/>
    <cellStyle name="Notas 3 21 7" xfId="30029"/>
    <cellStyle name="Notas 3 21 7 2" xfId="35601"/>
    <cellStyle name="Notas 3 21 8" xfId="30030"/>
    <cellStyle name="Notas 3 21 8 2" xfId="35602"/>
    <cellStyle name="Notas 3 21 9" xfId="30031"/>
    <cellStyle name="Notas 3 21 9 2" xfId="35603"/>
    <cellStyle name="Notas 3 22" xfId="30032"/>
    <cellStyle name="Notas 3 22 10" xfId="30033"/>
    <cellStyle name="Notas 3 22 10 2" xfId="35604"/>
    <cellStyle name="Notas 3 22 11" xfId="30034"/>
    <cellStyle name="Notas 3 22 11 2" xfId="35605"/>
    <cellStyle name="Notas 3 22 12" xfId="30035"/>
    <cellStyle name="Notas 3 22 12 2" xfId="35606"/>
    <cellStyle name="Notas 3 22 13" xfId="30036"/>
    <cellStyle name="Notas 3 22 13 2" xfId="35607"/>
    <cellStyle name="Notas 3 22 14" xfId="35608"/>
    <cellStyle name="Notas 3 22 2" xfId="30037"/>
    <cellStyle name="Notas 3 22 2 2" xfId="35609"/>
    <cellStyle name="Notas 3 22 3" xfId="30038"/>
    <cellStyle name="Notas 3 22 3 2" xfId="35610"/>
    <cellStyle name="Notas 3 22 4" xfId="30039"/>
    <cellStyle name="Notas 3 22 4 2" xfId="35611"/>
    <cellStyle name="Notas 3 22 5" xfId="30040"/>
    <cellStyle name="Notas 3 22 5 2" xfId="35612"/>
    <cellStyle name="Notas 3 22 6" xfId="30041"/>
    <cellStyle name="Notas 3 22 6 2" xfId="35613"/>
    <cellStyle name="Notas 3 22 7" xfId="30042"/>
    <cellStyle name="Notas 3 22 7 2" xfId="35614"/>
    <cellStyle name="Notas 3 22 8" xfId="30043"/>
    <cellStyle name="Notas 3 22 8 2" xfId="35615"/>
    <cellStyle name="Notas 3 22 9" xfId="30044"/>
    <cellStyle name="Notas 3 22 9 2" xfId="35616"/>
    <cellStyle name="Notas 3 23" xfId="30045"/>
    <cellStyle name="Notas 3 23 10" xfId="30046"/>
    <cellStyle name="Notas 3 23 10 2" xfId="35617"/>
    <cellStyle name="Notas 3 23 11" xfId="30047"/>
    <cellStyle name="Notas 3 23 11 2" xfId="35618"/>
    <cellStyle name="Notas 3 23 12" xfId="30048"/>
    <cellStyle name="Notas 3 23 12 2" xfId="35619"/>
    <cellStyle name="Notas 3 23 13" xfId="30049"/>
    <cellStyle name="Notas 3 23 13 2" xfId="35620"/>
    <cellStyle name="Notas 3 23 14" xfId="35621"/>
    <cellStyle name="Notas 3 23 2" xfId="30050"/>
    <cellStyle name="Notas 3 23 2 2" xfId="35622"/>
    <cellStyle name="Notas 3 23 3" xfId="30051"/>
    <cellStyle name="Notas 3 23 3 2" xfId="35623"/>
    <cellStyle name="Notas 3 23 4" xfId="30052"/>
    <cellStyle name="Notas 3 23 4 2" xfId="35624"/>
    <cellStyle name="Notas 3 23 5" xfId="30053"/>
    <cellStyle name="Notas 3 23 5 2" xfId="35625"/>
    <cellStyle name="Notas 3 23 6" xfId="30054"/>
    <cellStyle name="Notas 3 23 6 2" xfId="35626"/>
    <cellStyle name="Notas 3 23 7" xfId="30055"/>
    <cellStyle name="Notas 3 23 7 2" xfId="35627"/>
    <cellStyle name="Notas 3 23 8" xfId="30056"/>
    <cellStyle name="Notas 3 23 8 2" xfId="35628"/>
    <cellStyle name="Notas 3 23 9" xfId="30057"/>
    <cellStyle name="Notas 3 23 9 2" xfId="35629"/>
    <cellStyle name="Notas 3 24" xfId="30058"/>
    <cellStyle name="Notas 3 24 10" xfId="30059"/>
    <cellStyle name="Notas 3 24 10 2" xfId="35630"/>
    <cellStyle name="Notas 3 24 11" xfId="30060"/>
    <cellStyle name="Notas 3 24 11 2" xfId="35631"/>
    <cellStyle name="Notas 3 24 12" xfId="30061"/>
    <cellStyle name="Notas 3 24 12 2" xfId="35632"/>
    <cellStyle name="Notas 3 24 13" xfId="30062"/>
    <cellStyle name="Notas 3 24 13 2" xfId="35633"/>
    <cellStyle name="Notas 3 24 14" xfId="35634"/>
    <cellStyle name="Notas 3 24 2" xfId="30063"/>
    <cellStyle name="Notas 3 24 2 2" xfId="35635"/>
    <cellStyle name="Notas 3 24 3" xfId="30064"/>
    <cellStyle name="Notas 3 24 3 2" xfId="35636"/>
    <cellStyle name="Notas 3 24 4" xfId="30065"/>
    <cellStyle name="Notas 3 24 4 2" xfId="35637"/>
    <cellStyle name="Notas 3 24 5" xfId="30066"/>
    <cellStyle name="Notas 3 24 5 2" xfId="35638"/>
    <cellStyle name="Notas 3 24 6" xfId="30067"/>
    <cellStyle name="Notas 3 24 6 2" xfId="35639"/>
    <cellStyle name="Notas 3 24 7" xfId="30068"/>
    <cellStyle name="Notas 3 24 7 2" xfId="35640"/>
    <cellStyle name="Notas 3 24 8" xfId="30069"/>
    <cellStyle name="Notas 3 24 8 2" xfId="35641"/>
    <cellStyle name="Notas 3 24 9" xfId="30070"/>
    <cellStyle name="Notas 3 24 9 2" xfId="35642"/>
    <cellStyle name="Notas 3 25" xfId="30071"/>
    <cellStyle name="Notas 3 25 10" xfId="30072"/>
    <cellStyle name="Notas 3 25 10 2" xfId="35643"/>
    <cellStyle name="Notas 3 25 11" xfId="30073"/>
    <cellStyle name="Notas 3 25 11 2" xfId="35644"/>
    <cellStyle name="Notas 3 25 12" xfId="30074"/>
    <cellStyle name="Notas 3 25 12 2" xfId="35645"/>
    <cellStyle name="Notas 3 25 13" xfId="30075"/>
    <cellStyle name="Notas 3 25 13 2" xfId="35646"/>
    <cellStyle name="Notas 3 25 14" xfId="35647"/>
    <cellStyle name="Notas 3 25 2" xfId="30076"/>
    <cellStyle name="Notas 3 25 2 2" xfId="35648"/>
    <cellStyle name="Notas 3 25 3" xfId="30077"/>
    <cellStyle name="Notas 3 25 3 2" xfId="35649"/>
    <cellStyle name="Notas 3 25 4" xfId="30078"/>
    <cellStyle name="Notas 3 25 4 2" xfId="35650"/>
    <cellStyle name="Notas 3 25 5" xfId="30079"/>
    <cellStyle name="Notas 3 25 5 2" xfId="35651"/>
    <cellStyle name="Notas 3 25 6" xfId="30080"/>
    <cellStyle name="Notas 3 25 6 2" xfId="35652"/>
    <cellStyle name="Notas 3 25 7" xfId="30081"/>
    <cellStyle name="Notas 3 25 7 2" xfId="35653"/>
    <cellStyle name="Notas 3 25 8" xfId="30082"/>
    <cellStyle name="Notas 3 25 8 2" xfId="35654"/>
    <cellStyle name="Notas 3 25 9" xfId="30083"/>
    <cellStyle name="Notas 3 25 9 2" xfId="35655"/>
    <cellStyle name="Notas 3 26" xfId="30084"/>
    <cellStyle name="Notas 3 26 10" xfId="30085"/>
    <cellStyle name="Notas 3 26 10 2" xfId="35656"/>
    <cellStyle name="Notas 3 26 11" xfId="30086"/>
    <cellStyle name="Notas 3 26 11 2" xfId="35657"/>
    <cellStyle name="Notas 3 26 12" xfId="30087"/>
    <cellStyle name="Notas 3 26 12 2" xfId="35658"/>
    <cellStyle name="Notas 3 26 13" xfId="30088"/>
    <cellStyle name="Notas 3 26 13 2" xfId="35659"/>
    <cellStyle name="Notas 3 26 14" xfId="35660"/>
    <cellStyle name="Notas 3 26 2" xfId="30089"/>
    <cellStyle name="Notas 3 26 2 2" xfId="35661"/>
    <cellStyle name="Notas 3 26 3" xfId="30090"/>
    <cellStyle name="Notas 3 26 3 2" xfId="35662"/>
    <cellStyle name="Notas 3 26 4" xfId="30091"/>
    <cellStyle name="Notas 3 26 4 2" xfId="35663"/>
    <cellStyle name="Notas 3 26 5" xfId="30092"/>
    <cellStyle name="Notas 3 26 5 2" xfId="35664"/>
    <cellStyle name="Notas 3 26 6" xfId="30093"/>
    <cellStyle name="Notas 3 26 6 2" xfId="35665"/>
    <cellStyle name="Notas 3 26 7" xfId="30094"/>
    <cellStyle name="Notas 3 26 7 2" xfId="35666"/>
    <cellStyle name="Notas 3 26 8" xfId="30095"/>
    <cellStyle name="Notas 3 26 8 2" xfId="35667"/>
    <cellStyle name="Notas 3 26 9" xfId="30096"/>
    <cellStyle name="Notas 3 26 9 2" xfId="35668"/>
    <cellStyle name="Notas 3 27" xfId="30097"/>
    <cellStyle name="Notas 3 27 10" xfId="30098"/>
    <cellStyle name="Notas 3 27 10 2" xfId="35669"/>
    <cellStyle name="Notas 3 27 11" xfId="30099"/>
    <cellStyle name="Notas 3 27 11 2" xfId="35670"/>
    <cellStyle name="Notas 3 27 12" xfId="30100"/>
    <cellStyle name="Notas 3 27 12 2" xfId="35671"/>
    <cellStyle name="Notas 3 27 13" xfId="30101"/>
    <cellStyle name="Notas 3 27 13 2" xfId="35672"/>
    <cellStyle name="Notas 3 27 14" xfId="35673"/>
    <cellStyle name="Notas 3 27 2" xfId="30102"/>
    <cellStyle name="Notas 3 27 2 2" xfId="35674"/>
    <cellStyle name="Notas 3 27 3" xfId="30103"/>
    <cellStyle name="Notas 3 27 3 2" xfId="35675"/>
    <cellStyle name="Notas 3 27 4" xfId="30104"/>
    <cellStyle name="Notas 3 27 4 2" xfId="35676"/>
    <cellStyle name="Notas 3 27 5" xfId="30105"/>
    <cellStyle name="Notas 3 27 5 2" xfId="35677"/>
    <cellStyle name="Notas 3 27 6" xfId="30106"/>
    <cellStyle name="Notas 3 27 6 2" xfId="35678"/>
    <cellStyle name="Notas 3 27 7" xfId="30107"/>
    <cellStyle name="Notas 3 27 7 2" xfId="35679"/>
    <cellStyle name="Notas 3 27 8" xfId="30108"/>
    <cellStyle name="Notas 3 27 8 2" xfId="35680"/>
    <cellStyle name="Notas 3 27 9" xfId="30109"/>
    <cellStyle name="Notas 3 27 9 2" xfId="35681"/>
    <cellStyle name="Notas 3 28" xfId="30110"/>
    <cellStyle name="Notas 3 28 10" xfId="30111"/>
    <cellStyle name="Notas 3 28 10 2" xfId="35682"/>
    <cellStyle name="Notas 3 28 11" xfId="30112"/>
    <cellStyle name="Notas 3 28 11 2" xfId="35683"/>
    <cellStyle name="Notas 3 28 12" xfId="30113"/>
    <cellStyle name="Notas 3 28 12 2" xfId="35684"/>
    <cellStyle name="Notas 3 28 13" xfId="30114"/>
    <cellStyle name="Notas 3 28 13 2" xfId="35685"/>
    <cellStyle name="Notas 3 28 14" xfId="35686"/>
    <cellStyle name="Notas 3 28 2" xfId="30115"/>
    <cellStyle name="Notas 3 28 2 2" xfId="35687"/>
    <cellStyle name="Notas 3 28 3" xfId="30116"/>
    <cellStyle name="Notas 3 28 3 2" xfId="35688"/>
    <cellStyle name="Notas 3 28 4" xfId="30117"/>
    <cellStyle name="Notas 3 28 4 2" xfId="35689"/>
    <cellStyle name="Notas 3 28 5" xfId="30118"/>
    <cellStyle name="Notas 3 28 5 2" xfId="35690"/>
    <cellStyle name="Notas 3 28 6" xfId="30119"/>
    <cellStyle name="Notas 3 28 6 2" xfId="35691"/>
    <cellStyle name="Notas 3 28 7" xfId="30120"/>
    <cellStyle name="Notas 3 28 7 2" xfId="35692"/>
    <cellStyle name="Notas 3 28 8" xfId="30121"/>
    <cellStyle name="Notas 3 28 8 2" xfId="35693"/>
    <cellStyle name="Notas 3 28 9" xfId="30122"/>
    <cellStyle name="Notas 3 28 9 2" xfId="35694"/>
    <cellStyle name="Notas 3 29" xfId="30123"/>
    <cellStyle name="Notas 3 29 10" xfId="30124"/>
    <cellStyle name="Notas 3 29 10 2" xfId="35695"/>
    <cellStyle name="Notas 3 29 11" xfId="30125"/>
    <cellStyle name="Notas 3 29 11 2" xfId="35696"/>
    <cellStyle name="Notas 3 29 12" xfId="30126"/>
    <cellStyle name="Notas 3 29 12 2" xfId="35697"/>
    <cellStyle name="Notas 3 29 13" xfId="30127"/>
    <cellStyle name="Notas 3 29 13 2" xfId="35698"/>
    <cellStyle name="Notas 3 29 14" xfId="35699"/>
    <cellStyle name="Notas 3 29 2" xfId="30128"/>
    <cellStyle name="Notas 3 29 2 2" xfId="35700"/>
    <cellStyle name="Notas 3 29 3" xfId="30129"/>
    <cellStyle name="Notas 3 29 3 2" xfId="35701"/>
    <cellStyle name="Notas 3 29 4" xfId="30130"/>
    <cellStyle name="Notas 3 29 4 2" xfId="35702"/>
    <cellStyle name="Notas 3 29 5" xfId="30131"/>
    <cellStyle name="Notas 3 29 5 2" xfId="35703"/>
    <cellStyle name="Notas 3 29 6" xfId="30132"/>
    <cellStyle name="Notas 3 29 6 2" xfId="35704"/>
    <cellStyle name="Notas 3 29 7" xfId="30133"/>
    <cellStyle name="Notas 3 29 7 2" xfId="35705"/>
    <cellStyle name="Notas 3 29 8" xfId="30134"/>
    <cellStyle name="Notas 3 29 8 2" xfId="35706"/>
    <cellStyle name="Notas 3 29 9" xfId="30135"/>
    <cellStyle name="Notas 3 29 9 2" xfId="35707"/>
    <cellStyle name="Notas 3 3" xfId="30136"/>
    <cellStyle name="Notas 3 3 10" xfId="30137"/>
    <cellStyle name="Notas 3 3 10 2" xfId="35708"/>
    <cellStyle name="Notas 3 3 11" xfId="30138"/>
    <cellStyle name="Notas 3 3 11 2" xfId="35709"/>
    <cellStyle name="Notas 3 3 12" xfId="30139"/>
    <cellStyle name="Notas 3 3 12 2" xfId="35710"/>
    <cellStyle name="Notas 3 3 13" xfId="30140"/>
    <cellStyle name="Notas 3 3 13 2" xfId="35711"/>
    <cellStyle name="Notas 3 3 14" xfId="35712"/>
    <cellStyle name="Notas 3 3 2" xfId="30141"/>
    <cellStyle name="Notas 3 3 2 2" xfId="35713"/>
    <cellStyle name="Notas 3 3 3" xfId="30142"/>
    <cellStyle name="Notas 3 3 3 2" xfId="35714"/>
    <cellStyle name="Notas 3 3 4" xfId="30143"/>
    <cellStyle name="Notas 3 3 4 2" xfId="35715"/>
    <cellStyle name="Notas 3 3 5" xfId="30144"/>
    <cellStyle name="Notas 3 3 5 2" xfId="35716"/>
    <cellStyle name="Notas 3 3 6" xfId="30145"/>
    <cellStyle name="Notas 3 3 6 2" xfId="35717"/>
    <cellStyle name="Notas 3 3 7" xfId="30146"/>
    <cellStyle name="Notas 3 3 7 2" xfId="35718"/>
    <cellStyle name="Notas 3 3 8" xfId="30147"/>
    <cellStyle name="Notas 3 3 8 2" xfId="35719"/>
    <cellStyle name="Notas 3 3 9" xfId="30148"/>
    <cellStyle name="Notas 3 3 9 2" xfId="35720"/>
    <cellStyle name="Notas 3 30" xfId="30149"/>
    <cellStyle name="Notas 3 30 10" xfId="30150"/>
    <cellStyle name="Notas 3 30 10 2" xfId="35721"/>
    <cellStyle name="Notas 3 30 11" xfId="30151"/>
    <cellStyle name="Notas 3 30 11 2" xfId="35722"/>
    <cellStyle name="Notas 3 30 12" xfId="30152"/>
    <cellStyle name="Notas 3 30 12 2" xfId="35723"/>
    <cellStyle name="Notas 3 30 13" xfId="30153"/>
    <cellStyle name="Notas 3 30 13 2" xfId="35724"/>
    <cellStyle name="Notas 3 30 14" xfId="35725"/>
    <cellStyle name="Notas 3 30 2" xfId="30154"/>
    <cellStyle name="Notas 3 30 2 2" xfId="35726"/>
    <cellStyle name="Notas 3 30 3" xfId="30155"/>
    <cellStyle name="Notas 3 30 3 2" xfId="35727"/>
    <cellStyle name="Notas 3 30 4" xfId="30156"/>
    <cellStyle name="Notas 3 30 4 2" xfId="35728"/>
    <cellStyle name="Notas 3 30 5" xfId="30157"/>
    <cellStyle name="Notas 3 30 5 2" xfId="35729"/>
    <cellStyle name="Notas 3 30 6" xfId="30158"/>
    <cellStyle name="Notas 3 30 6 2" xfId="35730"/>
    <cellStyle name="Notas 3 30 7" xfId="30159"/>
    <cellStyle name="Notas 3 30 7 2" xfId="35731"/>
    <cellStyle name="Notas 3 30 8" xfId="30160"/>
    <cellStyle name="Notas 3 30 8 2" xfId="35732"/>
    <cellStyle name="Notas 3 30 9" xfId="30161"/>
    <cellStyle name="Notas 3 30 9 2" xfId="35733"/>
    <cellStyle name="Notas 3 31" xfId="30162"/>
    <cellStyle name="Notas 3 31 10" xfId="30163"/>
    <cellStyle name="Notas 3 31 10 2" xfId="35734"/>
    <cellStyle name="Notas 3 31 11" xfId="30164"/>
    <cellStyle name="Notas 3 31 11 2" xfId="35735"/>
    <cellStyle name="Notas 3 31 12" xfId="30165"/>
    <cellStyle name="Notas 3 31 12 2" xfId="35736"/>
    <cellStyle name="Notas 3 31 13" xfId="30166"/>
    <cellStyle name="Notas 3 31 13 2" xfId="35737"/>
    <cellStyle name="Notas 3 31 14" xfId="35738"/>
    <cellStyle name="Notas 3 31 2" xfId="30167"/>
    <cellStyle name="Notas 3 31 2 2" xfId="35739"/>
    <cellStyle name="Notas 3 31 3" xfId="30168"/>
    <cellStyle name="Notas 3 31 3 2" xfId="35740"/>
    <cellStyle name="Notas 3 31 4" xfId="30169"/>
    <cellStyle name="Notas 3 31 4 2" xfId="35741"/>
    <cellStyle name="Notas 3 31 5" xfId="30170"/>
    <cellStyle name="Notas 3 31 5 2" xfId="35742"/>
    <cellStyle name="Notas 3 31 6" xfId="30171"/>
    <cellStyle name="Notas 3 31 6 2" xfId="35743"/>
    <cellStyle name="Notas 3 31 7" xfId="30172"/>
    <cellStyle name="Notas 3 31 7 2" xfId="35744"/>
    <cellStyle name="Notas 3 31 8" xfId="30173"/>
    <cellStyle name="Notas 3 31 8 2" xfId="35745"/>
    <cellStyle name="Notas 3 31 9" xfId="30174"/>
    <cellStyle name="Notas 3 31 9 2" xfId="35746"/>
    <cellStyle name="Notas 3 32" xfId="30175"/>
    <cellStyle name="Notas 3 32 10" xfId="30176"/>
    <cellStyle name="Notas 3 32 10 2" xfId="35747"/>
    <cellStyle name="Notas 3 32 11" xfId="30177"/>
    <cellStyle name="Notas 3 32 11 2" xfId="35748"/>
    <cellStyle name="Notas 3 32 12" xfId="30178"/>
    <cellStyle name="Notas 3 32 12 2" xfId="35749"/>
    <cellStyle name="Notas 3 32 13" xfId="30179"/>
    <cellStyle name="Notas 3 32 13 2" xfId="35750"/>
    <cellStyle name="Notas 3 32 14" xfId="35751"/>
    <cellStyle name="Notas 3 32 2" xfId="30180"/>
    <cellStyle name="Notas 3 32 2 2" xfId="35752"/>
    <cellStyle name="Notas 3 32 3" xfId="30181"/>
    <cellStyle name="Notas 3 32 3 2" xfId="35753"/>
    <cellStyle name="Notas 3 32 4" xfId="30182"/>
    <cellStyle name="Notas 3 32 4 2" xfId="35754"/>
    <cellStyle name="Notas 3 32 5" xfId="30183"/>
    <cellStyle name="Notas 3 32 5 2" xfId="35755"/>
    <cellStyle name="Notas 3 32 6" xfId="30184"/>
    <cellStyle name="Notas 3 32 6 2" xfId="35756"/>
    <cellStyle name="Notas 3 32 7" xfId="30185"/>
    <cellStyle name="Notas 3 32 7 2" xfId="35757"/>
    <cellStyle name="Notas 3 32 8" xfId="30186"/>
    <cellStyle name="Notas 3 32 8 2" xfId="35758"/>
    <cellStyle name="Notas 3 32 9" xfId="30187"/>
    <cellStyle name="Notas 3 32 9 2" xfId="35759"/>
    <cellStyle name="Notas 3 33" xfId="30188"/>
    <cellStyle name="Notas 3 33 10" xfId="30189"/>
    <cellStyle name="Notas 3 33 10 2" xfId="35760"/>
    <cellStyle name="Notas 3 33 11" xfId="30190"/>
    <cellStyle name="Notas 3 33 11 2" xfId="35761"/>
    <cellStyle name="Notas 3 33 12" xfId="30191"/>
    <cellStyle name="Notas 3 33 12 2" xfId="35762"/>
    <cellStyle name="Notas 3 33 13" xfId="30192"/>
    <cellStyle name="Notas 3 33 13 2" xfId="35763"/>
    <cellStyle name="Notas 3 33 14" xfId="35764"/>
    <cellStyle name="Notas 3 33 2" xfId="30193"/>
    <cellStyle name="Notas 3 33 2 2" xfId="35765"/>
    <cellStyle name="Notas 3 33 3" xfId="30194"/>
    <cellStyle name="Notas 3 33 3 2" xfId="35766"/>
    <cellStyle name="Notas 3 33 4" xfId="30195"/>
    <cellStyle name="Notas 3 33 4 2" xfId="35767"/>
    <cellStyle name="Notas 3 33 5" xfId="30196"/>
    <cellStyle name="Notas 3 33 5 2" xfId="35768"/>
    <cellStyle name="Notas 3 33 6" xfId="30197"/>
    <cellStyle name="Notas 3 33 6 2" xfId="35769"/>
    <cellStyle name="Notas 3 33 7" xfId="30198"/>
    <cellStyle name="Notas 3 33 7 2" xfId="35770"/>
    <cellStyle name="Notas 3 33 8" xfId="30199"/>
    <cellStyle name="Notas 3 33 8 2" xfId="35771"/>
    <cellStyle name="Notas 3 33 9" xfId="30200"/>
    <cellStyle name="Notas 3 33 9 2" xfId="35772"/>
    <cellStyle name="Notas 3 34" xfId="30201"/>
    <cellStyle name="Notas 3 34 10" xfId="30202"/>
    <cellStyle name="Notas 3 34 10 2" xfId="35773"/>
    <cellStyle name="Notas 3 34 11" xfId="30203"/>
    <cellStyle name="Notas 3 34 11 2" xfId="35774"/>
    <cellStyle name="Notas 3 34 12" xfId="30204"/>
    <cellStyle name="Notas 3 34 12 2" xfId="35775"/>
    <cellStyle name="Notas 3 34 13" xfId="30205"/>
    <cellStyle name="Notas 3 34 13 2" xfId="35776"/>
    <cellStyle name="Notas 3 34 14" xfId="35777"/>
    <cellStyle name="Notas 3 34 2" xfId="30206"/>
    <cellStyle name="Notas 3 34 2 2" xfId="35778"/>
    <cellStyle name="Notas 3 34 3" xfId="30207"/>
    <cellStyle name="Notas 3 34 3 2" xfId="35779"/>
    <cellStyle name="Notas 3 34 4" xfId="30208"/>
    <cellStyle name="Notas 3 34 4 2" xfId="35780"/>
    <cellStyle name="Notas 3 34 5" xfId="30209"/>
    <cellStyle name="Notas 3 34 5 2" xfId="35781"/>
    <cellStyle name="Notas 3 34 6" xfId="30210"/>
    <cellStyle name="Notas 3 34 6 2" xfId="35782"/>
    <cellStyle name="Notas 3 34 7" xfId="30211"/>
    <cellStyle name="Notas 3 34 7 2" xfId="35783"/>
    <cellStyle name="Notas 3 34 8" xfId="30212"/>
    <cellStyle name="Notas 3 34 8 2" xfId="35784"/>
    <cellStyle name="Notas 3 34 9" xfId="30213"/>
    <cellStyle name="Notas 3 34 9 2" xfId="35785"/>
    <cellStyle name="Notas 3 35" xfId="30214"/>
    <cellStyle name="Notas 3 35 10" xfId="30215"/>
    <cellStyle name="Notas 3 35 10 2" xfId="35786"/>
    <cellStyle name="Notas 3 35 11" xfId="30216"/>
    <cellStyle name="Notas 3 35 11 2" xfId="35787"/>
    <cellStyle name="Notas 3 35 12" xfId="30217"/>
    <cellStyle name="Notas 3 35 12 2" xfId="35788"/>
    <cellStyle name="Notas 3 35 13" xfId="30218"/>
    <cellStyle name="Notas 3 35 13 2" xfId="35789"/>
    <cellStyle name="Notas 3 35 14" xfId="35790"/>
    <cellStyle name="Notas 3 35 2" xfId="30219"/>
    <cellStyle name="Notas 3 35 2 2" xfId="35791"/>
    <cellStyle name="Notas 3 35 3" xfId="30220"/>
    <cellStyle name="Notas 3 35 3 2" xfId="35792"/>
    <cellStyle name="Notas 3 35 4" xfId="30221"/>
    <cellStyle name="Notas 3 35 4 2" xfId="35793"/>
    <cellStyle name="Notas 3 35 5" xfId="30222"/>
    <cellStyle name="Notas 3 35 5 2" xfId="35794"/>
    <cellStyle name="Notas 3 35 6" xfId="30223"/>
    <cellStyle name="Notas 3 35 6 2" xfId="35795"/>
    <cellStyle name="Notas 3 35 7" xfId="30224"/>
    <cellStyle name="Notas 3 35 7 2" xfId="35796"/>
    <cellStyle name="Notas 3 35 8" xfId="30225"/>
    <cellStyle name="Notas 3 35 8 2" xfId="35797"/>
    <cellStyle name="Notas 3 35 9" xfId="30226"/>
    <cellStyle name="Notas 3 35 9 2" xfId="35798"/>
    <cellStyle name="Notas 3 36" xfId="30227"/>
    <cellStyle name="Notas 3 36 10" xfId="30228"/>
    <cellStyle name="Notas 3 36 10 2" xfId="35799"/>
    <cellStyle name="Notas 3 36 11" xfId="30229"/>
    <cellStyle name="Notas 3 36 11 2" xfId="35800"/>
    <cellStyle name="Notas 3 36 12" xfId="30230"/>
    <cellStyle name="Notas 3 36 12 2" xfId="35801"/>
    <cellStyle name="Notas 3 36 13" xfId="30231"/>
    <cellStyle name="Notas 3 36 13 2" xfId="35802"/>
    <cellStyle name="Notas 3 36 14" xfId="35803"/>
    <cellStyle name="Notas 3 36 2" xfId="30232"/>
    <cellStyle name="Notas 3 36 2 2" xfId="35804"/>
    <cellStyle name="Notas 3 36 3" xfId="30233"/>
    <cellStyle name="Notas 3 36 3 2" xfId="35805"/>
    <cellStyle name="Notas 3 36 4" xfId="30234"/>
    <cellStyle name="Notas 3 36 4 2" xfId="35806"/>
    <cellStyle name="Notas 3 36 5" xfId="30235"/>
    <cellStyle name="Notas 3 36 5 2" xfId="35807"/>
    <cellStyle name="Notas 3 36 6" xfId="30236"/>
    <cellStyle name="Notas 3 36 6 2" xfId="35808"/>
    <cellStyle name="Notas 3 36 7" xfId="30237"/>
    <cellStyle name="Notas 3 36 7 2" xfId="35809"/>
    <cellStyle name="Notas 3 36 8" xfId="30238"/>
    <cellStyle name="Notas 3 36 8 2" xfId="35810"/>
    <cellStyle name="Notas 3 36 9" xfId="30239"/>
    <cellStyle name="Notas 3 36 9 2" xfId="35811"/>
    <cellStyle name="Notas 3 37" xfId="30240"/>
    <cellStyle name="Notas 3 37 10" xfId="30241"/>
    <cellStyle name="Notas 3 37 10 2" xfId="35812"/>
    <cellStyle name="Notas 3 37 11" xfId="30242"/>
    <cellStyle name="Notas 3 37 11 2" xfId="35813"/>
    <cellStyle name="Notas 3 37 12" xfId="30243"/>
    <cellStyle name="Notas 3 37 12 2" xfId="35814"/>
    <cellStyle name="Notas 3 37 13" xfId="30244"/>
    <cellStyle name="Notas 3 37 13 2" xfId="35815"/>
    <cellStyle name="Notas 3 37 14" xfId="35816"/>
    <cellStyle name="Notas 3 37 2" xfId="30245"/>
    <cellStyle name="Notas 3 37 2 2" xfId="35817"/>
    <cellStyle name="Notas 3 37 3" xfId="30246"/>
    <cellStyle name="Notas 3 37 3 2" xfId="35818"/>
    <cellStyle name="Notas 3 37 4" xfId="30247"/>
    <cellStyle name="Notas 3 37 4 2" xfId="35819"/>
    <cellStyle name="Notas 3 37 5" xfId="30248"/>
    <cellStyle name="Notas 3 37 5 2" xfId="35820"/>
    <cellStyle name="Notas 3 37 6" xfId="30249"/>
    <cellStyle name="Notas 3 37 6 2" xfId="35821"/>
    <cellStyle name="Notas 3 37 7" xfId="30250"/>
    <cellStyle name="Notas 3 37 7 2" xfId="35822"/>
    <cellStyle name="Notas 3 37 8" xfId="30251"/>
    <cellStyle name="Notas 3 37 8 2" xfId="35823"/>
    <cellStyle name="Notas 3 37 9" xfId="30252"/>
    <cellStyle name="Notas 3 37 9 2" xfId="35824"/>
    <cellStyle name="Notas 3 38" xfId="30253"/>
    <cellStyle name="Notas 3 38 10" xfId="30254"/>
    <cellStyle name="Notas 3 38 10 2" xfId="35825"/>
    <cellStyle name="Notas 3 38 11" xfId="30255"/>
    <cellStyle name="Notas 3 38 11 2" xfId="35826"/>
    <cellStyle name="Notas 3 38 12" xfId="30256"/>
    <cellStyle name="Notas 3 38 12 2" xfId="35827"/>
    <cellStyle name="Notas 3 38 13" xfId="30257"/>
    <cellStyle name="Notas 3 38 13 2" xfId="35828"/>
    <cellStyle name="Notas 3 38 14" xfId="35829"/>
    <cellStyle name="Notas 3 38 2" xfId="30258"/>
    <cellStyle name="Notas 3 38 2 2" xfId="35830"/>
    <cellStyle name="Notas 3 38 3" xfId="30259"/>
    <cellStyle name="Notas 3 38 3 2" xfId="35831"/>
    <cellStyle name="Notas 3 38 4" xfId="30260"/>
    <cellStyle name="Notas 3 38 4 2" xfId="35832"/>
    <cellStyle name="Notas 3 38 5" xfId="30261"/>
    <cellStyle name="Notas 3 38 5 2" xfId="35833"/>
    <cellStyle name="Notas 3 38 6" xfId="30262"/>
    <cellStyle name="Notas 3 38 6 2" xfId="35834"/>
    <cellStyle name="Notas 3 38 7" xfId="30263"/>
    <cellStyle name="Notas 3 38 7 2" xfId="35835"/>
    <cellStyle name="Notas 3 38 8" xfId="30264"/>
    <cellStyle name="Notas 3 38 8 2" xfId="35836"/>
    <cellStyle name="Notas 3 38 9" xfId="30265"/>
    <cellStyle name="Notas 3 38 9 2" xfId="35837"/>
    <cellStyle name="Notas 3 39" xfId="30266"/>
    <cellStyle name="Notas 3 39 10" xfId="30267"/>
    <cellStyle name="Notas 3 39 10 2" xfId="35838"/>
    <cellStyle name="Notas 3 39 11" xfId="30268"/>
    <cellStyle name="Notas 3 39 11 2" xfId="35839"/>
    <cellStyle name="Notas 3 39 12" xfId="30269"/>
    <cellStyle name="Notas 3 39 12 2" xfId="35840"/>
    <cellStyle name="Notas 3 39 13" xfId="30270"/>
    <cellStyle name="Notas 3 39 13 2" xfId="35841"/>
    <cellStyle name="Notas 3 39 14" xfId="35842"/>
    <cellStyle name="Notas 3 39 2" xfId="30271"/>
    <cellStyle name="Notas 3 39 2 2" xfId="35843"/>
    <cellStyle name="Notas 3 39 3" xfId="30272"/>
    <cellStyle name="Notas 3 39 3 2" xfId="35844"/>
    <cellStyle name="Notas 3 39 4" xfId="30273"/>
    <cellStyle name="Notas 3 39 4 2" xfId="35845"/>
    <cellStyle name="Notas 3 39 5" xfId="30274"/>
    <cellStyle name="Notas 3 39 5 2" xfId="35846"/>
    <cellStyle name="Notas 3 39 6" xfId="30275"/>
    <cellStyle name="Notas 3 39 6 2" xfId="35847"/>
    <cellStyle name="Notas 3 39 7" xfId="30276"/>
    <cellStyle name="Notas 3 39 7 2" xfId="35848"/>
    <cellStyle name="Notas 3 39 8" xfId="30277"/>
    <cellStyle name="Notas 3 39 8 2" xfId="35849"/>
    <cellStyle name="Notas 3 39 9" xfId="30278"/>
    <cellStyle name="Notas 3 39 9 2" xfId="35850"/>
    <cellStyle name="Notas 3 4" xfId="30279"/>
    <cellStyle name="Notas 3 4 10" xfId="30280"/>
    <cellStyle name="Notas 3 4 10 2" xfId="35851"/>
    <cellStyle name="Notas 3 4 11" xfId="30281"/>
    <cellStyle name="Notas 3 4 11 2" xfId="35852"/>
    <cellStyle name="Notas 3 4 12" xfId="30282"/>
    <cellStyle name="Notas 3 4 12 2" xfId="35853"/>
    <cellStyle name="Notas 3 4 13" xfId="30283"/>
    <cellStyle name="Notas 3 4 13 2" xfId="35854"/>
    <cellStyle name="Notas 3 4 14" xfId="35855"/>
    <cellStyle name="Notas 3 4 2" xfId="30284"/>
    <cellStyle name="Notas 3 4 2 2" xfId="35856"/>
    <cellStyle name="Notas 3 4 3" xfId="30285"/>
    <cellStyle name="Notas 3 4 3 2" xfId="35857"/>
    <cellStyle name="Notas 3 4 4" xfId="30286"/>
    <cellStyle name="Notas 3 4 4 2" xfId="35858"/>
    <cellStyle name="Notas 3 4 5" xfId="30287"/>
    <cellStyle name="Notas 3 4 5 2" xfId="35859"/>
    <cellStyle name="Notas 3 4 6" xfId="30288"/>
    <cellStyle name="Notas 3 4 6 2" xfId="35860"/>
    <cellStyle name="Notas 3 4 7" xfId="30289"/>
    <cellStyle name="Notas 3 4 7 2" xfId="35861"/>
    <cellStyle name="Notas 3 4 8" xfId="30290"/>
    <cellStyle name="Notas 3 4 8 2" xfId="35862"/>
    <cellStyle name="Notas 3 4 9" xfId="30291"/>
    <cellStyle name="Notas 3 4 9 2" xfId="35863"/>
    <cellStyle name="Notas 3 40" xfId="30292"/>
    <cellStyle name="Notas 3 40 10" xfId="30293"/>
    <cellStyle name="Notas 3 40 10 2" xfId="35864"/>
    <cellStyle name="Notas 3 40 11" xfId="30294"/>
    <cellStyle name="Notas 3 40 11 2" xfId="35865"/>
    <cellStyle name="Notas 3 40 12" xfId="30295"/>
    <cellStyle name="Notas 3 40 12 2" xfId="35866"/>
    <cellStyle name="Notas 3 40 13" xfId="30296"/>
    <cellStyle name="Notas 3 40 13 2" xfId="35867"/>
    <cellStyle name="Notas 3 40 14" xfId="35868"/>
    <cellStyle name="Notas 3 40 2" xfId="30297"/>
    <cellStyle name="Notas 3 40 2 2" xfId="35869"/>
    <cellStyle name="Notas 3 40 3" xfId="30298"/>
    <cellStyle name="Notas 3 40 3 2" xfId="35870"/>
    <cellStyle name="Notas 3 40 4" xfId="30299"/>
    <cellStyle name="Notas 3 40 4 2" xfId="35871"/>
    <cellStyle name="Notas 3 40 5" xfId="30300"/>
    <cellStyle name="Notas 3 40 5 2" xfId="35872"/>
    <cellStyle name="Notas 3 40 6" xfId="30301"/>
    <cellStyle name="Notas 3 40 6 2" xfId="35873"/>
    <cellStyle name="Notas 3 40 7" xfId="30302"/>
    <cellStyle name="Notas 3 40 7 2" xfId="35874"/>
    <cellStyle name="Notas 3 40 8" xfId="30303"/>
    <cellStyle name="Notas 3 40 8 2" xfId="35875"/>
    <cellStyle name="Notas 3 40 9" xfId="30304"/>
    <cellStyle name="Notas 3 40 9 2" xfId="35876"/>
    <cellStyle name="Notas 3 41" xfId="30305"/>
    <cellStyle name="Notas 3 41 10" xfId="30306"/>
    <cellStyle name="Notas 3 41 10 2" xfId="35877"/>
    <cellStyle name="Notas 3 41 11" xfId="30307"/>
    <cellStyle name="Notas 3 41 11 2" xfId="35878"/>
    <cellStyle name="Notas 3 41 12" xfId="30308"/>
    <cellStyle name="Notas 3 41 12 2" xfId="35879"/>
    <cellStyle name="Notas 3 41 13" xfId="30309"/>
    <cellStyle name="Notas 3 41 13 2" xfId="35880"/>
    <cellStyle name="Notas 3 41 14" xfId="35881"/>
    <cellStyle name="Notas 3 41 2" xfId="30310"/>
    <cellStyle name="Notas 3 41 2 2" xfId="35882"/>
    <cellStyle name="Notas 3 41 3" xfId="30311"/>
    <cellStyle name="Notas 3 41 3 2" xfId="35883"/>
    <cellStyle name="Notas 3 41 4" xfId="30312"/>
    <cellStyle name="Notas 3 41 4 2" xfId="35884"/>
    <cellStyle name="Notas 3 41 5" xfId="30313"/>
    <cellStyle name="Notas 3 41 5 2" xfId="35885"/>
    <cellStyle name="Notas 3 41 6" xfId="30314"/>
    <cellStyle name="Notas 3 41 6 2" xfId="35886"/>
    <cellStyle name="Notas 3 41 7" xfId="30315"/>
    <cellStyle name="Notas 3 41 7 2" xfId="35887"/>
    <cellStyle name="Notas 3 41 8" xfId="30316"/>
    <cellStyle name="Notas 3 41 8 2" xfId="35888"/>
    <cellStyle name="Notas 3 41 9" xfId="30317"/>
    <cellStyle name="Notas 3 41 9 2" xfId="35889"/>
    <cellStyle name="Notas 3 42" xfId="30318"/>
    <cellStyle name="Notas 3 42 10" xfId="30319"/>
    <cellStyle name="Notas 3 42 10 2" xfId="35890"/>
    <cellStyle name="Notas 3 42 11" xfId="30320"/>
    <cellStyle name="Notas 3 42 11 2" xfId="35891"/>
    <cellStyle name="Notas 3 42 12" xfId="30321"/>
    <cellStyle name="Notas 3 42 12 2" xfId="35892"/>
    <cellStyle name="Notas 3 42 13" xfId="30322"/>
    <cellStyle name="Notas 3 42 13 2" xfId="35893"/>
    <cellStyle name="Notas 3 42 14" xfId="35894"/>
    <cellStyle name="Notas 3 42 2" xfId="30323"/>
    <cellStyle name="Notas 3 42 2 2" xfId="35895"/>
    <cellStyle name="Notas 3 42 3" xfId="30324"/>
    <cellStyle name="Notas 3 42 3 2" xfId="35896"/>
    <cellStyle name="Notas 3 42 4" xfId="30325"/>
    <cellStyle name="Notas 3 42 4 2" xfId="35897"/>
    <cellStyle name="Notas 3 42 5" xfId="30326"/>
    <cellStyle name="Notas 3 42 5 2" xfId="35898"/>
    <cellStyle name="Notas 3 42 6" xfId="30327"/>
    <cellStyle name="Notas 3 42 6 2" xfId="35899"/>
    <cellStyle name="Notas 3 42 7" xfId="30328"/>
    <cellStyle name="Notas 3 42 7 2" xfId="35900"/>
    <cellStyle name="Notas 3 42 8" xfId="30329"/>
    <cellStyle name="Notas 3 42 8 2" xfId="35901"/>
    <cellStyle name="Notas 3 42 9" xfId="30330"/>
    <cellStyle name="Notas 3 42 9 2" xfId="35902"/>
    <cellStyle name="Notas 3 43" xfId="30331"/>
    <cellStyle name="Notas 3 43 10" xfId="30332"/>
    <cellStyle name="Notas 3 43 10 2" xfId="35903"/>
    <cellStyle name="Notas 3 43 11" xfId="30333"/>
    <cellStyle name="Notas 3 43 11 2" xfId="35904"/>
    <cellStyle name="Notas 3 43 12" xfId="30334"/>
    <cellStyle name="Notas 3 43 12 2" xfId="35905"/>
    <cellStyle name="Notas 3 43 13" xfId="30335"/>
    <cellStyle name="Notas 3 43 13 2" xfId="35906"/>
    <cellStyle name="Notas 3 43 14" xfId="35907"/>
    <cellStyle name="Notas 3 43 2" xfId="30336"/>
    <cellStyle name="Notas 3 43 2 2" xfId="35908"/>
    <cellStyle name="Notas 3 43 3" xfId="30337"/>
    <cellStyle name="Notas 3 43 3 2" xfId="35909"/>
    <cellStyle name="Notas 3 43 4" xfId="30338"/>
    <cellStyle name="Notas 3 43 4 2" xfId="35910"/>
    <cellStyle name="Notas 3 43 5" xfId="30339"/>
    <cellStyle name="Notas 3 43 5 2" xfId="35911"/>
    <cellStyle name="Notas 3 43 6" xfId="30340"/>
    <cellStyle name="Notas 3 43 6 2" xfId="35912"/>
    <cellStyle name="Notas 3 43 7" xfId="30341"/>
    <cellStyle name="Notas 3 43 7 2" xfId="35913"/>
    <cellStyle name="Notas 3 43 8" xfId="30342"/>
    <cellStyle name="Notas 3 43 8 2" xfId="35914"/>
    <cellStyle name="Notas 3 43 9" xfId="30343"/>
    <cellStyle name="Notas 3 43 9 2" xfId="35915"/>
    <cellStyle name="Notas 3 44" xfId="30344"/>
    <cellStyle name="Notas 3 44 10" xfId="30345"/>
    <cellStyle name="Notas 3 44 10 2" xfId="35916"/>
    <cellStyle name="Notas 3 44 11" xfId="30346"/>
    <cellStyle name="Notas 3 44 11 2" xfId="35917"/>
    <cellStyle name="Notas 3 44 12" xfId="30347"/>
    <cellStyle name="Notas 3 44 12 2" xfId="35918"/>
    <cellStyle name="Notas 3 44 13" xfId="30348"/>
    <cellStyle name="Notas 3 44 13 2" xfId="35919"/>
    <cellStyle name="Notas 3 44 14" xfId="35920"/>
    <cellStyle name="Notas 3 44 2" xfId="30349"/>
    <cellStyle name="Notas 3 44 2 2" xfId="35921"/>
    <cellStyle name="Notas 3 44 3" xfId="30350"/>
    <cellStyle name="Notas 3 44 3 2" xfId="35922"/>
    <cellStyle name="Notas 3 44 4" xfId="30351"/>
    <cellStyle name="Notas 3 44 4 2" xfId="35923"/>
    <cellStyle name="Notas 3 44 5" xfId="30352"/>
    <cellStyle name="Notas 3 44 5 2" xfId="35924"/>
    <cellStyle name="Notas 3 44 6" xfId="30353"/>
    <cellStyle name="Notas 3 44 6 2" xfId="35925"/>
    <cellStyle name="Notas 3 44 7" xfId="30354"/>
    <cellStyle name="Notas 3 44 7 2" xfId="35926"/>
    <cellStyle name="Notas 3 44 8" xfId="30355"/>
    <cellStyle name="Notas 3 44 8 2" xfId="35927"/>
    <cellStyle name="Notas 3 44 9" xfId="30356"/>
    <cellStyle name="Notas 3 44 9 2" xfId="35928"/>
    <cellStyle name="Notas 3 45" xfId="30357"/>
    <cellStyle name="Notas 3 45 10" xfId="30358"/>
    <cellStyle name="Notas 3 45 10 2" xfId="35929"/>
    <cellStyle name="Notas 3 45 11" xfId="30359"/>
    <cellStyle name="Notas 3 45 11 2" xfId="35930"/>
    <cellStyle name="Notas 3 45 12" xfId="30360"/>
    <cellStyle name="Notas 3 45 12 2" xfId="35931"/>
    <cellStyle name="Notas 3 45 13" xfId="30361"/>
    <cellStyle name="Notas 3 45 13 2" xfId="35932"/>
    <cellStyle name="Notas 3 45 14" xfId="35933"/>
    <cellStyle name="Notas 3 45 2" xfId="30362"/>
    <cellStyle name="Notas 3 45 2 2" xfId="35934"/>
    <cellStyle name="Notas 3 45 3" xfId="30363"/>
    <cellStyle name="Notas 3 45 3 2" xfId="35935"/>
    <cellStyle name="Notas 3 45 4" xfId="30364"/>
    <cellStyle name="Notas 3 45 4 2" xfId="35936"/>
    <cellStyle name="Notas 3 45 5" xfId="30365"/>
    <cellStyle name="Notas 3 45 5 2" xfId="35937"/>
    <cellStyle name="Notas 3 45 6" xfId="30366"/>
    <cellStyle name="Notas 3 45 6 2" xfId="35938"/>
    <cellStyle name="Notas 3 45 7" xfId="30367"/>
    <cellStyle name="Notas 3 45 7 2" xfId="35939"/>
    <cellStyle name="Notas 3 45 8" xfId="30368"/>
    <cellStyle name="Notas 3 45 8 2" xfId="35940"/>
    <cellStyle name="Notas 3 45 9" xfId="30369"/>
    <cellStyle name="Notas 3 45 9 2" xfId="35941"/>
    <cellStyle name="Notas 3 46" xfId="30370"/>
    <cellStyle name="Notas 3 46 10" xfId="30371"/>
    <cellStyle name="Notas 3 46 10 2" xfId="35942"/>
    <cellStyle name="Notas 3 46 11" xfId="30372"/>
    <cellStyle name="Notas 3 46 11 2" xfId="35943"/>
    <cellStyle name="Notas 3 46 12" xfId="30373"/>
    <cellStyle name="Notas 3 46 12 2" xfId="35944"/>
    <cellStyle name="Notas 3 46 13" xfId="30374"/>
    <cellStyle name="Notas 3 46 13 2" xfId="35945"/>
    <cellStyle name="Notas 3 46 14" xfId="35946"/>
    <cellStyle name="Notas 3 46 2" xfId="30375"/>
    <cellStyle name="Notas 3 46 2 2" xfId="35947"/>
    <cellStyle name="Notas 3 46 3" xfId="30376"/>
    <cellStyle name="Notas 3 46 3 2" xfId="35948"/>
    <cellStyle name="Notas 3 46 4" xfId="30377"/>
    <cellStyle name="Notas 3 46 4 2" xfId="35949"/>
    <cellStyle name="Notas 3 46 5" xfId="30378"/>
    <cellStyle name="Notas 3 46 5 2" xfId="35950"/>
    <cellStyle name="Notas 3 46 6" xfId="30379"/>
    <cellStyle name="Notas 3 46 6 2" xfId="35951"/>
    <cellStyle name="Notas 3 46 7" xfId="30380"/>
    <cellStyle name="Notas 3 46 7 2" xfId="35952"/>
    <cellStyle name="Notas 3 46 8" xfId="30381"/>
    <cellStyle name="Notas 3 46 8 2" xfId="35953"/>
    <cellStyle name="Notas 3 46 9" xfId="30382"/>
    <cellStyle name="Notas 3 46 9 2" xfId="35954"/>
    <cellStyle name="Notas 3 47" xfId="30383"/>
    <cellStyle name="Notas 3 47 10" xfId="30384"/>
    <cellStyle name="Notas 3 47 10 2" xfId="35955"/>
    <cellStyle name="Notas 3 47 11" xfId="30385"/>
    <cellStyle name="Notas 3 47 11 2" xfId="35956"/>
    <cellStyle name="Notas 3 47 12" xfId="30386"/>
    <cellStyle name="Notas 3 47 12 2" xfId="35957"/>
    <cellStyle name="Notas 3 47 13" xfId="30387"/>
    <cellStyle name="Notas 3 47 13 2" xfId="35958"/>
    <cellStyle name="Notas 3 47 14" xfId="35959"/>
    <cellStyle name="Notas 3 47 2" xfId="30388"/>
    <cellStyle name="Notas 3 47 2 2" xfId="35960"/>
    <cellStyle name="Notas 3 47 3" xfId="30389"/>
    <cellStyle name="Notas 3 47 3 2" xfId="35961"/>
    <cellStyle name="Notas 3 47 4" xfId="30390"/>
    <cellStyle name="Notas 3 47 4 2" xfId="35962"/>
    <cellStyle name="Notas 3 47 5" xfId="30391"/>
    <cellStyle name="Notas 3 47 5 2" xfId="35963"/>
    <cellStyle name="Notas 3 47 6" xfId="30392"/>
    <cellStyle name="Notas 3 47 6 2" xfId="35964"/>
    <cellStyle name="Notas 3 47 7" xfId="30393"/>
    <cellStyle name="Notas 3 47 7 2" xfId="35965"/>
    <cellStyle name="Notas 3 47 8" xfId="30394"/>
    <cellStyle name="Notas 3 47 8 2" xfId="35966"/>
    <cellStyle name="Notas 3 47 9" xfId="30395"/>
    <cellStyle name="Notas 3 47 9 2" xfId="35967"/>
    <cellStyle name="Notas 3 48" xfId="30396"/>
    <cellStyle name="Notas 3 48 10" xfId="30397"/>
    <cellStyle name="Notas 3 48 10 2" xfId="35968"/>
    <cellStyle name="Notas 3 48 11" xfId="30398"/>
    <cellStyle name="Notas 3 48 11 2" xfId="35969"/>
    <cellStyle name="Notas 3 48 12" xfId="30399"/>
    <cellStyle name="Notas 3 48 12 2" xfId="35970"/>
    <cellStyle name="Notas 3 48 13" xfId="30400"/>
    <cellStyle name="Notas 3 48 13 2" xfId="35971"/>
    <cellStyle name="Notas 3 48 14" xfId="35972"/>
    <cellStyle name="Notas 3 48 2" xfId="30401"/>
    <cellStyle name="Notas 3 48 2 2" xfId="35973"/>
    <cellStyle name="Notas 3 48 3" xfId="30402"/>
    <cellStyle name="Notas 3 48 3 2" xfId="35974"/>
    <cellStyle name="Notas 3 48 4" xfId="30403"/>
    <cellStyle name="Notas 3 48 4 2" xfId="35975"/>
    <cellStyle name="Notas 3 48 5" xfId="30404"/>
    <cellStyle name="Notas 3 48 5 2" xfId="35976"/>
    <cellStyle name="Notas 3 48 6" xfId="30405"/>
    <cellStyle name="Notas 3 48 6 2" xfId="35977"/>
    <cellStyle name="Notas 3 48 7" xfId="30406"/>
    <cellStyle name="Notas 3 48 7 2" xfId="35978"/>
    <cellStyle name="Notas 3 48 8" xfId="30407"/>
    <cellStyle name="Notas 3 48 8 2" xfId="35979"/>
    <cellStyle name="Notas 3 48 9" xfId="30408"/>
    <cellStyle name="Notas 3 48 9 2" xfId="35980"/>
    <cellStyle name="Notas 3 49" xfId="30409"/>
    <cellStyle name="Notas 3 49 10" xfId="30410"/>
    <cellStyle name="Notas 3 49 10 2" xfId="35981"/>
    <cellStyle name="Notas 3 49 11" xfId="30411"/>
    <cellStyle name="Notas 3 49 11 2" xfId="35982"/>
    <cellStyle name="Notas 3 49 12" xfId="30412"/>
    <cellStyle name="Notas 3 49 12 2" xfId="35983"/>
    <cellStyle name="Notas 3 49 13" xfId="30413"/>
    <cellStyle name="Notas 3 49 13 2" xfId="35984"/>
    <cellStyle name="Notas 3 49 14" xfId="35985"/>
    <cellStyle name="Notas 3 49 2" xfId="30414"/>
    <cellStyle name="Notas 3 49 2 2" xfId="35986"/>
    <cellStyle name="Notas 3 49 3" xfId="30415"/>
    <cellStyle name="Notas 3 49 3 2" xfId="35987"/>
    <cellStyle name="Notas 3 49 4" xfId="30416"/>
    <cellStyle name="Notas 3 49 4 2" xfId="35988"/>
    <cellStyle name="Notas 3 49 5" xfId="30417"/>
    <cellStyle name="Notas 3 49 5 2" xfId="35989"/>
    <cellStyle name="Notas 3 49 6" xfId="30418"/>
    <cellStyle name="Notas 3 49 6 2" xfId="35990"/>
    <cellStyle name="Notas 3 49 7" xfId="30419"/>
    <cellStyle name="Notas 3 49 7 2" xfId="35991"/>
    <cellStyle name="Notas 3 49 8" xfId="30420"/>
    <cellStyle name="Notas 3 49 8 2" xfId="35992"/>
    <cellStyle name="Notas 3 49 9" xfId="30421"/>
    <cellStyle name="Notas 3 49 9 2" xfId="35993"/>
    <cellStyle name="Notas 3 5" xfId="30422"/>
    <cellStyle name="Notas 3 5 10" xfId="30423"/>
    <cellStyle name="Notas 3 5 10 2" xfId="35994"/>
    <cellStyle name="Notas 3 5 11" xfId="30424"/>
    <cellStyle name="Notas 3 5 11 2" xfId="35995"/>
    <cellStyle name="Notas 3 5 12" xfId="30425"/>
    <cellStyle name="Notas 3 5 12 2" xfId="35996"/>
    <cellStyle name="Notas 3 5 13" xfId="30426"/>
    <cellStyle name="Notas 3 5 13 2" xfId="35997"/>
    <cellStyle name="Notas 3 5 14" xfId="35998"/>
    <cellStyle name="Notas 3 5 2" xfId="30427"/>
    <cellStyle name="Notas 3 5 2 2" xfId="35999"/>
    <cellStyle name="Notas 3 5 3" xfId="30428"/>
    <cellStyle name="Notas 3 5 3 2" xfId="36000"/>
    <cellStyle name="Notas 3 5 4" xfId="30429"/>
    <cellStyle name="Notas 3 5 4 2" xfId="36001"/>
    <cellStyle name="Notas 3 5 5" xfId="30430"/>
    <cellStyle name="Notas 3 5 5 2" xfId="36002"/>
    <cellStyle name="Notas 3 5 6" xfId="30431"/>
    <cellStyle name="Notas 3 5 6 2" xfId="36003"/>
    <cellStyle name="Notas 3 5 7" xfId="30432"/>
    <cellStyle name="Notas 3 5 7 2" xfId="36004"/>
    <cellStyle name="Notas 3 5 8" xfId="30433"/>
    <cellStyle name="Notas 3 5 8 2" xfId="36005"/>
    <cellStyle name="Notas 3 5 9" xfId="30434"/>
    <cellStyle name="Notas 3 5 9 2" xfId="36006"/>
    <cellStyle name="Notas 3 50" xfId="30435"/>
    <cellStyle name="Notas 3 50 10" xfId="30436"/>
    <cellStyle name="Notas 3 50 10 2" xfId="36007"/>
    <cellStyle name="Notas 3 50 11" xfId="30437"/>
    <cellStyle name="Notas 3 50 11 2" xfId="36008"/>
    <cellStyle name="Notas 3 50 12" xfId="30438"/>
    <cellStyle name="Notas 3 50 12 2" xfId="36009"/>
    <cellStyle name="Notas 3 50 13" xfId="30439"/>
    <cellStyle name="Notas 3 50 13 2" xfId="36010"/>
    <cellStyle name="Notas 3 50 14" xfId="36011"/>
    <cellStyle name="Notas 3 50 2" xfId="30440"/>
    <cellStyle name="Notas 3 50 2 2" xfId="36012"/>
    <cellStyle name="Notas 3 50 3" xfId="30441"/>
    <cellStyle name="Notas 3 50 3 2" xfId="36013"/>
    <cellStyle name="Notas 3 50 4" xfId="30442"/>
    <cellStyle name="Notas 3 50 4 2" xfId="36014"/>
    <cellStyle name="Notas 3 50 5" xfId="30443"/>
    <cellStyle name="Notas 3 50 5 2" xfId="36015"/>
    <cellStyle name="Notas 3 50 6" xfId="30444"/>
    <cellStyle name="Notas 3 50 6 2" xfId="36016"/>
    <cellStyle name="Notas 3 50 7" xfId="30445"/>
    <cellStyle name="Notas 3 50 7 2" xfId="36017"/>
    <cellStyle name="Notas 3 50 8" xfId="30446"/>
    <cellStyle name="Notas 3 50 8 2" xfId="36018"/>
    <cellStyle name="Notas 3 50 9" xfId="30447"/>
    <cellStyle name="Notas 3 50 9 2" xfId="36019"/>
    <cellStyle name="Notas 3 51" xfId="30448"/>
    <cellStyle name="Notas 3 51 10" xfId="30449"/>
    <cellStyle name="Notas 3 51 10 2" xfId="36020"/>
    <cellStyle name="Notas 3 51 11" xfId="30450"/>
    <cellStyle name="Notas 3 51 11 2" xfId="36021"/>
    <cellStyle name="Notas 3 51 12" xfId="30451"/>
    <cellStyle name="Notas 3 51 12 2" xfId="36022"/>
    <cellStyle name="Notas 3 51 13" xfId="30452"/>
    <cellStyle name="Notas 3 51 13 2" xfId="36023"/>
    <cellStyle name="Notas 3 51 14" xfId="36024"/>
    <cellStyle name="Notas 3 51 2" xfId="30453"/>
    <cellStyle name="Notas 3 51 2 2" xfId="36025"/>
    <cellStyle name="Notas 3 51 3" xfId="30454"/>
    <cellStyle name="Notas 3 51 3 2" xfId="36026"/>
    <cellStyle name="Notas 3 51 4" xfId="30455"/>
    <cellStyle name="Notas 3 51 4 2" xfId="36027"/>
    <cellStyle name="Notas 3 51 5" xfId="30456"/>
    <cellStyle name="Notas 3 51 5 2" xfId="36028"/>
    <cellStyle name="Notas 3 51 6" xfId="30457"/>
    <cellStyle name="Notas 3 51 6 2" xfId="36029"/>
    <cellStyle name="Notas 3 51 7" xfId="30458"/>
    <cellStyle name="Notas 3 51 7 2" xfId="36030"/>
    <cellStyle name="Notas 3 51 8" xfId="30459"/>
    <cellStyle name="Notas 3 51 8 2" xfId="36031"/>
    <cellStyle name="Notas 3 51 9" xfId="30460"/>
    <cellStyle name="Notas 3 51 9 2" xfId="36032"/>
    <cellStyle name="Notas 3 52" xfId="30461"/>
    <cellStyle name="Notas 3 52 10" xfId="30462"/>
    <cellStyle name="Notas 3 52 10 2" xfId="36033"/>
    <cellStyle name="Notas 3 52 11" xfId="30463"/>
    <cellStyle name="Notas 3 52 11 2" xfId="36034"/>
    <cellStyle name="Notas 3 52 12" xfId="30464"/>
    <cellStyle name="Notas 3 52 12 2" xfId="36035"/>
    <cellStyle name="Notas 3 52 13" xfId="30465"/>
    <cellStyle name="Notas 3 52 13 2" xfId="36036"/>
    <cellStyle name="Notas 3 52 14" xfId="36037"/>
    <cellStyle name="Notas 3 52 2" xfId="30466"/>
    <cellStyle name="Notas 3 52 2 2" xfId="36038"/>
    <cellStyle name="Notas 3 52 3" xfId="30467"/>
    <cellStyle name="Notas 3 52 3 2" xfId="36039"/>
    <cellStyle name="Notas 3 52 4" xfId="30468"/>
    <cellStyle name="Notas 3 52 4 2" xfId="36040"/>
    <cellStyle name="Notas 3 52 5" xfId="30469"/>
    <cellStyle name="Notas 3 52 5 2" xfId="36041"/>
    <cellStyle name="Notas 3 52 6" xfId="30470"/>
    <cellStyle name="Notas 3 52 6 2" xfId="36042"/>
    <cellStyle name="Notas 3 52 7" xfId="30471"/>
    <cellStyle name="Notas 3 52 7 2" xfId="36043"/>
    <cellStyle name="Notas 3 52 8" xfId="30472"/>
    <cellStyle name="Notas 3 52 8 2" xfId="36044"/>
    <cellStyle name="Notas 3 52 9" xfId="30473"/>
    <cellStyle name="Notas 3 52 9 2" xfId="36045"/>
    <cellStyle name="Notas 3 53" xfId="30474"/>
    <cellStyle name="Notas 3 53 10" xfId="30475"/>
    <cellStyle name="Notas 3 53 10 2" xfId="36046"/>
    <cellStyle name="Notas 3 53 11" xfId="30476"/>
    <cellStyle name="Notas 3 53 11 2" xfId="36047"/>
    <cellStyle name="Notas 3 53 12" xfId="30477"/>
    <cellStyle name="Notas 3 53 12 2" xfId="36048"/>
    <cellStyle name="Notas 3 53 13" xfId="30478"/>
    <cellStyle name="Notas 3 53 13 2" xfId="36049"/>
    <cellStyle name="Notas 3 53 14" xfId="36050"/>
    <cellStyle name="Notas 3 53 2" xfId="30479"/>
    <cellStyle name="Notas 3 53 2 2" xfId="36051"/>
    <cellStyle name="Notas 3 53 3" xfId="30480"/>
    <cellStyle name="Notas 3 53 3 2" xfId="36052"/>
    <cellStyle name="Notas 3 53 4" xfId="30481"/>
    <cellStyle name="Notas 3 53 4 2" xfId="36053"/>
    <cellStyle name="Notas 3 53 5" xfId="30482"/>
    <cellStyle name="Notas 3 53 5 2" xfId="36054"/>
    <cellStyle name="Notas 3 53 6" xfId="30483"/>
    <cellStyle name="Notas 3 53 6 2" xfId="36055"/>
    <cellStyle name="Notas 3 53 7" xfId="30484"/>
    <cellStyle name="Notas 3 53 7 2" xfId="36056"/>
    <cellStyle name="Notas 3 53 8" xfId="30485"/>
    <cellStyle name="Notas 3 53 8 2" xfId="36057"/>
    <cellStyle name="Notas 3 53 9" xfId="30486"/>
    <cellStyle name="Notas 3 53 9 2" xfId="36058"/>
    <cellStyle name="Notas 3 54" xfId="30487"/>
    <cellStyle name="Notas 3 54 10" xfId="30488"/>
    <cellStyle name="Notas 3 54 10 2" xfId="36059"/>
    <cellStyle name="Notas 3 54 11" xfId="30489"/>
    <cellStyle name="Notas 3 54 11 2" xfId="36060"/>
    <cellStyle name="Notas 3 54 12" xfId="30490"/>
    <cellStyle name="Notas 3 54 12 2" xfId="36061"/>
    <cellStyle name="Notas 3 54 13" xfId="30491"/>
    <cellStyle name="Notas 3 54 13 2" xfId="36062"/>
    <cellStyle name="Notas 3 54 14" xfId="36063"/>
    <cellStyle name="Notas 3 54 2" xfId="30492"/>
    <cellStyle name="Notas 3 54 2 2" xfId="36064"/>
    <cellStyle name="Notas 3 54 3" xfId="30493"/>
    <cellStyle name="Notas 3 54 3 2" xfId="36065"/>
    <cellStyle name="Notas 3 54 4" xfId="30494"/>
    <cellStyle name="Notas 3 54 4 2" xfId="36066"/>
    <cellStyle name="Notas 3 54 5" xfId="30495"/>
    <cellStyle name="Notas 3 54 5 2" xfId="36067"/>
    <cellStyle name="Notas 3 54 6" xfId="30496"/>
    <cellStyle name="Notas 3 54 6 2" xfId="36068"/>
    <cellStyle name="Notas 3 54 7" xfId="30497"/>
    <cellStyle name="Notas 3 54 7 2" xfId="36069"/>
    <cellStyle name="Notas 3 54 8" xfId="30498"/>
    <cellStyle name="Notas 3 54 8 2" xfId="36070"/>
    <cellStyle name="Notas 3 54 9" xfId="30499"/>
    <cellStyle name="Notas 3 54 9 2" xfId="36071"/>
    <cellStyle name="Notas 3 55" xfId="30500"/>
    <cellStyle name="Notas 3 55 10" xfId="30501"/>
    <cellStyle name="Notas 3 55 10 2" xfId="36072"/>
    <cellStyle name="Notas 3 55 11" xfId="30502"/>
    <cellStyle name="Notas 3 55 11 2" xfId="36073"/>
    <cellStyle name="Notas 3 55 12" xfId="30503"/>
    <cellStyle name="Notas 3 55 12 2" xfId="36074"/>
    <cellStyle name="Notas 3 55 13" xfId="30504"/>
    <cellStyle name="Notas 3 55 13 2" xfId="36075"/>
    <cellStyle name="Notas 3 55 14" xfId="36076"/>
    <cellStyle name="Notas 3 55 2" xfId="30505"/>
    <cellStyle name="Notas 3 55 2 2" xfId="36077"/>
    <cellStyle name="Notas 3 55 3" xfId="30506"/>
    <cellStyle name="Notas 3 55 3 2" xfId="36078"/>
    <cellStyle name="Notas 3 55 4" xfId="30507"/>
    <cellStyle name="Notas 3 55 4 2" xfId="36079"/>
    <cellStyle name="Notas 3 55 5" xfId="30508"/>
    <cellStyle name="Notas 3 55 5 2" xfId="36080"/>
    <cellStyle name="Notas 3 55 6" xfId="30509"/>
    <cellStyle name="Notas 3 55 6 2" xfId="36081"/>
    <cellStyle name="Notas 3 55 7" xfId="30510"/>
    <cellStyle name="Notas 3 55 7 2" xfId="36082"/>
    <cellStyle name="Notas 3 55 8" xfId="30511"/>
    <cellStyle name="Notas 3 55 8 2" xfId="36083"/>
    <cellStyle name="Notas 3 55 9" xfId="30512"/>
    <cellStyle name="Notas 3 55 9 2" xfId="36084"/>
    <cellStyle name="Notas 3 56" xfId="30513"/>
    <cellStyle name="Notas 3 56 10" xfId="30514"/>
    <cellStyle name="Notas 3 56 10 2" xfId="36085"/>
    <cellStyle name="Notas 3 56 11" xfId="30515"/>
    <cellStyle name="Notas 3 56 11 2" xfId="36086"/>
    <cellStyle name="Notas 3 56 12" xfId="30516"/>
    <cellStyle name="Notas 3 56 12 2" xfId="36087"/>
    <cellStyle name="Notas 3 56 13" xfId="30517"/>
    <cellStyle name="Notas 3 56 13 2" xfId="36088"/>
    <cellStyle name="Notas 3 56 14" xfId="36089"/>
    <cellStyle name="Notas 3 56 2" xfId="30518"/>
    <cellStyle name="Notas 3 56 2 2" xfId="36090"/>
    <cellStyle name="Notas 3 56 3" xfId="30519"/>
    <cellStyle name="Notas 3 56 3 2" xfId="36091"/>
    <cellStyle name="Notas 3 56 4" xfId="30520"/>
    <cellStyle name="Notas 3 56 4 2" xfId="36092"/>
    <cellStyle name="Notas 3 56 5" xfId="30521"/>
    <cellStyle name="Notas 3 56 5 2" xfId="36093"/>
    <cellStyle name="Notas 3 56 6" xfId="30522"/>
    <cellStyle name="Notas 3 56 6 2" xfId="36094"/>
    <cellStyle name="Notas 3 56 7" xfId="30523"/>
    <cellStyle name="Notas 3 56 7 2" xfId="36095"/>
    <cellStyle name="Notas 3 56 8" xfId="30524"/>
    <cellStyle name="Notas 3 56 8 2" xfId="36096"/>
    <cellStyle name="Notas 3 56 9" xfId="30525"/>
    <cellStyle name="Notas 3 56 9 2" xfId="36097"/>
    <cellStyle name="Notas 3 57" xfId="30526"/>
    <cellStyle name="Notas 3 57 10" xfId="30527"/>
    <cellStyle name="Notas 3 57 10 2" xfId="36098"/>
    <cellStyle name="Notas 3 57 11" xfId="30528"/>
    <cellStyle name="Notas 3 57 11 2" xfId="36099"/>
    <cellStyle name="Notas 3 57 12" xfId="30529"/>
    <cellStyle name="Notas 3 57 12 2" xfId="36100"/>
    <cellStyle name="Notas 3 57 13" xfId="30530"/>
    <cellStyle name="Notas 3 57 13 2" xfId="36101"/>
    <cellStyle name="Notas 3 57 14" xfId="36102"/>
    <cellStyle name="Notas 3 57 2" xfId="30531"/>
    <cellStyle name="Notas 3 57 2 2" xfId="36103"/>
    <cellStyle name="Notas 3 57 3" xfId="30532"/>
    <cellStyle name="Notas 3 57 3 2" xfId="36104"/>
    <cellStyle name="Notas 3 57 4" xfId="30533"/>
    <cellStyle name="Notas 3 57 4 2" xfId="36105"/>
    <cellStyle name="Notas 3 57 5" xfId="30534"/>
    <cellStyle name="Notas 3 57 5 2" xfId="36106"/>
    <cellStyle name="Notas 3 57 6" xfId="30535"/>
    <cellStyle name="Notas 3 57 6 2" xfId="36107"/>
    <cellStyle name="Notas 3 57 7" xfId="30536"/>
    <cellStyle name="Notas 3 57 7 2" xfId="36108"/>
    <cellStyle name="Notas 3 57 8" xfId="30537"/>
    <cellStyle name="Notas 3 57 8 2" xfId="36109"/>
    <cellStyle name="Notas 3 57 9" xfId="30538"/>
    <cellStyle name="Notas 3 57 9 2" xfId="36110"/>
    <cellStyle name="Notas 3 58" xfId="30539"/>
    <cellStyle name="Notas 3 58 10" xfId="30540"/>
    <cellStyle name="Notas 3 58 10 2" xfId="36111"/>
    <cellStyle name="Notas 3 58 11" xfId="30541"/>
    <cellStyle name="Notas 3 58 11 2" xfId="36112"/>
    <cellStyle name="Notas 3 58 12" xfId="30542"/>
    <cellStyle name="Notas 3 58 12 2" xfId="36113"/>
    <cellStyle name="Notas 3 58 13" xfId="30543"/>
    <cellStyle name="Notas 3 58 13 2" xfId="36114"/>
    <cellStyle name="Notas 3 58 14" xfId="36115"/>
    <cellStyle name="Notas 3 58 2" xfId="30544"/>
    <cellStyle name="Notas 3 58 2 2" xfId="36116"/>
    <cellStyle name="Notas 3 58 3" xfId="30545"/>
    <cellStyle name="Notas 3 58 3 2" xfId="36117"/>
    <cellStyle name="Notas 3 58 4" xfId="30546"/>
    <cellStyle name="Notas 3 58 4 2" xfId="36118"/>
    <cellStyle name="Notas 3 58 5" xfId="30547"/>
    <cellStyle name="Notas 3 58 5 2" xfId="36119"/>
    <cellStyle name="Notas 3 58 6" xfId="30548"/>
    <cellStyle name="Notas 3 58 6 2" xfId="36120"/>
    <cellStyle name="Notas 3 58 7" xfId="30549"/>
    <cellStyle name="Notas 3 58 7 2" xfId="36121"/>
    <cellStyle name="Notas 3 58 8" xfId="30550"/>
    <cellStyle name="Notas 3 58 8 2" xfId="36122"/>
    <cellStyle name="Notas 3 58 9" xfId="30551"/>
    <cellStyle name="Notas 3 58 9 2" xfId="36123"/>
    <cellStyle name="Notas 3 59" xfId="30552"/>
    <cellStyle name="Notas 3 59 10" xfId="30553"/>
    <cellStyle name="Notas 3 59 10 2" xfId="36124"/>
    <cellStyle name="Notas 3 59 11" xfId="30554"/>
    <cellStyle name="Notas 3 59 11 2" xfId="36125"/>
    <cellStyle name="Notas 3 59 12" xfId="30555"/>
    <cellStyle name="Notas 3 59 12 2" xfId="36126"/>
    <cellStyle name="Notas 3 59 13" xfId="30556"/>
    <cellStyle name="Notas 3 59 13 2" xfId="36127"/>
    <cellStyle name="Notas 3 59 14" xfId="36128"/>
    <cellStyle name="Notas 3 59 2" xfId="30557"/>
    <cellStyle name="Notas 3 59 2 2" xfId="36129"/>
    <cellStyle name="Notas 3 59 3" xfId="30558"/>
    <cellStyle name="Notas 3 59 3 2" xfId="36130"/>
    <cellStyle name="Notas 3 59 4" xfId="30559"/>
    <cellStyle name="Notas 3 59 4 2" xfId="36131"/>
    <cellStyle name="Notas 3 59 5" xfId="30560"/>
    <cellStyle name="Notas 3 59 5 2" xfId="36132"/>
    <cellStyle name="Notas 3 59 6" xfId="30561"/>
    <cellStyle name="Notas 3 59 6 2" xfId="36133"/>
    <cellStyle name="Notas 3 59 7" xfId="30562"/>
    <cellStyle name="Notas 3 59 7 2" xfId="36134"/>
    <cellStyle name="Notas 3 59 8" xfId="30563"/>
    <cellStyle name="Notas 3 59 8 2" xfId="36135"/>
    <cellStyle name="Notas 3 59 9" xfId="30564"/>
    <cellStyle name="Notas 3 59 9 2" xfId="36136"/>
    <cellStyle name="Notas 3 6" xfId="30565"/>
    <cellStyle name="Notas 3 6 10" xfId="30566"/>
    <cellStyle name="Notas 3 6 10 2" xfId="36137"/>
    <cellStyle name="Notas 3 6 11" xfId="30567"/>
    <cellStyle name="Notas 3 6 11 2" xfId="36138"/>
    <cellStyle name="Notas 3 6 12" xfId="30568"/>
    <cellStyle name="Notas 3 6 12 2" xfId="36139"/>
    <cellStyle name="Notas 3 6 13" xfId="30569"/>
    <cellStyle name="Notas 3 6 13 2" xfId="36140"/>
    <cellStyle name="Notas 3 6 14" xfId="36141"/>
    <cellStyle name="Notas 3 6 2" xfId="30570"/>
    <cellStyle name="Notas 3 6 2 2" xfId="36142"/>
    <cellStyle name="Notas 3 6 3" xfId="30571"/>
    <cellStyle name="Notas 3 6 3 2" xfId="36143"/>
    <cellStyle name="Notas 3 6 4" xfId="30572"/>
    <cellStyle name="Notas 3 6 4 2" xfId="36144"/>
    <cellStyle name="Notas 3 6 5" xfId="30573"/>
    <cellStyle name="Notas 3 6 5 2" xfId="36145"/>
    <cellStyle name="Notas 3 6 6" xfId="30574"/>
    <cellStyle name="Notas 3 6 6 2" xfId="36146"/>
    <cellStyle name="Notas 3 6 7" xfId="30575"/>
    <cellStyle name="Notas 3 6 7 2" xfId="36147"/>
    <cellStyle name="Notas 3 6 8" xfId="30576"/>
    <cellStyle name="Notas 3 6 8 2" xfId="36148"/>
    <cellStyle name="Notas 3 6 9" xfId="30577"/>
    <cellStyle name="Notas 3 6 9 2" xfId="36149"/>
    <cellStyle name="Notas 3 60" xfId="30578"/>
    <cellStyle name="Notas 3 60 10" xfId="30579"/>
    <cellStyle name="Notas 3 60 10 2" xfId="36150"/>
    <cellStyle name="Notas 3 60 11" xfId="30580"/>
    <cellStyle name="Notas 3 60 11 2" xfId="36151"/>
    <cellStyle name="Notas 3 60 12" xfId="30581"/>
    <cellStyle name="Notas 3 60 12 2" xfId="36152"/>
    <cellStyle name="Notas 3 60 13" xfId="30582"/>
    <cellStyle name="Notas 3 60 13 2" xfId="36153"/>
    <cellStyle name="Notas 3 60 14" xfId="36154"/>
    <cellStyle name="Notas 3 60 2" xfId="30583"/>
    <cellStyle name="Notas 3 60 2 2" xfId="36155"/>
    <cellStyle name="Notas 3 60 3" xfId="30584"/>
    <cellStyle name="Notas 3 60 3 2" xfId="36156"/>
    <cellStyle name="Notas 3 60 4" xfId="30585"/>
    <cellStyle name="Notas 3 60 4 2" xfId="36157"/>
    <cellStyle name="Notas 3 60 5" xfId="30586"/>
    <cellStyle name="Notas 3 60 5 2" xfId="36158"/>
    <cellStyle name="Notas 3 60 6" xfId="30587"/>
    <cellStyle name="Notas 3 60 6 2" xfId="36159"/>
    <cellStyle name="Notas 3 60 7" xfId="30588"/>
    <cellStyle name="Notas 3 60 7 2" xfId="36160"/>
    <cellStyle name="Notas 3 60 8" xfId="30589"/>
    <cellStyle name="Notas 3 60 8 2" xfId="36161"/>
    <cellStyle name="Notas 3 60 9" xfId="30590"/>
    <cellStyle name="Notas 3 60 9 2" xfId="36162"/>
    <cellStyle name="Notas 3 61" xfId="30591"/>
    <cellStyle name="Notas 3 61 10" xfId="30592"/>
    <cellStyle name="Notas 3 61 10 2" xfId="36163"/>
    <cellStyle name="Notas 3 61 11" xfId="30593"/>
    <cellStyle name="Notas 3 61 11 2" xfId="36164"/>
    <cellStyle name="Notas 3 61 12" xfId="30594"/>
    <cellStyle name="Notas 3 61 12 2" xfId="36165"/>
    <cellStyle name="Notas 3 61 13" xfId="30595"/>
    <cellStyle name="Notas 3 61 13 2" xfId="36166"/>
    <cellStyle name="Notas 3 61 14" xfId="36167"/>
    <cellStyle name="Notas 3 61 2" xfId="30596"/>
    <cellStyle name="Notas 3 61 2 2" xfId="36168"/>
    <cellStyle name="Notas 3 61 3" xfId="30597"/>
    <cellStyle name="Notas 3 61 3 2" xfId="36169"/>
    <cellStyle name="Notas 3 61 4" xfId="30598"/>
    <cellStyle name="Notas 3 61 4 2" xfId="36170"/>
    <cellStyle name="Notas 3 61 5" xfId="30599"/>
    <cellStyle name="Notas 3 61 5 2" xfId="36171"/>
    <cellStyle name="Notas 3 61 6" xfId="30600"/>
    <cellStyle name="Notas 3 61 6 2" xfId="36172"/>
    <cellStyle name="Notas 3 61 7" xfId="30601"/>
    <cellStyle name="Notas 3 61 7 2" xfId="36173"/>
    <cellStyle name="Notas 3 61 8" xfId="30602"/>
    <cellStyle name="Notas 3 61 8 2" xfId="36174"/>
    <cellStyle name="Notas 3 61 9" xfId="30603"/>
    <cellStyle name="Notas 3 61 9 2" xfId="36175"/>
    <cellStyle name="Notas 3 62" xfId="30604"/>
    <cellStyle name="Notas 3 62 10" xfId="30605"/>
    <cellStyle name="Notas 3 62 10 2" xfId="36176"/>
    <cellStyle name="Notas 3 62 11" xfId="30606"/>
    <cellStyle name="Notas 3 62 11 2" xfId="36177"/>
    <cellStyle name="Notas 3 62 12" xfId="30607"/>
    <cellStyle name="Notas 3 62 12 2" xfId="36178"/>
    <cellStyle name="Notas 3 62 13" xfId="30608"/>
    <cellStyle name="Notas 3 62 13 2" xfId="36179"/>
    <cellStyle name="Notas 3 62 14" xfId="36180"/>
    <cellStyle name="Notas 3 62 2" xfId="30609"/>
    <cellStyle name="Notas 3 62 2 2" xfId="36181"/>
    <cellStyle name="Notas 3 62 3" xfId="30610"/>
    <cellStyle name="Notas 3 62 3 2" xfId="36182"/>
    <cellStyle name="Notas 3 62 4" xfId="30611"/>
    <cellStyle name="Notas 3 62 4 2" xfId="36183"/>
    <cellStyle name="Notas 3 62 5" xfId="30612"/>
    <cellStyle name="Notas 3 62 5 2" xfId="36184"/>
    <cellStyle name="Notas 3 62 6" xfId="30613"/>
    <cellStyle name="Notas 3 62 6 2" xfId="36185"/>
    <cellStyle name="Notas 3 62 7" xfId="30614"/>
    <cellStyle name="Notas 3 62 7 2" xfId="36186"/>
    <cellStyle name="Notas 3 62 8" xfId="30615"/>
    <cellStyle name="Notas 3 62 8 2" xfId="36187"/>
    <cellStyle name="Notas 3 62 9" xfId="30616"/>
    <cellStyle name="Notas 3 62 9 2" xfId="36188"/>
    <cellStyle name="Notas 3 63" xfId="30617"/>
    <cellStyle name="Notas 3 63 10" xfId="30618"/>
    <cellStyle name="Notas 3 63 10 2" xfId="36189"/>
    <cellStyle name="Notas 3 63 11" xfId="30619"/>
    <cellStyle name="Notas 3 63 11 2" xfId="36190"/>
    <cellStyle name="Notas 3 63 12" xfId="30620"/>
    <cellStyle name="Notas 3 63 12 2" xfId="36191"/>
    <cellStyle name="Notas 3 63 13" xfId="30621"/>
    <cellStyle name="Notas 3 63 13 2" xfId="36192"/>
    <cellStyle name="Notas 3 63 14" xfId="36193"/>
    <cellStyle name="Notas 3 63 2" xfId="30622"/>
    <cellStyle name="Notas 3 63 2 2" xfId="36194"/>
    <cellStyle name="Notas 3 63 3" xfId="30623"/>
    <cellStyle name="Notas 3 63 3 2" xfId="36195"/>
    <cellStyle name="Notas 3 63 4" xfId="30624"/>
    <cellStyle name="Notas 3 63 4 2" xfId="36196"/>
    <cellStyle name="Notas 3 63 5" xfId="30625"/>
    <cellStyle name="Notas 3 63 5 2" xfId="36197"/>
    <cellStyle name="Notas 3 63 6" xfId="30626"/>
    <cellStyle name="Notas 3 63 6 2" xfId="36198"/>
    <cellStyle name="Notas 3 63 7" xfId="30627"/>
    <cellStyle name="Notas 3 63 7 2" xfId="36199"/>
    <cellStyle name="Notas 3 63 8" xfId="30628"/>
    <cellStyle name="Notas 3 63 8 2" xfId="36200"/>
    <cellStyle name="Notas 3 63 9" xfId="30629"/>
    <cellStyle name="Notas 3 63 9 2" xfId="36201"/>
    <cellStyle name="Notas 3 64" xfId="30630"/>
    <cellStyle name="Notas 3 64 10" xfId="30631"/>
    <cellStyle name="Notas 3 64 10 2" xfId="36202"/>
    <cellStyle name="Notas 3 64 11" xfId="30632"/>
    <cellStyle name="Notas 3 64 11 2" xfId="36203"/>
    <cellStyle name="Notas 3 64 12" xfId="30633"/>
    <cellStyle name="Notas 3 64 12 2" xfId="36204"/>
    <cellStyle name="Notas 3 64 13" xfId="30634"/>
    <cellStyle name="Notas 3 64 13 2" xfId="36205"/>
    <cellStyle name="Notas 3 64 14" xfId="36206"/>
    <cellStyle name="Notas 3 64 2" xfId="30635"/>
    <cellStyle name="Notas 3 64 2 2" xfId="36207"/>
    <cellStyle name="Notas 3 64 3" xfId="30636"/>
    <cellStyle name="Notas 3 64 3 2" xfId="36208"/>
    <cellStyle name="Notas 3 64 4" xfId="30637"/>
    <cellStyle name="Notas 3 64 4 2" xfId="36209"/>
    <cellStyle name="Notas 3 64 5" xfId="30638"/>
    <cellStyle name="Notas 3 64 5 2" xfId="36210"/>
    <cellStyle name="Notas 3 64 6" xfId="30639"/>
    <cellStyle name="Notas 3 64 6 2" xfId="36211"/>
    <cellStyle name="Notas 3 64 7" xfId="30640"/>
    <cellStyle name="Notas 3 64 7 2" xfId="36212"/>
    <cellStyle name="Notas 3 64 8" xfId="30641"/>
    <cellStyle name="Notas 3 64 8 2" xfId="36213"/>
    <cellStyle name="Notas 3 64 9" xfId="30642"/>
    <cellStyle name="Notas 3 64 9 2" xfId="36214"/>
    <cellStyle name="Notas 3 65" xfId="30643"/>
    <cellStyle name="Notas 3 65 10" xfId="30644"/>
    <cellStyle name="Notas 3 65 10 2" xfId="36215"/>
    <cellStyle name="Notas 3 65 11" xfId="30645"/>
    <cellStyle name="Notas 3 65 11 2" xfId="36216"/>
    <cellStyle name="Notas 3 65 12" xfId="30646"/>
    <cellStyle name="Notas 3 65 12 2" xfId="36217"/>
    <cellStyle name="Notas 3 65 13" xfId="30647"/>
    <cellStyle name="Notas 3 65 13 2" xfId="36218"/>
    <cellStyle name="Notas 3 65 14" xfId="36219"/>
    <cellStyle name="Notas 3 65 2" xfId="30648"/>
    <cellStyle name="Notas 3 65 2 2" xfId="36220"/>
    <cellStyle name="Notas 3 65 3" xfId="30649"/>
    <cellStyle name="Notas 3 65 3 2" xfId="36221"/>
    <cellStyle name="Notas 3 65 4" xfId="30650"/>
    <cellStyle name="Notas 3 65 4 2" xfId="36222"/>
    <cellStyle name="Notas 3 65 5" xfId="30651"/>
    <cellStyle name="Notas 3 65 5 2" xfId="36223"/>
    <cellStyle name="Notas 3 65 6" xfId="30652"/>
    <cellStyle name="Notas 3 65 6 2" xfId="36224"/>
    <cellStyle name="Notas 3 65 7" xfId="30653"/>
    <cellStyle name="Notas 3 65 7 2" xfId="36225"/>
    <cellStyle name="Notas 3 65 8" xfId="30654"/>
    <cellStyle name="Notas 3 65 8 2" xfId="36226"/>
    <cellStyle name="Notas 3 65 9" xfId="30655"/>
    <cellStyle name="Notas 3 65 9 2" xfId="36227"/>
    <cellStyle name="Notas 3 66" xfId="30656"/>
    <cellStyle name="Notas 3 66 10" xfId="30657"/>
    <cellStyle name="Notas 3 66 10 2" xfId="36228"/>
    <cellStyle name="Notas 3 66 11" xfId="30658"/>
    <cellStyle name="Notas 3 66 11 2" xfId="36229"/>
    <cellStyle name="Notas 3 66 12" xfId="30659"/>
    <cellStyle name="Notas 3 66 12 2" xfId="36230"/>
    <cellStyle name="Notas 3 66 13" xfId="30660"/>
    <cellStyle name="Notas 3 66 13 2" xfId="36231"/>
    <cellStyle name="Notas 3 66 14" xfId="36232"/>
    <cellStyle name="Notas 3 66 2" xfId="30661"/>
    <cellStyle name="Notas 3 66 2 2" xfId="36233"/>
    <cellStyle name="Notas 3 66 3" xfId="30662"/>
    <cellStyle name="Notas 3 66 3 2" xfId="36234"/>
    <cellStyle name="Notas 3 66 4" xfId="30663"/>
    <cellStyle name="Notas 3 66 4 2" xfId="36235"/>
    <cellStyle name="Notas 3 66 5" xfId="30664"/>
    <cellStyle name="Notas 3 66 5 2" xfId="36236"/>
    <cellStyle name="Notas 3 66 6" xfId="30665"/>
    <cellStyle name="Notas 3 66 6 2" xfId="36237"/>
    <cellStyle name="Notas 3 66 7" xfId="30666"/>
    <cellStyle name="Notas 3 66 7 2" xfId="36238"/>
    <cellStyle name="Notas 3 66 8" xfId="30667"/>
    <cellStyle name="Notas 3 66 8 2" xfId="36239"/>
    <cellStyle name="Notas 3 66 9" xfId="30668"/>
    <cellStyle name="Notas 3 66 9 2" xfId="36240"/>
    <cellStyle name="Notas 3 67" xfId="30669"/>
    <cellStyle name="Notas 3 67 10" xfId="30670"/>
    <cellStyle name="Notas 3 67 10 2" xfId="36241"/>
    <cellStyle name="Notas 3 67 11" xfId="30671"/>
    <cellStyle name="Notas 3 67 11 2" xfId="36242"/>
    <cellStyle name="Notas 3 67 12" xfId="30672"/>
    <cellStyle name="Notas 3 67 12 2" xfId="36243"/>
    <cellStyle name="Notas 3 67 13" xfId="30673"/>
    <cellStyle name="Notas 3 67 13 2" xfId="36244"/>
    <cellStyle name="Notas 3 67 14" xfId="36245"/>
    <cellStyle name="Notas 3 67 2" xfId="30674"/>
    <cellStyle name="Notas 3 67 2 2" xfId="36246"/>
    <cellStyle name="Notas 3 67 3" xfId="30675"/>
    <cellStyle name="Notas 3 67 3 2" xfId="36247"/>
    <cellStyle name="Notas 3 67 4" xfId="30676"/>
    <cellStyle name="Notas 3 67 4 2" xfId="36248"/>
    <cellStyle name="Notas 3 67 5" xfId="30677"/>
    <cellStyle name="Notas 3 67 5 2" xfId="36249"/>
    <cellStyle name="Notas 3 67 6" xfId="30678"/>
    <cellStyle name="Notas 3 67 6 2" xfId="36250"/>
    <cellStyle name="Notas 3 67 7" xfId="30679"/>
    <cellStyle name="Notas 3 67 7 2" xfId="36251"/>
    <cellStyle name="Notas 3 67 8" xfId="30680"/>
    <cellStyle name="Notas 3 67 8 2" xfId="36252"/>
    <cellStyle name="Notas 3 67 9" xfId="30681"/>
    <cellStyle name="Notas 3 67 9 2" xfId="36253"/>
    <cellStyle name="Notas 3 68" xfId="30682"/>
    <cellStyle name="Notas 3 68 10" xfId="30683"/>
    <cellStyle name="Notas 3 68 10 2" xfId="36254"/>
    <cellStyle name="Notas 3 68 11" xfId="30684"/>
    <cellStyle name="Notas 3 68 11 2" xfId="36255"/>
    <cellStyle name="Notas 3 68 12" xfId="30685"/>
    <cellStyle name="Notas 3 68 12 2" xfId="36256"/>
    <cellStyle name="Notas 3 68 13" xfId="30686"/>
    <cellStyle name="Notas 3 68 13 2" xfId="36257"/>
    <cellStyle name="Notas 3 68 14" xfId="36258"/>
    <cellStyle name="Notas 3 68 2" xfId="30687"/>
    <cellStyle name="Notas 3 68 2 2" xfId="36259"/>
    <cellStyle name="Notas 3 68 3" xfId="30688"/>
    <cellStyle name="Notas 3 68 3 2" xfId="36260"/>
    <cellStyle name="Notas 3 68 4" xfId="30689"/>
    <cellStyle name="Notas 3 68 4 2" xfId="36261"/>
    <cellStyle name="Notas 3 68 5" xfId="30690"/>
    <cellStyle name="Notas 3 68 5 2" xfId="36262"/>
    <cellStyle name="Notas 3 68 6" xfId="30691"/>
    <cellStyle name="Notas 3 68 6 2" xfId="36263"/>
    <cellStyle name="Notas 3 68 7" xfId="30692"/>
    <cellStyle name="Notas 3 68 7 2" xfId="36264"/>
    <cellStyle name="Notas 3 68 8" xfId="30693"/>
    <cellStyle name="Notas 3 68 8 2" xfId="36265"/>
    <cellStyle name="Notas 3 68 9" xfId="30694"/>
    <cellStyle name="Notas 3 68 9 2" xfId="36266"/>
    <cellStyle name="Notas 3 69" xfId="30695"/>
    <cellStyle name="Notas 3 69 10" xfId="30696"/>
    <cellStyle name="Notas 3 69 10 2" xfId="36267"/>
    <cellStyle name="Notas 3 69 11" xfId="30697"/>
    <cellStyle name="Notas 3 69 11 2" xfId="36268"/>
    <cellStyle name="Notas 3 69 12" xfId="30698"/>
    <cellStyle name="Notas 3 69 12 2" xfId="36269"/>
    <cellStyle name="Notas 3 69 13" xfId="30699"/>
    <cellStyle name="Notas 3 69 13 2" xfId="36270"/>
    <cellStyle name="Notas 3 69 14" xfId="36271"/>
    <cellStyle name="Notas 3 69 2" xfId="30700"/>
    <cellStyle name="Notas 3 69 2 2" xfId="36272"/>
    <cellStyle name="Notas 3 69 3" xfId="30701"/>
    <cellStyle name="Notas 3 69 3 2" xfId="36273"/>
    <cellStyle name="Notas 3 69 4" xfId="30702"/>
    <cellStyle name="Notas 3 69 4 2" xfId="36274"/>
    <cellStyle name="Notas 3 69 5" xfId="30703"/>
    <cellStyle name="Notas 3 69 5 2" xfId="36275"/>
    <cellStyle name="Notas 3 69 6" xfId="30704"/>
    <cellStyle name="Notas 3 69 6 2" xfId="36276"/>
    <cellStyle name="Notas 3 69 7" xfId="30705"/>
    <cellStyle name="Notas 3 69 7 2" xfId="36277"/>
    <cellStyle name="Notas 3 69 8" xfId="30706"/>
    <cellStyle name="Notas 3 69 8 2" xfId="36278"/>
    <cellStyle name="Notas 3 69 9" xfId="30707"/>
    <cellStyle name="Notas 3 69 9 2" xfId="36279"/>
    <cellStyle name="Notas 3 7" xfId="30708"/>
    <cellStyle name="Notas 3 7 10" xfId="30709"/>
    <cellStyle name="Notas 3 7 10 2" xfId="36280"/>
    <cellStyle name="Notas 3 7 11" xfId="30710"/>
    <cellStyle name="Notas 3 7 11 2" xfId="36281"/>
    <cellStyle name="Notas 3 7 12" xfId="30711"/>
    <cellStyle name="Notas 3 7 12 2" xfId="36282"/>
    <cellStyle name="Notas 3 7 13" xfId="30712"/>
    <cellStyle name="Notas 3 7 13 2" xfId="36283"/>
    <cellStyle name="Notas 3 7 14" xfId="36284"/>
    <cellStyle name="Notas 3 7 2" xfId="30713"/>
    <cellStyle name="Notas 3 7 2 2" xfId="36285"/>
    <cellStyle name="Notas 3 7 3" xfId="30714"/>
    <cellStyle name="Notas 3 7 3 2" xfId="36286"/>
    <cellStyle name="Notas 3 7 4" xfId="30715"/>
    <cellStyle name="Notas 3 7 4 2" xfId="36287"/>
    <cellStyle name="Notas 3 7 5" xfId="30716"/>
    <cellStyle name="Notas 3 7 5 2" xfId="36288"/>
    <cellStyle name="Notas 3 7 6" xfId="30717"/>
    <cellStyle name="Notas 3 7 6 2" xfId="36289"/>
    <cellStyle name="Notas 3 7 7" xfId="30718"/>
    <cellStyle name="Notas 3 7 7 2" xfId="36290"/>
    <cellStyle name="Notas 3 7 8" xfId="30719"/>
    <cellStyle name="Notas 3 7 8 2" xfId="36291"/>
    <cellStyle name="Notas 3 7 9" xfId="30720"/>
    <cellStyle name="Notas 3 7 9 2" xfId="36292"/>
    <cellStyle name="Notas 3 70" xfId="30721"/>
    <cellStyle name="Notas 3 70 10" xfId="30722"/>
    <cellStyle name="Notas 3 70 10 2" xfId="36293"/>
    <cellStyle name="Notas 3 70 11" xfId="30723"/>
    <cellStyle name="Notas 3 70 11 2" xfId="36294"/>
    <cellStyle name="Notas 3 70 12" xfId="30724"/>
    <cellStyle name="Notas 3 70 12 2" xfId="36295"/>
    <cellStyle name="Notas 3 70 13" xfId="30725"/>
    <cellStyle name="Notas 3 70 13 2" xfId="36296"/>
    <cellStyle name="Notas 3 70 14" xfId="36297"/>
    <cellStyle name="Notas 3 70 2" xfId="30726"/>
    <cellStyle name="Notas 3 70 2 2" xfId="36298"/>
    <cellStyle name="Notas 3 70 3" xfId="30727"/>
    <cellStyle name="Notas 3 70 3 2" xfId="36299"/>
    <cellStyle name="Notas 3 70 4" xfId="30728"/>
    <cellStyle name="Notas 3 70 4 2" xfId="36300"/>
    <cellStyle name="Notas 3 70 5" xfId="30729"/>
    <cellStyle name="Notas 3 70 5 2" xfId="36301"/>
    <cellStyle name="Notas 3 70 6" xfId="30730"/>
    <cellStyle name="Notas 3 70 6 2" xfId="36302"/>
    <cellStyle name="Notas 3 70 7" xfId="30731"/>
    <cellStyle name="Notas 3 70 7 2" xfId="36303"/>
    <cellStyle name="Notas 3 70 8" xfId="30732"/>
    <cellStyle name="Notas 3 70 8 2" xfId="36304"/>
    <cellStyle name="Notas 3 70 9" xfId="30733"/>
    <cellStyle name="Notas 3 70 9 2" xfId="36305"/>
    <cellStyle name="Notas 3 71" xfId="30734"/>
    <cellStyle name="Notas 3 71 2" xfId="36306"/>
    <cellStyle name="Notas 3 72" xfId="30735"/>
    <cellStyle name="Notas 3 72 2" xfId="36307"/>
    <cellStyle name="Notas 3 73" xfId="30736"/>
    <cellStyle name="Notas 3 73 2" xfId="36308"/>
    <cellStyle name="Notas 3 74" xfId="30737"/>
    <cellStyle name="Notas 3 74 2" xfId="36309"/>
    <cellStyle name="Notas 3 75" xfId="30738"/>
    <cellStyle name="Notas 3 75 2" xfId="36310"/>
    <cellStyle name="Notas 3 76" xfId="30739"/>
    <cellStyle name="Notas 3 76 2" xfId="36311"/>
    <cellStyle name="Notas 3 77" xfId="30740"/>
    <cellStyle name="Notas 3 77 2" xfId="36312"/>
    <cellStyle name="Notas 3 78" xfId="30741"/>
    <cellStyle name="Notas 3 78 2" xfId="36313"/>
    <cellStyle name="Notas 3 79" xfId="30742"/>
    <cellStyle name="Notas 3 79 2" xfId="36314"/>
    <cellStyle name="Notas 3 8" xfId="30743"/>
    <cellStyle name="Notas 3 8 10" xfId="30744"/>
    <cellStyle name="Notas 3 8 10 2" xfId="36315"/>
    <cellStyle name="Notas 3 8 11" xfId="30745"/>
    <cellStyle name="Notas 3 8 11 2" xfId="36316"/>
    <cellStyle name="Notas 3 8 12" xfId="30746"/>
    <cellStyle name="Notas 3 8 12 2" xfId="36317"/>
    <cellStyle name="Notas 3 8 13" xfId="30747"/>
    <cellStyle name="Notas 3 8 13 2" xfId="36318"/>
    <cellStyle name="Notas 3 8 14" xfId="36319"/>
    <cellStyle name="Notas 3 8 2" xfId="30748"/>
    <cellStyle name="Notas 3 8 2 2" xfId="36320"/>
    <cellStyle name="Notas 3 8 3" xfId="30749"/>
    <cellStyle name="Notas 3 8 3 2" xfId="36321"/>
    <cellStyle name="Notas 3 8 4" xfId="30750"/>
    <cellStyle name="Notas 3 8 4 2" xfId="36322"/>
    <cellStyle name="Notas 3 8 5" xfId="30751"/>
    <cellStyle name="Notas 3 8 5 2" xfId="36323"/>
    <cellStyle name="Notas 3 8 6" xfId="30752"/>
    <cellStyle name="Notas 3 8 6 2" xfId="36324"/>
    <cellStyle name="Notas 3 8 7" xfId="30753"/>
    <cellStyle name="Notas 3 8 7 2" xfId="36325"/>
    <cellStyle name="Notas 3 8 8" xfId="30754"/>
    <cellStyle name="Notas 3 8 8 2" xfId="36326"/>
    <cellStyle name="Notas 3 8 9" xfId="30755"/>
    <cellStyle name="Notas 3 8 9 2" xfId="36327"/>
    <cellStyle name="Notas 3 80" xfId="30756"/>
    <cellStyle name="Notas 3 80 2" xfId="36328"/>
    <cellStyle name="Notas 3 81" xfId="30757"/>
    <cellStyle name="Notas 3 81 2" xfId="36329"/>
    <cellStyle name="Notas 3 82" xfId="36330"/>
    <cellStyle name="Notas 3 9" xfId="30758"/>
    <cellStyle name="Notas 3 9 10" xfId="30759"/>
    <cellStyle name="Notas 3 9 10 2" xfId="36331"/>
    <cellStyle name="Notas 3 9 11" xfId="30760"/>
    <cellStyle name="Notas 3 9 11 2" xfId="36332"/>
    <cellStyle name="Notas 3 9 12" xfId="30761"/>
    <cellStyle name="Notas 3 9 12 2" xfId="36333"/>
    <cellStyle name="Notas 3 9 13" xfId="30762"/>
    <cellStyle name="Notas 3 9 13 2" xfId="36334"/>
    <cellStyle name="Notas 3 9 14" xfId="36335"/>
    <cellStyle name="Notas 3 9 2" xfId="30763"/>
    <cellStyle name="Notas 3 9 2 2" xfId="36336"/>
    <cellStyle name="Notas 3 9 3" xfId="30764"/>
    <cellStyle name="Notas 3 9 3 2" xfId="36337"/>
    <cellStyle name="Notas 3 9 4" xfId="30765"/>
    <cellStyle name="Notas 3 9 4 2" xfId="36338"/>
    <cellStyle name="Notas 3 9 5" xfId="30766"/>
    <cellStyle name="Notas 3 9 5 2" xfId="36339"/>
    <cellStyle name="Notas 3 9 6" xfId="30767"/>
    <cellStyle name="Notas 3 9 6 2" xfId="36340"/>
    <cellStyle name="Notas 3 9 7" xfId="30768"/>
    <cellStyle name="Notas 3 9 7 2" xfId="36341"/>
    <cellStyle name="Notas 3 9 8" xfId="30769"/>
    <cellStyle name="Notas 3 9 8 2" xfId="36342"/>
    <cellStyle name="Notas 3 9 9" xfId="30770"/>
    <cellStyle name="Notas 3 9 9 2" xfId="36343"/>
    <cellStyle name="Porcentaje 2" xfId="30867"/>
    <cellStyle name="Porcentaje 2 2" xfId="30871"/>
    <cellStyle name="Porcentaje 3" xfId="30868"/>
    <cellStyle name="Porcentual" xfId="2" builtinId="5"/>
    <cellStyle name="Porcentual 2" xfId="30771"/>
    <cellStyle name="Porcentual 2 2" xfId="30772"/>
    <cellStyle name="Porcentual 2 3" xfId="30773"/>
    <cellStyle name="Salida 2" xfId="30774"/>
    <cellStyle name="Salida 2 10" xfId="30775"/>
    <cellStyle name="Salida 2 10 2" xfId="36344"/>
    <cellStyle name="Salida 2 11" xfId="30776"/>
    <cellStyle name="Salida 2 11 2" xfId="36345"/>
    <cellStyle name="Salida 2 12" xfId="30777"/>
    <cellStyle name="Salida 2 12 2" xfId="36346"/>
    <cellStyle name="Salida 2 13" xfId="30778"/>
    <cellStyle name="Salida 2 13 2" xfId="36347"/>
    <cellStyle name="Salida 2 14" xfId="36348"/>
    <cellStyle name="Salida 2 2" xfId="30779"/>
    <cellStyle name="Salida 2 2 10" xfId="30780"/>
    <cellStyle name="Salida 2 2 10 2" xfId="36349"/>
    <cellStyle name="Salida 2 2 11" xfId="30781"/>
    <cellStyle name="Salida 2 2 11 2" xfId="36350"/>
    <cellStyle name="Salida 2 2 12" xfId="30782"/>
    <cellStyle name="Salida 2 2 12 2" xfId="36351"/>
    <cellStyle name="Salida 2 2 13" xfId="36352"/>
    <cellStyle name="Salida 2 2 2" xfId="30783"/>
    <cellStyle name="Salida 2 2 2 2" xfId="36353"/>
    <cellStyle name="Salida 2 2 3" xfId="30784"/>
    <cellStyle name="Salida 2 2 3 2" xfId="36354"/>
    <cellStyle name="Salida 2 2 4" xfId="30785"/>
    <cellStyle name="Salida 2 2 4 2" xfId="36355"/>
    <cellStyle name="Salida 2 2 5" xfId="30786"/>
    <cellStyle name="Salida 2 2 5 2" xfId="36356"/>
    <cellStyle name="Salida 2 2 6" xfId="30787"/>
    <cellStyle name="Salida 2 2 6 2" xfId="36357"/>
    <cellStyle name="Salida 2 2 7" xfId="30788"/>
    <cellStyle name="Salida 2 2 7 2" xfId="36358"/>
    <cellStyle name="Salida 2 2 8" xfId="30789"/>
    <cellStyle name="Salida 2 2 8 2" xfId="36359"/>
    <cellStyle name="Salida 2 2 9" xfId="30790"/>
    <cellStyle name="Salida 2 2 9 2" xfId="36360"/>
    <cellStyle name="Salida 2 3" xfId="30791"/>
    <cellStyle name="Salida 2 3 2" xfId="36361"/>
    <cellStyle name="Salida 2 4" xfId="30792"/>
    <cellStyle name="Salida 2 4 2" xfId="36362"/>
    <cellStyle name="Salida 2 5" xfId="30793"/>
    <cellStyle name="Salida 2 5 2" xfId="36363"/>
    <cellStyle name="Salida 2 6" xfId="30794"/>
    <cellStyle name="Salida 2 6 2" xfId="36364"/>
    <cellStyle name="Salida 2 7" xfId="30795"/>
    <cellStyle name="Salida 2 7 2" xfId="36365"/>
    <cellStyle name="Salida 2 8" xfId="30796"/>
    <cellStyle name="Salida 2 8 2" xfId="36366"/>
    <cellStyle name="Salida 2 9" xfId="30797"/>
    <cellStyle name="Salida 2 9 2" xfId="36367"/>
    <cellStyle name="Salida 3" xfId="30798"/>
    <cellStyle name="Salida 3 10" xfId="30799"/>
    <cellStyle name="Salida 3 10 2" xfId="36368"/>
    <cellStyle name="Salida 3 11" xfId="30800"/>
    <cellStyle name="Salida 3 11 2" xfId="36369"/>
    <cellStyle name="Salida 3 12" xfId="30801"/>
    <cellStyle name="Salida 3 12 2" xfId="36370"/>
    <cellStyle name="Salida 3 13" xfId="36371"/>
    <cellStyle name="Salida 3 2" xfId="30802"/>
    <cellStyle name="Salida 3 2 2" xfId="36372"/>
    <cellStyle name="Salida 3 3" xfId="30803"/>
    <cellStyle name="Salida 3 3 2" xfId="36373"/>
    <cellStyle name="Salida 3 4" xfId="30804"/>
    <cellStyle name="Salida 3 4 2" xfId="36374"/>
    <cellStyle name="Salida 3 5" xfId="30805"/>
    <cellStyle name="Salida 3 5 2" xfId="36375"/>
    <cellStyle name="Salida 3 6" xfId="30806"/>
    <cellStyle name="Salida 3 6 2" xfId="36376"/>
    <cellStyle name="Salida 3 7" xfId="30807"/>
    <cellStyle name="Salida 3 7 2" xfId="36377"/>
    <cellStyle name="Salida 3 8" xfId="30808"/>
    <cellStyle name="Salida 3 8 2" xfId="36378"/>
    <cellStyle name="Salida 3 9" xfId="30809"/>
    <cellStyle name="Salida 3 9 2" xfId="36379"/>
    <cellStyle name="Texto de advertencia 2" xfId="30810"/>
    <cellStyle name="Texto de advertencia 2 2" xfId="30811"/>
    <cellStyle name="Texto de advertencia 3" xfId="30812"/>
    <cellStyle name="Texto explicativo 2" xfId="30813"/>
    <cellStyle name="Texto explicativo 2 2" xfId="30814"/>
    <cellStyle name="Texto explicativo 3" xfId="30815"/>
    <cellStyle name="Título 1 2" xfId="30816"/>
    <cellStyle name="Título 1 2 2" xfId="30817"/>
    <cellStyle name="Título 1 3" xfId="30818"/>
    <cellStyle name="Título 2 2" xfId="30819"/>
    <cellStyle name="Título 2 2 2" xfId="30820"/>
    <cellStyle name="Título 2 3" xfId="30821"/>
    <cellStyle name="Título 3 2" xfId="30822"/>
    <cellStyle name="Título 3 2 2" xfId="30823"/>
    <cellStyle name="Título 3 3" xfId="30824"/>
    <cellStyle name="Título 4" xfId="30825"/>
    <cellStyle name="Título 4 2" xfId="30826"/>
    <cellStyle name="Título 5" xfId="30827"/>
    <cellStyle name="Total 2" xfId="30828"/>
    <cellStyle name="Total 2 10" xfId="30829"/>
    <cellStyle name="Total 2 10 2" xfId="36380"/>
    <cellStyle name="Total 2 11" xfId="30830"/>
    <cellStyle name="Total 2 11 2" xfId="36381"/>
    <cellStyle name="Total 2 12" xfId="30831"/>
    <cellStyle name="Total 2 12 2" xfId="36382"/>
    <cellStyle name="Total 2 13" xfId="30832"/>
    <cellStyle name="Total 2 13 2" xfId="36383"/>
    <cellStyle name="Total 2 14" xfId="36384"/>
    <cellStyle name="Total 2 2" xfId="30833"/>
    <cellStyle name="Total 2 2 10" xfId="30834"/>
    <cellStyle name="Total 2 2 10 2" xfId="36385"/>
    <cellStyle name="Total 2 2 11" xfId="30835"/>
    <cellStyle name="Total 2 2 11 2" xfId="36386"/>
    <cellStyle name="Total 2 2 12" xfId="30836"/>
    <cellStyle name="Total 2 2 12 2" xfId="36387"/>
    <cellStyle name="Total 2 2 13" xfId="36388"/>
    <cellStyle name="Total 2 2 2" xfId="30837"/>
    <cellStyle name="Total 2 2 2 2" xfId="36389"/>
    <cellStyle name="Total 2 2 3" xfId="30838"/>
    <cellStyle name="Total 2 2 3 2" xfId="36390"/>
    <cellStyle name="Total 2 2 4" xfId="30839"/>
    <cellStyle name="Total 2 2 4 2" xfId="36391"/>
    <cellStyle name="Total 2 2 5" xfId="30840"/>
    <cellStyle name="Total 2 2 5 2" xfId="36392"/>
    <cellStyle name="Total 2 2 6" xfId="30841"/>
    <cellStyle name="Total 2 2 6 2" xfId="36393"/>
    <cellStyle name="Total 2 2 7" xfId="30842"/>
    <cellStyle name="Total 2 2 7 2" xfId="36394"/>
    <cellStyle name="Total 2 2 8" xfId="30843"/>
    <cellStyle name="Total 2 2 8 2" xfId="36395"/>
    <cellStyle name="Total 2 2 9" xfId="30844"/>
    <cellStyle name="Total 2 2 9 2" xfId="36396"/>
    <cellStyle name="Total 2 3" xfId="30845"/>
    <cellStyle name="Total 2 3 2" xfId="36397"/>
    <cellStyle name="Total 2 4" xfId="30846"/>
    <cellStyle name="Total 2 4 2" xfId="36398"/>
    <cellStyle name="Total 2 5" xfId="30847"/>
    <cellStyle name="Total 2 5 2" xfId="36399"/>
    <cellStyle name="Total 2 6" xfId="30848"/>
    <cellStyle name="Total 2 6 2" xfId="36400"/>
    <cellStyle name="Total 2 7" xfId="30849"/>
    <cellStyle name="Total 2 7 2" xfId="36401"/>
    <cellStyle name="Total 2 8" xfId="30850"/>
    <cellStyle name="Total 2 8 2" xfId="36402"/>
    <cellStyle name="Total 2 9" xfId="30851"/>
    <cellStyle name="Total 2 9 2" xfId="36403"/>
    <cellStyle name="Total 3" xfId="30852"/>
    <cellStyle name="Total 3 10" xfId="30853"/>
    <cellStyle name="Total 3 10 2" xfId="36404"/>
    <cellStyle name="Total 3 11" xfId="30854"/>
    <cellStyle name="Total 3 11 2" xfId="36405"/>
    <cellStyle name="Total 3 12" xfId="30855"/>
    <cellStyle name="Total 3 12 2" xfId="36406"/>
    <cellStyle name="Total 3 13" xfId="36407"/>
    <cellStyle name="Total 3 2" xfId="30856"/>
    <cellStyle name="Total 3 2 2" xfId="36408"/>
    <cellStyle name="Total 3 3" xfId="30857"/>
    <cellStyle name="Total 3 3 2" xfId="36409"/>
    <cellStyle name="Total 3 4" xfId="30858"/>
    <cellStyle name="Total 3 4 2" xfId="36410"/>
    <cellStyle name="Total 3 5" xfId="30859"/>
    <cellStyle name="Total 3 5 2" xfId="36411"/>
    <cellStyle name="Total 3 6" xfId="30860"/>
    <cellStyle name="Total 3 6 2" xfId="36412"/>
    <cellStyle name="Total 3 7" xfId="30861"/>
    <cellStyle name="Total 3 7 2" xfId="36413"/>
    <cellStyle name="Total 3 8" xfId="30862"/>
    <cellStyle name="Total 3 8 2" xfId="36414"/>
    <cellStyle name="Total 3 9" xfId="30863"/>
    <cellStyle name="Total 3 9 2" xfId="364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worksheet" Target="worksheets/sheet324.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335"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worksheet" Target="worksheets/sheet325.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calcChain" Target="calcChain.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323" Type="http://schemas.openxmlformats.org/officeDocument/2006/relationships/worksheet" Target="worksheets/sheet323.xml"/><Relationship Id="rId328" Type="http://schemas.openxmlformats.org/officeDocument/2006/relationships/worksheet" Target="worksheets/sheet32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worksheet" Target="worksheets/sheet313.xml"/><Relationship Id="rId318" Type="http://schemas.openxmlformats.org/officeDocument/2006/relationships/worksheet" Target="worksheets/sheet31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33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externalLink" Target="externalLinks/externalLink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sz="175" b="1" i="0" u="none" strike="noStrike" baseline="0">
                <a:solidFill>
                  <a:srgbClr val="000000"/>
                </a:solidFill>
                <a:latin typeface="Verdana"/>
                <a:ea typeface="Verdana"/>
                <a:cs typeface="Verdana"/>
              </a:defRPr>
            </a:pPr>
            <a:r>
              <a:rPr lang="es-CL"/>
              <a:t>Proyectos elegibles y seleccionados Fondos concursables, según Fondo, 2008
</a:t>
            </a:r>
          </a:p>
        </c:rich>
      </c:tx>
      <c:layout>
        <c:manualLayout>
          <c:xMode val="edge"/>
          <c:yMode val="edge"/>
          <c:x val="0.37931034482758785"/>
          <c:y val="0"/>
        </c:manualLayout>
      </c:layout>
      <c:spPr>
        <a:noFill/>
        <a:ln w="25400">
          <a:noFill/>
        </a:ln>
      </c:spPr>
    </c:title>
    <c:plotArea>
      <c:layout/>
      <c:barChart>
        <c:barDir val="col"/>
        <c:grouping val="clustered"/>
        <c:ser>
          <c:idx val="0"/>
          <c:order val="0"/>
          <c:spPr>
            <a:solidFill>
              <a:srgbClr val="33CCCC"/>
            </a:solidFill>
            <a:ln w="12700">
              <a:solidFill>
                <a:srgbClr val="000000"/>
              </a:solidFill>
              <a:prstDash val="solid"/>
            </a:ln>
          </c:spPr>
          <c:val>
            <c:numLit>
              <c:formatCode>General</c:formatCode>
              <c:ptCount val="1"/>
              <c:pt idx="0">
                <c:v>0</c:v>
              </c:pt>
            </c:numLit>
          </c:val>
        </c:ser>
        <c:ser>
          <c:idx val="1"/>
          <c:order val="1"/>
          <c:spPr>
            <a:solidFill>
              <a:srgbClr val="339966"/>
            </a:solidFill>
            <a:ln w="12700">
              <a:solidFill>
                <a:srgbClr val="000000"/>
              </a:solidFill>
              <a:prstDash val="solid"/>
            </a:ln>
          </c:spPr>
          <c:val>
            <c:numLit>
              <c:formatCode>General</c:formatCode>
              <c:ptCount val="1"/>
              <c:pt idx="0">
                <c:v>0</c:v>
              </c:pt>
            </c:numLit>
          </c:val>
        </c:ser>
        <c:ser>
          <c:idx val="2"/>
          <c:order val="2"/>
          <c:spPr>
            <a:solidFill>
              <a:srgbClr val="FFFFCC"/>
            </a:solidFill>
            <a:ln w="12700">
              <a:solidFill>
                <a:srgbClr val="000000"/>
              </a:solidFill>
              <a:prstDash val="solid"/>
            </a:ln>
          </c:spPr>
          <c:val>
            <c:numLit>
              <c:formatCode>General</c:formatCode>
              <c:ptCount val="1"/>
              <c:pt idx="0">
                <c:v>0</c:v>
              </c:pt>
            </c:numLit>
          </c:val>
        </c:ser>
        <c:ser>
          <c:idx val="3"/>
          <c:order val="3"/>
          <c:spPr>
            <a:solidFill>
              <a:srgbClr val="CCFFFF"/>
            </a:solidFill>
            <a:ln w="12700">
              <a:solidFill>
                <a:srgbClr val="000000"/>
              </a:solidFill>
              <a:prstDash val="solid"/>
            </a:ln>
          </c:spPr>
          <c:val>
            <c:numLit>
              <c:formatCode>General</c:formatCode>
              <c:ptCount val="1"/>
              <c:pt idx="0">
                <c:v>0</c:v>
              </c:pt>
            </c:numLit>
          </c:val>
        </c:ser>
        <c:axId val="134166400"/>
        <c:axId val="134167936"/>
      </c:barChart>
      <c:catAx>
        <c:axId val="134166400"/>
        <c:scaling>
          <c:orientation val="minMax"/>
        </c:scaling>
        <c:axPos val="b"/>
        <c:numFmt formatCode="General" sourceLinked="1"/>
        <c:tickLblPos val="nextTo"/>
        <c:spPr>
          <a:ln w="3175">
            <a:solidFill>
              <a:srgbClr val="000000"/>
            </a:solidFill>
            <a:prstDash val="solid"/>
          </a:ln>
        </c:spPr>
        <c:txPr>
          <a:bodyPr rot="0" vert="horz"/>
          <a:lstStyle/>
          <a:p>
            <a:pPr>
              <a:defRPr sz="175" b="0" i="0" u="none" strike="noStrike" baseline="0">
                <a:solidFill>
                  <a:srgbClr val="000000"/>
                </a:solidFill>
                <a:latin typeface="Verdana"/>
                <a:ea typeface="Verdana"/>
                <a:cs typeface="Verdana"/>
              </a:defRPr>
            </a:pPr>
            <a:endParaRPr lang="es-CL"/>
          </a:p>
        </c:txPr>
        <c:crossAx val="134167936"/>
        <c:crosses val="autoZero"/>
        <c:auto val="1"/>
        <c:lblAlgn val="ctr"/>
        <c:lblOffset val="100"/>
        <c:tickLblSkip val="1"/>
        <c:tickMarkSkip val="1"/>
      </c:catAx>
      <c:valAx>
        <c:axId val="13416793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75" b="0" i="0" u="none" strike="noStrike" baseline="0">
                <a:solidFill>
                  <a:srgbClr val="000000"/>
                </a:solidFill>
                <a:latin typeface="Verdana"/>
                <a:ea typeface="Verdana"/>
                <a:cs typeface="Verdana"/>
              </a:defRPr>
            </a:pPr>
            <a:endParaRPr lang="es-CL"/>
          </a:p>
        </c:txPr>
        <c:crossAx val="134166400"/>
        <c:crosses val="autoZero"/>
        <c:crossBetween val="between"/>
      </c:valAx>
      <c:spPr>
        <a:no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105" b="0" i="0" u="none" strike="noStrike" baseline="0">
              <a:solidFill>
                <a:srgbClr val="000000"/>
              </a:solidFill>
              <a:latin typeface="Verdana"/>
              <a:ea typeface="Verdana"/>
              <a:cs typeface="Verdana"/>
            </a:defRPr>
          </a:pPr>
          <a:endParaRPr lang="es-CL"/>
        </a:p>
      </c:txPr>
    </c:legend>
    <c:plotVisOnly val="1"/>
    <c:dispBlanksAs val="gap"/>
  </c:chart>
  <c:spPr>
    <a:solidFill>
      <a:srgbClr val="FFFFFF"/>
    </a:solidFill>
    <a:ln w="3175">
      <a:solidFill>
        <a:srgbClr val="000000"/>
      </a:solidFill>
      <a:prstDash val="solid"/>
    </a:ln>
  </c:spPr>
  <c:txPr>
    <a:bodyPr/>
    <a:lstStyle/>
    <a:p>
      <a:pPr>
        <a:defRPr sz="175" b="0" i="0" u="none" strike="noStrike" baseline="0">
          <a:solidFill>
            <a:srgbClr val="000000"/>
          </a:solidFill>
          <a:latin typeface="Verdana"/>
          <a:ea typeface="Verdana"/>
          <a:cs typeface="Verdana"/>
        </a:defRPr>
      </a:pPr>
      <a:endParaRPr lang="es-CL"/>
    </a:p>
  </c:txPr>
  <c:printSettings>
    <c:headerFooter alignWithMargins="0"/>
    <c:pageMargins b="1" l="0.75000000000000966" r="0.75000000000000966" t="1" header="0" footer="0"/>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409575</xdr:colOff>
      <xdr:row>0</xdr:row>
      <xdr:rowOff>0</xdr:rowOff>
    </xdr:from>
    <xdr:to>
      <xdr:col>6</xdr:col>
      <xdr:colOff>85725</xdr:colOff>
      <xdr:row>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oreto.cisternas/Documents/Mis%20documentos/Loreta/00ANUARIO/Anuario%202014/Anuario%202014/Tablas%202014%20a%20dise&#241;o%202/REV%20CUADROS%20CHILEACTOR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3.4-01 ok (Escénicas)"/>
      <sheetName val="3.7.2-14 ok"/>
      <sheetName val="3.7.2-15 ok"/>
      <sheetName val="3.7.2-16 ok"/>
      <sheetName val="3.7.2-17 ok"/>
      <sheetName val="Nuevo 1"/>
    </sheetNames>
    <sheetDataSet>
      <sheetData sheetId="0"/>
      <sheetData sheetId="1"/>
      <sheetData sheetId="2">
        <row r="6">
          <cell r="E6">
            <v>412</v>
          </cell>
          <cell r="F6">
            <v>2789</v>
          </cell>
          <cell r="G6">
            <v>510</v>
          </cell>
          <cell r="H6">
            <v>2573</v>
          </cell>
        </row>
      </sheetData>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6.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sheet1.xml><?xml version="1.0" encoding="utf-8"?>
<worksheet xmlns="http://schemas.openxmlformats.org/spreadsheetml/2006/main" xmlns:r="http://schemas.openxmlformats.org/officeDocument/2006/relationships">
  <dimension ref="A1:U331"/>
  <sheetViews>
    <sheetView showGridLines="0" tabSelected="1" zoomScaleNormal="100" workbookViewId="0">
      <selection activeCell="E2" sqref="E2"/>
    </sheetView>
  </sheetViews>
  <sheetFormatPr baseColWidth="10" defaultRowHeight="11.25"/>
  <cols>
    <col min="1" max="1" width="13.5703125" style="370" bestFit="1" customWidth="1"/>
    <col min="2" max="2" width="123.7109375" style="370" customWidth="1"/>
    <col min="3" max="16384" width="11.42578125" style="2"/>
  </cols>
  <sheetData>
    <row r="1" spans="1:10" ht="38.25" customHeight="1">
      <c r="A1" s="1957" t="s">
        <v>4320</v>
      </c>
      <c r="B1" s="394" t="s">
        <v>4321</v>
      </c>
    </row>
    <row r="2" spans="1:10" ht="38.25" customHeight="1">
      <c r="A2" s="1956" t="s">
        <v>3950</v>
      </c>
      <c r="B2" s="1958" t="s">
        <v>4278</v>
      </c>
    </row>
    <row r="3" spans="1:10" ht="39" customHeight="1">
      <c r="A3" s="1954" t="s">
        <v>3951</v>
      </c>
      <c r="B3" s="1955" t="s">
        <v>4279</v>
      </c>
      <c r="D3" s="153"/>
      <c r="E3" s="153"/>
      <c r="F3" s="153"/>
      <c r="G3" s="153"/>
    </row>
    <row r="4" spans="1:10" ht="39" customHeight="1">
      <c r="A4" s="1954" t="s">
        <v>3952</v>
      </c>
      <c r="B4" s="1955" t="s">
        <v>4280</v>
      </c>
      <c r="D4" s="116"/>
      <c r="E4" s="116"/>
      <c r="F4" s="116"/>
      <c r="G4" s="116"/>
    </row>
    <row r="5" spans="1:10" ht="39" customHeight="1">
      <c r="A5" s="1954" t="s">
        <v>3953</v>
      </c>
      <c r="B5" s="1955" t="s">
        <v>4281</v>
      </c>
      <c r="D5" s="116"/>
      <c r="E5" s="116"/>
      <c r="F5" s="116"/>
      <c r="G5" s="116"/>
    </row>
    <row r="6" spans="1:10" ht="39" customHeight="1">
      <c r="A6" s="1954" t="s">
        <v>3954</v>
      </c>
      <c r="B6" s="1955" t="s">
        <v>4282</v>
      </c>
    </row>
    <row r="7" spans="1:10" ht="39" customHeight="1">
      <c r="A7" s="1954" t="s">
        <v>3955</v>
      </c>
      <c r="B7" s="1955" t="s">
        <v>4283</v>
      </c>
      <c r="D7" s="116"/>
      <c r="E7" s="116"/>
      <c r="F7" s="116"/>
      <c r="G7" s="116"/>
    </row>
    <row r="8" spans="1:10" ht="39" customHeight="1">
      <c r="A8" s="1954" t="s">
        <v>3956</v>
      </c>
      <c r="B8" s="1955" t="s">
        <v>4284</v>
      </c>
      <c r="D8" s="116"/>
      <c r="E8" s="116"/>
      <c r="F8" s="116"/>
      <c r="G8" s="116"/>
    </row>
    <row r="9" spans="1:10" ht="39" customHeight="1">
      <c r="A9" s="1954" t="s">
        <v>3957</v>
      </c>
      <c r="B9" s="1955" t="s">
        <v>4285</v>
      </c>
      <c r="D9" s="1939"/>
      <c r="E9" s="1939"/>
      <c r="F9" s="1939"/>
      <c r="G9" s="1939"/>
    </row>
    <row r="10" spans="1:10" ht="39" customHeight="1">
      <c r="A10" s="1954" t="s">
        <v>3958</v>
      </c>
      <c r="B10" s="1955" t="s">
        <v>4286</v>
      </c>
      <c r="D10" s="116"/>
      <c r="E10" s="116"/>
      <c r="F10" s="116"/>
    </row>
    <row r="11" spans="1:10" ht="39" customHeight="1">
      <c r="A11" s="1954" t="s">
        <v>3959</v>
      </c>
      <c r="B11" s="1955" t="s">
        <v>4287</v>
      </c>
      <c r="D11" s="116"/>
      <c r="E11" s="116"/>
      <c r="F11" s="116"/>
      <c r="G11" s="116"/>
    </row>
    <row r="12" spans="1:10" ht="39" customHeight="1">
      <c r="A12" s="1954" t="s">
        <v>3960</v>
      </c>
      <c r="B12" s="1955" t="s">
        <v>4288</v>
      </c>
      <c r="D12" s="116"/>
      <c r="E12" s="116"/>
      <c r="F12" s="116"/>
    </row>
    <row r="13" spans="1:10" ht="39" customHeight="1">
      <c r="A13" s="1954" t="s">
        <v>3961</v>
      </c>
      <c r="B13" s="1955" t="s">
        <v>4289</v>
      </c>
      <c r="D13" s="116"/>
      <c r="E13" s="116"/>
      <c r="F13" s="116"/>
      <c r="G13" s="116"/>
    </row>
    <row r="14" spans="1:10" ht="39" customHeight="1">
      <c r="A14" s="1954" t="s">
        <v>3962</v>
      </c>
      <c r="B14" s="1955" t="s">
        <v>4290</v>
      </c>
    </row>
    <row r="15" spans="1:10" ht="39" customHeight="1">
      <c r="A15" s="1954" t="s">
        <v>3963</v>
      </c>
      <c r="B15" s="1955" t="s">
        <v>4291</v>
      </c>
      <c r="D15" s="116"/>
      <c r="E15" s="116"/>
      <c r="F15" s="116"/>
    </row>
    <row r="16" spans="1:10" ht="39" customHeight="1">
      <c r="A16" s="1954" t="s">
        <v>3964</v>
      </c>
      <c r="B16" s="1955" t="s">
        <v>4292</v>
      </c>
      <c r="D16" s="1936"/>
      <c r="E16" s="1936"/>
      <c r="F16" s="1936"/>
      <c r="G16" s="1936"/>
      <c r="H16" s="1936"/>
      <c r="I16" s="1936"/>
      <c r="J16" s="1936"/>
    </row>
    <row r="17" spans="1:11" ht="39" customHeight="1">
      <c r="A17" s="1954" t="s">
        <v>3965</v>
      </c>
      <c r="B17" s="1955" t="s">
        <v>4293</v>
      </c>
      <c r="D17" s="1937"/>
      <c r="E17" s="1937"/>
      <c r="F17" s="1937"/>
      <c r="G17" s="1937"/>
    </row>
    <row r="18" spans="1:11" ht="39" customHeight="1">
      <c r="A18" s="1954" t="s">
        <v>3966</v>
      </c>
      <c r="B18" s="1955" t="s">
        <v>4294</v>
      </c>
      <c r="D18" s="116"/>
      <c r="E18" s="116"/>
      <c r="F18" s="116"/>
      <c r="G18" s="116"/>
    </row>
    <row r="19" spans="1:11" ht="39" customHeight="1">
      <c r="A19" s="1954" t="s">
        <v>3967</v>
      </c>
      <c r="B19" s="1955" t="s">
        <v>4295</v>
      </c>
      <c r="D19" s="116"/>
      <c r="E19" s="116"/>
      <c r="F19" s="116"/>
    </row>
    <row r="20" spans="1:11" ht="39" customHeight="1">
      <c r="A20" s="1954" t="s">
        <v>3968</v>
      </c>
      <c r="B20" s="1955" t="s">
        <v>4296</v>
      </c>
      <c r="D20" s="116"/>
      <c r="E20" s="116"/>
      <c r="F20" s="116"/>
    </row>
    <row r="21" spans="1:11" ht="39" customHeight="1">
      <c r="A21" s="1954" t="s">
        <v>3969</v>
      </c>
      <c r="B21" s="1955" t="s">
        <v>4297</v>
      </c>
      <c r="D21" s="45"/>
      <c r="E21" s="45"/>
      <c r="F21" s="45"/>
      <c r="G21" s="45"/>
    </row>
    <row r="22" spans="1:11" ht="39" customHeight="1">
      <c r="A22" s="1954" t="s">
        <v>3970</v>
      </c>
      <c r="B22" s="1955" t="s">
        <v>4298</v>
      </c>
      <c r="D22" s="45"/>
      <c r="E22" s="45"/>
      <c r="F22" s="45"/>
      <c r="G22" s="45"/>
      <c r="H22" s="45"/>
      <c r="I22" s="45"/>
      <c r="J22" s="45"/>
      <c r="K22" s="45"/>
    </row>
    <row r="23" spans="1:11" ht="39" customHeight="1">
      <c r="A23" s="1954" t="s">
        <v>3971</v>
      </c>
      <c r="B23" s="1955" t="s">
        <v>4299</v>
      </c>
      <c r="D23" s="45"/>
      <c r="E23" s="45"/>
      <c r="F23" s="45"/>
      <c r="G23" s="45"/>
    </row>
    <row r="24" spans="1:11" ht="39" customHeight="1">
      <c r="A24" s="1954" t="s">
        <v>3972</v>
      </c>
      <c r="B24" s="1955" t="s">
        <v>4300</v>
      </c>
      <c r="D24" s="45"/>
      <c r="E24" s="45"/>
      <c r="F24" s="45"/>
    </row>
    <row r="25" spans="1:11" ht="39" customHeight="1">
      <c r="A25" s="1954" t="s">
        <v>3973</v>
      </c>
      <c r="B25" s="1955" t="s">
        <v>4301</v>
      </c>
      <c r="D25" s="45"/>
      <c r="E25" s="45"/>
      <c r="F25" s="45"/>
    </row>
    <row r="26" spans="1:11" ht="39" customHeight="1">
      <c r="A26" s="1954" t="s">
        <v>3974</v>
      </c>
      <c r="B26" s="1955" t="s">
        <v>4302</v>
      </c>
      <c r="D26" s="45"/>
      <c r="E26" s="45"/>
      <c r="F26" s="45"/>
    </row>
    <row r="27" spans="1:11" ht="39" customHeight="1">
      <c r="A27" s="1954" t="s">
        <v>3975</v>
      </c>
      <c r="B27" s="1955" t="s">
        <v>4322</v>
      </c>
      <c r="D27" s="45"/>
      <c r="E27" s="45"/>
    </row>
    <row r="28" spans="1:11" ht="39" customHeight="1">
      <c r="A28" s="1954" t="s">
        <v>3976</v>
      </c>
      <c r="B28" s="1955" t="s">
        <v>4303</v>
      </c>
      <c r="D28" s="791"/>
      <c r="E28" s="791"/>
      <c r="F28" s="791"/>
    </row>
    <row r="29" spans="1:11" ht="39" customHeight="1">
      <c r="A29" s="1954" t="s">
        <v>3977</v>
      </c>
      <c r="B29" s="1955" t="s">
        <v>4304</v>
      </c>
      <c r="D29" s="45"/>
      <c r="E29" s="45"/>
      <c r="F29" s="45"/>
      <c r="G29" s="45"/>
      <c r="H29" s="45"/>
    </row>
    <row r="30" spans="1:11" ht="39" customHeight="1">
      <c r="A30" s="1954" t="s">
        <v>3978</v>
      </c>
      <c r="B30" s="1955" t="s">
        <v>4305</v>
      </c>
      <c r="D30" s="791"/>
      <c r="E30" s="791"/>
      <c r="F30" s="791"/>
      <c r="G30" s="791"/>
    </row>
    <row r="31" spans="1:11" ht="39" customHeight="1">
      <c r="A31" s="1954" t="s">
        <v>3979</v>
      </c>
      <c r="B31" s="1955" t="s">
        <v>4306</v>
      </c>
      <c r="D31" s="1883"/>
      <c r="E31" s="1883"/>
      <c r="F31" s="1883"/>
      <c r="G31" s="1883"/>
    </row>
    <row r="32" spans="1:11" ht="39" customHeight="1">
      <c r="A32" s="1954" t="s">
        <v>3980</v>
      </c>
      <c r="B32" s="1955" t="s">
        <v>4323</v>
      </c>
      <c r="D32" s="791"/>
      <c r="E32" s="791"/>
      <c r="F32" s="791"/>
      <c r="G32" s="791"/>
    </row>
    <row r="33" spans="1:10" ht="39" customHeight="1">
      <c r="A33" s="1954" t="s">
        <v>3981</v>
      </c>
      <c r="B33" s="1955" t="s">
        <v>4307</v>
      </c>
      <c r="D33" s="1938"/>
      <c r="E33" s="1938"/>
      <c r="F33" s="1938"/>
      <c r="G33" s="1938"/>
      <c r="H33" s="1938"/>
      <c r="I33" s="1938"/>
      <c r="J33" s="1938"/>
    </row>
    <row r="34" spans="1:10" ht="39" customHeight="1">
      <c r="A34" s="1954" t="s">
        <v>3982</v>
      </c>
      <c r="B34" s="1955" t="s">
        <v>4308</v>
      </c>
    </row>
    <row r="35" spans="1:10" ht="39" customHeight="1">
      <c r="A35" s="1954" t="s">
        <v>3983</v>
      </c>
      <c r="B35" s="1955" t="s">
        <v>4324</v>
      </c>
    </row>
    <row r="36" spans="1:10" ht="39" customHeight="1">
      <c r="A36" s="1954" t="s">
        <v>3984</v>
      </c>
      <c r="B36" s="1955" t="s">
        <v>4325</v>
      </c>
      <c r="D36" s="791"/>
      <c r="E36" s="791"/>
    </row>
    <row r="37" spans="1:10" ht="39" customHeight="1">
      <c r="A37" s="1954" t="s">
        <v>3985</v>
      </c>
      <c r="B37" s="1955" t="s">
        <v>4326</v>
      </c>
      <c r="D37" s="1938"/>
      <c r="E37" s="1938"/>
    </row>
    <row r="38" spans="1:10" ht="39" customHeight="1">
      <c r="A38" s="1954" t="s">
        <v>3986</v>
      </c>
      <c r="B38" s="1955" t="s">
        <v>4327</v>
      </c>
    </row>
    <row r="39" spans="1:10" ht="39" customHeight="1">
      <c r="A39" s="1954" t="s">
        <v>3987</v>
      </c>
      <c r="B39" s="1955" t="s">
        <v>4309</v>
      </c>
    </row>
    <row r="40" spans="1:10" ht="39" customHeight="1">
      <c r="A40" s="1954" t="s">
        <v>3988</v>
      </c>
      <c r="B40" s="1955" t="s">
        <v>4310</v>
      </c>
      <c r="D40" s="45"/>
      <c r="E40" s="45"/>
      <c r="F40" s="45"/>
      <c r="G40" s="45"/>
      <c r="H40" s="45"/>
      <c r="I40" s="45"/>
      <c r="J40" s="45"/>
    </row>
    <row r="41" spans="1:10" ht="39" customHeight="1">
      <c r="A41" s="1954" t="s">
        <v>3989</v>
      </c>
      <c r="B41" s="1955" t="s">
        <v>4328</v>
      </c>
    </row>
    <row r="42" spans="1:10" ht="39" customHeight="1">
      <c r="A42" s="1954" t="s">
        <v>3990</v>
      </c>
      <c r="B42" s="1955" t="s">
        <v>4311</v>
      </c>
      <c r="D42" s="45"/>
      <c r="E42" s="45"/>
    </row>
    <row r="43" spans="1:10" ht="39" customHeight="1">
      <c r="A43" s="1954" t="s">
        <v>3991</v>
      </c>
      <c r="B43" s="1955" t="s">
        <v>4312</v>
      </c>
    </row>
    <row r="44" spans="1:10" ht="39" customHeight="1">
      <c r="A44" s="1954" t="s">
        <v>3992</v>
      </c>
      <c r="B44" s="1955" t="s">
        <v>4313</v>
      </c>
      <c r="D44" s="1939"/>
      <c r="E44" s="1939"/>
    </row>
    <row r="45" spans="1:10" ht="39" customHeight="1">
      <c r="A45" s="1954" t="s">
        <v>3993</v>
      </c>
      <c r="B45" s="1955" t="s">
        <v>4314</v>
      </c>
    </row>
    <row r="46" spans="1:10" ht="39" customHeight="1">
      <c r="A46" s="1954" t="s">
        <v>3994</v>
      </c>
      <c r="B46" s="1955" t="s">
        <v>4315</v>
      </c>
      <c r="D46" s="45"/>
      <c r="E46" s="45"/>
    </row>
    <row r="47" spans="1:10" ht="39" customHeight="1">
      <c r="A47" s="1954" t="s">
        <v>3995</v>
      </c>
      <c r="B47" s="1955" t="s">
        <v>4316</v>
      </c>
      <c r="D47" s="45"/>
      <c r="E47" s="45"/>
      <c r="F47" s="45"/>
      <c r="G47" s="45"/>
    </row>
    <row r="48" spans="1:10" ht="39" customHeight="1">
      <c r="A48" s="1954" t="s">
        <v>3996</v>
      </c>
      <c r="B48" s="1955" t="s">
        <v>4329</v>
      </c>
      <c r="D48" s="45"/>
      <c r="E48" s="45"/>
    </row>
    <row r="49" spans="1:10" ht="39" customHeight="1">
      <c r="A49" s="1954" t="s">
        <v>3997</v>
      </c>
      <c r="B49" s="1955" t="s">
        <v>4330</v>
      </c>
      <c r="D49" s="45"/>
      <c r="E49" s="45"/>
      <c r="F49" s="45"/>
      <c r="G49" s="45"/>
    </row>
    <row r="50" spans="1:10" ht="39" customHeight="1">
      <c r="A50" s="1954" t="s">
        <v>3998</v>
      </c>
      <c r="B50" s="1955" t="s">
        <v>4331</v>
      </c>
      <c r="D50" s="45"/>
    </row>
    <row r="51" spans="1:10" ht="39" customHeight="1">
      <c r="A51" s="1954" t="s">
        <v>3999</v>
      </c>
      <c r="B51" s="1955" t="s">
        <v>4332</v>
      </c>
      <c r="D51" s="45"/>
    </row>
    <row r="52" spans="1:10" ht="39" customHeight="1">
      <c r="A52" s="1954" t="s">
        <v>4000</v>
      </c>
      <c r="B52" s="1955" t="s">
        <v>4333</v>
      </c>
      <c r="D52" s="45"/>
      <c r="E52" s="45"/>
      <c r="F52" s="45"/>
      <c r="G52" s="45"/>
      <c r="H52" s="45"/>
    </row>
    <row r="53" spans="1:10" ht="39" customHeight="1">
      <c r="A53" s="1954" t="s">
        <v>4001</v>
      </c>
      <c r="B53" s="1955" t="s">
        <v>4334</v>
      </c>
      <c r="D53" s="45"/>
      <c r="E53" s="45"/>
      <c r="F53" s="45"/>
      <c r="G53" s="45"/>
    </row>
    <row r="54" spans="1:10" ht="39" customHeight="1">
      <c r="A54" s="1954" t="s">
        <v>4002</v>
      </c>
      <c r="B54" s="1955" t="s">
        <v>4335</v>
      </c>
    </row>
    <row r="55" spans="1:10" ht="39" customHeight="1">
      <c r="A55" s="1954" t="s">
        <v>4003</v>
      </c>
      <c r="B55" s="1955" t="s">
        <v>4336</v>
      </c>
    </row>
    <row r="56" spans="1:10" ht="39" customHeight="1">
      <c r="A56" s="1954" t="s">
        <v>4004</v>
      </c>
      <c r="B56" s="1955" t="s">
        <v>4337</v>
      </c>
    </row>
    <row r="57" spans="1:10" ht="39" customHeight="1">
      <c r="A57" s="1954" t="s">
        <v>4005</v>
      </c>
      <c r="B57" s="1955" t="s">
        <v>4338</v>
      </c>
      <c r="D57" s="45"/>
      <c r="E57" s="45"/>
      <c r="F57" s="45"/>
      <c r="G57" s="45"/>
    </row>
    <row r="58" spans="1:10" ht="39" customHeight="1">
      <c r="A58" s="1954" t="s">
        <v>4006</v>
      </c>
      <c r="B58" s="1955" t="s">
        <v>4339</v>
      </c>
      <c r="D58" s="1940"/>
      <c r="E58" s="1940"/>
    </row>
    <row r="59" spans="1:10" ht="39" customHeight="1">
      <c r="A59" s="1954" t="s">
        <v>4007</v>
      </c>
      <c r="B59" s="1955" t="s">
        <v>4340</v>
      </c>
      <c r="D59" s="116"/>
      <c r="E59" s="116"/>
      <c r="F59" s="116"/>
      <c r="G59" s="116"/>
      <c r="H59" s="116"/>
      <c r="I59" s="116"/>
      <c r="J59" s="116"/>
    </row>
    <row r="60" spans="1:10" ht="39" customHeight="1">
      <c r="A60" s="1954" t="s">
        <v>4008</v>
      </c>
      <c r="B60" s="1955" t="s">
        <v>4341</v>
      </c>
      <c r="D60" s="116"/>
      <c r="E60" s="116"/>
    </row>
    <row r="61" spans="1:10" ht="39" customHeight="1">
      <c r="A61" s="1954" t="s">
        <v>4009</v>
      </c>
      <c r="B61" s="1955" t="s">
        <v>4342</v>
      </c>
    </row>
    <row r="62" spans="1:10" ht="39" customHeight="1">
      <c r="A62" s="1954" t="s">
        <v>4010</v>
      </c>
      <c r="B62" s="1955" t="s">
        <v>4343</v>
      </c>
      <c r="D62" s="45"/>
      <c r="E62" s="45"/>
    </row>
    <row r="63" spans="1:10" ht="39" customHeight="1">
      <c r="A63" s="1954" t="s">
        <v>4011</v>
      </c>
      <c r="B63" s="1955" t="s">
        <v>4344</v>
      </c>
    </row>
    <row r="64" spans="1:10" ht="39" customHeight="1">
      <c r="A64" s="1954" t="s">
        <v>4012</v>
      </c>
      <c r="B64" s="1955" t="s">
        <v>4345</v>
      </c>
      <c r="D64" s="1941"/>
    </row>
    <row r="65" spans="1:17" ht="39" customHeight="1">
      <c r="A65" s="1954" t="s">
        <v>4317</v>
      </c>
      <c r="B65" s="1955" t="s">
        <v>4346</v>
      </c>
    </row>
    <row r="66" spans="1:17" ht="39" customHeight="1">
      <c r="A66" s="1954" t="s">
        <v>4013</v>
      </c>
      <c r="B66" s="1955" t="s">
        <v>4347</v>
      </c>
    </row>
    <row r="67" spans="1:17" ht="39" customHeight="1">
      <c r="A67" s="1954" t="s">
        <v>4014</v>
      </c>
      <c r="B67" s="1955" t="s">
        <v>4348</v>
      </c>
      <c r="D67" s="116"/>
      <c r="E67" s="116"/>
      <c r="F67" s="116"/>
      <c r="G67" s="116"/>
    </row>
    <row r="68" spans="1:17" ht="39" customHeight="1">
      <c r="A68" s="1954" t="s">
        <v>4015</v>
      </c>
      <c r="B68" s="1955" t="s">
        <v>4349</v>
      </c>
      <c r="D68" s="116"/>
      <c r="E68" s="116"/>
      <c r="F68" s="116"/>
      <c r="G68" s="116"/>
    </row>
    <row r="69" spans="1:17" ht="39" customHeight="1">
      <c r="A69" s="1954" t="s">
        <v>4016</v>
      </c>
      <c r="B69" s="1955" t="s">
        <v>4350</v>
      </c>
      <c r="D69" s="116"/>
      <c r="E69" s="116"/>
      <c r="F69" s="116"/>
      <c r="G69" s="116"/>
    </row>
    <row r="70" spans="1:17" ht="39" customHeight="1">
      <c r="A70" s="1954" t="s">
        <v>4017</v>
      </c>
      <c r="B70" s="1955" t="s">
        <v>4351</v>
      </c>
      <c r="D70" s="145"/>
      <c r="E70" s="145"/>
    </row>
    <row r="71" spans="1:17" ht="39" customHeight="1">
      <c r="A71" s="1954" t="s">
        <v>4018</v>
      </c>
      <c r="B71" s="1955" t="s">
        <v>4352</v>
      </c>
      <c r="D71" s="1942"/>
      <c r="E71" s="1942"/>
      <c r="F71" s="1942"/>
      <c r="G71" s="1942"/>
      <c r="H71" s="1942"/>
      <c r="I71" s="1942"/>
      <c r="J71" s="1942"/>
      <c r="K71" s="1942"/>
      <c r="L71" s="1942"/>
    </row>
    <row r="72" spans="1:17" ht="39" customHeight="1">
      <c r="A72" s="1954" t="s">
        <v>4019</v>
      </c>
      <c r="B72" s="1955" t="s">
        <v>4353</v>
      </c>
      <c r="D72" s="1942"/>
      <c r="E72" s="1942"/>
      <c r="F72" s="1942"/>
      <c r="G72" s="1942"/>
      <c r="H72" s="1942"/>
      <c r="I72" s="1942"/>
      <c r="J72" s="1942"/>
      <c r="K72" s="1942"/>
      <c r="L72" s="1942"/>
      <c r="M72" s="1942"/>
      <c r="N72" s="1942"/>
      <c r="O72" s="1942"/>
      <c r="P72" s="1942"/>
      <c r="Q72" s="1942"/>
    </row>
    <row r="73" spans="1:17" ht="39" customHeight="1">
      <c r="A73" s="1954" t="s">
        <v>4020</v>
      </c>
      <c r="B73" s="1955" t="s">
        <v>4354</v>
      </c>
      <c r="D73" s="1942"/>
      <c r="E73" s="1942"/>
      <c r="F73" s="1942"/>
      <c r="G73" s="1942"/>
      <c r="H73" s="1942"/>
      <c r="I73" s="1942"/>
      <c r="J73" s="1942"/>
      <c r="K73" s="1942"/>
    </row>
    <row r="74" spans="1:17" ht="39" customHeight="1">
      <c r="A74" s="1954" t="s">
        <v>4021</v>
      </c>
      <c r="B74" s="1955" t="s">
        <v>4355</v>
      </c>
      <c r="D74" s="1752"/>
      <c r="E74" s="1752"/>
      <c r="F74" s="1752"/>
      <c r="G74" s="1752"/>
    </row>
    <row r="75" spans="1:17" ht="39" customHeight="1">
      <c r="A75" s="1954" t="s">
        <v>4022</v>
      </c>
      <c r="B75" s="1955" t="s">
        <v>4356</v>
      </c>
      <c r="D75" s="1411"/>
    </row>
    <row r="76" spans="1:17" ht="39" customHeight="1">
      <c r="A76" s="1954" t="s">
        <v>4023</v>
      </c>
      <c r="B76" s="1955" t="s">
        <v>4357</v>
      </c>
      <c r="D76" s="1411"/>
    </row>
    <row r="77" spans="1:17" ht="39" customHeight="1">
      <c r="A77" s="1954" t="s">
        <v>4024</v>
      </c>
      <c r="B77" s="1955" t="s">
        <v>4358</v>
      </c>
      <c r="D77" s="1943"/>
      <c r="E77" s="1943"/>
      <c r="F77" s="1943"/>
      <c r="G77" s="1943"/>
    </row>
    <row r="78" spans="1:17" ht="39" customHeight="1">
      <c r="A78" s="1954" t="s">
        <v>4025</v>
      </c>
      <c r="B78" s="1955" t="s">
        <v>4359</v>
      </c>
      <c r="D78" s="1761"/>
      <c r="E78" s="1761"/>
      <c r="F78" s="1761"/>
      <c r="G78" s="1761"/>
    </row>
    <row r="79" spans="1:17" ht="39" customHeight="1">
      <c r="A79" s="1954" t="s">
        <v>4026</v>
      </c>
      <c r="B79" s="1955" t="s">
        <v>4360</v>
      </c>
      <c r="D79" s="1945"/>
      <c r="E79" s="1945"/>
      <c r="F79" s="1945"/>
      <c r="G79" s="1945"/>
    </row>
    <row r="80" spans="1:17" ht="39" customHeight="1">
      <c r="A80" s="1954" t="s">
        <v>4027</v>
      </c>
      <c r="B80" s="1955" t="s">
        <v>4361</v>
      </c>
      <c r="D80" s="763"/>
      <c r="E80" s="763"/>
      <c r="F80" s="763"/>
      <c r="G80" s="763"/>
    </row>
    <row r="81" spans="1:21" ht="39" customHeight="1">
      <c r="A81" s="1954" t="s">
        <v>4028</v>
      </c>
      <c r="B81" s="1955" t="s">
        <v>4362</v>
      </c>
      <c r="D81" s="1944"/>
      <c r="E81" s="1944"/>
      <c r="F81" s="1944"/>
      <c r="G81" s="1944"/>
      <c r="H81" s="1944"/>
      <c r="I81" s="1944"/>
      <c r="J81" s="1944"/>
      <c r="K81" s="1944"/>
      <c r="L81" s="1944"/>
      <c r="M81" s="1944"/>
      <c r="N81" s="1944"/>
      <c r="O81" s="1944"/>
      <c r="P81" s="1944"/>
      <c r="Q81" s="1944"/>
      <c r="R81" s="1944"/>
      <c r="S81" s="1944"/>
      <c r="T81" s="1944"/>
      <c r="U81" s="1944"/>
    </row>
    <row r="82" spans="1:21" ht="39" customHeight="1">
      <c r="A82" s="1954" t="s">
        <v>4029</v>
      </c>
      <c r="B82" s="1955" t="s">
        <v>4363</v>
      </c>
    </row>
    <row r="83" spans="1:21" ht="39" customHeight="1">
      <c r="A83" s="1954" t="s">
        <v>4030</v>
      </c>
      <c r="B83" s="1955" t="s">
        <v>4364</v>
      </c>
      <c r="D83" s="1411"/>
      <c r="E83" s="1411"/>
      <c r="F83" s="1411"/>
      <c r="G83" s="1411"/>
      <c r="H83" s="1411"/>
      <c r="I83" s="1411"/>
      <c r="J83" s="1411"/>
      <c r="K83" s="1411"/>
      <c r="L83" s="1411"/>
      <c r="M83" s="1411"/>
    </row>
    <row r="84" spans="1:21" ht="39" customHeight="1">
      <c r="A84" s="1954" t="s">
        <v>4031</v>
      </c>
      <c r="B84" s="1955" t="s">
        <v>4365</v>
      </c>
      <c r="D84" s="989"/>
      <c r="E84" s="989"/>
      <c r="F84" s="989"/>
      <c r="G84" s="989"/>
      <c r="H84" s="989"/>
      <c r="I84" s="989"/>
      <c r="J84" s="989"/>
    </row>
    <row r="85" spans="1:21" ht="39" customHeight="1">
      <c r="A85" s="1954" t="s">
        <v>4032</v>
      </c>
      <c r="B85" s="1955" t="s">
        <v>4366</v>
      </c>
      <c r="D85" s="989"/>
      <c r="E85" s="989"/>
      <c r="F85" s="989"/>
      <c r="G85" s="989"/>
      <c r="H85" s="989"/>
      <c r="I85" s="989"/>
      <c r="J85" s="989"/>
    </row>
    <row r="86" spans="1:21" ht="39" customHeight="1">
      <c r="A86" s="1954" t="s">
        <v>4033</v>
      </c>
      <c r="B86" s="1955" t="s">
        <v>4367</v>
      </c>
      <c r="D86" s="1412"/>
    </row>
    <row r="87" spans="1:21" ht="39" customHeight="1">
      <c r="A87" s="1954" t="s">
        <v>4034</v>
      </c>
      <c r="B87" s="1955" t="s">
        <v>4368</v>
      </c>
      <c r="D87" s="763"/>
    </row>
    <row r="88" spans="1:21" ht="39" customHeight="1">
      <c r="A88" s="1954" t="s">
        <v>4035</v>
      </c>
      <c r="B88" s="1955" t="s">
        <v>4369</v>
      </c>
      <c r="D88" s="989"/>
      <c r="E88" s="989"/>
      <c r="F88" s="989"/>
      <c r="G88" s="989"/>
      <c r="H88" s="989"/>
      <c r="I88" s="989"/>
      <c r="J88" s="989"/>
    </row>
    <row r="89" spans="1:21" ht="39" customHeight="1">
      <c r="A89" s="1954" t="s">
        <v>4036</v>
      </c>
      <c r="B89" s="1955" t="s">
        <v>4370</v>
      </c>
      <c r="D89" s="989"/>
      <c r="E89" s="989"/>
      <c r="F89" s="989"/>
      <c r="G89" s="989"/>
      <c r="H89" s="989"/>
      <c r="I89" s="989"/>
      <c r="J89" s="989"/>
    </row>
    <row r="90" spans="1:21" ht="39" customHeight="1">
      <c r="A90" s="1954" t="s">
        <v>4037</v>
      </c>
      <c r="B90" s="1955" t="s">
        <v>4371</v>
      </c>
      <c r="D90" s="989"/>
      <c r="E90" s="989"/>
      <c r="F90" s="989"/>
      <c r="G90" s="989"/>
      <c r="H90" s="989"/>
      <c r="I90" s="989"/>
      <c r="J90" s="989"/>
    </row>
    <row r="91" spans="1:21" ht="39" customHeight="1">
      <c r="A91" s="1954" t="s">
        <v>4038</v>
      </c>
      <c r="B91" s="1955" t="s">
        <v>4372</v>
      </c>
      <c r="D91" s="763"/>
      <c r="E91" s="763"/>
      <c r="F91" s="763"/>
    </row>
    <row r="92" spans="1:21" ht="39" customHeight="1">
      <c r="A92" s="1954" t="s">
        <v>4039</v>
      </c>
      <c r="B92" s="1955" t="s">
        <v>4373</v>
      </c>
      <c r="D92" s="763"/>
      <c r="E92" s="763"/>
      <c r="F92" s="763"/>
      <c r="G92" s="763"/>
    </row>
    <row r="93" spans="1:21" ht="39" customHeight="1">
      <c r="A93" s="1954" t="s">
        <v>4040</v>
      </c>
      <c r="B93" s="1955" t="s">
        <v>4374</v>
      </c>
      <c r="D93" s="763"/>
      <c r="E93" s="763"/>
      <c r="F93" s="763"/>
      <c r="G93" s="763"/>
    </row>
    <row r="94" spans="1:21" ht="39" customHeight="1">
      <c r="A94" s="1954" t="s">
        <v>4041</v>
      </c>
      <c r="B94" s="1955" t="s">
        <v>4375</v>
      </c>
      <c r="D94" s="1411"/>
      <c r="E94" s="1411"/>
      <c r="F94" s="1411"/>
      <c r="G94" s="1411"/>
    </row>
    <row r="95" spans="1:21" ht="39" customHeight="1">
      <c r="A95" s="1954" t="s">
        <v>4042</v>
      </c>
      <c r="B95" s="1955" t="s">
        <v>4376</v>
      </c>
      <c r="D95" s="125"/>
      <c r="E95" s="125"/>
      <c r="F95" s="125"/>
      <c r="G95" s="125"/>
      <c r="H95" s="125"/>
      <c r="I95" s="125"/>
    </row>
    <row r="96" spans="1:21" ht="39" customHeight="1">
      <c r="A96" s="1954" t="s">
        <v>4043</v>
      </c>
      <c r="B96" s="1955" t="s">
        <v>4377</v>
      </c>
      <c r="D96" s="125"/>
      <c r="E96" s="125"/>
      <c r="F96" s="125"/>
      <c r="G96" s="125"/>
      <c r="H96" s="125"/>
      <c r="I96" s="125"/>
    </row>
    <row r="97" spans="1:14" ht="39" customHeight="1">
      <c r="A97" s="1954" t="s">
        <v>4044</v>
      </c>
      <c r="B97" s="1955" t="s">
        <v>4378</v>
      </c>
      <c r="D97" s="125"/>
      <c r="E97" s="125"/>
      <c r="F97" s="125"/>
      <c r="G97" s="125"/>
      <c r="H97" s="125"/>
      <c r="I97" s="125"/>
    </row>
    <row r="98" spans="1:14" ht="39" customHeight="1">
      <c r="A98" s="1954" t="s">
        <v>4045</v>
      </c>
      <c r="B98" s="1955" t="s">
        <v>4379</v>
      </c>
      <c r="D98" s="125"/>
      <c r="E98" s="125"/>
      <c r="F98" s="125"/>
      <c r="G98" s="125"/>
      <c r="H98" s="125"/>
      <c r="I98" s="125"/>
    </row>
    <row r="99" spans="1:14" ht="39" customHeight="1">
      <c r="A99" s="1954" t="s">
        <v>4046</v>
      </c>
      <c r="B99" s="1955" t="s">
        <v>4380</v>
      </c>
      <c r="D99" s="125"/>
      <c r="E99" s="125"/>
      <c r="F99" s="125"/>
      <c r="G99" s="125"/>
      <c r="H99" s="125"/>
      <c r="I99" s="125"/>
    </row>
    <row r="100" spans="1:14" ht="39" customHeight="1">
      <c r="A100" s="1954" t="s">
        <v>4047</v>
      </c>
      <c r="B100" s="1955" t="s">
        <v>4381</v>
      </c>
      <c r="D100" s="125"/>
      <c r="E100" s="125"/>
      <c r="F100" s="125"/>
      <c r="G100" s="125"/>
      <c r="H100" s="125"/>
      <c r="I100" s="125"/>
    </row>
    <row r="101" spans="1:14" ht="39" customHeight="1">
      <c r="A101" s="1954" t="s">
        <v>4048</v>
      </c>
      <c r="B101" s="1955" t="s">
        <v>4382</v>
      </c>
      <c r="D101" s="1946"/>
      <c r="E101" s="1946"/>
      <c r="F101" s="1946"/>
      <c r="G101" s="1946"/>
      <c r="H101" s="1946"/>
      <c r="I101" s="1946"/>
      <c r="J101" s="1946"/>
      <c r="K101" s="1946"/>
      <c r="L101" s="1946"/>
      <c r="M101" s="1946"/>
      <c r="N101" s="1946"/>
    </row>
    <row r="102" spans="1:14" ht="39" customHeight="1">
      <c r="A102" s="1954" t="s">
        <v>4049</v>
      </c>
      <c r="B102" s="1955" t="s">
        <v>4383</v>
      </c>
    </row>
    <row r="103" spans="1:14" ht="39" customHeight="1">
      <c r="A103" s="1954" t="s">
        <v>4050</v>
      </c>
      <c r="B103" s="1955" t="s">
        <v>4384</v>
      </c>
      <c r="D103" s="1411"/>
      <c r="E103" s="1411"/>
      <c r="F103" s="1411"/>
      <c r="G103" s="1411"/>
    </row>
    <row r="104" spans="1:14" ht="39" customHeight="1">
      <c r="A104" s="1954" t="s">
        <v>4051</v>
      </c>
      <c r="B104" s="1955" t="s">
        <v>4385</v>
      </c>
    </row>
    <row r="105" spans="1:14" ht="39" customHeight="1">
      <c r="A105" s="1954" t="s">
        <v>4052</v>
      </c>
      <c r="B105" s="1955" t="s">
        <v>4386</v>
      </c>
      <c r="D105" s="113"/>
      <c r="E105" s="113"/>
      <c r="F105" s="113"/>
      <c r="G105" s="113"/>
    </row>
    <row r="106" spans="1:14" ht="39" customHeight="1">
      <c r="A106" s="1954" t="s">
        <v>4053</v>
      </c>
      <c r="B106" s="1955" t="s">
        <v>4387</v>
      </c>
      <c r="D106" s="1412"/>
      <c r="E106" s="1412"/>
    </row>
    <row r="107" spans="1:14" ht="39" customHeight="1">
      <c r="A107" s="1954" t="s">
        <v>4054</v>
      </c>
      <c r="B107" s="1955" t="s">
        <v>4388</v>
      </c>
    </row>
    <row r="108" spans="1:14" ht="39" customHeight="1">
      <c r="A108" s="1954" t="s">
        <v>4055</v>
      </c>
      <c r="B108" s="1955" t="s">
        <v>4389</v>
      </c>
      <c r="D108" s="1412"/>
      <c r="E108" s="1412"/>
    </row>
    <row r="109" spans="1:14" ht="39" customHeight="1">
      <c r="A109" s="1954" t="s">
        <v>4056</v>
      </c>
      <c r="B109" s="1955" t="s">
        <v>4390</v>
      </c>
      <c r="D109" s="1947"/>
      <c r="E109" s="1947"/>
    </row>
    <row r="110" spans="1:14" ht="39" customHeight="1">
      <c r="A110" s="1954" t="s">
        <v>4057</v>
      </c>
      <c r="B110" s="1955" t="s">
        <v>4391</v>
      </c>
      <c r="D110" s="1948"/>
      <c r="E110" s="1948"/>
      <c r="F110" s="1948"/>
      <c r="G110" s="1948"/>
    </row>
    <row r="111" spans="1:14" ht="39" customHeight="1">
      <c r="A111" s="1954" t="s">
        <v>4058</v>
      </c>
      <c r="B111" s="1955" t="s">
        <v>4392</v>
      </c>
      <c r="D111" s="69"/>
      <c r="E111" s="69"/>
      <c r="F111" s="69"/>
      <c r="G111" s="69"/>
      <c r="H111" s="69"/>
      <c r="I111" s="69"/>
      <c r="J111" s="69"/>
      <c r="K111" s="69"/>
      <c r="L111" s="69"/>
      <c r="M111" s="69"/>
    </row>
    <row r="112" spans="1:14" ht="39" customHeight="1">
      <c r="A112" s="1954" t="s">
        <v>4059</v>
      </c>
      <c r="B112" s="1955" t="s">
        <v>4393</v>
      </c>
    </row>
    <row r="113" spans="1:7" ht="39" customHeight="1">
      <c r="A113" s="1954" t="s">
        <v>4060</v>
      </c>
      <c r="B113" s="1955" t="s">
        <v>4394</v>
      </c>
      <c r="D113" s="1949"/>
      <c r="E113" s="1949"/>
      <c r="F113" s="1949"/>
      <c r="G113" s="1949"/>
    </row>
    <row r="114" spans="1:7" ht="39" customHeight="1">
      <c r="A114" s="1954" t="s">
        <v>4061</v>
      </c>
      <c r="B114" s="1955" t="s">
        <v>4395</v>
      </c>
      <c r="D114" s="116"/>
      <c r="E114" s="116"/>
      <c r="F114" s="116"/>
      <c r="G114" s="116"/>
    </row>
    <row r="115" spans="1:7" ht="39" customHeight="1">
      <c r="A115" s="1954" t="s">
        <v>4062</v>
      </c>
      <c r="B115" s="1955" t="s">
        <v>4396</v>
      </c>
      <c r="D115" s="116"/>
      <c r="E115" s="116"/>
      <c r="F115" s="116"/>
      <c r="G115" s="116"/>
    </row>
    <row r="116" spans="1:7" ht="39" customHeight="1">
      <c r="A116" s="1954" t="s">
        <v>4063</v>
      </c>
      <c r="B116" s="1955" t="s">
        <v>4397</v>
      </c>
      <c r="D116" s="116"/>
      <c r="E116" s="116"/>
      <c r="F116" s="116"/>
      <c r="G116" s="116"/>
    </row>
    <row r="117" spans="1:7" ht="39" customHeight="1">
      <c r="A117" s="1954" t="s">
        <v>4064</v>
      </c>
      <c r="B117" s="1955" t="s">
        <v>4398</v>
      </c>
      <c r="D117" s="116"/>
      <c r="E117" s="116"/>
      <c r="F117" s="116"/>
      <c r="G117" s="116"/>
    </row>
    <row r="118" spans="1:7" ht="39" customHeight="1">
      <c r="A118" s="1954" t="s">
        <v>4065</v>
      </c>
      <c r="B118" s="1955" t="s">
        <v>4399</v>
      </c>
      <c r="D118" s="116"/>
    </row>
    <row r="119" spans="1:7" ht="39" customHeight="1">
      <c r="A119" s="1954" t="s">
        <v>4066</v>
      </c>
      <c r="B119" s="1955" t="s">
        <v>4400</v>
      </c>
      <c r="D119" s="116"/>
    </row>
    <row r="120" spans="1:7" ht="39" customHeight="1">
      <c r="A120" s="1954" t="s">
        <v>4067</v>
      </c>
      <c r="B120" s="1955" t="s">
        <v>4401</v>
      </c>
    </row>
    <row r="121" spans="1:7" ht="39" customHeight="1">
      <c r="A121" s="1954" t="s">
        <v>4068</v>
      </c>
      <c r="B121" s="1955" t="s">
        <v>4402</v>
      </c>
    </row>
    <row r="122" spans="1:7" ht="39" customHeight="1">
      <c r="A122" s="1954" t="s">
        <v>4069</v>
      </c>
      <c r="B122" s="1955" t="s">
        <v>4403</v>
      </c>
    </row>
    <row r="123" spans="1:7" ht="39" customHeight="1">
      <c r="A123" s="1954" t="s">
        <v>4070</v>
      </c>
      <c r="B123" s="1955" t="s">
        <v>4404</v>
      </c>
      <c r="D123" s="1950"/>
    </row>
    <row r="124" spans="1:7" ht="39" customHeight="1">
      <c r="A124" s="1954" t="s">
        <v>4071</v>
      </c>
      <c r="B124" s="1955" t="s">
        <v>4405</v>
      </c>
      <c r="D124" s="1950"/>
    </row>
    <row r="125" spans="1:7" ht="39" customHeight="1">
      <c r="A125" s="1954" t="s">
        <v>4072</v>
      </c>
      <c r="B125" s="1955" t="s">
        <v>4406</v>
      </c>
    </row>
    <row r="126" spans="1:7" ht="39" customHeight="1">
      <c r="A126" s="1954" t="s">
        <v>4073</v>
      </c>
      <c r="B126" s="1955" t="s">
        <v>4407</v>
      </c>
      <c r="D126" s="125"/>
    </row>
    <row r="127" spans="1:7" ht="39" customHeight="1">
      <c r="A127" s="1954" t="s">
        <v>4074</v>
      </c>
      <c r="B127" s="1955" t="s">
        <v>4408</v>
      </c>
      <c r="D127" s="125"/>
    </row>
    <row r="128" spans="1:7" ht="39" customHeight="1">
      <c r="A128" s="1954" t="s">
        <v>4075</v>
      </c>
      <c r="B128" s="1955" t="s">
        <v>4409</v>
      </c>
      <c r="D128" s="1950"/>
    </row>
    <row r="129" spans="1:13" ht="39" customHeight="1">
      <c r="A129" s="1954" t="s">
        <v>4076</v>
      </c>
      <c r="B129" s="1955" t="s">
        <v>4410</v>
      </c>
      <c r="D129" s="1950"/>
    </row>
    <row r="130" spans="1:13" ht="39" customHeight="1">
      <c r="A130" s="1954" t="s">
        <v>4077</v>
      </c>
      <c r="B130" s="1955" t="s">
        <v>4411</v>
      </c>
    </row>
    <row r="131" spans="1:13" ht="39" customHeight="1">
      <c r="A131" s="1954" t="s">
        <v>4078</v>
      </c>
      <c r="B131" s="1955" t="s">
        <v>4412</v>
      </c>
      <c r="D131" s="116"/>
      <c r="E131" s="116"/>
      <c r="F131" s="116"/>
      <c r="G131" s="116"/>
      <c r="H131" s="116"/>
      <c r="I131" s="116"/>
      <c r="J131" s="116"/>
    </row>
    <row r="132" spans="1:13" ht="39" customHeight="1">
      <c r="A132" s="1954" t="s">
        <v>4079</v>
      </c>
      <c r="B132" s="1955" t="s">
        <v>4413</v>
      </c>
      <c r="D132" s="1938"/>
      <c r="E132" s="1938"/>
      <c r="F132" s="1938"/>
      <c r="G132" s="1938"/>
    </row>
    <row r="133" spans="1:13" ht="39" customHeight="1">
      <c r="A133" s="1954" t="s">
        <v>4080</v>
      </c>
      <c r="B133" s="1955" t="s">
        <v>4414</v>
      </c>
      <c r="D133" s="1938"/>
      <c r="E133" s="1938"/>
      <c r="F133" s="1938"/>
      <c r="G133" s="1938"/>
    </row>
    <row r="134" spans="1:13" ht="39" customHeight="1">
      <c r="A134" s="1954" t="s">
        <v>4081</v>
      </c>
      <c r="B134" s="1955" t="s">
        <v>4415</v>
      </c>
      <c r="D134" s="1939"/>
    </row>
    <row r="135" spans="1:13" ht="39" customHeight="1">
      <c r="A135" s="1954" t="s">
        <v>4082</v>
      </c>
      <c r="B135" s="1955" t="s">
        <v>4416</v>
      </c>
    </row>
    <row r="136" spans="1:13" ht="39" customHeight="1">
      <c r="A136" s="1954" t="s">
        <v>4083</v>
      </c>
      <c r="B136" s="1955" t="s">
        <v>4417</v>
      </c>
      <c r="D136" s="1938"/>
      <c r="E136" s="1938"/>
    </row>
    <row r="137" spans="1:13" ht="39" customHeight="1">
      <c r="A137" s="1954" t="s">
        <v>4084</v>
      </c>
      <c r="B137" s="1955" t="s">
        <v>4418</v>
      </c>
    </row>
    <row r="138" spans="1:13" ht="39" customHeight="1">
      <c r="A138" s="1954" t="s">
        <v>4085</v>
      </c>
      <c r="B138" s="1955" t="s">
        <v>4419</v>
      </c>
    </row>
    <row r="139" spans="1:13" ht="39" customHeight="1">
      <c r="A139" s="1954" t="s">
        <v>4086</v>
      </c>
      <c r="B139" s="1955" t="s">
        <v>4420</v>
      </c>
      <c r="D139" s="1951"/>
    </row>
    <row r="140" spans="1:13" ht="39" customHeight="1">
      <c r="A140" s="1954" t="s">
        <v>4087</v>
      </c>
      <c r="B140" s="1955" t="s">
        <v>4421</v>
      </c>
    </row>
    <row r="141" spans="1:13" ht="39" customHeight="1">
      <c r="A141" s="1954" t="s">
        <v>4088</v>
      </c>
      <c r="B141" s="1955" t="s">
        <v>4422</v>
      </c>
      <c r="D141" s="1354"/>
      <c r="E141" s="1354"/>
      <c r="F141" s="1354"/>
      <c r="G141" s="1354"/>
      <c r="H141" s="1354"/>
      <c r="I141" s="1354"/>
    </row>
    <row r="142" spans="1:13" ht="39" customHeight="1">
      <c r="A142" s="1954" t="s">
        <v>4089</v>
      </c>
      <c r="B142" s="1955" t="s">
        <v>4423</v>
      </c>
      <c r="D142" s="1354"/>
    </row>
    <row r="143" spans="1:13" ht="39" customHeight="1">
      <c r="A143" s="1954" t="s">
        <v>4090</v>
      </c>
      <c r="B143" s="1955" t="s">
        <v>4424</v>
      </c>
      <c r="D143" s="937"/>
      <c r="E143" s="937"/>
      <c r="F143" s="937"/>
      <c r="G143" s="937"/>
      <c r="H143" s="937"/>
      <c r="I143" s="937"/>
      <c r="J143" s="937"/>
      <c r="K143" s="937"/>
      <c r="L143" s="937"/>
      <c r="M143" s="937"/>
    </row>
    <row r="144" spans="1:13" ht="39" customHeight="1">
      <c r="A144" s="1954" t="s">
        <v>4091</v>
      </c>
      <c r="B144" s="1955" t="s">
        <v>4425</v>
      </c>
    </row>
    <row r="145" spans="1:14" ht="39" customHeight="1">
      <c r="A145" s="1954" t="s">
        <v>4092</v>
      </c>
      <c r="B145" s="1955" t="s">
        <v>4426</v>
      </c>
      <c r="D145" s="1412"/>
      <c r="E145" s="1412"/>
      <c r="F145" s="1412"/>
      <c r="G145" s="1412"/>
    </row>
    <row r="146" spans="1:14" ht="39" customHeight="1">
      <c r="A146" s="1954" t="s">
        <v>4093</v>
      </c>
      <c r="B146" s="1955" t="s">
        <v>4427</v>
      </c>
      <c r="D146" s="763"/>
      <c r="E146" s="763"/>
      <c r="F146" s="763"/>
      <c r="G146" s="763"/>
    </row>
    <row r="147" spans="1:14" ht="39" customHeight="1">
      <c r="A147" s="1954" t="s">
        <v>4094</v>
      </c>
      <c r="B147" s="1955" t="s">
        <v>4428</v>
      </c>
      <c r="D147" s="1411"/>
      <c r="E147" s="1411"/>
      <c r="F147" s="1411"/>
      <c r="G147" s="1411"/>
      <c r="H147" s="1411"/>
      <c r="I147" s="1411"/>
      <c r="J147" s="1411"/>
      <c r="K147" s="1411"/>
      <c r="L147" s="1411"/>
      <c r="M147" s="1411"/>
    </row>
    <row r="148" spans="1:14" ht="39" customHeight="1">
      <c r="A148" s="1954" t="s">
        <v>4095</v>
      </c>
      <c r="B148" s="1955" t="s">
        <v>4429</v>
      </c>
      <c r="D148" s="1411"/>
      <c r="E148" s="1411"/>
      <c r="F148" s="1411"/>
      <c r="G148" s="1411"/>
      <c r="H148" s="1411"/>
      <c r="I148" s="1411"/>
      <c r="J148" s="1411"/>
      <c r="K148" s="1411"/>
      <c r="L148" s="1411"/>
      <c r="M148" s="1411"/>
    </row>
    <row r="149" spans="1:14" ht="39" customHeight="1">
      <c r="A149" s="1954" t="s">
        <v>4096</v>
      </c>
      <c r="B149" s="1955" t="s">
        <v>4430</v>
      </c>
      <c r="D149" s="1952"/>
      <c r="E149" s="1952"/>
      <c r="F149" s="1952"/>
      <c r="G149" s="1952"/>
      <c r="H149" s="1952"/>
      <c r="I149" s="1952"/>
      <c r="J149" s="1952"/>
      <c r="K149" s="1952"/>
      <c r="L149" s="1952"/>
      <c r="M149" s="1952"/>
    </row>
    <row r="150" spans="1:14" ht="39" customHeight="1">
      <c r="A150" s="1954" t="s">
        <v>4097</v>
      </c>
      <c r="B150" s="1955" t="s">
        <v>4431</v>
      </c>
      <c r="D150" s="1411"/>
      <c r="E150" s="1411"/>
      <c r="F150" s="1411"/>
      <c r="G150" s="1411"/>
      <c r="H150" s="1411"/>
      <c r="I150" s="1411"/>
      <c r="J150" s="1411"/>
      <c r="K150" s="1411"/>
      <c r="L150" s="1411"/>
      <c r="M150" s="1411"/>
    </row>
    <row r="151" spans="1:14" ht="39" customHeight="1">
      <c r="A151" s="1954" t="s">
        <v>4098</v>
      </c>
      <c r="B151" s="1955" t="s">
        <v>4432</v>
      </c>
    </row>
    <row r="152" spans="1:14" ht="39" customHeight="1">
      <c r="A152" s="1954" t="s">
        <v>4099</v>
      </c>
      <c r="B152" s="1955" t="s">
        <v>4433</v>
      </c>
      <c r="D152" s="45"/>
      <c r="E152" s="45"/>
      <c r="F152" s="45"/>
      <c r="G152" s="45"/>
      <c r="H152" s="45"/>
      <c r="I152" s="45"/>
      <c r="J152" s="45"/>
      <c r="K152" s="45"/>
      <c r="L152" s="45"/>
      <c r="M152" s="45"/>
    </row>
    <row r="153" spans="1:14" ht="39" customHeight="1">
      <c r="A153" s="1954" t="s">
        <v>4100</v>
      </c>
      <c r="B153" s="1955" t="s">
        <v>4434</v>
      </c>
      <c r="D153" s="1411"/>
      <c r="E153" s="1411"/>
      <c r="F153" s="1411"/>
      <c r="G153" s="1411"/>
      <c r="H153" s="1411"/>
      <c r="I153" s="1411"/>
      <c r="J153" s="1411"/>
      <c r="K153" s="1411"/>
      <c r="L153" s="1411"/>
      <c r="M153" s="1411"/>
      <c r="N153" s="1411"/>
    </row>
    <row r="154" spans="1:14" ht="39" customHeight="1">
      <c r="A154" s="1954" t="s">
        <v>4101</v>
      </c>
      <c r="B154" s="1955" t="s">
        <v>4435</v>
      </c>
      <c r="D154" s="1411"/>
      <c r="E154" s="1411"/>
      <c r="F154" s="1411"/>
      <c r="G154" s="1411"/>
      <c r="H154" s="1411"/>
      <c r="I154" s="1411"/>
      <c r="J154" s="1411"/>
      <c r="K154" s="1411"/>
      <c r="L154" s="1411"/>
      <c r="M154" s="1411"/>
    </row>
    <row r="155" spans="1:14" ht="39" customHeight="1">
      <c r="A155" s="1954" t="s">
        <v>4102</v>
      </c>
      <c r="B155" s="1955" t="s">
        <v>4436</v>
      </c>
      <c r="D155" s="763"/>
      <c r="E155" s="763"/>
      <c r="F155" s="763"/>
      <c r="G155" s="763"/>
      <c r="H155" s="763"/>
      <c r="I155" s="763"/>
      <c r="J155" s="763"/>
      <c r="K155" s="763"/>
      <c r="L155" s="763"/>
      <c r="M155" s="763"/>
    </row>
    <row r="156" spans="1:14" ht="39" customHeight="1">
      <c r="A156" s="1954" t="s">
        <v>4103</v>
      </c>
      <c r="B156" s="1955" t="s">
        <v>4437</v>
      </c>
    </row>
    <row r="157" spans="1:14" ht="39" customHeight="1">
      <c r="A157" s="1954" t="s">
        <v>4104</v>
      </c>
      <c r="B157" s="1955" t="s">
        <v>4438</v>
      </c>
    </row>
    <row r="158" spans="1:14" ht="39" customHeight="1">
      <c r="A158" s="1954" t="s">
        <v>4105</v>
      </c>
      <c r="B158" s="1955" t="s">
        <v>4439</v>
      </c>
    </row>
    <row r="159" spans="1:14" ht="39" customHeight="1">
      <c r="A159" s="1954" t="s">
        <v>4106</v>
      </c>
      <c r="B159" s="1955" t="s">
        <v>4440</v>
      </c>
    </row>
    <row r="160" spans="1:14" ht="39" customHeight="1">
      <c r="A160" s="1954" t="s">
        <v>4107</v>
      </c>
      <c r="B160" s="1955" t="s">
        <v>4441</v>
      </c>
    </row>
    <row r="161" spans="1:2" ht="39" customHeight="1">
      <c r="A161" s="1954" t="s">
        <v>4108</v>
      </c>
      <c r="B161" s="1955" t="s">
        <v>4442</v>
      </c>
    </row>
    <row r="162" spans="1:2" ht="39" customHeight="1">
      <c r="A162" s="1954" t="s">
        <v>4109</v>
      </c>
      <c r="B162" s="1955" t="s">
        <v>4443</v>
      </c>
    </row>
    <row r="163" spans="1:2" ht="39" customHeight="1">
      <c r="A163" s="1954" t="s">
        <v>4110</v>
      </c>
      <c r="B163" s="1955" t="s">
        <v>4444</v>
      </c>
    </row>
    <row r="164" spans="1:2" ht="39" customHeight="1">
      <c r="A164" s="1954" t="s">
        <v>4111</v>
      </c>
      <c r="B164" s="1955" t="s">
        <v>4445</v>
      </c>
    </row>
    <row r="165" spans="1:2" ht="39" customHeight="1">
      <c r="A165" s="1954" t="s">
        <v>4112</v>
      </c>
      <c r="B165" s="1955" t="s">
        <v>4446</v>
      </c>
    </row>
    <row r="166" spans="1:2" ht="39" customHeight="1">
      <c r="A166" s="1954" t="s">
        <v>4113</v>
      </c>
      <c r="B166" s="1955" t="s">
        <v>4447</v>
      </c>
    </row>
    <row r="167" spans="1:2" ht="39" customHeight="1">
      <c r="A167" s="1954" t="s">
        <v>4114</v>
      </c>
      <c r="B167" s="1955" t="s">
        <v>4448</v>
      </c>
    </row>
    <row r="168" spans="1:2" ht="39" customHeight="1">
      <c r="A168" s="1954" t="s">
        <v>4115</v>
      </c>
      <c r="B168" s="1955" t="s">
        <v>4449</v>
      </c>
    </row>
    <row r="169" spans="1:2" ht="39" customHeight="1">
      <c r="A169" s="1954" t="s">
        <v>4116</v>
      </c>
      <c r="B169" s="1955" t="s">
        <v>4318</v>
      </c>
    </row>
    <row r="170" spans="1:2" ht="39" customHeight="1">
      <c r="A170" s="1954" t="s">
        <v>4117</v>
      </c>
      <c r="B170" s="1955" t="s">
        <v>4450</v>
      </c>
    </row>
    <row r="171" spans="1:2" ht="39" customHeight="1">
      <c r="A171" s="1954" t="s">
        <v>4118</v>
      </c>
      <c r="B171" s="1955" t="s">
        <v>4451</v>
      </c>
    </row>
    <row r="172" spans="1:2" ht="39" customHeight="1">
      <c r="A172" s="1954" t="s">
        <v>4119</v>
      </c>
      <c r="B172" s="1955" t="s">
        <v>4452</v>
      </c>
    </row>
    <row r="173" spans="1:2" ht="39" customHeight="1">
      <c r="A173" s="1954" t="s">
        <v>4120</v>
      </c>
      <c r="B173" s="1955" t="s">
        <v>4453</v>
      </c>
    </row>
    <row r="174" spans="1:2" ht="39" customHeight="1">
      <c r="A174" s="1954" t="s">
        <v>4121</v>
      </c>
      <c r="B174" s="1955" t="s">
        <v>4454</v>
      </c>
    </row>
    <row r="175" spans="1:2" ht="39" customHeight="1">
      <c r="A175" s="1954" t="s">
        <v>4122</v>
      </c>
      <c r="B175" s="1955" t="s">
        <v>4455</v>
      </c>
    </row>
    <row r="176" spans="1:2" ht="39" customHeight="1">
      <c r="A176" s="1954" t="s">
        <v>4123</v>
      </c>
      <c r="B176" s="1955" t="s">
        <v>4456</v>
      </c>
    </row>
    <row r="177" spans="1:2" ht="39" customHeight="1">
      <c r="A177" s="1954" t="s">
        <v>4124</v>
      </c>
      <c r="B177" s="1955" t="s">
        <v>4457</v>
      </c>
    </row>
    <row r="178" spans="1:2" ht="39" customHeight="1">
      <c r="A178" s="1954" t="s">
        <v>4125</v>
      </c>
      <c r="B178" s="1955" t="s">
        <v>4647</v>
      </c>
    </row>
    <row r="179" spans="1:2" ht="39" customHeight="1">
      <c r="A179" s="1954" t="s">
        <v>4126</v>
      </c>
      <c r="B179" s="1955" t="s">
        <v>4458</v>
      </c>
    </row>
    <row r="180" spans="1:2" ht="39" customHeight="1">
      <c r="A180" s="1954" t="s">
        <v>4127</v>
      </c>
      <c r="B180" s="1955" t="s">
        <v>4459</v>
      </c>
    </row>
    <row r="181" spans="1:2" ht="39" customHeight="1">
      <c r="A181" s="1954" t="s">
        <v>4128</v>
      </c>
      <c r="B181" s="1955" t="s">
        <v>4460</v>
      </c>
    </row>
    <row r="182" spans="1:2" ht="39" customHeight="1">
      <c r="A182" s="1954" t="s">
        <v>4129</v>
      </c>
      <c r="B182" s="1955" t="s">
        <v>4461</v>
      </c>
    </row>
    <row r="183" spans="1:2" ht="39" customHeight="1">
      <c r="A183" s="1954" t="s">
        <v>4130</v>
      </c>
      <c r="B183" s="1955" t="s">
        <v>4462</v>
      </c>
    </row>
    <row r="184" spans="1:2" ht="39" customHeight="1">
      <c r="A184" s="1954" t="s">
        <v>4131</v>
      </c>
      <c r="B184" s="1955" t="s">
        <v>4463</v>
      </c>
    </row>
    <row r="185" spans="1:2" ht="39" customHeight="1">
      <c r="A185" s="1954" t="s">
        <v>4132</v>
      </c>
      <c r="B185" s="1955" t="s">
        <v>4464</v>
      </c>
    </row>
    <row r="186" spans="1:2" ht="39" customHeight="1">
      <c r="A186" s="1954" t="s">
        <v>4133</v>
      </c>
      <c r="B186" s="1955" t="s">
        <v>4465</v>
      </c>
    </row>
    <row r="187" spans="1:2" ht="39" customHeight="1">
      <c r="A187" s="1954" t="s">
        <v>4134</v>
      </c>
      <c r="B187" s="1955" t="s">
        <v>4466</v>
      </c>
    </row>
    <row r="188" spans="1:2" ht="39" customHeight="1">
      <c r="A188" s="1954" t="s">
        <v>4135</v>
      </c>
      <c r="B188" s="1955" t="s">
        <v>4467</v>
      </c>
    </row>
    <row r="189" spans="1:2" ht="39" customHeight="1">
      <c r="A189" s="1954" t="s">
        <v>4136</v>
      </c>
      <c r="B189" s="1955" t="s">
        <v>4468</v>
      </c>
    </row>
    <row r="190" spans="1:2" ht="39" customHeight="1">
      <c r="A190" s="1954" t="s">
        <v>4137</v>
      </c>
      <c r="B190" s="1955" t="s">
        <v>4469</v>
      </c>
    </row>
    <row r="191" spans="1:2" ht="39" customHeight="1">
      <c r="A191" s="1954" t="s">
        <v>4138</v>
      </c>
      <c r="B191" s="1955" t="s">
        <v>4470</v>
      </c>
    </row>
    <row r="192" spans="1:2" ht="39" customHeight="1">
      <c r="A192" s="1954" t="s">
        <v>4139</v>
      </c>
      <c r="B192" s="1955" t="s">
        <v>4471</v>
      </c>
    </row>
    <row r="193" spans="1:2" ht="39" customHeight="1">
      <c r="A193" s="1954" t="s">
        <v>4140</v>
      </c>
      <c r="B193" s="1955" t="s">
        <v>4472</v>
      </c>
    </row>
    <row r="194" spans="1:2" ht="39" customHeight="1">
      <c r="A194" s="1954" t="s">
        <v>4141</v>
      </c>
      <c r="B194" s="1955" t="s">
        <v>4473</v>
      </c>
    </row>
    <row r="195" spans="1:2" ht="39" customHeight="1">
      <c r="A195" s="1954" t="s">
        <v>4142</v>
      </c>
      <c r="B195" s="1955" t="s">
        <v>4474</v>
      </c>
    </row>
    <row r="196" spans="1:2" ht="39" customHeight="1">
      <c r="A196" s="1954" t="s">
        <v>4143</v>
      </c>
      <c r="B196" s="1955" t="s">
        <v>4475</v>
      </c>
    </row>
    <row r="197" spans="1:2" ht="39" customHeight="1">
      <c r="A197" s="1954" t="s">
        <v>4144</v>
      </c>
      <c r="B197" s="1955" t="s">
        <v>4476</v>
      </c>
    </row>
    <row r="198" spans="1:2" ht="39" customHeight="1">
      <c r="A198" s="1954" t="s">
        <v>4145</v>
      </c>
      <c r="B198" s="1955" t="s">
        <v>4477</v>
      </c>
    </row>
    <row r="199" spans="1:2" ht="39" customHeight="1">
      <c r="A199" s="1954" t="s">
        <v>4146</v>
      </c>
      <c r="B199" s="1955" t="s">
        <v>4478</v>
      </c>
    </row>
    <row r="200" spans="1:2" ht="39" customHeight="1">
      <c r="A200" s="1954" t="s">
        <v>4147</v>
      </c>
      <c r="B200" s="1955" t="s">
        <v>4479</v>
      </c>
    </row>
    <row r="201" spans="1:2" ht="39" customHeight="1">
      <c r="A201" s="1954" t="s">
        <v>4148</v>
      </c>
      <c r="B201" s="1955" t="s">
        <v>4480</v>
      </c>
    </row>
    <row r="202" spans="1:2" ht="39" customHeight="1">
      <c r="A202" s="1954" t="s">
        <v>4149</v>
      </c>
      <c r="B202" s="1955" t="s">
        <v>4481</v>
      </c>
    </row>
    <row r="203" spans="1:2" ht="39" customHeight="1">
      <c r="A203" s="1954" t="s">
        <v>4150</v>
      </c>
      <c r="B203" s="1955" t="s">
        <v>4482</v>
      </c>
    </row>
    <row r="204" spans="1:2" ht="39" customHeight="1">
      <c r="A204" s="1954" t="s">
        <v>4151</v>
      </c>
      <c r="B204" s="1955" t="s">
        <v>4483</v>
      </c>
    </row>
    <row r="205" spans="1:2" ht="39" customHeight="1">
      <c r="A205" s="1954" t="s">
        <v>4152</v>
      </c>
      <c r="B205" s="1955" t="s">
        <v>4484</v>
      </c>
    </row>
    <row r="206" spans="1:2" ht="39" customHeight="1">
      <c r="A206" s="1954" t="s">
        <v>4153</v>
      </c>
      <c r="B206" s="1955" t="s">
        <v>4485</v>
      </c>
    </row>
    <row r="207" spans="1:2" ht="39" customHeight="1">
      <c r="A207" s="1954" t="s">
        <v>4154</v>
      </c>
      <c r="B207" s="1955" t="s">
        <v>4486</v>
      </c>
    </row>
    <row r="208" spans="1:2" ht="39" customHeight="1">
      <c r="A208" s="1954" t="s">
        <v>4155</v>
      </c>
      <c r="B208" s="1955" t="s">
        <v>4487</v>
      </c>
    </row>
    <row r="209" spans="1:2" ht="39" customHeight="1">
      <c r="A209" s="1954" t="s">
        <v>4156</v>
      </c>
      <c r="B209" s="1955" t="s">
        <v>4488</v>
      </c>
    </row>
    <row r="210" spans="1:2" ht="39" customHeight="1">
      <c r="A210" s="1954" t="s">
        <v>4157</v>
      </c>
      <c r="B210" s="1955" t="s">
        <v>4489</v>
      </c>
    </row>
    <row r="211" spans="1:2" ht="39" customHeight="1">
      <c r="A211" s="1954" t="s">
        <v>4158</v>
      </c>
      <c r="B211" s="1955" t="s">
        <v>4490</v>
      </c>
    </row>
    <row r="212" spans="1:2" ht="39" customHeight="1">
      <c r="A212" s="1954" t="s">
        <v>4159</v>
      </c>
      <c r="B212" s="1955" t="s">
        <v>4491</v>
      </c>
    </row>
    <row r="213" spans="1:2" ht="39" customHeight="1">
      <c r="A213" s="1954" t="s">
        <v>4160</v>
      </c>
      <c r="B213" s="1955" t="s">
        <v>4492</v>
      </c>
    </row>
    <row r="214" spans="1:2" ht="39" customHeight="1">
      <c r="A214" s="1954" t="s">
        <v>4161</v>
      </c>
      <c r="B214" s="1955" t="s">
        <v>4493</v>
      </c>
    </row>
    <row r="215" spans="1:2" ht="39" customHeight="1">
      <c r="A215" s="1954" t="s">
        <v>4162</v>
      </c>
      <c r="B215" s="1955" t="s">
        <v>4494</v>
      </c>
    </row>
    <row r="216" spans="1:2" ht="39" customHeight="1">
      <c r="A216" s="1954" t="s">
        <v>4163</v>
      </c>
      <c r="B216" s="1955" t="s">
        <v>4495</v>
      </c>
    </row>
    <row r="217" spans="1:2" ht="39" customHeight="1">
      <c r="A217" s="1954" t="s">
        <v>4164</v>
      </c>
      <c r="B217" s="1955" t="s">
        <v>4496</v>
      </c>
    </row>
    <row r="218" spans="1:2" ht="39" customHeight="1">
      <c r="A218" s="1954" t="s">
        <v>4165</v>
      </c>
      <c r="B218" s="1955" t="s">
        <v>4497</v>
      </c>
    </row>
    <row r="219" spans="1:2" ht="39" customHeight="1">
      <c r="A219" s="1954" t="s">
        <v>4166</v>
      </c>
      <c r="B219" s="1955" t="s">
        <v>4498</v>
      </c>
    </row>
    <row r="220" spans="1:2" ht="39" customHeight="1">
      <c r="A220" s="1954" t="s">
        <v>4167</v>
      </c>
      <c r="B220" s="1955" t="s">
        <v>4499</v>
      </c>
    </row>
    <row r="221" spans="1:2" ht="39" customHeight="1">
      <c r="A221" s="1954" t="s">
        <v>4168</v>
      </c>
      <c r="B221" s="1955" t="s">
        <v>4500</v>
      </c>
    </row>
    <row r="222" spans="1:2" ht="39" customHeight="1">
      <c r="A222" s="1954" t="s">
        <v>4169</v>
      </c>
      <c r="B222" s="1955" t="s">
        <v>4501</v>
      </c>
    </row>
    <row r="223" spans="1:2" ht="39" customHeight="1">
      <c r="A223" s="1954" t="s">
        <v>4170</v>
      </c>
      <c r="B223" s="1955" t="s">
        <v>4502</v>
      </c>
    </row>
    <row r="224" spans="1:2" ht="39" customHeight="1">
      <c r="A224" s="1954" t="s">
        <v>4171</v>
      </c>
      <c r="B224" s="1955" t="s">
        <v>4503</v>
      </c>
    </row>
    <row r="225" spans="1:2" ht="39" customHeight="1">
      <c r="A225" s="1954" t="s">
        <v>4172</v>
      </c>
      <c r="B225" s="1955" t="s">
        <v>4504</v>
      </c>
    </row>
    <row r="226" spans="1:2" ht="39" customHeight="1">
      <c r="A226" s="1954" t="s">
        <v>4173</v>
      </c>
      <c r="B226" s="1955" t="s">
        <v>4505</v>
      </c>
    </row>
    <row r="227" spans="1:2" ht="39" customHeight="1">
      <c r="A227" s="1954" t="s">
        <v>4174</v>
      </c>
      <c r="B227" s="1955" t="s">
        <v>4506</v>
      </c>
    </row>
    <row r="228" spans="1:2" ht="39" customHeight="1">
      <c r="A228" s="1954" t="s">
        <v>4175</v>
      </c>
      <c r="B228" s="1955" t="s">
        <v>4507</v>
      </c>
    </row>
    <row r="229" spans="1:2" ht="39" customHeight="1">
      <c r="A229" s="1954" t="s">
        <v>4176</v>
      </c>
      <c r="B229" s="1955" t="s">
        <v>4508</v>
      </c>
    </row>
    <row r="230" spans="1:2" ht="39" customHeight="1">
      <c r="A230" s="1954" t="s">
        <v>4177</v>
      </c>
      <c r="B230" s="1955" t="s">
        <v>4509</v>
      </c>
    </row>
    <row r="231" spans="1:2" ht="39" customHeight="1">
      <c r="A231" s="1954" t="s">
        <v>4178</v>
      </c>
      <c r="B231" s="1955" t="s">
        <v>4510</v>
      </c>
    </row>
    <row r="232" spans="1:2" ht="39" customHeight="1">
      <c r="A232" s="1954" t="s">
        <v>4179</v>
      </c>
      <c r="B232" s="1955" t="s">
        <v>4511</v>
      </c>
    </row>
    <row r="233" spans="1:2" ht="39" customHeight="1">
      <c r="A233" s="1954" t="s">
        <v>4180</v>
      </c>
      <c r="B233" s="1955" t="s">
        <v>4512</v>
      </c>
    </row>
    <row r="234" spans="1:2" ht="39" customHeight="1">
      <c r="A234" s="1954" t="s">
        <v>4181</v>
      </c>
      <c r="B234" s="1955" t="s">
        <v>4513</v>
      </c>
    </row>
    <row r="235" spans="1:2" ht="39" customHeight="1">
      <c r="A235" s="1954" t="s">
        <v>4182</v>
      </c>
      <c r="B235" s="1955" t="s">
        <v>4514</v>
      </c>
    </row>
    <row r="236" spans="1:2" ht="39" customHeight="1">
      <c r="A236" s="1954" t="s">
        <v>4183</v>
      </c>
      <c r="B236" s="1955" t="s">
        <v>4515</v>
      </c>
    </row>
    <row r="237" spans="1:2" ht="39" customHeight="1">
      <c r="A237" s="1954" t="s">
        <v>4184</v>
      </c>
      <c r="B237" s="1955" t="s">
        <v>4516</v>
      </c>
    </row>
    <row r="238" spans="1:2" ht="39" customHeight="1">
      <c r="A238" s="1954" t="s">
        <v>4185</v>
      </c>
      <c r="B238" s="1955" t="s">
        <v>4517</v>
      </c>
    </row>
    <row r="239" spans="1:2" ht="39" customHeight="1">
      <c r="A239" s="1954" t="s">
        <v>4186</v>
      </c>
      <c r="B239" s="1955" t="s">
        <v>4518</v>
      </c>
    </row>
    <row r="240" spans="1:2" ht="39" customHeight="1">
      <c r="A240" s="1954" t="s">
        <v>4187</v>
      </c>
      <c r="B240" s="1955" t="s">
        <v>4519</v>
      </c>
    </row>
    <row r="241" spans="1:2" ht="39" customHeight="1">
      <c r="A241" s="1954" t="s">
        <v>4188</v>
      </c>
      <c r="B241" s="1955" t="s">
        <v>4520</v>
      </c>
    </row>
    <row r="242" spans="1:2" ht="39" customHeight="1">
      <c r="A242" s="1954" t="s">
        <v>4189</v>
      </c>
      <c r="B242" s="1955" t="s">
        <v>4521</v>
      </c>
    </row>
    <row r="243" spans="1:2" ht="39" customHeight="1">
      <c r="A243" s="1954" t="s">
        <v>4190</v>
      </c>
      <c r="B243" s="1955" t="s">
        <v>4522</v>
      </c>
    </row>
    <row r="244" spans="1:2" ht="39" customHeight="1">
      <c r="A244" s="1954" t="s">
        <v>4191</v>
      </c>
      <c r="B244" s="1955" t="s">
        <v>4523</v>
      </c>
    </row>
    <row r="245" spans="1:2" ht="39" customHeight="1">
      <c r="A245" s="1954" t="s">
        <v>4192</v>
      </c>
      <c r="B245" s="1955" t="s">
        <v>4524</v>
      </c>
    </row>
    <row r="246" spans="1:2" ht="39" customHeight="1">
      <c r="A246" s="1954" t="s">
        <v>4193</v>
      </c>
      <c r="B246" s="1955" t="s">
        <v>4525</v>
      </c>
    </row>
    <row r="247" spans="1:2" ht="39" customHeight="1">
      <c r="A247" s="1954" t="s">
        <v>4194</v>
      </c>
      <c r="B247" s="1955" t="s">
        <v>4526</v>
      </c>
    </row>
    <row r="248" spans="1:2" ht="39" customHeight="1">
      <c r="A248" s="1954" t="s">
        <v>4195</v>
      </c>
      <c r="B248" s="1955" t="s">
        <v>4527</v>
      </c>
    </row>
    <row r="249" spans="1:2" ht="39" customHeight="1">
      <c r="A249" s="1954" t="s">
        <v>4196</v>
      </c>
      <c r="B249" s="1955" t="s">
        <v>4528</v>
      </c>
    </row>
    <row r="250" spans="1:2" ht="39" customHeight="1">
      <c r="A250" s="1954" t="s">
        <v>4197</v>
      </c>
      <c r="B250" s="1955" t="s">
        <v>4529</v>
      </c>
    </row>
    <row r="251" spans="1:2" ht="39" customHeight="1">
      <c r="A251" s="1954" t="s">
        <v>4198</v>
      </c>
      <c r="B251" s="1955" t="s">
        <v>4530</v>
      </c>
    </row>
    <row r="252" spans="1:2" ht="39" customHeight="1">
      <c r="A252" s="1954" t="s">
        <v>4199</v>
      </c>
      <c r="B252" s="1955" t="s">
        <v>4531</v>
      </c>
    </row>
    <row r="253" spans="1:2" ht="39" customHeight="1">
      <c r="A253" s="1954" t="s">
        <v>4200</v>
      </c>
      <c r="B253" s="1955" t="s">
        <v>4532</v>
      </c>
    </row>
    <row r="254" spans="1:2" ht="39" customHeight="1">
      <c r="A254" s="1954" t="s">
        <v>4201</v>
      </c>
      <c r="B254" s="1955" t="s">
        <v>4533</v>
      </c>
    </row>
    <row r="255" spans="1:2" ht="39" customHeight="1">
      <c r="A255" s="1954" t="s">
        <v>4202</v>
      </c>
      <c r="B255" s="1955" t="s">
        <v>4534</v>
      </c>
    </row>
    <row r="256" spans="1:2" ht="39" customHeight="1">
      <c r="A256" s="1954" t="s">
        <v>4203</v>
      </c>
      <c r="B256" s="1955" t="s">
        <v>4535</v>
      </c>
    </row>
    <row r="257" spans="1:2" ht="39" customHeight="1">
      <c r="A257" s="1954" t="s">
        <v>4204</v>
      </c>
      <c r="B257" s="1955" t="s">
        <v>4536</v>
      </c>
    </row>
    <row r="258" spans="1:2" ht="39" customHeight="1">
      <c r="A258" s="1954" t="s">
        <v>4205</v>
      </c>
      <c r="B258" s="1955" t="s">
        <v>4537</v>
      </c>
    </row>
    <row r="259" spans="1:2" ht="39" customHeight="1">
      <c r="A259" s="1954" t="s">
        <v>4206</v>
      </c>
      <c r="B259" s="1955" t="s">
        <v>4538</v>
      </c>
    </row>
    <row r="260" spans="1:2" ht="39" customHeight="1">
      <c r="A260" s="1954" t="s">
        <v>4319</v>
      </c>
      <c r="B260" s="1955" t="s">
        <v>4539</v>
      </c>
    </row>
    <row r="261" spans="1:2" ht="39" customHeight="1">
      <c r="A261" s="1954" t="s">
        <v>4207</v>
      </c>
      <c r="B261" s="1955" t="s">
        <v>4540</v>
      </c>
    </row>
    <row r="262" spans="1:2" ht="39" customHeight="1">
      <c r="A262" s="1954" t="s">
        <v>4208</v>
      </c>
      <c r="B262" s="1955" t="s">
        <v>4541</v>
      </c>
    </row>
    <row r="263" spans="1:2" ht="39" customHeight="1">
      <c r="A263" s="1954" t="s">
        <v>4209</v>
      </c>
      <c r="B263" s="1955" t="s">
        <v>4542</v>
      </c>
    </row>
    <row r="264" spans="1:2" ht="39" customHeight="1">
      <c r="A264" s="1954" t="s">
        <v>4210</v>
      </c>
      <c r="B264" s="1955" t="s">
        <v>4610</v>
      </c>
    </row>
    <row r="265" spans="1:2" ht="39" customHeight="1">
      <c r="A265" s="1954" t="s">
        <v>4211</v>
      </c>
      <c r="B265" s="1955" t="s">
        <v>4543</v>
      </c>
    </row>
    <row r="266" spans="1:2" ht="39" customHeight="1">
      <c r="A266" s="1954" t="s">
        <v>4212</v>
      </c>
      <c r="B266" s="1955" t="s">
        <v>4544</v>
      </c>
    </row>
    <row r="267" spans="1:2" ht="39" customHeight="1">
      <c r="A267" s="1954" t="s">
        <v>4213</v>
      </c>
      <c r="B267" s="1955" t="s">
        <v>4545</v>
      </c>
    </row>
    <row r="268" spans="1:2" ht="39" customHeight="1">
      <c r="A268" s="1954" t="s">
        <v>4214</v>
      </c>
      <c r="B268" s="1955" t="s">
        <v>4546</v>
      </c>
    </row>
    <row r="269" spans="1:2" ht="39" customHeight="1">
      <c r="A269" s="1954" t="s">
        <v>4215</v>
      </c>
      <c r="B269" s="1955" t="s">
        <v>4547</v>
      </c>
    </row>
    <row r="270" spans="1:2" ht="39" customHeight="1">
      <c r="A270" s="1954" t="s">
        <v>4216</v>
      </c>
      <c r="B270" s="1955" t="s">
        <v>4548</v>
      </c>
    </row>
    <row r="271" spans="1:2" ht="39" customHeight="1">
      <c r="A271" s="1954" t="s">
        <v>4217</v>
      </c>
      <c r="B271" s="1955" t="s">
        <v>4549</v>
      </c>
    </row>
    <row r="272" spans="1:2" ht="39" customHeight="1">
      <c r="A272" s="1954" t="s">
        <v>4218</v>
      </c>
      <c r="B272" s="1955" t="s">
        <v>4550</v>
      </c>
    </row>
    <row r="273" spans="1:2" ht="39" customHeight="1">
      <c r="A273" s="1954" t="s">
        <v>4219</v>
      </c>
      <c r="B273" s="1955" t="s">
        <v>4551</v>
      </c>
    </row>
    <row r="274" spans="1:2" ht="39" customHeight="1">
      <c r="A274" s="1954" t="s">
        <v>4220</v>
      </c>
      <c r="B274" s="1955" t="s">
        <v>4552</v>
      </c>
    </row>
    <row r="275" spans="1:2" ht="39" customHeight="1">
      <c r="A275" s="1954" t="s">
        <v>4221</v>
      </c>
      <c r="B275" s="1955" t="s">
        <v>4553</v>
      </c>
    </row>
    <row r="276" spans="1:2" ht="39" customHeight="1">
      <c r="A276" s="1954" t="s">
        <v>4222</v>
      </c>
      <c r="B276" s="1955" t="s">
        <v>4554</v>
      </c>
    </row>
    <row r="277" spans="1:2" ht="39" customHeight="1">
      <c r="A277" s="1954" t="s">
        <v>4223</v>
      </c>
      <c r="B277" s="1955" t="s">
        <v>4555</v>
      </c>
    </row>
    <row r="278" spans="1:2" ht="39" customHeight="1">
      <c r="A278" s="1954" t="s">
        <v>4224</v>
      </c>
      <c r="B278" s="1955" t="s">
        <v>4556</v>
      </c>
    </row>
    <row r="279" spans="1:2" ht="39" customHeight="1">
      <c r="A279" s="1954" t="s">
        <v>4225</v>
      </c>
      <c r="B279" s="1955" t="s">
        <v>4557</v>
      </c>
    </row>
    <row r="280" spans="1:2" ht="39" customHeight="1">
      <c r="A280" s="1954" t="s">
        <v>4226</v>
      </c>
      <c r="B280" s="1955" t="s">
        <v>4558</v>
      </c>
    </row>
    <row r="281" spans="1:2" ht="39" customHeight="1">
      <c r="A281" s="1954" t="s">
        <v>4227</v>
      </c>
      <c r="B281" s="1955" t="s">
        <v>4559</v>
      </c>
    </row>
    <row r="282" spans="1:2" ht="39" customHeight="1">
      <c r="A282" s="1954" t="s">
        <v>4228</v>
      </c>
      <c r="B282" s="1955" t="s">
        <v>4560</v>
      </c>
    </row>
    <row r="283" spans="1:2" ht="39" customHeight="1">
      <c r="A283" s="1954" t="s">
        <v>4229</v>
      </c>
      <c r="B283" s="1955" t="s">
        <v>4561</v>
      </c>
    </row>
    <row r="284" spans="1:2" ht="39" customHeight="1">
      <c r="A284" s="1954" t="s">
        <v>4230</v>
      </c>
      <c r="B284" s="1955" t="s">
        <v>4562</v>
      </c>
    </row>
    <row r="285" spans="1:2" ht="39" customHeight="1">
      <c r="A285" s="1954" t="s">
        <v>4231</v>
      </c>
      <c r="B285" s="1955" t="s">
        <v>4563</v>
      </c>
    </row>
    <row r="286" spans="1:2" ht="39" customHeight="1">
      <c r="A286" s="1954" t="s">
        <v>4232</v>
      </c>
      <c r="B286" s="1955" t="s">
        <v>4564</v>
      </c>
    </row>
    <row r="287" spans="1:2" ht="39" customHeight="1">
      <c r="A287" s="1954" t="s">
        <v>4233</v>
      </c>
      <c r="B287" s="1955" t="s">
        <v>4565</v>
      </c>
    </row>
    <row r="288" spans="1:2" ht="39" customHeight="1">
      <c r="A288" s="1954" t="s">
        <v>4234</v>
      </c>
      <c r="B288" s="1955" t="s">
        <v>4566</v>
      </c>
    </row>
    <row r="289" spans="1:2" ht="39" customHeight="1">
      <c r="A289" s="1954" t="s">
        <v>4235</v>
      </c>
      <c r="B289" s="1955" t="s">
        <v>4567</v>
      </c>
    </row>
    <row r="290" spans="1:2" ht="39" customHeight="1">
      <c r="A290" s="1954" t="s">
        <v>4236</v>
      </c>
      <c r="B290" s="1955" t="s">
        <v>4568</v>
      </c>
    </row>
    <row r="291" spans="1:2" ht="39" customHeight="1">
      <c r="A291" s="1954" t="s">
        <v>4237</v>
      </c>
      <c r="B291" s="1955" t="s">
        <v>4569</v>
      </c>
    </row>
    <row r="292" spans="1:2" ht="39" customHeight="1">
      <c r="A292" s="1954" t="s">
        <v>4238</v>
      </c>
      <c r="B292" s="1955" t="s">
        <v>4570</v>
      </c>
    </row>
    <row r="293" spans="1:2" ht="39" customHeight="1">
      <c r="A293" s="1954" t="s">
        <v>4239</v>
      </c>
      <c r="B293" s="1955" t="s">
        <v>4571</v>
      </c>
    </row>
    <row r="294" spans="1:2" ht="39" customHeight="1">
      <c r="A294" s="1954" t="s">
        <v>4240</v>
      </c>
      <c r="B294" s="1955" t="s">
        <v>4572</v>
      </c>
    </row>
    <row r="295" spans="1:2" ht="39" customHeight="1">
      <c r="A295" s="1954" t="s">
        <v>4241</v>
      </c>
      <c r="B295" s="1955" t="s">
        <v>4573</v>
      </c>
    </row>
    <row r="296" spans="1:2" ht="39" customHeight="1">
      <c r="A296" s="1954" t="s">
        <v>4242</v>
      </c>
      <c r="B296" s="1955" t="s">
        <v>4574</v>
      </c>
    </row>
    <row r="297" spans="1:2" ht="39" customHeight="1">
      <c r="A297" s="1954" t="s">
        <v>4243</v>
      </c>
      <c r="B297" s="1955" t="s">
        <v>4575</v>
      </c>
    </row>
    <row r="298" spans="1:2" ht="39" customHeight="1">
      <c r="A298" s="1954" t="s">
        <v>4244</v>
      </c>
      <c r="B298" s="1955" t="s">
        <v>4576</v>
      </c>
    </row>
    <row r="299" spans="1:2" ht="39" customHeight="1">
      <c r="A299" s="1954" t="s">
        <v>4245</v>
      </c>
      <c r="B299" s="1955" t="s">
        <v>4577</v>
      </c>
    </row>
    <row r="300" spans="1:2" ht="39" customHeight="1">
      <c r="A300" s="1954" t="s">
        <v>4246</v>
      </c>
      <c r="B300" s="1955" t="s">
        <v>4578</v>
      </c>
    </row>
    <row r="301" spans="1:2" ht="39" customHeight="1">
      <c r="A301" s="1954" t="s">
        <v>4247</v>
      </c>
      <c r="B301" s="1955" t="s">
        <v>4579</v>
      </c>
    </row>
    <row r="302" spans="1:2" ht="39" customHeight="1">
      <c r="A302" s="1954" t="s">
        <v>4248</v>
      </c>
      <c r="B302" s="1955" t="s">
        <v>4580</v>
      </c>
    </row>
    <row r="303" spans="1:2" ht="39" customHeight="1">
      <c r="A303" s="1954" t="s">
        <v>4249</v>
      </c>
      <c r="B303" s="1955" t="s">
        <v>4581</v>
      </c>
    </row>
    <row r="304" spans="1:2" ht="39" customHeight="1">
      <c r="A304" s="1954" t="s">
        <v>4250</v>
      </c>
      <c r="B304" s="1955" t="s">
        <v>4582</v>
      </c>
    </row>
    <row r="305" spans="1:2" ht="39" customHeight="1">
      <c r="A305" s="1954" t="s">
        <v>4251</v>
      </c>
      <c r="B305" s="1955" t="s">
        <v>4583</v>
      </c>
    </row>
    <row r="306" spans="1:2" ht="39" customHeight="1">
      <c r="A306" s="1954" t="s">
        <v>4252</v>
      </c>
      <c r="B306" s="1955" t="s">
        <v>4584</v>
      </c>
    </row>
    <row r="307" spans="1:2" ht="39" customHeight="1">
      <c r="A307" s="1954" t="s">
        <v>4253</v>
      </c>
      <c r="B307" s="1955" t="s">
        <v>4585</v>
      </c>
    </row>
    <row r="308" spans="1:2" ht="39" customHeight="1">
      <c r="A308" s="1954" t="s">
        <v>4254</v>
      </c>
      <c r="B308" s="1955" t="s">
        <v>4586</v>
      </c>
    </row>
    <row r="309" spans="1:2" ht="39" customHeight="1">
      <c r="A309" s="1954" t="s">
        <v>4255</v>
      </c>
      <c r="B309" s="1955" t="s">
        <v>4587</v>
      </c>
    </row>
    <row r="310" spans="1:2" ht="39" customHeight="1">
      <c r="A310" s="1954" t="s">
        <v>4256</v>
      </c>
      <c r="B310" s="1955" t="s">
        <v>4588</v>
      </c>
    </row>
    <row r="311" spans="1:2" ht="39" customHeight="1">
      <c r="A311" s="1954" t="s">
        <v>4257</v>
      </c>
      <c r="B311" s="1955" t="s">
        <v>4589</v>
      </c>
    </row>
    <row r="312" spans="1:2" ht="39" customHeight="1">
      <c r="A312" s="1954" t="s">
        <v>4258</v>
      </c>
      <c r="B312" s="1955" t="s">
        <v>4590</v>
      </c>
    </row>
    <row r="313" spans="1:2" ht="39" customHeight="1">
      <c r="A313" s="1954" t="s">
        <v>4259</v>
      </c>
      <c r="B313" s="1955" t="s">
        <v>4591</v>
      </c>
    </row>
    <row r="314" spans="1:2" ht="39" customHeight="1">
      <c r="A314" s="1954" t="s">
        <v>4260</v>
      </c>
      <c r="B314" s="1955" t="s">
        <v>4592</v>
      </c>
    </row>
    <row r="315" spans="1:2" ht="39" customHeight="1">
      <c r="A315" s="1954" t="s">
        <v>4261</v>
      </c>
      <c r="B315" s="1955" t="s">
        <v>4593</v>
      </c>
    </row>
    <row r="316" spans="1:2" ht="39" customHeight="1">
      <c r="A316" s="1954" t="s">
        <v>4262</v>
      </c>
      <c r="B316" s="1955" t="s">
        <v>4594</v>
      </c>
    </row>
    <row r="317" spans="1:2" ht="39" customHeight="1">
      <c r="A317" s="1954" t="s">
        <v>4263</v>
      </c>
      <c r="B317" s="1955" t="s">
        <v>4595</v>
      </c>
    </row>
    <row r="318" spans="1:2" ht="39" customHeight="1">
      <c r="A318" s="1954" t="s">
        <v>4264</v>
      </c>
      <c r="B318" s="1955" t="s">
        <v>4596</v>
      </c>
    </row>
    <row r="319" spans="1:2" ht="39" customHeight="1">
      <c r="A319" s="1954" t="s">
        <v>4265</v>
      </c>
      <c r="B319" s="1955" t="s">
        <v>4597</v>
      </c>
    </row>
    <row r="320" spans="1:2" ht="39" customHeight="1">
      <c r="A320" s="1954" t="s">
        <v>4266</v>
      </c>
      <c r="B320" s="1955" t="s">
        <v>4598</v>
      </c>
    </row>
    <row r="321" spans="1:2" ht="39" customHeight="1">
      <c r="A321" s="1954" t="s">
        <v>4267</v>
      </c>
      <c r="B321" s="1955" t="s">
        <v>4599</v>
      </c>
    </row>
    <row r="322" spans="1:2" ht="39" customHeight="1">
      <c r="A322" s="1954" t="s">
        <v>4268</v>
      </c>
      <c r="B322" s="1955" t="s">
        <v>4600</v>
      </c>
    </row>
    <row r="323" spans="1:2" ht="39" customHeight="1">
      <c r="A323" s="1954" t="s">
        <v>4269</v>
      </c>
      <c r="B323" s="1955" t="s">
        <v>4601</v>
      </c>
    </row>
    <row r="324" spans="1:2" ht="39" customHeight="1">
      <c r="A324" s="1954" t="s">
        <v>4270</v>
      </c>
      <c r="B324" s="1955" t="s">
        <v>4602</v>
      </c>
    </row>
    <row r="325" spans="1:2" ht="39" customHeight="1">
      <c r="A325" s="1954" t="s">
        <v>4271</v>
      </c>
      <c r="B325" s="1955" t="s">
        <v>4603</v>
      </c>
    </row>
    <row r="326" spans="1:2" ht="39" customHeight="1">
      <c r="A326" s="1954" t="s">
        <v>4272</v>
      </c>
      <c r="B326" s="1955" t="s">
        <v>4604</v>
      </c>
    </row>
    <row r="327" spans="1:2" ht="39" customHeight="1">
      <c r="A327" s="1954" t="s">
        <v>4273</v>
      </c>
      <c r="B327" s="1955" t="s">
        <v>4605</v>
      </c>
    </row>
    <row r="328" spans="1:2" ht="39" customHeight="1">
      <c r="A328" s="1954" t="s">
        <v>4274</v>
      </c>
      <c r="B328" s="1955" t="s">
        <v>4606</v>
      </c>
    </row>
    <row r="329" spans="1:2" ht="39" customHeight="1">
      <c r="A329" s="1954" t="s">
        <v>4275</v>
      </c>
      <c r="B329" s="1955" t="s">
        <v>4607</v>
      </c>
    </row>
    <row r="330" spans="1:2" ht="39" customHeight="1">
      <c r="A330" s="1954" t="s">
        <v>4276</v>
      </c>
      <c r="B330" s="1955" t="s">
        <v>4608</v>
      </c>
    </row>
    <row r="331" spans="1:2" ht="39" customHeight="1">
      <c r="A331" s="1954" t="s">
        <v>4277</v>
      </c>
      <c r="B331" s="1955" t="s">
        <v>4609</v>
      </c>
    </row>
  </sheetData>
  <hyperlinks>
    <hyperlink ref="B2" location="'10.1'!A1" display="NÚMERO DE PROYECTOS PRESENTADOS Y FINANCIADOS A TRAVÉS DEL FONDO DE APOYO A LA INVESTIGACIÓN PATRIMONIAL (FAIP), SEGÚN REGIÓN. 2009-2014"/>
    <hyperlink ref="B3" location="'10.2'!A1" display="NÚMERO DE PUBLICACIONES DE LA DIRECCIÓN DE BIBLIOTECAS, ARCHIVOS Y MUSEOS (DIBAM), SEGÚN UNIDAD DE ORIGEN Y TIPO DE PUBLICACIÓN. 2009-2014"/>
    <hyperlink ref="B4" location="'10.3'!A1" display="NÚMERO DE ARCHIVOS PÚBLICOS DE LA DIRECCIÓN DE BIBLIOTECAS, ARCHIVOS Y MUSEOS (DIBAM), SEGÚN REGIÓN. 2009-2014"/>
    <hyperlink ref="B5" location="'10.4'!A1" display="NÚMERO DE DOCUMENTOS CONTENIDOS EN LOS ARCHIVOS PÚBLICOS DE LA DIRECCIÓN DE BIBLIOTECAS, ARCHIVOS Y MUSEOS (DIBAM), SEGÚN REGIÓN. 2014"/>
    <hyperlink ref="B6" location="'10.5'!A1" display="NÚMERO TOTAL DE USUARIOS PRESENCIALES Y REMOTOS DE ARCHIVOS PÚBLICOS DE LA DIRECCIÓN DE BIBLIOTECAS, ARCHIVOS Y MUSEOS (DIBAM). 2009-2014"/>
    <hyperlink ref="B7" location="'10.6'!A1" display="NÚMERO DE USUARIOS PRESENCIALES DE ARCHIVOS PÚBLICOS DE LA DIRECCIÓN DE BIBLIOTECAS, ARCHIVOS Y MUSEOS (DIBAM), SEGÚN REGIÓN. 2009-2014"/>
    <hyperlink ref="B8" location="'10.7'!A1" display="DATOS DEL CENTRO NACIONAL DE CONSERVACIÓN Y RESTAURACIÓN DE LA DIRECCIÓN DE BIBLIOTECAS, ARCHIVOS Y MUSEOS (DIBAM). 2009-2014"/>
    <hyperlink ref="B9" location="'10.8'!A1" display="OTROS INDICADORES DE LOS MUSEOS DE LA DIRECCIÓN DE BIBLIOTECAS, ARCHIVOS Y MUSEOS (DIBAM). 2014"/>
    <hyperlink ref="B10" location="'10.9'!A1" display="NÚMERO DE MUSEOS DE LA DIRECCIÓN DE BIBLIOTECAS, ARCHIVOS Y MUSEOS (DIBAM), SEGÚN REGIÓN. 2009-2014"/>
    <hyperlink ref="B11" location="'10.10'!A1" display="PERSONAL DE MUSEOS DE LA DIRECCIÓN DE BIBLIOTECAS, ARCHIVOS Y MUSEOS (DIBAM), SEGÚN CATEGORÍA OCUPACIONAL. 2014"/>
    <hyperlink ref="B12" location="'10.11'!A1" display="NÚMERO DE MUSEOS DE LA DIRECCIÓN DE BIBLIOTECAS, ARCHIVOS Y MUSEOS (DIBAM), SEGÚN TIPO DE COLECCIÓN. 2009-2014"/>
    <hyperlink ref="B13" location="'10.12'!A1" display="NÚMERO DE AUTORIZACIONES DE SALIDA DEL TERRITORIO NACIONAL ENTREGADAS POR EL MUSEO NACIONAL DE BELLAS ARTES DE OBRAS DE ARTE (LEY 17.236),  SEGÚN CONTINENTE DE DESTINO. 2014"/>
    <hyperlink ref="B14" location="'10.13'!A1" display="NÚMERO DE EXPOSICIONES POR MUSEO DE LA DIRECCIÓN DE BIBLIOTECAS, ARCHIVOS Y MUSEOS (DIBAM) , SEGÚN TIPO DE EXPOSICIÓN Y NACIONALIDAD. 2014"/>
    <hyperlink ref="B15" location="'10.14'!A1" display="NÚMERO DE PIEZAS RESTAURADAS, POR MUSEO DE LA DIRECCIÓN DE BIBLIOTECAS, ARCHIVOS Y MUSEOS (DIBAM)POR TIPO DE MUSEO (NACIONAL Y REGIONAL), SEGÚN TIPO DE PIEZA. 2014"/>
    <hyperlink ref="B16" location="'10.15'!A1" display="NÚMERO DE PIEZAS RESTAURADAS EN LOS MUSEOS DE LA SUBDIRECCIÓN DE MUSEOS DE LA DIRECCIÓN DE BIBLIOTECAS, ARCHIVOS Y MUSEOS (DIBAM), SEGÚN TIPO DE PIEZA. 2009-2014"/>
    <hyperlink ref="B17" location="'10.16'!A1" display="NÚMERO DE PIEZAS RESTAURADAS EN LOS MUSEOS DE LA SUBDIRECCIÓN DE MUSEOS DE LA DIRECCIÓN DE BIBLIOTECAS, ARCHIVOS Y MUSEOS (DIBAM), POR TIPO DE PIEZA, SEGÚN REGIÓN. 2014"/>
    <hyperlink ref="B18" location="'10.17'!A1" display="NÚMERO DE USUARIOS, POR MUSEOS DE LA DIRECCIÓN DE BIBLIOTECAS, ARCHIVOS Y MUSEOS (DIBAM), SEGÚN TIPO DE ENTRADA. 2014"/>
    <hyperlink ref="B19" location="'10.18'!A1" display="NÚMERO DE USUARIOS DE LOS MUSEOS DE LA DIRECCIÓN DE BIBLIOTECAS, ARCHIVOS Y MUSEOS (DIBAM), SEGÚN GRUPOS DE EDAD. 2014"/>
    <hyperlink ref="B20" location="'10.19'!A1" display="NÚMERO DE AUTORIZACIONES DE SALIDA DE MONUMENTOS DEL TERRITORIO NACIONAL, SEGÚN TIPO DE MONUMENTO. 2009-2014"/>
    <hyperlink ref="B21" location="'10.20'!A1" display="NÚMERO DE AUTORIZACIONES DE SALIDA DE MONUMENTOS, SEGÚN DESTINO. 2010-2014"/>
    <hyperlink ref="B22" location="'10.21'!A1" display=" NÚMERO DE AUTORIZACIONES POR DESTINO, SEGÚN TIPO DE MONUMENTO. 2014"/>
    <hyperlink ref="B23" location="'10.22'!A1" display=" NÚMERO DE SOLICITUDES DE DECLARACIÓN DE MONUMENTOS NACIONALES RECIBIDAS, SEGÚN TIPO DE MONUMENTO Y REGIÓN. 2014"/>
    <hyperlink ref="B24" location="'10.23'!A1" display=" NÚMERO DE MONUMENTOS NACIONALES DECLARADOS POR DECRETO, SEGÚN TIPO DE MONUMENTO Y REGIÓN. 2014"/>
    <hyperlink ref="B25" location="'10.24'!A1" display=" NÚMERO DE MONUMENTOS NACIONALES DECLARADOS POR DECRETO, SEGÚN TIPO DE MONUMENTO Y REGIÓN (HISTORICO, DESDE 1925). 2014"/>
    <hyperlink ref="B26" location="'10.25'!A1" display=" NÓMINA DE MONUMENTOS NACIONALES DECLARADOS, SEGÚN REGIÓN Y MONUMENTO. 2014"/>
    <hyperlink ref="B27" location="'10.26'!A1" display=" MATERIAL AUDIOVISUAL GENERADO POR EL CONSEJO NACIONAL DE LA CULTURA Y LAS ARTES (CNCA) SEGÚN AÑO DE EDICIÓN, PROGRAMA O PROYECTO Y TIPO DE MATERIAL. 2010-2014/1 "/>
    <hyperlink ref="B28" location="'10.27'!A1" display=" NÚMERO DE PUBLICACIONES Y AUDIOS GENERADOS POR EL CONSEJO NACIONAL DE LA CULTURA Y LAS ARTES (CNCA) SEGÚN TIPO DE PRODUCTO. 2008-2014"/>
    <hyperlink ref="B29" location="'10.28'!A1" display=" NÚMERO DE POSTULACIONES A TESORO HUMANO VIVO (THV), SEGÚN ÁMBITO DEL PATRIMONIO CULTURAL INMATERIAL Y RESULTADO DE POSTULACIÓN. 2009-2014"/>
    <hyperlink ref="B30" location="'10.29'!A1" display=" NÚMERO DE POSTULACIONES A TESORO HUMANO VIVO (THV) QUE AUTODECLARA MÁS DE UN ÁMBITO DE PATRIMONIO CULTURAL INMATERIAL, SEGÚN RESULTADO. 2009-2014"/>
    <hyperlink ref="B31" location="'10.30'!A1" display=" POSTULACIONES A TESORO HUMANO VIVO (THV), SEGÚN TIPO DE POSTULACIÓN Y REGIÓN. 2009-2014"/>
    <hyperlink ref="B32" location="'10.31'!A1" display="EXPEDIENTES DE POSTULACIÓN AL INVENTARIO DEL PATRIMONIO CULTURAL INMATERIAL EN CHILE RECIBIDOS POR EL CONSEJO NACIONAL DE LA CULTURA Y LAS ARTES (CNCA), SEGÚN ÁMBITO DE PATRIMONIO INMATERIAL Y REGIÓN. 2013-2014 /1"/>
    <hyperlink ref="B33" location="'10.32'!A1" display="EXPRESIONES RECONOCIDAS EN EL INVENTARIO DEL PATRIMONIO CULTURAL INMATERIAL EN CHILE, SEGÚN REGIÓN. 2013-2014"/>
    <hyperlink ref="B34" location="'10.33'!A1" display="EXPRESIONES RECONOCIDAS EN EL INVENTARIO PRIORIZADO DEL PATRIMONIO CULTURAL INMATERIAL EN CHILE, SEGÚN ÁMBITO DEL PATRIMONIO INMATERIAL. 2013-2014"/>
    <hyperlink ref="B35" location="'10.34'!A1" display="ACERVOS CULTURALES REGISTRADOS EN SIGPA/1 SEGÚN REGIÓN Y TIPO DE ACERVO. 2011-2014"/>
    <hyperlink ref="B36" location="'10.35'!A1" display="ACERVOS CULTURALES REGISTRADOS EN SIGPA/1, SEGÚN ÁMBITO DEL PATRIMONIO CULTURAL INMATERIAL Y TIPO DE ACERVO. 2011-2014"/>
    <hyperlink ref="B37" location="'10.36'!A1" display="NÚMERO DE INMUEBLES Y ACTIVIDADES REALIZADAS EN EL DÍA DEL PATRIMONIO CULTURAL EN EL PAÍS. 2014/1"/>
    <hyperlink ref="B38" location="'10.37'!A1" display="NÚMERO DE VISITAS EN EL DÍA DEL PATRIMONIO CULTURAL EN LA REGIÓN METROPOLITANA Y OTRAS REGIONES DEL PAÍS. 2014/1"/>
    <hyperlink ref="B39" location="'10.38'!A1" display="NÚMERO DE BENEFICIARIOS DE PROGRAMA DE EDUCACIÓN AMBIENTAL (EDAM) DENTRO Y FUERA DE LAS ÁREAS SILVESTRES PROTEGIDAS (ASP), SEGÚN REGIÓN. 2012-2014"/>
    <hyperlink ref="B40" location="'10.39'!A1" display="NÚMERO DE SANTUARIOS DE LA NATURALEZA DECLARADOS POR DECRETO (HISTORICO, DESDE 1925), SEGÚN REGIÓN. 2014"/>
    <hyperlink ref="B41" location="'10.40'!A1" display="NÓMINA DE SANTUARIOS DE LA NATURALEZA DECLARADOS, SEGÚN REGIÓN. 2014/1"/>
    <hyperlink ref="B42" location="'10.41'!A1" display="DISTRIBUCIÓN NACIONAL DEL SISTEMA NACIONAL DE ÁREAS SILVESTRES PROTEGIDAS DEL ESTADO (SNASPE) Y SUPERFICIE (HÁ). 2014"/>
    <hyperlink ref="B43" location="'10.42'!A1" display="NÓMINA Y SUPERFICIE (HÁ) DE LOS PARQUES NACIONALES SEGÚN REGIÓN. 2014"/>
    <hyperlink ref="B44" location="'10.43'!A1" display="NÓMINA Y SUPERFICIE (HÁ) DE LAS RESERVAS NACIONALES SEGÚN REGIÓN. 2014"/>
    <hyperlink ref="B45" location="'10.44'!A1" display="NÓMINA Y SUPERFICIE (HÁ) DE MONUMENTOS NATURALES SEGÚN REGIÓN. 2014"/>
    <hyperlink ref="B46" location="'10.45'!A1" display="NÚMERO Y PORCENTAJE DE SUPERFICIE DE RESERVAS DE LA BIÓSFERA EN HECTÁREAS, PRESENTES EN CHILE POR PERTENENCIA O NO PERTENENCIA A LAS ÁREAS SILVESTRES PROTEGIDAS (ASP), SEGÚN TIPO DE RESERVA DE LA BIÓSFERA. 2014"/>
    <hyperlink ref="B47" location="'10.46'!A1" display="ANTECEDENTES GENERALES DE LAS RESERVAS DE LA BIÓSFERA PRESENTES EN CHILE POR  AÑO DE CREACIÓN, FECHA DE MODIFICACIÓN Y SUPERFICIE (HÁ), SEGÚN REGIÓN. 2014"/>
    <hyperlink ref="B48" location="'10.47'!A1" display="ANTECEDENTES GENERALES DE LOS SITIOS DE LA CONVENCIÓN RAMSAR PRESENTES EN CHILE, POR PERTENENCIA O NO PERTENENCIA A LAS ÁREAS SILVESTRES PROTEGIDAS (ASP), POR AÑO DE CREACIÓN Y SUPERFICIE, SEGÚN REGIÓN. 2014"/>
    <hyperlink ref="B49" location="'10.48'!A1" display="ESPECIES PRIORITARIAS EN FLORA, SUJETAS AL PLAN NACIONAL DE CONSERVACIÓN (PNC) POR AÑO DE ELABORACIÓN Y ESTADO DE CONSERVACIÓN, SEGÚN REGIÓN DE SECRETARÍA TÉCNICA. 2014/1"/>
    <hyperlink ref="B50" location="'10.49'!A1" display="ESPECIES PRIORITARIAS EN FAUNA, SUJETAS AL PLAN NACIONAL DE CONSERVACIÓN (PNC) POR AÑO DE ELABORACIÓN Y ESTADO DE CONSERVACIÓN, SEGÚN REGIÓN DE SECRETARÍA TÉCNICA. 2014/1"/>
    <hyperlink ref="B51" location="'10.50'!A1" display="RECURSOS CULTURALES SEGÚN LAS ÁREAS SILVESTRES PROTEGIDAS (ASP). 2014/1"/>
    <hyperlink ref="B52" location="'10.51'!A1" display="VISITANTES TOTALES SEGÚN REGIÓN Y UNIDAD DEL SISTEMA NACIONAL DE ÁREAS SILVESTRES PROTEGIDAS DEL ESTADO (SNASPE). 2009-2014"/>
    <hyperlink ref="B53" location="'10.52'!A1" display="NÚMERO DE VISITANTES A UNIDADES DEL SISTEMA NACIONAL DE ÁREAS SILVESTRES PROTEGIDAS DEL ESTADO (SNASPE) POR AÑO Y NACIONALIDAD (CHILENA Y EXTRANJERA), SEGÚN REGIÓN Y UNIDAD DEL SNASPE. 2009-2014"/>
    <hyperlink ref="B54" location="'10.53'!A1" display="NÚMERO DE VISITANTES A UNIDADES DEL SISTEMA NACIONAL DE ÁREAS SILVESTRES PROTEGIDAS DEL ESTADO (SNASPE) POR AÑO Y SEXO, SEGÚN REGIÓN Y UNIDAD DEL SNASPE. 2009-2014"/>
    <hyperlink ref="B55" location="'10.54'!A1" display="NÚMERO DE VISITANTES A UNIDADES DEL SISTEMA NACIONAL DE ÁREAS PROTEGIDAS DEL ESTADO (SNASPE) POR AÑO Y TRAMO DE EDAD, SEGÚN REGIÓN Y UNIDAD DEL SNASPE. 2009-2014"/>
    <hyperlink ref="B56" location="'10.55'!A1" display="NÚMERO DE VISITANTES CON CONDICIONES ESPECIALES A UNIDADES DEL SISTEMA NACIONAL DE ÁREAS SILVESTRES PROTEGIDAS DEL ESTADO (SNASPE) POR AÑO, SEGÚN REGIÓN Y UNIDAD DEL SNASPE. 2009-2014"/>
    <hyperlink ref="B57" location="'10.56'!A1" display="NÚMERO DE DENUNCIAS SIN APREHENDIDOS Y CON APREHENDIDOS, Y NÚMERO DE APREHENDIDOS, POR &quot;DAÑOS O APROPIACIÓN SOBRE MONUMENTOS NACIONALES (Art. 38-38 bis Ley 17.288)&quot;, SEGÚN REGIÓN. 2014"/>
    <hyperlink ref="B58" location="'10.57'!A1" display="NÚMERO DE APREHENDIDOS POR &quot;DAÑOS O APROPIACIÓN SOBRE MONUMENTOS NACIONALES&quot;, POR SEXO Y GRUPOS DE EDAD, SEGÚN REGIÓN. 2014"/>
    <hyperlink ref="B59" location="'10.58'!A1" display="NÚMERO DE DELITOS INVESTIGADOS, PERSONAS DETENIDAS POR LEY 17.288 DE DELITOS PATRIMONIALES Y NÚMERO DE INCAUTACIONES, SEGÚN REGIÓN POLICIAL. 2014"/>
    <hyperlink ref="B60" location="'10.59'!A1" display="NÚMERO DE PIEZAS PATRIMONIALES INCAUTADAS (LEY 17.288), SEGÚN ADUANA Y AVANZADA. 2014"/>
    <hyperlink ref="B61" location="'10.60'!A1" display="NÓMINA DE PIEZAS PATRIMONIALES INCAUTADAS (LEY 17.288) SEGÚN AVANZADA. 2014"/>
    <hyperlink ref="B62" location="'10.61'!A1" display="NÚMERO DE PIEZAS INCAUTADAS EN EL MARCO DE LA CONVENCIÓN SOBRE EL COMERCIO INTERNACIONAL DE ESPECIES AMENAZADAS DE FAUNA Y FLORA SILVESTRE (CITES), SEGÚN ADUANAS Y AVANZADA. 2014"/>
    <hyperlink ref="B63" location="'10.62'!A1" display="NÓMINA DE PIEZAS INCAUTADAS EN EL MARCO DE LA CONVENCIÓN SOBRE EL COMERCIO INTERNACIONAL DE ESPECIES AMENAZADAS DE FAUNA Y FLORA SILVESTRE (CITES), SEGÚN ADUANA Y ESPECIES. 2014"/>
    <hyperlink ref="B64" location="'10.63'!A1" display="CAUSAS INGRESADAS Y TERMINADAS EN JUZGADOS DE GARANTÍA Y DE LETRAS Y GARANTÍA POR INFRACCIÓN A LA LEY DE DAÑOS O APROPIACIÓN SOBRE MONUMENTOS NACIONALES, SEGÚN CORTE DE APELACIÓN. 2014"/>
    <hyperlink ref="B65" location="'10.64'!A1" display="IMPUTADOS POR INFRACCIÓN A LA LEY 17.288, SEGÚN CORTE DE APELACIÓN. 2014"/>
    <hyperlink ref="B66" location="'10.65'!A1" display="DELITOS INGRESADOS AL MINISTERIO PÚBLICO EN RELACIÓN CON LA LEY DE DAÑOS O APROPIACIÓN DE MONUMENTOS NACIONALES, SEGÚN REGIÓN DE FISCALÍA. 2009-2014"/>
    <hyperlink ref="B67" location="'10.66'!A1" display="DELITOS TERMINADOS EN EL MINISTERIO PÚBLICO EN RELACIÓN A LA LEY DE DAÑOS O APROPIACIÓN DE MONUMENTOS NACIONALES, SEGÚN REGIÓN DE FISCALÍA. 2009-2014"/>
    <hyperlink ref="B68" location="'10.67'!A1" display="SENTENCIAS DEFINITIVAS CONDENATORIAS EN RELACIÓN A LA LEY DE DAÑOS O APROPIACIÓN DE MONUMENTOS NACIONALES, SEGÚN REGIÓN DE FISCALÍA. 2009-2014"/>
    <hyperlink ref="B69" location="'11.1'!A1" display="NÚMERO DE ARTESANOS, SEGÚN REGIÓN. 2014"/>
    <hyperlink ref="B70" location="'11.2'!A1" display="NÚMERO DE ARTESANOS INSCRITOS EN EL SISTEMA DE INFORMACIÓN NACIONAL DE ARTESANÍA DEL CONSEJO NACIONAL DE LA CULTURA Y LAS ARTES (CNCA) POR PUEBLO ORIGINARIO, SEGÚN REGIÓN. 2014"/>
    <hyperlink ref="B71" location="'11.3'!A1" display="NÚMERO DE ARTESANOS POR DISCIPLINA, SEGÚN REGIÓN. 2014"/>
    <hyperlink ref="B72" location="'11.4'!A1" display="DISTRIBUCIÓN REGIONAL DE OBJETOS DE ARTESANÍA CON SELLO DE EXCELENCIA DEL CONSEJO NACIONAL DE LA CULTURA Y LAS ARTES (CNCA) Y RECONOCIMIENTO UNESCO. 2008-2014/1"/>
    <hyperlink ref="B73" location="'11.5'!A1" display="NÓMINA DE PRODUCTOS ARTESANALES CON SELLO DE EXCELENCIA DEL CONSEJO NACIONAL DE LA CULTURA Y LAS ARTES (CNCA) Y CON RECONOCIMIENTO UNESCO POR DISCIPLINA, REGIÓN Y COMUNA. 2014/1"/>
    <hyperlink ref="B74" location="'12.1'!A1" display="NÚMERO DE AUTORES ASOCIADOS A LA SOCIEDAD DE CREADORES DE IMAGEN FIJA (CREAIMAGEN) POR SEXO, SEGÚN REGIÓN. 2014"/>
    <hyperlink ref="B75" location="'12.2'!A1" display="NÚMERO DE SOCIOS INCORPORADOS A LA SOCIEDAD DE CREADORES DE IMAGEN FIJA (CREAIMAGEN) POR SEXO, SEGÚN REGIÓN. 2014"/>
    <hyperlink ref="B76" location="'12.3'!A1" display="NÚMERO DE AUTORES AFILIADOS A LA SOCIEDAD DE CREADORES DE IMAGEN FIJA (CREAIMAGEN) QUE GENERARON DERECHOS EN CHILE Y EN EL EXTRANJERO. 2009-2014"/>
    <hyperlink ref="B77" location="'12.4'!A1" display="NÚMERO DE AUTORIZACIONES REGISTRADAS POR LA SOCIEDAD DE CREADORES DE IMAGEN FIJA (CREAIMAGEN) SOBRE USO DE IMAGEN FIJA, CONCEDIDAS EN CHILE Y EN EL EXTRANJERO. 2009 - 2014"/>
    <hyperlink ref="B78" location="'12.5'!A1" display="RECAUDACIÓN DE DERECHOS DE AUTOR POR LA SOCIEDAD DE CREADORES DE IMAGEN FIJA (CREAIMAGEN), SEGÚN ORIGEN DE LA OBRA Y DE LA RECAUDACIÓN (NACIONAL Y EXTRANJERA). 2009-2014"/>
    <hyperlink ref="B79" location="'12.6'!A1" display="DISTRIBUCIÓN DE DERECHOS DE AUTOR POR LA SOCIEDAD DE CREADORES DE IMAGEN FIJA (CREAIMAGEN), SEGÚN ORIGEN DE LA OBRA Y DE LA DISTRIBUCIÓN (NACIONAL Y EXTRANJERA). 2009-2014"/>
    <hyperlink ref="B80" location="'12.7'!A1" display="NÚMERO DE SOCIOS POR PROFESIÓN U OFICIO (REPORTEROS GRÁFICOS Y CAMARÓGRAFOS) ACTIVOS Y NO ACTIVOS, POR SEXO, SEGÚN REGIÓN. 2014"/>
    <hyperlink ref="B81" location="'12.8'!A1" display="NÚMERO DE CONCURSOS, EXPOSICIONES Y DE VISITANTES A EXPOSICIONES, SEGÚN REGIÓN. 2009-2014"/>
    <hyperlink ref="B82" location="'13.1'!A1" display="NÚMERO DE ASOCIADOS AL SINDICATO DE ACTORES DE CHILE (SIDARTE) POR SEXO, SEGÚN REGIÓN. 2011-2014"/>
    <hyperlink ref="B83" location="'13.2'!A1" display="NÚMERO DE ASOCIADOS  AL SINDICATO DE ACTORES DE CHILE (SIDARTE) EGRESADOS DE LAS CARRERAS DE TEATRO POR SEXO, SEGÚN REGIÓN. 2012-2014"/>
    <hyperlink ref="B84" location="'13.3'!A1" display="NÚMERO DE ASOCIADOS  AL SINDICATO DE ACTORES DE CHILE (SIDARTE) TITULADOS DE LAS CARRERAS DE TEATRO POR SEXO, SEGÚN REGIÓN. 2012-2014"/>
    <hyperlink ref="B85" location="'13.4'!A1" display="NÚMERO DE ACTORES ASOCIADOS A LA CORPORACIÓN DE ACTORES DE CHILE (CHILEACTORES) AL 31 DE DICIEMBRE DE CADA AÑO. 2009-2014"/>
    <hyperlink ref="B86" location="'13.5'!A1" display="NÚMERO DE SOCIOS DE LA ASOCIACIÓN DE AUTORES NACIONALES DE TEATRO, CINE Y AUDIOVISUALES (ATN), POR SEXO. 2009-2014"/>
    <hyperlink ref="B87" location="'13.6'!A1" display="NÚMERO DE ASOCIADOS  AL SINDICATO DE ACTORES DE CHILE (SIDARTE) ADSCRITOS A INSTITUCIONES DE SALUD PREVISIONAL (ISAPRES) POR SEXO, SEGÚN REGIÓN. 2012-2014"/>
    <hyperlink ref="B88" location="'13.7'!A1" display="NÚMERO DE ASOCIADOS  AL SINDICATO DE ACTORES DE CHILE (SIDARTE) ADSCRITOS A LAS ADMINISTRADORAS DE FONDOS DE PENSIONES (AFP) POR SEXO, SEGÚN REGIÓN. 2012-2014"/>
    <hyperlink ref="B89" location="'13.8'!A1" display="NÚMERO DE ASOCIADOS AL SINDICATO DE ACTORES DE CHILE (SIDARTE) ADSCRITOS A ISAPRES Y AFP POR SEXO, SEGÚN REGIÓN. 2012-2014"/>
    <hyperlink ref="B90" location="'13.9'!A1" display="NÚMERO DE AUTORES QUE GENERARON DERECHOS DE AUTOR POR LA SOCIEDAD DE AUTORES NACIONALES DE TEATRO, CINE Y AUDIOVISUALES (ATN), SEGÚN NACIONALIDAD DEL AUTOR. 2009-2014"/>
    <hyperlink ref="B91" location="'13.10'!A1" display="NÚMERO DE AUTORIZACIONES CONCEDIDAS EN CHILE Y EN EL EXTRANJERO POR LA SOCIEDAD DE AUTORES NACIONALES DE TEATRO, CINE Y AUDIOVISUALES (ATN), SEGÚN TIPO DE OBRA. 2009-2014"/>
    <hyperlink ref="B92" location="'13.11'!A1" display="MONTO DE DERECHOS RECAUDADOS POR LA SOCIEDAD DE AUTORES NACIONALES DE TEATRO, CINE Y AUDIOVISUALES (ATN), SEGÚN ORIGEN DE LAS OBRA. 2009-2014"/>
    <hyperlink ref="B93" location="'13.12'!A1" display="MONTO DE DERECHOS DISTRIBUIDOS POR LA SOCIEDAD DE AUTORES NACIONALES DE TEATRO, CINE Y AUDIOVISUALES (ATN), SEGÚN NACIONALIDAD DEL AUTOR. 2009-2014"/>
    <hyperlink ref="B94" location="'13.13'!A1" display="NÚMERO DE FUNCIONES DE ESPECTÁCULOS DE ARTES ESCÉNICAS POR TIPO DE ESPECTÁCULO. 2009-2014"/>
    <hyperlink ref="B95" location="'13.14'!A1" display="NÚMERO DE FUNCIONES DE ESPECTÁCULOS DE ARTES ESCÉNICAS POR TIPO DE ESPECTÁCULO, SEGÚN REGIÓN. 2014"/>
    <hyperlink ref="B96" location="'13.15'!A1" display="NÚMERO DE ASISTENTES A ESPECTÁCULOS DE ARTES ESCÉNICAS, PAGANDO ENTRADA POR TIPO DE ESPECTÁCULO, SEGÚN REGIÓN. 2014"/>
    <hyperlink ref="B97" location="'13.16'!A1" display="NÚMERO DE ASISTENTES A ESPECTÁCULOS DE ARTES ESCÉNICAS CON ENTRADA GRATUITA, POR TIPO DE ESPECTÁCULO, SEGÚN REGIÓN. 2014"/>
    <hyperlink ref="B98" location="'13.17'!A1" display="NÚMERO DE ASISTENTES A ESPECTÁCULOS DE ARTES ESCÉNICAS, PAGANDO ENTRADA, POR TIPO DE ESPECTÁCULO. 2009-2014"/>
    <hyperlink ref="B99" location="'13.18'!A1" display="NÚMERO DE ASISTENTES A ESPECTÁCULOS DE ARTES ESCÉNICAS CON ENTRADA GRATUITA, POR TIPO DE ESPECTÁCULO. 2009-2014"/>
    <hyperlink ref="B100" location="'13.19'!A1" display="NÚMERO DE ASISTENTES A ESPECTÁCULOS DE ARTES ESCÉNICAS CON ENTRADA GRATUITA Y PAGADA POR MES, SEGÚN REGIÓN. 2014"/>
    <hyperlink ref="B101" location="'14.1'!A1" display="NÚMERO Y PORCENTAJE DE ASOCIADOS (PERSONAS NATURALES) A LA SOCIEDAD CHILENA DEL DERECHO DE AUTOR (SCD), SEGÚN REGIÓN. 2014"/>
    <hyperlink ref="B102" location="'14.2'!A1" display="NÚMERO Y PORCENTAJE DE AUTORES ASOCIADOS A LA SOCIEDAD CHILENA DEL DERECHO DE AUTOR (SCD), POR SEXO, SEGÚN REGIÓN. 2014"/>
    <hyperlink ref="B103" location="'14.3'!A1" display="NÚMERO Y PORCENTAJE DE ASOCIADOS A LA SOCIEDAD CHILENA DEL DERECHO DE AUTOR (SCD), SEGÚN TIPO DE ARTISTA. 2014"/>
    <hyperlink ref="B104" location="'14.4'!A1" display="NÚMERO DE OBRAS NACIONALES INSCRITAS EN LA SOCIEDAD CHILENA DEL DERECHO DE AUTOR (SCD). 2009-2014"/>
    <hyperlink ref="B105" location="'14.5'!A1" display="NÚMERO DE AUTORES ASOCIADOS A LA SOCIEDAD CHILENA DEL DERECHO DE AUTOR (SCD) Y NÚMERO DE AUTORES GENERADORES DE DERECHOS POR SEXO. 2014"/>
    <hyperlink ref="B106" location="'14.6'!A1" display="NÚMERO DE SOCIOS QUE CUENTAN CON BENEFICIOS SOCIALES DE LA SOCIEDAD CHILENA DEL DERECHO DE AUTOR (SCD) POR AÑO Y TIPO DE BENEFICIO. 2014"/>
    <hyperlink ref="B107" location="'14.7'!A1" display="NÚMERO DE ASOCIADOS EN LA ASOCIACIÓN GREMIAL DE PRODUCTORES FONOGRÁFICOS DE CHILE (IFPI) POR AÑO. 2011-2014"/>
    <hyperlink ref="B108" location="'14.8'!A1" display="NÚMERO DE TRABAJADORES EN SELLOS DISCOGRÁFICOS. 2011-2014"/>
    <hyperlink ref="B109" location="'14.9'!A1" display="NÚMERO Y PORCENTAJE DE DISCOS NACIONALES POR AÑO, SEGÚN TIPO DE PRODUCCIÓN, GÉNERO, APOYO DEL FONDO DE LA MÚSICA, MES DE PRODUCCIÓN, FORMATO, TIPO DE DISCO, REPERTORIO Y TRAYECTORIA. 2012-2014"/>
    <hyperlink ref="B110" location="'14.10'!A1" display="NÚMERO DE PROYECTOS Y MONTOS ADJUDICADOS POR FONDO DE LA MÚSICA, SEGÚN REGIÓN DE DOMICILIO DEL PARTICIPANTE. 2014"/>
    <hyperlink ref="B111" location="'14.11'!A1" display="NÚMERO DE SELLOS DE GRABACIÓN. 2013-2014"/>
    <hyperlink ref="B112" location="'14.12'!A1" display="MONTOS DE RECAUDACIÓN DE DERECHOS DE EJECUCIÓN AUTOR POR LA SOCIEDAD CHILENA DEL DERECHO DE AUTOR (SCD), SEGÚN MEDIO DE EMISIÓN. 2009-2014"/>
    <hyperlink ref="B113" location="'14.13'!A1" display="MONTOS DE DISTRIBUCIÓN DE DERECHOS DE EJECUCIÓN AUTOR POR LA SOCIEDAD CHILENA DEL DERECHO DE AUTOR (SCD). 2009-2014"/>
    <hyperlink ref="B114" location="'14.14'!A1" display="MONTOS DE RECAUDACIÓN Y DISTRIBUCIÓN DE DERECHOS FONOMECÁNICOS POR LA SOCIEDAD CHILENA DEL DERECHO DE AUTOR (SCD). 2009-2014"/>
    <hyperlink ref="B115" location="'14.15'!A1" display="MONTOS DE RECAUDACIÓN DE DERECHOS DE EJECUCIÓN CONEXOS POR LA SOCIEDAD CHILENA DEL DERECHO DE AUTOR (SCD), SEGÚN MEDIO DE EMISIÓN. 2009-2014"/>
    <hyperlink ref="B116" location="'14.16'!A1" display="MONTOS DE DISTRIBUCIÓN DE DERECHOS DE EJECUCIÓN CONEXOS, POR LA SOCIEDAD CHILENA DEL DERECHO DE AUTOR (SCD). 2009-2014"/>
    <hyperlink ref="B117" location="'14.17'!A1" display="DERECHOS CONEXOS DE EJECUCIÓN DE LA SOCIEDAD DE PRODUCTORES FONOGRÁFICOS DE CHILE A.G. (PROFOVI)"/>
    <hyperlink ref="B118" location="'14.18'!A1" display="DERECHOS DE REPRODUCCIÓN DE LA SOCIEDAD DE PRODUCTORES FONOGRÁFICOS DE CHILE A.G. (PROFOVI)"/>
    <hyperlink ref="B119" location="'14.19'!A1" display="VENTAS DE MATERIAL DISCOGRÁFICO Y UNIDADES VENDIDAS, SEGÚN FORMATO. 2009-2014"/>
    <hyperlink ref="B120" location="'14.20'!A1" display="VENTAS DE MATERIAL DISCOGRÁFICO Y UNIDADES VENDIDAS, SEGÚN REPERTORIO. 2009-2014"/>
    <hyperlink ref="B121" location="'14.21'!A1" display="NÚMERO DE USUARIOS SEGÚN TIPO DE ESTABLECIMIENTO. 2014/1"/>
    <hyperlink ref="B122" location="'14.22'!A1" display="NÚMERO DE FUNCIONES DE ESPECTÁCULOS MUSICALES, POR TIPO DE ESPECTÁCULO. 2009-2014"/>
    <hyperlink ref="B123" location="'14.23'!A1" display="NÚMERO DE FUNCIONES DE ESPECTÁCULOS MUSICALES, POR TIPO DE ESPECTÁCULO, SEGÚN REGIÓN. 2014"/>
    <hyperlink ref="B124" location="'14.24'!A1" display="NÚMERO DE ESPECTÁCULOS EMPADRONADOS POR LA SOCIEDAD CHILENA DEL DERECHO DE AUTOR (SCD), SEGÚN MODALIDAD DE ACCESO. 2014/1"/>
    <hyperlink ref="B125" location="'14.25'!A1" display="NÚMERO DE ASISTENTES A ESPECTÁCULOS MUSICALES, PAGANDO ENTRADA POR TIPO DE ESPECTÁCULO, SEGÚN REGIÓN. 2014"/>
    <hyperlink ref="B126" location="'14.26'!A1" display="NÚMERO DE ASISTENTES A ESPECTÁCULOS MUSICALES CON ENTRADA GRATUITA POR TIPO DE ESPECTÁCULO, SEGÚN REGIÓN. 2014"/>
    <hyperlink ref="B127" location="'14.27'!A1" display="NÚMERO DE ASISTENTES A ESPECTÁCULOS MUSICALES, PAGANDO ENTRADA POR TIPO DE ESPECTÁCULO. 2009-2014"/>
    <hyperlink ref="B128" location="'14.28'!A1" display="NÚMERO DE ASISTENTES A ESPECTÁCULOS MUSICALES CON ENTRADA GRATUITA, POR TIPO DE ESPECTÁCULO. 2009-2014"/>
    <hyperlink ref="B129" location="'14.29'!A1" display="NÚMERO DE ASISTENTES A ESPECTÁCULOS MUSICALES, CON ENTRADA GRATUITA Y PAGADA POR MES, SEGÚN REGIÓN. 2014"/>
    <hyperlink ref="B130" location="'14.30'!A1" display="LISTADO DE CANCIONES NACIONALES MÁS ESCUCHADAS, SEGÚN REGISTROS DE LA SOCIEDAD CHILENA DEL DERECHO DE AUTOR (SCD). 2014"/>
    <hyperlink ref="B131" location="'14.31'!A1" display="CANTIDAD DE DISCOS MUSICALES DESCARGADOS DESDE EL SITIO WEB PORTALDISC, SEGÚN LUGAR DE DESCARGA. 2009-2014"/>
    <hyperlink ref="B132" location="'14.32'!A1" display="CANTIDAD DE DISCOS MUSICALES DESCARGADOS DESDE EL SITIO WEB PORTALDISC, SEGÚN REGIÓN. 2009-2014/1"/>
    <hyperlink ref="B133" location="'14.33'!A1" display="NÚMERO DE DISCOS MUSICALES REGISTRADOS EN EL SITIO WEB PORTALDISC POR MODALIDAD DE DESCARGA, SEGÚN GENERO. 2014 /1"/>
    <hyperlink ref="B134" location="'14.34'!A1" display="LISTADO DE LOS DIEZ ARTISTAS MUSICALES MÁS DESCARGADOS DESDE EL SITIO WEB PORTALDISC. 2014/1"/>
    <hyperlink ref="B135" location="'14.35'!A1" display="CANTIDAD DE DISCOS MUSICALES MÁS DESCARGADOS DESDE EL SITIO WEB PORTALDISC. 2014/1"/>
    <hyperlink ref="B136" location="'15.1'!A1" display="EVOLUCIÓN DE LA COBERTURA DE LAS BIBLIOTECAS CRA/1 POR ENSEÑANZA MEDIA (REGULAR). 1994-2014 /2"/>
    <hyperlink ref="B137" location="'15.2'!A1" display="EVOLUCIÓN DE LA COBERTURA DE LAS BIBLIOTECAS CRA/1 POR ENSEÑANZA BÁSICA (REGULAR). 2002-2014"/>
    <hyperlink ref="B138" location="'15.3'!A1" display="CANTIDAD DE ESTABLECIMIENTOS EDUCACIONALES CON BIBLIOTECAS CRA/1 POR NIVEL EDUCACIONAL, SEGÚN REGIONES. 2014/2 "/>
    <hyperlink ref="B139" location="'15.4'!A1" display="NÚMERO DE ESTABLECIMIENTOS EDUCACIONALES Y ALUMNOS BENEFICIADOS CON BIBLIOTECAS CRA/1 POR ENSEÑANZA BÁSICA, SEGÚN REGIÓN. 2014"/>
    <hyperlink ref="B140" location="'15.5'!A1" display="NÚMERO DE ESTABLECIMIENTOS EDUCACIONALES Y DE ALUMNOS DE EDUCACIÓN MEDIA BENEFICIADOS POR BIBLIOTECAS CRA/1, POR MODALIDAD DEL ESTABLECIMIENTO, SEGÚN REGIÓN. 2014"/>
    <hyperlink ref="B141" location="'15.6'!A1" display="INVERSIÓN ANUAL MINEDUC EN COLECCIONES DE BÁSICA Y MEDIA. 2010-2014. (MM $ 2014)"/>
    <hyperlink ref="B142" location="'15.7'!A1" display="NÚMERO DE TÍTULOS DE LIBROS REGISTRADOS EN EL INTERNATIONAL STANDARD BOOK NUMBER (ISBN), SEGÚN REGIÓN. 2009-2014"/>
    <hyperlink ref="B143" location="'15.8'!A1" display="NÚMERO DE PROYECTOS Y MONTOS ADJUDICADOS POR FONDO DEL LIBRO, SEGÚN LÍNEA Y REGIÓN DE DOMICILIO DEL PARTICIPANTE. 2014 /1/2"/>
    <hyperlink ref="B145" location="'15.10'!A1" display="NÚMERO DE SOCIOS INCORPORADOS A LA SOCIEDAD DE DERECHOS LITERARIOS (SADEL), SEGÚN STATUS DE AFILIACIÓN. 2009-2014"/>
    <hyperlink ref="B146" location="'15.11'!A1" display="NÚMERO DE TÍTULOS DE LIBROS REGISTRADOS EN EL INTERNATIONAL STANDARD BOOK NUMBER (ISBN), SEGÚN NÚMERO DE EDICIÓN. 2009-2014"/>
    <hyperlink ref="B147" location="'15.12'!A1" display="NÚMERO DE TÍTULOS DE LIBROS REGISTRADOS EN EL INTERNATIONAL STANDARD BOOK NUMBER (ISBN), SEGÚN MATERIA. 2009-2014"/>
    <hyperlink ref="B148" location="'15.13'!A1" display="NÚMERO DE TÍTULOS DE LIBROS DE LITERATURA CHILENA REGISTRADOS EN EL INTERNATIONAL STANDARD BOOK NUMBER (ISBN), SEGÚN GÉNERO. 2009-2014"/>
    <hyperlink ref="B149" location="'15.14'!A1" display="NÚMERO DE TÍTULOS DE LIBROS REGISTRADOS EN EL INTERNATIONAL STANDARD BOOK NUMBER (ISBN), SEGÚN SOPORTES DISTINTOS A PAPEL. 2009-2014"/>
    <hyperlink ref="B150" location="'15.15'!A1" display="NÚMERO DE TÍTULOS AUTOEDITADOS REGISTRADOS EN EL INTERNATIONAL STANDARD BOOK NUMBER (ISBN). 1993-2014/1"/>
    <hyperlink ref="B151" location="'15.16'!A1" display="NÚMERO DE TÍTULOS REGISTRADOS EN EL INTERNATIONAL STANDARD BOOK NUMBER (ISBN), SEGÚN RANGOS DE PRODUCCIÓN. 2009-2014"/>
    <hyperlink ref="B152" location="'15.17'!A1" display="NÚMERO Y PORCENTAJE DE TRADUCCIONES REGISTRADAS EN EL INTERNATIONAL STANDARD BOOK NUMBER (ISBN), SEGÚN IDIOMA DE ORÍGEN E IDIOMA TRADUCIDO. 2009-2014"/>
    <hyperlink ref="B153" location="'15.18'!A1" display="EDITORES QUE SOLICITAN REGISTRO DE SU OBRA POR PRIMERA VEZ EN EL INTERNATIONAL STANDARD BOOK NUMBER (ISBN), SEGÚN REGIÓN. 2009-2014"/>
    <hyperlink ref="B154" location="'15.19'!A1" display="NÚMERO Y PORCENTAJE DE TÍTULOS REGISTRADOS EN EL INTERNATIONAL STANDARD BOOK NUMBER (ISBN), SEGÚN MES DE PRODUCCIÓN. 2009-2014"/>
    <hyperlink ref="B155" location="'15.20'!A1" display="NÚMERO DE TITULOS REGISTRADOS EN EL INTERNATIONAL STANDARD BOOK NUMBER (ISBN) POR UNIVERSIDADES CHILENAS. 2009-2014 /1"/>
    <hyperlink ref="B156" location="'15-21'!A1" display="RECAUDACIÓN DE LA SOCIEDAD DE DERECHOS LITERARIOS (SADEL) POR CONCEPTO DE LICENCIAS REPROGRÁFICAS. 2010-2014"/>
    <hyperlink ref="B157" location="'15-22'!A1" display="RED DE BIBLIOTECAS PÚBLICAS, NÚMERO DE BIBLIOTECAS DEPENDIENTES O EN CONVENIOS CON LA DIRECCIÓN DE BIBLIOTECAS, ARCHIVOS Y MUSEOS (DIBAM), SEGÚN REGIÓN. 2014"/>
    <hyperlink ref="B158" location="'15-23'!A1" display="NÚMERO DE SERVICIOS MÓVILES DE LA DIRECCIÓN DE BIBLIOTECAS, ARCHIVOS Y MUSEOS (DIBAM), SEGÚN REGIÓN. 2009-2014"/>
    <hyperlink ref="B159" location="'15-24'!A1" display="NÚMERO DE BIBLIOTECAS PÚBLICAS DE LA DIRECCIÓN DE BIBLIOTECAS, ARCHIVOS Y MUSEOS (DIBAM) CON ACCESO GRATUITO A INTERNET. 2009-2014"/>
    <hyperlink ref="B160" location="'15-25'!A1" display="NÚMERO DE EJEMPLARES INGRESADOS EN BIBLIOTECAS PÚBLICAS DE LA DIRECCIÓN DE BIBLIOTECAS, ARCHIVOS Y MUSEOS (DIBAM), SEGÚN TIPO DE COLECCIÓN. 2010-2014"/>
    <hyperlink ref="B161" location="'15-26'!A1" display="NÚMERO DE EJEMPLARES EN BIBLIOTECAS PÚBLICAS DE LA DIRECCIÓN DE BIBLIOTECAS, ARCHIVOS Y MUSEOS (DIBAM), SEGÚN MATERIA. 2010-2014"/>
    <hyperlink ref="B162" location="'15-27'!A1" display="NÚMERO DE EJEMPLARES EN BIBLIOTECAS PÚBLICAS DE LA DIRECCIÓN DE BIBLIOTECAS, ARCHIVOS Y MUSEOS (DIBAM), SEGÚN COLECCIÓN. 2010-2014"/>
    <hyperlink ref="B163" location="'15-28'!A1" display="NÚMERO DE OBJETOS DIGITALES EN PLATAFORMA DESCUBRE. 2014/1"/>
    <hyperlink ref="B164" location="'15-29'!A1" display="NÚMERO DE USUARIOS REGISTRADOS EN BIBLIOTECAS PÚBLICAS Y BIBLIOREDES. 2009-2014"/>
    <hyperlink ref="B165" location="'15-30'!A1" display="NÚMERO DE SESIONES DE ACCESO GRATUITO A INTERNET EN LAS BIBLIOTECAS PÚBLICAS DE LA DIRECCIÓN DE BIBLIOTECAS, ARCHIVOS Y MUSEOS (DIBAM). 2009-2014 /1"/>
    <hyperlink ref="B166" location="'15.31'!A1" display="NÚMERO DE VISITAS A PORTALES DE BIBLIOREDES. 2009-2014/1"/>
    <hyperlink ref="B167" location="'15.32'!A1" display="NÚMERO DE CONSULTAS POR INTERNET A SITIOS WEB DE LA DIRECCIÓN DE BIBLIOTECAS, ARCHIVOS Y MUSEOS (DIBAM). 2009-2014/1"/>
    <hyperlink ref="B168" location="'15.33'!A1" display="NÚMERO DE VISITANTES ESTIMADOS Y ARCHIVOS DESCARGADOS DESDE SITIOS WEB DE LA DIRECCIÓN DE BIBLIOTECAS, ARCHIVOS Y MUSEOS (DIBAM), SEGÚN SITIO WEB. 2009-2014"/>
    <hyperlink ref="B169" location="'15.34'!A1" display=" NÚMERO DE USUARIOS DE BIBLIOTECAS PÚBLICAS DE LA DIRECCIÓN DE BIBLIOTECAS, ARCHIVOS Y MUSEOS (DIBAM) QUE CIRCULAN AUTOMATIZADAS POR GRUPOS DE EDAD, SEGÚN REGIÓN. 2014"/>
    <hyperlink ref="B170" location="'15.35'!A1" display="NÚMERO DE USUARIOS DE BIBLIOTECA NACIONAL, BIBLIOTECA DE SANTIAGO, BIBLIOMETRO. 2009-2014"/>
    <hyperlink ref="B171" location="'15.36'!A1" display="PRÉSTAMOS DE MATERIAL BIBLIOGRÁFICO DE BIBLIOTECAS PÚBLICAS DE LA DIRECCIÓN DE BIBLIOTECAS, ARCHIVOS Y MUSEOS (DIBAM)A DOMICILIO, SEGÚN REGIÓN. 2009-2014/1"/>
    <hyperlink ref="B172" location="'15.37'!A1" display="PRÉSTAMOS DE MATERIAL BIBLIOGRÁFICO DE BIBLIOTECAS PÚBLICAS DE LA DIRECCIÓN DE BIBLIOTECAS, ARCHIVOS Y MUSEOS (DIBAM) A DOMICILIO, SEGÚN MES. 2009-2014/1"/>
    <hyperlink ref="B173" location="'15.38'!A1" display="PRÉSTAMOS DE MATERIAL BIBLIOGRÁFICO EN FORMATO DIGITAL. 2014/1"/>
    <hyperlink ref="B174" location="'15.39'!A1" display="NÚMERO DE FUNCIONES Y ASISTENTES A RECITALES DE POESÍA. 2009-2014"/>
    <hyperlink ref="B175" location="'15.40'!A1" display="NÚMERO DE FUNCIONES Y ASISTENCIA A RECITALES DE POESÍA, SEGÚN REGIÓN. 2014"/>
    <hyperlink ref="B176" location="'15.41'!A1" display="NÚMERO DE ESPECTADORES A RECITALES DE POESÍA, CON ENTRADA GRATUITA Y PAGADA POR MES, SEGÚN REGIÓN. 2014"/>
    <hyperlink ref="B177" location="'15.42'!A1" display="NÚMERO DE SOCIOS DE LA ASOCIACIÓN NACIONAL DE LA PRENSA (ANP), POR SOPORTE DE PUBLICACIÓN (DIARIO, PERIÓDICO, REVISTAS Y OTROS), SEGÚN REGIÓN DE CASA MATRIZ. 2014"/>
    <hyperlink ref="B179" location="'15.44'!A1" display="OLIMPIADAS DE ACTUALIDAD POR NÚMERO DE COLEGIOS Y DE REGIONES PARTICIPANTES. 2010-2014"/>
    <hyperlink ref="B180" location="'16.1'!A1" display="NÚMERO DE PROYECTOS Y MONTOS ADJUDICADOS POR FONDO AUDIOVISUAL, SEGÚN REGIÓN DE DOMICILIO DEL PARTICIPANTE. 2014"/>
    <hyperlink ref="B181" location="'16.2'!A1" display="NÚMERO DE EMISORAS DE FRECUENCIA MODULADA (FM), AMPLITUD MODULADA (AM) Y MÍNIMA COBERTURA (MC) REGISTRADAS EN LA SUBSECRETARÍA DE TELECOMUNICACIONES (SUBTEL). 2011-2014"/>
    <hyperlink ref="B182" location="'16.3'!A1" display="SOPORTE PARA DIFUSIÓN Y COMERCIALIZACIÓN SEGÚN REGISTROS DE LA SOCIEDAD CHILENA DEL DERECHO DE AUTOR (SCD). 2014"/>
    <hyperlink ref="B183" location="'16.4'!A1" display="NÚMERO DE SEÑALES DE RADIODIFUSIÓN POR BANDA DE TRANSMISIÓN, SEGÚN REGIÓN. 2014"/>
    <hyperlink ref="B184" location="'16.5'!A1" display="NÚMERO DE SEÑALES DE RADIODIFUSIÓN, SEGÚN TRANSMISIÓN VIA INTERNET. 2014"/>
    <hyperlink ref="B185" location="'16.6'!A1" display="NÚMERO DE SEÑALES DE RADIODIFUSIÓN POR POTENCIA DE SUS TRANSMISIONES, SEGÚN BANDA DE TRANSMISIÓN Y REGIÓN. 2014"/>
    <hyperlink ref="B186" location="'16.7'!A1" display="NÚMERO DE SEÑALES DE RADIODIFUSIÓN QUE EFECTUARON TRANSMISIONES POR INTERVALOS DE HORAS DE TRANSMISIÓN, SEGÚN DÍAS DE LA SEMANA Y REGIÓN. 2014"/>
    <hyperlink ref="B187" location="'16.8'!A1" display="NÚMERO DE SEÑALES DE RADIODIFUSIÓN, POR INTERVALOS DE HORAS DE TRANSMISIÓN DIARIA, SEGÚN BANDA DE TRANSMISIÓN Y DÍAS DE LA SEMANA. 2014"/>
    <hyperlink ref="B188" location="'16.9'!A1" display="PORCENTAJE DE SEÑALES DE RADIODIFUSIÓN POR INTERVALOS DE HORAS DE TRANSMISIÓN DIARIA, SEGÚN BANDA DE TRANSMISIÓN Y DÍAS DE LA SEMANA. 2014"/>
    <hyperlink ref="B189" location="'16.10'!A1" display="NÚMERO DE RADIOEMISORAS POR BANDA DE TRANSMISIÓN, SEGÚN TIPO DE PROGRAMA AL QUE LE ASIGNAN PRIMERA PRIORIDAD. 2014"/>
    <hyperlink ref="B190" location="'16.11'!A1" display="NÚMERO DE RADIOEMISORAS POR BANDA DE TRANSMISIÓN, SEGÚN GRUPO DE EDAD DEL PÚBLICO AL QUE LE ASIGNAN PRIMERA PRIORIDAD. 2014/1"/>
    <hyperlink ref="B191" location="'16.12'!A1" display="HORAS ANUALES Y PORCENTAJES DE TRANSMISIÓN DE LAS RADIOEMISORAS, SEGÚN TIPO DE PROGRAMA. 2014"/>
    <hyperlink ref="B192" location="'16.13'!A1" display="PERSONAL DE LAS RADIOEMISORAS POR TIPO DE JORNADA, SEGÚN SEXO Y TIPO DE PERSONAL. 2014"/>
    <hyperlink ref="B193" location="'16.14'!A1" display="INGRESOS DE LAS RADIOEMISORAS, SEGÚN FUENTE. 2014"/>
    <hyperlink ref="B194" location="'16.15'!A1" display="GASTOS DE LAS RADIOEMISORAS, SEGÚN ORIGEN. 2014"/>
    <hyperlink ref="B195" location="'16.16'!A1" display="INGRESOS Y GASTOS DE LAS RADIOEMISORAS, SEGÚN TAMAÑO DE LA EMPRESA. 2014"/>
    <hyperlink ref="B196" location="'16.17'!A1" display="NÚMERO DE CANALES DE TELEVISIÓN ABIERTA, SEGÚN COBERTURA. 2014/1"/>
    <hyperlink ref="B197" location="'16.18'!A1" display="NÚMERO DE PERMISIONARIOS DE SERVICIOS LIMITADOS DE TELEVISIÓN. 2009-2014"/>
    <hyperlink ref="B198" location="'16.19'!A1" display="HORAS DE EMISIÓN DE PROGRAMACIÓN DE TELEVISIÓN ABIERTA, SEGÚN PÚBLICO OBJETIVO. 2014"/>
    <hyperlink ref="B199" location="'16.20'!A1" display="HORAS DE EMISIÓN Y CONSUMO DE PROGRAMACIÓN DE TELEVISIÓN ABIERTA, SEGÚN GÉNERO TELEVISIVO. 2014"/>
    <hyperlink ref="B200" location="'16.21'!A1" display="HORAS DE EMISIÓN Y CONSUMO DE PROGRAMACIÓN DE TELEVISIÓN ABIERTA, SEGÚN PROCEDENCIA. 2014"/>
    <hyperlink ref="B201" location="'16.22'!A1" display="HORAS DE EMISIÓN DE PROGRAMACIÓN NACIONAL DE TELEVISIÓN ABIERTA, SEGÚN GÉNERO TELEVISIVO. 2014"/>
    <hyperlink ref="B202" location="'16.23'!A1" display="HORAS DE EMISIÓN DE PROGRAMACIÓN EXTRANJERA DE TELEVISIÓN ABIERTA, SEGÚN GÉNERO TELEVISIVO. 2014"/>
    <hyperlink ref="B203" location="'16.24'!A1" display="HORAS DE EMISIÓN Y CONSUMO DE PROGRAMACIÓN INFANTIL PARA NIÑOS MENORES DE 12 AÑOS, SEGÚN CATEGORÍA. 2014"/>
    <hyperlink ref="B204" location="'16.25'!A1" display="HORAS DE EMISIÓN DE PROGRAMACIÓN CULTURAL/1 EN TELEVISIÓN ABIERTA, SEGÚN GÉNERO TELEVISIVO. 2010-2014"/>
    <hyperlink ref="B205" location="'16.26'!A1" display="NÚMERO DE EXPLOTACIONES DE PRODUCCIONES NACIONALES Y EXTRANJERAS DE LA CORPORACIÓN DE ACTORES DE CHILE (CHILEACTORES), SEGÚN TIPO DE PRODUCCIÓN. 2009-2014/1"/>
    <hyperlink ref="B206" location="'16.27'!A1" display="NÚMERO DE EXPLOTACIONES DE PRODUCCIONES NACIONALES Y EXTRANJERAS DE LA CORPORACIÓN DE ACTORES DE CHILE (CHILEACTORES), SEGÚN TIPO DE SERIE. 2009-2014"/>
    <hyperlink ref="B207" location="'16.28'!A1" display="NÚMERO DE EXPLOTACIONES DE PRODUCCIONES NACIONALES Y EXTRANJERAS DE LA CORPORACIÓN DE ACTORES DE CHILE (CHILEACTORES), SEGÚN TIPO DE PRODUCCIÓN. 2009-2014"/>
    <hyperlink ref="B208" location="'16.29'!A1" display="RECAUDACIÓN Y DISTRIBUCIÓN DE DERECHOS DE COMUNICACIÓN PÚBLICA DE PRODUCCIONES NACIONALES Y EXTRANJERAS, SEGÚN MEDIO DE EMISIÓN./1 2009-2014"/>
    <hyperlink ref="B209" location="'16.30'!A1" display="NÚMERO DE ACTORES FAVORECIDOS POR LA DISTRIBUCIÓN DE DERECHOS DE COMUNICACIÓN PÚBLICA DE LA CORPORACIÓN DE ACTORES DE CHILE (CHILEACTORES) POR TIPO DE REPARTO Y SEXO, SEGÚN AFILIACIÓN. 2013-2014"/>
    <hyperlink ref="B210" location="'16.31'!A1" display="CONSUMO PROMEDIO ANUAL DE TELEVISIÓN ABIERTA POR HORAS, SEGÚN RANGO ETARIO. 2014"/>
    <hyperlink ref="B211" location="'16.32'!A1" display="CONSUMO PROMEDIO ANUAL DE TELEVISIÓN ABIERTA PARA NIÑOS DE 4 A 12 AÑOS DE EDAD, SEGÚN GÉNERO TELEVISIVO. 2014"/>
    <hyperlink ref="B212" location="'16.33'!A1" display="HORAS DE EMISIÓN DE PROGRAMACIÓN INFANTIL DE TELEVISIÓN ABIERTA, SEGÚN PROCEDENCIA. 2014"/>
    <hyperlink ref="B213" location="'16.34'!A1" display="HORAS DE EMISIÓN ANUAL (TIEMPO Y PORCENTAJE DE OFERTA Y CONSUMO) FINANCIADAS POR EL FONDO DEL CONSEJO NACIONAL DE TELEVISIÓN (CNTV), SEGÚN TIPO DE PROGRAMACIÓN. 2014"/>
    <hyperlink ref="B214" location="'16.35'!A1" display="NÚMERO DE PELÍCULAS ESTRENADAS, SEGÚN ORIGEN DE LA PELÍCULA. 2014"/>
    <hyperlink ref="B215" location="'16.36'!A1" display="NÚMERO DE PELÍCULAS EXHIBIDAS POR ORIGEN, SEGÚN REGIÓN. 2014"/>
    <hyperlink ref="B216" location="'16.37'!A1" display="NÚMERO DE EMPRESAS DISTRIBUIDORAS DE CINE NACIONALES Y EXTRANJERAS, SEGÚN REGIÓN. 2014"/>
    <hyperlink ref="B217" location="'16.38'!A1" display=" NÚMERO DE TRABAJADORES AL AÑO EN DISTRIBUIDORAS DE CINE POR SEXO, SEGÚN REGIÓN. 2014"/>
    <hyperlink ref="B218" location="'16.39'!A1" display="MONTOS RECAUDADOS DE PELÍCULAS ESTRENADAS Y EXHIBIDAS, SEGÚN ORIGEN DE LA PELÍCULA (PESOS NOMINALES). 2009-2014"/>
    <hyperlink ref="B219" location="'16.40'!A1" display="NÚMERO DE FUNCIONES DE CINE POR TIPO DE ASISTENCIA, SEGÚN REGIÓN. 2014"/>
    <hyperlink ref="B220" location="'16.41'!A1" display="NÚMERO DE SALAS DE EXHIBICIÓN Y CAPACIDAD, SEGÚN REGIÓN. 2014/1"/>
    <hyperlink ref="B221" location="'16.42'!A1" display="NÚMERO DE ESPECTADORES, POR ORIGEN DE LA PELÍCULA. 2009-2014/1"/>
    <hyperlink ref="B222" location="'16.43'!A1" display="NÚMERO DE ESPECTADORES POR ORIGEN DE LA PELÍCULA, SEGÚN REGIÓN. 2014/1"/>
    <hyperlink ref="B223" location="'16.44'!A1" display="NÚMERO DE ESPECTADORES POR CALIFICACIÓN CINEMATOGRÁFICA DE LA PELÍCULA, SEGÚN REGIÓN. 2014/1"/>
    <hyperlink ref="B224" location="'16.45'!A1" display="NÚMERO DE ESPECTADORES ANUALES POR MES, SEGÚN REGIÓN. 2014/1"/>
    <hyperlink ref="B225" location="'16.46'!A1" display="NÚMERO DE ESPECTADORES DE CINE POR GÉNERO DE LA PELÍCULA, SEGÚN REGIÓN. 2014"/>
    <hyperlink ref="B226" location="'16.47'!A1" display="NÚMERO DE ESPECTADORES A LAS VEINTE PELÍCULAS CON MAYOR VENTA DE ENTRADAS POR FECHA DE ESTRENO, GÉNERO, CALIFICACIÓN, NÚMERO DE COPIAS VENDIDAS Y SEMANAS EN CARTELERA, SEGÚN TÍTULO DE LA PELÍCULA. 2014"/>
    <hyperlink ref="B227" location="'16.48'!A1" display="NÚMERO DE ESPECTADORES A LAS TRES PELÍCULAS NACIONALES CON MAYOR VENTA DE ENTRADAS POR FECHA DE ESTRENO, GENERO, CALIFICACIÓN, NÚMERO DE COPIAS VENDIDAS Y SEMANAS EN CARTELERA, SEGÚN TÍTULO DE LA PELÍCULA. 2014"/>
    <hyperlink ref="B228" location="'17.1'!A1" display="MATRÍCULA DE JÓVENES CON ESPECIALIDAD CREATIVA EN ENSEÑANZA MEDIA TÉCNICA PROFESIONAL Y ARTÍSTICA POR NÚMERO DE ESTABLECIMIENTOS QUE LA IMPARTEN, SEGÚN REGIÓN. 2014"/>
    <hyperlink ref="B229" location="'17.2'!A1" display="NÚMERO DE ALUMNOS MATRICULADOS EN ENSEÑANZA MEDIA TÉCNICA PROFESIONAL Y ARTÍSTICA, SEGÚN ESPECIALIDAD CREATIVA. 2014"/>
    <hyperlink ref="B230" location="'17.3'!A1" display="NÚMERO Y PORCENTAJE DE MATRÍCULAS DE JOVENES DE 15 A 29 AÑOS EN ENSEÑANZA MEDIA, SEGÚN ESPECIALIDAD CREATIVA O NO CREATIVA. 2014"/>
    <hyperlink ref="B231" location="'17.4'!A1" display="NÚMERO DE CARRERAS IMPARTIDAS POR CENTROS DE EDUCACIÓN SUPERIOR POR TIPO DE CARRERA, SEGÚN DOMINIO Y SUBDOMINIO CULTURAL. 2014/1"/>
    <hyperlink ref="B232" location="'17.5'!A1" display="NÚMERO DE MATRÍCULA EN INSTITUCIONES DE EDUCACIÓN SUPERIOR, POR SEXO, SEGÚN DOMINIO Y SUBDOMINIO CULTURAL. 2014/1"/>
    <hyperlink ref="B233" location="'17.6'!A1" display="NÚMERO DE CARRERAS IMPARTIDAS Y NÚMERO DE MATRICULADOS EN INSTITUCIONES DE EDUCACIÓN SUPERIOR POR REGIÓN, SEGÚN DOMINIO Y SUBDOMINO CULTURAL. 2014/1"/>
    <hyperlink ref="B234" location="'17.7'!A1" display="NÚMERO DE CARRERAS CREATIVAS IMPARTIDAS EN INSTITUCIONES DE EDUCACIÓN SUPERIOR POR GRADO, SEGÚN DOMINIO Y SUBDOMINO CULTURAL. 2014/1"/>
    <hyperlink ref="B235" location="'17.8'!A1" display="NÚMERO DE CARRERAS CREATIVAS POR DISCIPLINA, SEGÚN INSTITUCIÓN QUE LA IMPARTE EN CHILE. 2014"/>
    <hyperlink ref="B236" location="'17.9'!A1" display="NÚMERO TOTAL DE CARRERAS CREATIVAS Y NÚMERO TOTAL DE MATRICULADOS, SEGÚN CENTRO DE EDUCACIÓN SUPERIOR E INSTITUCIÓN QUE LA IMPARTE. 2014"/>
    <hyperlink ref="B237" location="'18.1'!A1" display="NÚMERO DE EMPRESAS PROVEEDORAS DE CONEXIÓN A INTERNET POR MODALIDAD, SEGÚN REGIÓN. 2010-2014/1"/>
    <hyperlink ref="B238" location="'18.2'!A1" display="NÚMERO DE CONEXIONES A INTERNET POR TIPO DE ACCESO, SEGÚN REGIÓN. 2014"/>
    <hyperlink ref="B239" location="'18.3'!A1" display="NÚMERO DE CONEXIONES DEDICADAS FIJAS, SEGÚN TIPO DE SUSCRIPTOR. 2009-2014"/>
    <hyperlink ref="B240" location="'18.4'!A1" display="TASA DE CONEXIONES RESIDENCIALES DEDICADAS POR CADA CIEN HABITANTES. 2009-2014"/>
    <hyperlink ref="B241" location="'18.5'!A1" display=" NÚMERO DE CONEXIONES RESIDENCIALES DE BANDA ANCHA A INTERNET. 2009-2014"/>
    <hyperlink ref="B242" location="'18.6'!A1" display="PENETRACIÓN DE INTERNET EN LA POBLACIÓN EN PORCENTAJE, SEGÚN LA UNIÓN INTERNACIONAL DE TELECOMUNICACIONES DE LAS NACIONES UNIDAS (UIT). 2009-2014"/>
    <hyperlink ref="B243" location="'18.7'!A1" display="PENETRACIÓN MUNDIAL DE INTERNET POR CADA CIEN HABITANTES, COMPARACIÓN DE VARIOS PAÍSES. 2009-2014"/>
    <hyperlink ref="B244" location="'19.1'!A1" display="NÚMERO DE PERSONAS CON RECONOCIMIENTO DE CALIDAD INDÍGENA (LEY 19.253) POR SEXO Y UNIDAD OPERATIVA, SEGÚN REGIÓN. 2013 - 2014"/>
    <hyperlink ref="B245" location="'19.2'!A1" display="DISTRIBUCIÓN DE POBLACIÓN POR PUEBLO ORIGINARIO, SEGÚN RECONOCIMIENTO DE PUEBLOS ORIGINARIOS (LEY N° 19.253). 2012-2014"/>
    <hyperlink ref="B246" location="'19.3'!A1" display="NÚMERO DE BECAS INDÍGENAS OTORGADAS POR NIVEL DE EDUCACIÓN Y SEXO SEGÚN REGIÓN. 2009-2014"/>
    <hyperlink ref="B247" location="'19.4'!A1" display="MONTO DE LA INVERSIÓN EN BECAS INDÍGENAS POR NIVEL DE EDUCACIÓN, SEGÚN REGIÓN. 2009-2014"/>
    <hyperlink ref="B248" location="'19.5'!A1" display="NÚMERO DE ALUMNOS INDÍGENAS BENEFICIARIOS DE BECAS INDÍGENAS POR NIVEL DE EDUCACIÓN, SEGÚN PUEBLO ORIGINARIO Y NIVEL DE EDUCACIÓN. 2009-2014"/>
    <hyperlink ref="B249" location="'19.6'!A1" display="NÚMERO DE BECAS OTORGADAS EN POST-GRADO POR SEXO, SEGÚN REGIÓN. 2009-2014"/>
    <hyperlink ref="B250" location="'19.7'!A1" display="NÚMERO DE PROGRAMAS FONDO DE CULTURA POR UNIDAD OPERATIVA Y MONTO DE LA INVERSIÓN, SEGÚN REGIÓN. 2009-2014"/>
    <hyperlink ref="B251" location="'19.8'!A1" display="NÚMERO DE PROGRAMAS DE FONDO DE EDUCACIÓN POR UNIDAD OPERATIVA Y MONTO DE LA INVERSIÓN, SEGÚN REGIÓN. 2009-2014"/>
    <hyperlink ref="B252" location="'19.9'!A1" display="DISTRIBUCIÓN REGIONAL DE FONDOS CONCURSABLES PARA SUBSIDIOS DE CAPACITACIÓN Y ESPECIALIZACIÓN DE PROFESIONALES Y TÉCNICOS INDÍGENAS POR SEXO, SEGÚN REGIÓN. 2009-2014"/>
    <hyperlink ref="B253" location="'19.10'!A1" display="NÚMERO DE PROYECTOS DEL FONDO DE DESARROLLO INDÍGENA (FDI) Y MONTO DE LA INVERSIÓN, SEGÚN REGIÓN Y UNIDAD OPERATIVA. 2009-2014"/>
    <hyperlink ref="B254" location="'19.11'!A1" display="NÚMERO DE INSCRIPCIONES EN EL REGISTRO PÚBLICO DE TIERRAS INDÍGENAS EMITIDOS, POR SEXO, SEGÚN REGISTRO PÚBLICO Y REGIÓN. 2009-2014"/>
    <hyperlink ref="B255" location="'20.1'!A1" display="NÚMERO DE RECINTOS ENTREGADOS POR ENCARGO DE GESTIÓN, SEGÚN REGIÓN 2012-2014"/>
    <hyperlink ref="B256" location="'20.2'!A1" display="NÚMERO DE PROYECTOS DEL FONDO NACIONAL DE FOMENTO PARA EL DEPORTE APROBADOS Y MONTOS, SEGÚN MODALIDAD DE ASIGNACIÓN. 2014"/>
    <hyperlink ref="B257" location="'20.3'!A1" display="NÚMERO DE PROYECTOS DEL FONDO NACIONAL DE FOMENTO PARA EL DEPORTE APROBADOS Y MONTO, SEGÚN CATEGORÍA DEPORTIVA. 2014"/>
    <hyperlink ref="B258" location="'20.4'!A1" display="NÚMERO DE PROYECTOS APROBADOS POR EL REGISTRO NACIONAL DE DONACIONES CON FINES DEPORTIVOS A TRAVÉS DEL SISTEMA DE FRANQUICIA TRIBUTARIA Y MONTO TOTAL DEL FINANCIAMIENTO EJECUTADO. 2009-2014"/>
    <hyperlink ref="B259" location="'20.5'!A1" display="NÚMERO DE ORGANIZACIONES DEPORTIVAS INSCRITAS EN EL REGISTRO, SEGÚN REGIÓN. 2009-2014"/>
    <hyperlink ref="B260" location="'20.6'!A1" display="NÚMERO DE PERSONAS BENEFICIADAS CON LOS PROYECTOS APROBADOS POR SEXO, SEGÚN MODALIDAD DE ASIGNACIÓN. 2014"/>
    <hyperlink ref="B261" location="'20.7'!A1" display="NÚMERO DE COMUNAS BENEFICIADAS CON LOS PROYECTOS APROBADOS, SEGÚN MODALIDAD DE ASIGNACIÓN. 2010-2014"/>
    <hyperlink ref="B262" location="'20.8'!A1" display="NÚMERO DE COMPETENCIAS, SEGÚN PROGRAMA DE DEPORTE MASIVO/1. 2012-2014"/>
    <hyperlink ref="B263" location="'20.9'!A1" display="NÚMERO DE PERSONAS PARTICIPANTES EN PROGRAMAS DE DEPORTE MASIVO/1, SEGÚN TIPO DE COMPETENCIAS. 2011-2014"/>
    <hyperlink ref="B264" location="'20.10'!A1" display=" NÚMERO DE DEPORTISTAS EN PROGRAMAS DE ALTO RENDIMIENTO (PRODDAR), POR SEXO, SEGÚN REGIÓN Y DISCIPLINA. 2014"/>
    <hyperlink ref="B265" location="'20.11'!A1" display="NÚMERO DE FUNCIONES DE ESPECTÁCULOS PÚBLICOS DEPORTIVOS, POR TIPO DE ESPECTÁCULO. 2009-2014"/>
    <hyperlink ref="B266" location="'20.12'!A1" display="FUNCIONES DE ESPECTÁCULOS PÚBLICOS DEPORTIVOS POR TIPO DE ESPECTÁCULO, SEGÚN REGIÓN. 2014"/>
    <hyperlink ref="B267" location="'20.13'!A1" display="NÚMERO DE ESPECTADORES QUE ASISTEN A LA REALIZACIÓN DE ESPECTÁCULOS PÚBLICOS DEPORTIVOS PAGANDO ENTRADA POR TIPO DE ESPECTÁCULO DEPORTIVO, SEGÚN REGIÓN. 2014"/>
    <hyperlink ref="B268" location="'20.14'!A1" display="NÚMERO DE ESPECTADORES  QUE ASISTEN A LA REALIZACIÓN DE ESPECTÁCULOS PÚBLICOS DEPORTIVOS CON ENTRADA GRATUITA POR TIPO DE ESPECTÁCULO DEPORTIVO, SEGÚN REGIÓN. 2014"/>
    <hyperlink ref="B269" location="'20.15'!A1" display="NÚMERO DE ASISTENTES A ESPECTÁCULOS PÚBLICOS DEPORTIVOS, PAGANDO ENTRADA, POR TIPO DE ESPECTÁCULO. 2009-2014"/>
    <hyperlink ref="B270" location="'20.16'!A1" display="NÚMERO DE ASISTENTES A ESPECTÁCULOS PÚBLICOS DEPORTIVOS, ENTRADA GRATUITA, POR TIPO DE ESPECTÁCULO. 2009-2014"/>
    <hyperlink ref="B271" location="'20.17'!A1" display="NÚMERO DE ESPECTADORES ASISTENTES A ESPECTÁCULOS PÚBLICOS DEPORTIVOS CON ENTRADA GRATUITA Y PAGADA POR MES, SEGÚN REGIÓN. 2014"/>
    <hyperlink ref="B272" location="'21.1'!A1" display="NÚMERO DE INSCRIPCIONES, CERTIFICADOS , CONSULTAS Y OTROS SERVICIOS REALIZADOS EN EL DEPARTAMENTO DE DERECHOS INTELECTUALES DE LA DIRECCIÓN DE BIBLIOTECAS, ARCHIVOS Y MUSEOS (DIBAM), SEGÚN ÍTEM. 2009-2014"/>
    <hyperlink ref="B273" location="'21.2'!A1" display="NÚMERO DE INSCRIPCIONES EN MATERIA DE DERECHOS DE AUTOR REGISTRADOS EN EL DEPARTAMENTO DE DERECHOS INTELECTUALES (DDI) DE LA DIRECCIÓN DE BIBLIOTECAS, ARCHIVOS Y MUSEOS (DIBAM), SEGÚN TIPO DE REGISTRO. 2009-2014 "/>
    <hyperlink ref="B274" location="'21.3'!A1" display="NÚMERO DE INSCRIPCIONES EN MATERIA DE DERECHOS DE AUTOR A NIVEL NACIONAL REGISTRADOS EN EL DEPARTAMENTO DE DERECHOS INTELECTUALES (DDI) DE LA DIRECCIÓN DE BIBLIOTECAS, ARCHIVOS Y MUSEOS (DIBAM), SEGÚN SEXO Y TIPO DE SOLICITANTE. 2009-2014/1"/>
    <hyperlink ref="B275" location="'21.4'!A1" display="INSCRIPCIÓN DE DERECHOS DE AUTOR, DERECHOS CONEXOS Y SEUDÓNIMOS, SEGÚN ORIGEN DE LA SOLICITUD, REGIÓN Y NACIONALIDAD (NACIONAL Y EXTRANJERA). 2009-2014/1"/>
    <hyperlink ref="B276" location="'22.1'!A1" display="NÚMERO Y MONTOS DE PROYECTOS POSTULADOS, ELEGIBLES Y SELECCIONADOS, SEGÚN FONDOS CONCURSABLES DEL CONSEJO NACIONAL DE LA CULTURA Y LAS ARTES (CNCA). 2014"/>
    <hyperlink ref="B277" location="'22.2'!A1" display="NÚMERO DE PROYECTOS Y MONTOS ADJUDICADOS DEL FONDO NACIONAL DE DESARROLLO CULTURAL Y LAS ARTES (FONDART) PARA CONCURSO NACIONAL, SEGÚN REGIÓN. 2014/a/b"/>
    <hyperlink ref="B278" location="'22.3'!A1" display="NÚMERO DE PROYECTOS Y MONTOS ADJUDICADOS DEL FONDO NACIONAL DE DESARROLLO CULTURAL Y LAS ARTES (FONDART) PARA CONCURSO REGIONAL, SEGÚN REGIÓN DEL FONDO ENTREGADO. 2014/a/b"/>
    <hyperlink ref="B279" location="'22.4'!A1" display="NÚMERO DE PROYECTOS POSTULADOS Y SELECCIONADOS Y RECURSOS ASIGNADOS POR TIPO DE PERSONALIDAD, SEGÚN FONDO Y AÑO. 2009-2014"/>
    <hyperlink ref="B280" location="'22.5'!A1" display="NÚMERO DE PROYECTOS POSTULADOS Y SELECCIONADOS Y RECURSOS ASIGNADOS POR SEXO, SEGÚN FONDO Y AÑO. 2009-2014"/>
    <hyperlink ref="B281" location="'23.1'!A1" display="TOTAL NACIONAL DE LA ECONOMÍA Y TOTAL DE EMPRESAS Y EMPLEO POR INFORMACIÓN DE MUTUALES DE SEGURIDAD, SEGÚN DOMINIO CULTURAL. 2014 "/>
    <hyperlink ref="B282" location="'23.2'!A1" display="NÚMERO DE EMPRESAS, TRABAJADORES, TRABAJADORES PROMEDIO Y REMUNERACIONES PROMEDIO PARA EMPRESAS CREATIVAS ASOCIADO A MUTUALES DE SEGURIDAD, SEGÚN DOMINIO Y SUBDOMINIO CULTURAL. 2014"/>
    <hyperlink ref="B283" location="'23.3'!A1" display="NÚMERO DE EMPRESAS, NÚMERO DE TRABAJADORES Y PROMEDIO DE REMUNERACIONES EN EMPRESAS CREATIVAS, SEGÚN REGIÓN. 2014"/>
    <hyperlink ref="B284" location="'23.4'!A1" display="NÚMERO DE EMPRESAS Y TRABAJADORES COTIZANTES EN MUTUALES, SU PARTICIPACION PROMEDIO POR EMPRESA Y SALARIOS PROMEDIO, SEGÚN SEXO Y DOMINIO Y SUBDOMINIO CULTURAL. 2014"/>
    <hyperlink ref="B285" location="'23.5'!A1" display="NÚMERO DE EMPRESAS, TRABAJADORES, TRABAJADORES PROMEDIO Y REMUNERACIONES PROMEDIO PARA EMPRESAS CREATIVAS ASOCIADO A MUTUALES DE SEGURIDAD, SEGÚN DOMINIO Y SUBDOMINIO CULTURAL. 2013/1"/>
    <hyperlink ref="B286" location="'23.6'!A1" display="NÚMERO DE EMPRESAS, NÚMERO DE TRABAJADORES Y PROMEDIO DE REMUNERACIONES EN EMPRESAS CREATIVAS, SEGÚN REGIÓN. 2013 /1"/>
    <hyperlink ref="B287" location="'24.1'!A1" display="COMERCIO EXTERIOR DE BIENES Y SERVICIOS CULTURALES Y CREATIVOS, SEGÚN DOMINIO CULTURAL. 2014 /1"/>
    <hyperlink ref="B288" location="'24.2'!A1" display="IMPORTACIÓN Y EXPORTACIÓN SEGÚN DOMINIO, SUBDOMINIO CULTURAL (MONTO EXPORTACIONES EN US$ FOB E IMPORTACIONES EN US$). 2013- 2014"/>
    <hyperlink ref="B289" location="'24.3'!A1" display="IMPORTACIÓN Y EXPORTACIÓN SEGÚN DOMINIO, SUBDOMINIO CULTURAL Y TIPO DE PRODUCTO (MONTO EXPORTACIONES EN PESOS CORRIENTES FOB E IMPORTACIONES EN PESOS CORRIENTES CIF). 2013 - 2014 "/>
    <hyperlink ref="B290" location="'24.4'!A1" display="IMPORTACIÓN Y EXPORTACIÓN SEGÚN DOMINIO, SUBDOMINIO CULTURAL Y TIPO DE PRODUCTO (MONTO EXPORTACIONES EN PESOS BASE 2014 FOB E IMPORTACIONES EN PESOS BASE 2014 CIF). 2013 - 2014"/>
    <hyperlink ref="B291" location="'24.5'!A1" display="EXPORTACIONES DE BIENES Y PRODUCTOS CULTURALES POR  PAÍS DE DESTINO, SEGÚN DOMINIO Y SUBDOMINIO CULTURAL (MONTO EN US$ FOB). 2014 /1 "/>
    <hyperlink ref="B292" location="'24.6'!A1" display="IMPORTACIONES DE BIENES Y PRODUCTOS CULTURALES POR PAÍS DE ORIGEN, SEGÚN DOMINIO Y SUBDOMINIO CULTURAL MONTO EN US$ CIF). 2014 /1"/>
    <hyperlink ref="B293" location="'24.7'!A1" display="IMPORTACIÓN Y EXPORTACIÓN DE &quot;INSUMOS PARA LA CREACIÓN&quot;, SEGÚN DOMINIO, SUBDOMINIO CULTURAL Y TIPO DE PRODUCTO (MONTO EXPORTACIONES EN US$ FOB E IMPORTACIONES EN US$ CIF). 2014 /1"/>
    <hyperlink ref="B294" location="'24.8'!A1" display="IMPORTACIÓN Y EXPORTACIÓN DE &quot;APARATOS PARA LA REPRODUCCIÓN&quot;, SEGÚN DOMINIO, SUBDOMINIO CULTURAL Y TIPO DE PRODUCTO (MONTO EXPORTACIONES EN US$ FOB E IMPORTACIONES EN US$ CIF). 2014 /1  "/>
    <hyperlink ref="B295" location="'24.9'!A1" display="IMPORTACIÓN Y EXPORTACIÓN DE &quot;PRODUCTO TERMINADO&quot;, SEGÚN DOMINIO, SUBDOMINIO CULTURAL Y TIPO DE PRODUCTO (MONTO EXPORTACIONES EN US$ FOB E IMPORTACIONES EN US$ CIF). 2014  /1"/>
    <hyperlink ref="B296" location="'24.10'!A1" display="EXPORTACIÓN DE BIENES Y PRODUCTOS CULTURALES, POR REGIÓN DE ORIGEN, SEGÚN DOMINIO, SUBDOMINIO CULTURAL (MONTO EN US$ FOB ). 2014 "/>
    <hyperlink ref="B297" location="'24.11'!A1" display="EXPORTACIÓN DE BIENES Y PRODUCTOS CULTURALES, POR REGIÓN DE ORIGEN, SEGÚN DOMINIO, SUBDOMINIO Y TIPO DE PRODUCTO CULTURAL (MONTO EN US$ FOB ). 2014"/>
    <hyperlink ref="B298" location="'24.12'!A1" display="EXPORTACIÓN DE SERVICIOS CULTURALES, SEGÚN DOMINIO Y SUBDOMINIO CULTURAL  (MONTO EN US$ FOB ).  2009 - 2014"/>
    <hyperlink ref="B299" location="'24.13'!A1" display="EXPORTACIÓN DE SERVICIOS CULTURALES, SEGÚN DOMINIO Y SUBDOMINIO CULTURAL (MONTO EN PESOS CORRIENTES). 2009 - 2014 "/>
    <hyperlink ref="B300" location="'24.14'!A1" display="EXPORTACIÓN DE SERVICIOS CULTURALES, SEGÚN DOMINIO Y SUBDOMINIO CULTURAL (MONTO EN PESOS DE 2014).  2009 - 2014"/>
    <hyperlink ref="B301" location="'24.15'!A1" display="DETALLE DE EXPORTACIONES DE SERVICIOS CULTURALES SEGÚN DOMINIO Y SUBDOMINIO CULTURAL (MONTO EN US$ FOB ). 2014 /1  "/>
    <hyperlink ref="B302" location="'24.16'!A1" display="EXPORTACIONES DE SERVICIOS CULTURALES POR  PAÍS DE DESTINO, SEGÚN DOMINIO Y SUBDOMINIO CULTURAL (MONTO EN US$ FOB ). 2014 /1 "/>
    <hyperlink ref="B303" location="'24.17'!A1" display="EXPORTACION DE SERVICIOS CULTURALES POR REGIÓN DE ORIGEN, SEGÚN DOMINIO Y SUBDOMINIO CULTURAL (MONTO EN US$ FOB ). 2014 "/>
    <hyperlink ref="B304" location="'24.18'!A1" display="EXPORTACION DE SERVICIOS CULTURALES POR REGIÓN DE ORIGEN SEGÚN TIPO DE SERVICIO 2014 (MONTO EN US$ FOB )"/>
    <hyperlink ref="B305" location="'25.1'!A1" display="PRESUPUESTO PÚBLICO DESTINADO A CULTURA Y TIEMPO LIBRE, SEGÚN INSTITUCIONES CULTURALES. 2014/1"/>
    <hyperlink ref="B306" location="'25.2'!A1" display="PRESUPUESTO PÚBLICO DESTINADO A CULTURA Y TIEMPO LIBRE, SEGÚN INSTITUCIONES AFINES A LA CULTURA. 2014/1"/>
    <hyperlink ref="B307" location="'25.3'!A1" display="PRESUPUESTO PÚBLICO DESTINADO A CULTURA Y TIEMPO LIBRE, SEGÚN INSTITUCIONES CON PROGRAMAS CULTURALES. 2014/1"/>
    <hyperlink ref="B308" location="'25.4'!A1" display="PRESUPUESTO PÚBLICO EJECUTADO DESTINADO A CULTURA Y TIEMPO LIBRE, SEGÚN INSTITUCIONES CON PROGRAMAS CULTURALES. 2014"/>
    <hyperlink ref="B309" location="'25.5'!A1" display="DISTRIBUCIÓN PORCENTUAL DEL PRESUPUESTO DESTINADO A CULTURA Y TIEMPO LIBRE, SEGÚN INSTITUCIONES CULTURALES, AFINES A LA CULTURA Y PROGRAMAS CULTURALES. 2014"/>
    <hyperlink ref="B310" location="'26.1'!A1" display="NÚMERO DE DENUNCIAS SIN APREHENDIDOS Y DENUNCIAS CON APREHENDIDOS, Y NÚMERO DE APREHENDIDOS, POR &quot;OTROS DELITOS CONTRA LA LEY DE PROPIEDAD INTELECTUAL&quot;, SEGÚN REGIÓN. 2014"/>
    <hyperlink ref="B311" location="'26.2'!A1" display="NÚMERO DE DETENCIONES POR LEY DE PROPIEDAD INTELECTUAL (CÓDIGO N° 09099 &quot;OTROS DELITOS CONTRA LA LEY DE PROPIEDAD INTELECTUAL&quot;) POR SEXO, EDAD, SEGÚN REGIÓN. 2014"/>
    <hyperlink ref="B312" location="'26.3'!A1" display="NÚMERO DE DENUNCIAS POR &quot;FALSIFICACIÓN DE OBRAS PROTEGIDAS&quot; Y &quot;VENTA ILÍCITA DE OBRAS PROTEGIDAS Art. 80 B Ley 17.336&quot;, SEGÚN REGIÓN. 2014"/>
    <hyperlink ref="B313" location="'26.4'!A1" display="NÚMERO DE DETENCIONES POR LEY 17.336, SEGÚN CÓDIGO N° 09002 ¨FALSIFICACIÓN DE OBRAS PROTEGIDAS¨ Y CÓDIGO N° 09003 ASOCIADO A LA GLOSA &quot;VENTA ILÍCITA DE OBRAS PROTEGIDAS&quot;, POR SEXO, SEGÚN REGIÓN. 2014"/>
    <hyperlink ref="B314" location="'26.5'!A1" display="NÚMERO DE DELITOS INVESTIGADOS POR LA POLICÍA DE INVESTIGACIONES DE CHILE (PDI), DE LA LEY DE PROPIEDAD INTELECTUAL Y LEY DE TRÁFICO ILÍCITO DE BIENES CULTURALES, SEGÚN REGIÓN POLICIAL EN QUE SE HIZO LA DENUNCIA. 2014"/>
    <hyperlink ref="B315" location="'26.6'!A1" display="NÚMERO DE DELITOS INVESTIGADOS POR LA POLICÍA DE INVESTIGACIONES DE CHILE (PDI), DE LA LEY DE PROPIEDAD INTELECTUAL Y LEY DE TRÁFICO ILÍCITO DE BIENES CULTURALES, SEGÚN REGIÓN POLICIAL EN QUE SE HIZO LA DENUNCIA Y COMUNA DE OCURRENCIA DEL DELITO. 2014"/>
    <hyperlink ref="B316" location="'26.7'!A1" display="NÚMERO DE DELITOS INVESTIGADOS POR LA POLICÍA DE INVESTIGACIONES DE CHILE (PDI) DE LA LEY DE PROPIEDAD INTELECTUAL Y LEY DE TRÁFICO ILÍCITO DE BIENES CULTURALES, SEGÚN REGIÓN POLICIAL Y BIEN AFECTADO. 2014"/>
    <hyperlink ref="B317" location="'26.8'!A1" display="NÚMERO DE DETENIDOS POR LA POLICÍA DE INVESTIGACIONES DE CHILE (PDI) DE LA LEY DE PROPIEDAD INTELECTUAL Y LEY DE TRÁFICO ILÍCITO DE BIENES CULTURALES POR DELITO, SEGÚN REGIÓN POLICIAL. 2014"/>
    <hyperlink ref="B318" location="'26.9'!A1" display="NÚMERO DE DETENIDOS POR LA POLICÍA DE INVESTIGACIONES DE CHILE (PDI) DE LEY DE PROPIEDAD INTELECTUAL Y LEY DE TRÁFICO ILÍCITO DE BIENES CULTURALES POR DELITO, SEGÚN REGIÓN POLICIAL Y SEXO. 2014"/>
    <hyperlink ref="B319" location="'26.10'!A1" display="NÚMERO DE DETENIDOS POR LA LA POLICÍA DE INVESTIGACIONES DE CHILE (PDI) DE LA LEY DE PROPIEDAD INTELECTUAL Y LEY DE TRÁFICO ILÍCITO DE BIENES CULTURALES POR DELITO, SEGÚN REGIÓN POLICIAL Y NACIONALIDAD. 2014"/>
    <hyperlink ref="B320" location="'26.11'!A1" display="NÚMERO DE DETENIDOS POR LA POLICÍA DE INVESTIGACIONES DE CHILE (PDI) DE LA LEY DE PROPIEDAD INTELECTUAL Y LEY DE TRÁFICO ILÍCITO DE BIENES CULTURALES POR DELITO, SEGÚN REGIÓN POLICIAL Y GRUPOS DE EDAD. 2014"/>
    <hyperlink ref="B321" location="'26.12'!A1" display="ARTÍCULOS INCAUTADOS POR LA POLICÍA DE INVESTIGACIONES DE CHILE (PDI) POR INFRACCIÓN A LEY DE PROPIEDAD INTELECTUAL, SEGÚN UNIDAD POLICIAL. 2014"/>
    <hyperlink ref="B322" location="'26.13'!A1" display="CANTIDAD DE DETENIDOS POR LA POLICÍA DE INVESTIGACIONES (PDI) DE LA LEY DE PROPIEDAD INTELECTUAL, LEY DE TRAFICO ILICITO DE BIENES CULTURALES DESGLOSADOS POR REGION POLICIAL Y POR COMUNA RESIDENCIA DETENIDO. 2014"/>
    <hyperlink ref="B323" location="'26.14'!A1" display="CANTIDAD DE DENUNCIAS DE LA PDI POR EL DELITO DE LA LEY DE PROPIEDAD INTELECTUAL Y LEY DE TRAFICO ILICITO DE BIENES CULTURALES DESGLOSADOS POR REGION POLICIAL. 2014"/>
    <hyperlink ref="B324" location="'26.15'!A1" display="CANTIDAD DE DENUNCIAS DE LA PDI POR  LOS DELITOS DE LA LEY DE PROPIEDAD INTELECTUAL Y LEY DE TRAFICO ILICITO DE BIENES CULTURALES  DESGLOSADOS POR REGION POLICIAL Y POR BIEN AFECTADO. 2014"/>
    <hyperlink ref="B325" location="'26.16'!A1" display="CANTIDAD DE DENUNCIAS DE LA PDI POR DELITOS DE LA LEY DE PROPIEDAD INTELECTUAL Y LEY DE TRAFICO ILICITO DE BIENES CULTURALES DESGLOSADOS POR REGION POLICIAL Y POR COMUNA DEL DELITO. 2014"/>
    <hyperlink ref="B326" location="'26.17'!A1" display="IMPUTADOS POR INFRACCIÓN A LA LEY 17.336, SEGÚN CORTE DE APELACIÓN. 2014"/>
    <hyperlink ref="B327" location="'26.18'!A1" display="CONDENADOS POR INFRACCIÓN A LA LEY 17.336, SEGÚN CORTE DE APELACIÓN. 2014"/>
    <hyperlink ref="B328" location="'26.19'!A1" display="CAUSAS INGRESADAS Y TERMINADAS EN JUZGADOS DE GARANTÍA Y DE LETRAS Y GARANTÍA POR INFRACCIÓN A LA LEY DE DE PROPIEDAD INTELECTUAL, SEGÚN CORTE DE APELACIÓN. 2014"/>
    <hyperlink ref="B329" location="'26.20'!A1" display="DELITOS INGRESADOS AL MINISTERIO PÚBLICO EN RELACIÓN A LA LEY DE PROPIEDAD INTELECTUAL, SEGÚN REGIÓN Y FISCALÍA. 2009-2014"/>
    <hyperlink ref="B330" location="'26.21'!A1" display="DELITOS TERMINADOS EN EL MINISTERIO PÚBLICO EN RELACIÓN A LA LEY DE PROPIEDAD INTELECTUAL, SEGÚN REGIÓN Y FISCALÍA. 2009-2014"/>
    <hyperlink ref="B331" location="'26.22'!A1" display="SENTENCIAS DEFINITIVAS CONDENATORIAS EN RELACIÓN A LA LEY DE PROPIEDAD INTELECTUAL, SEGÚN REGIÓN Y FISCALÍA. 2009-2014"/>
    <hyperlink ref="B144" location="'15.9'!A1" display="NÚMERO DE SOCIOS DE LA SOCIEDAD DE DERECHOS LITERARIOS (SADEL), SEGÚN STATUS DE AFILIACIÓN Y SEXO. 2009-2014"/>
    <hyperlink ref="B178" location="'15.43'!A1" display="CONCURSO DE LECTORES INFANTILES: NÚMERO DE POSTULANTES Y NÚMERO DE GANADORES, SEGÚN REGIÓN, SEXO Y GRUPO DE EDAD. 2012-2014"/>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G24"/>
  <sheetViews>
    <sheetView zoomScaleNormal="100" workbookViewId="0"/>
  </sheetViews>
  <sheetFormatPr baseColWidth="10" defaultRowHeight="11.25"/>
  <cols>
    <col min="1" max="1" width="22.85546875" style="117" customWidth="1"/>
    <col min="2" max="16384" width="11.42578125" style="117"/>
  </cols>
  <sheetData>
    <row r="1" spans="1:7">
      <c r="A1" s="1590"/>
    </row>
    <row r="2" spans="1:7" s="152" customFormat="1" ht="28.5" customHeight="1">
      <c r="A2" s="2028" t="s">
        <v>939</v>
      </c>
      <c r="B2" s="2028"/>
      <c r="C2" s="2028"/>
      <c r="D2" s="2028"/>
      <c r="E2" s="2028"/>
      <c r="F2" s="2028"/>
      <c r="G2" s="2028"/>
    </row>
    <row r="4" spans="1:7" ht="10.5" customHeight="1">
      <c r="A4" s="2026" t="s">
        <v>0</v>
      </c>
      <c r="B4" s="2026" t="s">
        <v>863</v>
      </c>
      <c r="C4" s="2026"/>
      <c r="D4" s="2026"/>
      <c r="E4" s="2026"/>
      <c r="F4" s="2026"/>
      <c r="G4" s="2026"/>
    </row>
    <row r="5" spans="1:7">
      <c r="A5" s="2026"/>
      <c r="B5" s="154">
        <v>2009</v>
      </c>
      <c r="C5" s="154">
        <v>2010</v>
      </c>
      <c r="D5" s="154">
        <v>2011</v>
      </c>
      <c r="E5" s="154">
        <v>2012</v>
      </c>
      <c r="F5" s="154">
        <v>2013</v>
      </c>
      <c r="G5" s="154">
        <v>2014</v>
      </c>
    </row>
    <row r="6" spans="1:7">
      <c r="A6" s="115" t="s">
        <v>679</v>
      </c>
      <c r="B6" s="115">
        <f t="shared" ref="B6:G6" si="0">SUM(B7:B21)</f>
        <v>26</v>
      </c>
      <c r="C6" s="115">
        <f t="shared" si="0"/>
        <v>26</v>
      </c>
      <c r="D6" s="115">
        <f t="shared" si="0"/>
        <v>26</v>
      </c>
      <c r="E6" s="115">
        <f t="shared" si="0"/>
        <v>26</v>
      </c>
      <c r="F6" s="115">
        <f t="shared" si="0"/>
        <v>27</v>
      </c>
      <c r="G6" s="115">
        <f t="shared" si="0"/>
        <v>27</v>
      </c>
    </row>
    <row r="7" spans="1:7">
      <c r="A7" s="117" t="s">
        <v>7</v>
      </c>
      <c r="B7" s="1316">
        <v>0</v>
      </c>
      <c r="C7" s="1316">
        <v>0</v>
      </c>
      <c r="D7" s="1316">
        <v>0</v>
      </c>
      <c r="E7" s="1316">
        <v>0</v>
      </c>
      <c r="F7" s="1316">
        <v>0</v>
      </c>
      <c r="G7" s="1277">
        <v>0</v>
      </c>
    </row>
    <row r="8" spans="1:7">
      <c r="A8" s="117" t="s">
        <v>8</v>
      </c>
      <c r="B8" s="1316">
        <v>0</v>
      </c>
      <c r="C8" s="1316">
        <v>0</v>
      </c>
      <c r="D8" s="1316">
        <v>0</v>
      </c>
      <c r="E8" s="1316">
        <v>0</v>
      </c>
      <c r="F8" s="1316">
        <v>0</v>
      </c>
      <c r="G8" s="1277">
        <v>0</v>
      </c>
    </row>
    <row r="9" spans="1:7">
      <c r="A9" s="117" t="s">
        <v>9</v>
      </c>
      <c r="B9" s="1316">
        <v>1</v>
      </c>
      <c r="C9" s="1316">
        <v>1</v>
      </c>
      <c r="D9" s="1316">
        <v>1</v>
      </c>
      <c r="E9" s="1316">
        <v>1</v>
      </c>
      <c r="F9" s="1316">
        <v>1</v>
      </c>
      <c r="G9" s="1277">
        <v>1</v>
      </c>
    </row>
    <row r="10" spans="1:7">
      <c r="A10" s="117" t="s">
        <v>10</v>
      </c>
      <c r="B10" s="1316">
        <v>1</v>
      </c>
      <c r="C10" s="1316">
        <v>1</v>
      </c>
      <c r="D10" s="1316">
        <v>1</v>
      </c>
      <c r="E10" s="1316">
        <v>1</v>
      </c>
      <c r="F10" s="1316">
        <v>1</v>
      </c>
      <c r="G10" s="1277">
        <v>1</v>
      </c>
    </row>
    <row r="11" spans="1:7">
      <c r="A11" s="117" t="s">
        <v>11</v>
      </c>
      <c r="B11" s="1316">
        <v>4</v>
      </c>
      <c r="C11" s="1316">
        <v>4</v>
      </c>
      <c r="D11" s="1316">
        <v>4</v>
      </c>
      <c r="E11" s="1316">
        <v>4</v>
      </c>
      <c r="F11" s="1316">
        <v>4</v>
      </c>
      <c r="G11" s="1277">
        <v>4</v>
      </c>
    </row>
    <row r="12" spans="1:7">
      <c r="A12" s="117" t="s">
        <v>12</v>
      </c>
      <c r="B12" s="1316">
        <v>2</v>
      </c>
      <c r="C12" s="1316">
        <v>2</v>
      </c>
      <c r="D12" s="1316">
        <v>2</v>
      </c>
      <c r="E12" s="1316">
        <v>2</v>
      </c>
      <c r="F12" s="1316">
        <v>2</v>
      </c>
      <c r="G12" s="1277">
        <v>2</v>
      </c>
    </row>
    <row r="13" spans="1:7">
      <c r="A13" s="117" t="s">
        <v>13</v>
      </c>
      <c r="B13" s="1316">
        <v>7</v>
      </c>
      <c r="C13" s="1316">
        <v>7</v>
      </c>
      <c r="D13" s="1316">
        <v>7</v>
      </c>
      <c r="E13" s="1316">
        <v>7</v>
      </c>
      <c r="F13" s="1316">
        <v>7</v>
      </c>
      <c r="G13" s="1277">
        <v>7</v>
      </c>
    </row>
    <row r="14" spans="1:7">
      <c r="A14" s="117" t="s">
        <v>14</v>
      </c>
      <c r="B14" s="1316">
        <v>1</v>
      </c>
      <c r="C14" s="1316">
        <v>1</v>
      </c>
      <c r="D14" s="1316">
        <v>1</v>
      </c>
      <c r="E14" s="1316">
        <v>1</v>
      </c>
      <c r="F14" s="1316">
        <v>1</v>
      </c>
      <c r="G14" s="1277">
        <v>1</v>
      </c>
    </row>
    <row r="15" spans="1:7">
      <c r="A15" s="117" t="s">
        <v>15</v>
      </c>
      <c r="B15" s="1316">
        <v>3</v>
      </c>
      <c r="C15" s="1316">
        <v>3</v>
      </c>
      <c r="D15" s="1316">
        <v>3</v>
      </c>
      <c r="E15" s="1316">
        <v>3</v>
      </c>
      <c r="F15" s="1316">
        <v>3</v>
      </c>
      <c r="G15" s="1277">
        <v>3</v>
      </c>
    </row>
    <row r="16" spans="1:7">
      <c r="A16" s="117" t="s">
        <v>16</v>
      </c>
      <c r="B16" s="1316">
        <v>2</v>
      </c>
      <c r="C16" s="1316">
        <v>2</v>
      </c>
      <c r="D16" s="1316">
        <v>2</v>
      </c>
      <c r="E16" s="1316">
        <v>2</v>
      </c>
      <c r="F16" s="1316">
        <v>2</v>
      </c>
      <c r="G16" s="1277">
        <v>2</v>
      </c>
    </row>
    <row r="17" spans="1:7">
      <c r="A17" s="117" t="s">
        <v>17</v>
      </c>
      <c r="B17" s="1316">
        <v>1</v>
      </c>
      <c r="C17" s="1316">
        <v>1</v>
      </c>
      <c r="D17" s="1316">
        <v>1</v>
      </c>
      <c r="E17" s="1316">
        <v>1</v>
      </c>
      <c r="F17" s="1316">
        <v>1</v>
      </c>
      <c r="G17" s="1277">
        <v>1</v>
      </c>
    </row>
    <row r="18" spans="1:7">
      <c r="A18" s="117" t="s">
        <v>18</v>
      </c>
      <c r="B18" s="1316">
        <v>1</v>
      </c>
      <c r="C18" s="1316">
        <v>1</v>
      </c>
      <c r="D18" s="1316">
        <v>1</v>
      </c>
      <c r="E18" s="1316">
        <v>1</v>
      </c>
      <c r="F18" s="1316">
        <v>1</v>
      </c>
      <c r="G18" s="1277">
        <v>1</v>
      </c>
    </row>
    <row r="19" spans="1:7">
      <c r="A19" s="117" t="s">
        <v>19</v>
      </c>
      <c r="B19" s="1316">
        <v>1</v>
      </c>
      <c r="C19" s="1316">
        <v>1</v>
      </c>
      <c r="D19" s="1316">
        <v>1</v>
      </c>
      <c r="E19" s="1316">
        <v>1</v>
      </c>
      <c r="F19" s="1316">
        <v>1</v>
      </c>
      <c r="G19" s="1277">
        <v>1</v>
      </c>
    </row>
    <row r="20" spans="1:7">
      <c r="A20" s="117" t="s">
        <v>20</v>
      </c>
      <c r="B20" s="1316">
        <v>0</v>
      </c>
      <c r="C20" s="1316">
        <v>0</v>
      </c>
      <c r="D20" s="1316">
        <v>0</v>
      </c>
      <c r="E20" s="1316">
        <v>0</v>
      </c>
      <c r="F20" s="1316">
        <v>1</v>
      </c>
      <c r="G20" s="1277">
        <v>1</v>
      </c>
    </row>
    <row r="21" spans="1:7">
      <c r="A21" s="117" t="s">
        <v>21</v>
      </c>
      <c r="B21" s="1316">
        <v>2</v>
      </c>
      <c r="C21" s="1316">
        <v>2</v>
      </c>
      <c r="D21" s="1316">
        <v>2</v>
      </c>
      <c r="E21" s="1316">
        <v>2</v>
      </c>
      <c r="F21" s="1316">
        <v>2</v>
      </c>
      <c r="G21" s="1277">
        <v>2</v>
      </c>
    </row>
    <row r="23" spans="1:7">
      <c r="A23" s="117" t="s">
        <v>22</v>
      </c>
    </row>
    <row r="24" spans="1:7">
      <c r="A24" s="2027" t="s">
        <v>680</v>
      </c>
      <c r="B24" s="2027"/>
      <c r="C24" s="2027"/>
      <c r="D24" s="2027"/>
      <c r="E24" s="2027"/>
      <c r="F24" s="2027"/>
    </row>
  </sheetData>
  <mergeCells count="4">
    <mergeCell ref="A2:G2"/>
    <mergeCell ref="A4:A5"/>
    <mergeCell ref="B4:G4"/>
    <mergeCell ref="A24:F24"/>
  </mergeCells>
  <pageMargins left="0.7" right="0.7" top="0.75" bottom="0.75" header="0.3" footer="0.3"/>
</worksheet>
</file>

<file path=xl/worksheets/sheet100.xml><?xml version="1.0" encoding="utf-8"?>
<worksheet xmlns="http://schemas.openxmlformats.org/spreadsheetml/2006/main" xmlns:r="http://schemas.openxmlformats.org/officeDocument/2006/relationships">
  <dimension ref="A2:N25"/>
  <sheetViews>
    <sheetView zoomScaleNormal="100" workbookViewId="0">
      <selection activeCell="B32" sqref="B32"/>
    </sheetView>
  </sheetViews>
  <sheetFormatPr baseColWidth="10" defaultRowHeight="11.25"/>
  <cols>
    <col min="1" max="1" width="21.5703125" style="108" customWidth="1"/>
    <col min="2" max="14" width="14.5703125" style="108" customWidth="1"/>
    <col min="15" max="16384" width="11.42578125" style="108"/>
  </cols>
  <sheetData>
    <row r="2" spans="1:14">
      <c r="A2" s="2199" t="s">
        <v>1134</v>
      </c>
      <c r="B2" s="2199"/>
      <c r="C2" s="2199"/>
      <c r="D2" s="2199"/>
      <c r="E2" s="2199"/>
      <c r="F2" s="2199"/>
      <c r="G2" s="2199"/>
      <c r="H2" s="2199"/>
      <c r="I2" s="2199"/>
      <c r="J2" s="2199"/>
      <c r="K2" s="2199"/>
      <c r="L2" s="2199"/>
      <c r="M2" s="2199"/>
      <c r="N2" s="2199"/>
    </row>
    <row r="4" spans="1:14" s="164" customFormat="1" ht="16.5" customHeight="1">
      <c r="A4" s="2200" t="s">
        <v>0</v>
      </c>
      <c r="B4" s="2174" t="s">
        <v>3466</v>
      </c>
      <c r="C4" s="2174"/>
      <c r="D4" s="2174"/>
      <c r="E4" s="2174"/>
      <c r="F4" s="2174"/>
      <c r="G4" s="2174"/>
      <c r="H4" s="2174"/>
      <c r="I4" s="2174"/>
      <c r="J4" s="2174"/>
      <c r="K4" s="2174"/>
      <c r="L4" s="2174"/>
      <c r="M4" s="2174"/>
      <c r="N4" s="2174"/>
    </row>
    <row r="5" spans="1:14" s="164" customFormat="1" ht="16.5" customHeight="1">
      <c r="A5" s="2200"/>
      <c r="B5" s="2007" t="s">
        <v>6</v>
      </c>
      <c r="C5" s="2007" t="s">
        <v>1135</v>
      </c>
      <c r="D5" s="2007" t="s">
        <v>1136</v>
      </c>
      <c r="E5" s="2007" t="s">
        <v>1137</v>
      </c>
      <c r="F5" s="2007" t="s">
        <v>1138</v>
      </c>
      <c r="G5" s="2007" t="s">
        <v>1139</v>
      </c>
      <c r="H5" s="2007" t="s">
        <v>1140</v>
      </c>
      <c r="I5" s="2007" t="s">
        <v>1141</v>
      </c>
      <c r="J5" s="2007" t="s">
        <v>1142</v>
      </c>
      <c r="K5" s="2007" t="s">
        <v>1143</v>
      </c>
      <c r="L5" s="2007" t="s">
        <v>1144</v>
      </c>
      <c r="M5" s="2007" t="s">
        <v>1145</v>
      </c>
      <c r="N5" s="2007" t="s">
        <v>1146</v>
      </c>
    </row>
    <row r="6" spans="1:14" s="96" customFormat="1">
      <c r="A6" s="1462" t="s">
        <v>6</v>
      </c>
      <c r="B6" s="2717">
        <f>SUM(B7:B21)</f>
        <v>3195403</v>
      </c>
      <c r="C6" s="2717">
        <f>SUM(C7:C21)</f>
        <v>455097</v>
      </c>
      <c r="D6" s="2717">
        <f t="shared" ref="D6:M6" si="0">SUM(D7:D21)</f>
        <v>149681</v>
      </c>
      <c r="E6" s="2717">
        <f t="shared" si="0"/>
        <v>129292</v>
      </c>
      <c r="F6" s="2717">
        <f>SUM(F7:F21)</f>
        <v>200305</v>
      </c>
      <c r="G6" s="2717">
        <f t="shared" si="0"/>
        <v>221524</v>
      </c>
      <c r="H6" s="2717">
        <f t="shared" si="0"/>
        <v>185823</v>
      </c>
      <c r="I6" s="2717">
        <f t="shared" si="0"/>
        <v>284933</v>
      </c>
      <c r="J6" s="2717">
        <f t="shared" si="0"/>
        <v>350090</v>
      </c>
      <c r="K6" s="2717">
        <f t="shared" si="0"/>
        <v>301663</v>
      </c>
      <c r="L6" s="2717">
        <f t="shared" si="0"/>
        <v>309817</v>
      </c>
      <c r="M6" s="2717">
        <f t="shared" si="0"/>
        <v>363299</v>
      </c>
      <c r="N6" s="2717">
        <f>SUM(N7:N21)</f>
        <v>243879</v>
      </c>
    </row>
    <row r="7" spans="1:14">
      <c r="A7" s="2718" t="s">
        <v>7</v>
      </c>
      <c r="B7" s="2717">
        <f>SUM(C7:N7)</f>
        <v>56697</v>
      </c>
      <c r="C7" s="2719">
        <v>3820</v>
      </c>
      <c r="D7" s="2719">
        <v>4040</v>
      </c>
      <c r="E7" s="2719">
        <v>3000</v>
      </c>
      <c r="F7" s="2719">
        <v>2680</v>
      </c>
      <c r="G7" s="2719">
        <v>4128</v>
      </c>
      <c r="H7" s="2719">
        <v>3139</v>
      </c>
      <c r="I7" s="2719">
        <v>4050</v>
      </c>
      <c r="J7" s="2719">
        <v>4600</v>
      </c>
      <c r="K7" s="2719">
        <v>6790</v>
      </c>
      <c r="L7" s="2719">
        <v>7660</v>
      </c>
      <c r="M7" s="2719">
        <v>6790</v>
      </c>
      <c r="N7" s="2719">
        <v>6000</v>
      </c>
    </row>
    <row r="8" spans="1:14">
      <c r="A8" s="2718" t="s">
        <v>8</v>
      </c>
      <c r="B8" s="2717">
        <f t="shared" ref="B8:B21" si="1">SUM(C8:N8)</f>
        <v>20386</v>
      </c>
      <c r="C8" s="2719">
        <v>943</v>
      </c>
      <c r="D8" s="2719">
        <v>1185</v>
      </c>
      <c r="E8" s="2719">
        <v>510</v>
      </c>
      <c r="F8" s="2719">
        <v>755</v>
      </c>
      <c r="G8" s="2719">
        <v>618</v>
      </c>
      <c r="H8" s="2719">
        <v>724</v>
      </c>
      <c r="I8" s="2719">
        <v>391</v>
      </c>
      <c r="J8" s="2719">
        <v>2065</v>
      </c>
      <c r="K8" s="2719">
        <v>745</v>
      </c>
      <c r="L8" s="2719">
        <v>3670</v>
      </c>
      <c r="M8" s="2719">
        <v>2630</v>
      </c>
      <c r="N8" s="2719">
        <v>6150</v>
      </c>
    </row>
    <row r="9" spans="1:14">
      <c r="A9" s="2718" t="s">
        <v>9</v>
      </c>
      <c r="B9" s="2717">
        <f t="shared" si="1"/>
        <v>60380</v>
      </c>
      <c r="C9" s="2719">
        <v>11025</v>
      </c>
      <c r="D9" s="2719">
        <v>500</v>
      </c>
      <c r="E9" s="2719">
        <v>1802</v>
      </c>
      <c r="F9" s="2719">
        <v>5348</v>
      </c>
      <c r="G9" s="2719">
        <v>2385</v>
      </c>
      <c r="H9" s="2719">
        <v>3284</v>
      </c>
      <c r="I9" s="2719">
        <v>1690</v>
      </c>
      <c r="J9" s="2719">
        <v>7837</v>
      </c>
      <c r="K9" s="2719">
        <v>6843</v>
      </c>
      <c r="L9" s="2719">
        <v>12861</v>
      </c>
      <c r="M9" s="2719">
        <v>2843</v>
      </c>
      <c r="N9" s="2719">
        <v>3962</v>
      </c>
    </row>
    <row r="10" spans="1:14">
      <c r="A10" s="2718" t="s">
        <v>10</v>
      </c>
      <c r="B10" s="2717">
        <f t="shared" si="1"/>
        <v>105880</v>
      </c>
      <c r="C10" s="2719">
        <v>16950</v>
      </c>
      <c r="D10" s="2719">
        <v>4710</v>
      </c>
      <c r="E10" s="2719">
        <v>5090</v>
      </c>
      <c r="F10" s="2719">
        <v>4110</v>
      </c>
      <c r="G10" s="2719">
        <v>8370</v>
      </c>
      <c r="H10" s="2719">
        <v>9520</v>
      </c>
      <c r="I10" s="2719">
        <v>14340</v>
      </c>
      <c r="J10" s="2719">
        <v>4180</v>
      </c>
      <c r="K10" s="2719">
        <v>8830</v>
      </c>
      <c r="L10" s="2719">
        <v>14820</v>
      </c>
      <c r="M10" s="2719">
        <v>6130</v>
      </c>
      <c r="N10" s="2719">
        <v>8830</v>
      </c>
    </row>
    <row r="11" spans="1:14">
      <c r="A11" s="2718" t="s">
        <v>11</v>
      </c>
      <c r="B11" s="2717">
        <f t="shared" si="1"/>
        <v>102567</v>
      </c>
      <c r="C11" s="2719">
        <v>20460</v>
      </c>
      <c r="D11" s="2719">
        <v>6380</v>
      </c>
      <c r="E11" s="2719">
        <v>3765</v>
      </c>
      <c r="F11" s="2719">
        <v>1700</v>
      </c>
      <c r="G11" s="2719">
        <v>9532</v>
      </c>
      <c r="H11" s="2719">
        <v>3726</v>
      </c>
      <c r="I11" s="2719">
        <v>10487</v>
      </c>
      <c r="J11" s="2719">
        <v>6928</v>
      </c>
      <c r="K11" s="2719">
        <v>3633</v>
      </c>
      <c r="L11" s="2719">
        <v>21169</v>
      </c>
      <c r="M11" s="2719">
        <v>7067</v>
      </c>
      <c r="N11" s="2719">
        <v>7720</v>
      </c>
    </row>
    <row r="12" spans="1:14">
      <c r="A12" s="2718" t="s">
        <v>12</v>
      </c>
      <c r="B12" s="2717">
        <f t="shared" si="1"/>
        <v>311300</v>
      </c>
      <c r="C12" s="2719">
        <v>37662</v>
      </c>
      <c r="D12" s="2719">
        <v>14664</v>
      </c>
      <c r="E12" s="2719">
        <v>20809</v>
      </c>
      <c r="F12" s="2719">
        <v>27411</v>
      </c>
      <c r="G12" s="2719">
        <v>30201</v>
      </c>
      <c r="H12" s="2719">
        <v>10857</v>
      </c>
      <c r="I12" s="2719">
        <v>20484</v>
      </c>
      <c r="J12" s="2719">
        <v>20007</v>
      </c>
      <c r="K12" s="2719">
        <v>20236</v>
      </c>
      <c r="L12" s="2719">
        <v>18874</v>
      </c>
      <c r="M12" s="2719">
        <v>67950</v>
      </c>
      <c r="N12" s="2719">
        <v>22145</v>
      </c>
    </row>
    <row r="13" spans="1:14">
      <c r="A13" s="2718" t="s">
        <v>13</v>
      </c>
      <c r="B13" s="2717">
        <f t="shared" si="1"/>
        <v>1442000</v>
      </c>
      <c r="C13" s="2719">
        <v>245802</v>
      </c>
      <c r="D13" s="2719">
        <v>47445</v>
      </c>
      <c r="E13" s="2719">
        <v>47385</v>
      </c>
      <c r="F13" s="2719">
        <v>90050</v>
      </c>
      <c r="G13" s="2719">
        <v>93519</v>
      </c>
      <c r="H13" s="2719">
        <v>85733</v>
      </c>
      <c r="I13" s="2719">
        <v>143821</v>
      </c>
      <c r="J13" s="2719">
        <v>199602</v>
      </c>
      <c r="K13" s="2719">
        <v>123595</v>
      </c>
      <c r="L13" s="2719">
        <v>123475</v>
      </c>
      <c r="M13" s="2719">
        <v>147988</v>
      </c>
      <c r="N13" s="2719">
        <v>93585</v>
      </c>
    </row>
    <row r="14" spans="1:14">
      <c r="A14" s="2718" t="s">
        <v>14</v>
      </c>
      <c r="B14" s="2717">
        <f t="shared" si="1"/>
        <v>225702</v>
      </c>
      <c r="C14" s="2719">
        <v>23354</v>
      </c>
      <c r="D14" s="2719">
        <v>16335</v>
      </c>
      <c r="E14" s="2719">
        <v>12326</v>
      </c>
      <c r="F14" s="2719">
        <v>22824</v>
      </c>
      <c r="G14" s="2719">
        <v>20253</v>
      </c>
      <c r="H14" s="2719">
        <v>22116</v>
      </c>
      <c r="I14" s="2719">
        <v>13796</v>
      </c>
      <c r="J14" s="2719">
        <v>13949</v>
      </c>
      <c r="K14" s="2719">
        <v>26927</v>
      </c>
      <c r="L14" s="2719">
        <v>18730</v>
      </c>
      <c r="M14" s="2719">
        <v>11663</v>
      </c>
      <c r="N14" s="2719">
        <v>23429</v>
      </c>
    </row>
    <row r="15" spans="1:14">
      <c r="A15" s="2718" t="s">
        <v>15</v>
      </c>
      <c r="B15" s="2717">
        <f>SUM(C15:N15)</f>
        <v>157722</v>
      </c>
      <c r="C15" s="2719">
        <v>19022</v>
      </c>
      <c r="D15" s="2719">
        <v>10361</v>
      </c>
      <c r="E15" s="2719">
        <v>6763</v>
      </c>
      <c r="F15" s="2719">
        <v>6101</v>
      </c>
      <c r="G15" s="2719">
        <v>13551</v>
      </c>
      <c r="H15" s="2719">
        <v>10252</v>
      </c>
      <c r="I15" s="2719">
        <v>13754</v>
      </c>
      <c r="J15" s="2719">
        <v>12072</v>
      </c>
      <c r="K15" s="2719">
        <v>19062</v>
      </c>
      <c r="L15" s="2719">
        <v>18190</v>
      </c>
      <c r="M15" s="2719">
        <v>18962</v>
      </c>
      <c r="N15" s="2719">
        <v>9632</v>
      </c>
    </row>
    <row r="16" spans="1:14">
      <c r="A16" s="2718" t="s">
        <v>16</v>
      </c>
      <c r="B16" s="2717">
        <f t="shared" si="1"/>
        <v>279980</v>
      </c>
      <c r="C16" s="2719">
        <v>31165</v>
      </c>
      <c r="D16" s="2719">
        <v>7540</v>
      </c>
      <c r="E16" s="2719">
        <v>8076</v>
      </c>
      <c r="F16" s="2719">
        <v>15866</v>
      </c>
      <c r="G16" s="2719">
        <v>17760</v>
      </c>
      <c r="H16" s="2719">
        <v>11992</v>
      </c>
      <c r="I16" s="2719">
        <v>19647</v>
      </c>
      <c r="J16" s="2719">
        <v>35947</v>
      </c>
      <c r="K16" s="2719">
        <v>36624</v>
      </c>
      <c r="L16" s="2719">
        <v>36340</v>
      </c>
      <c r="M16" s="2719">
        <v>32628</v>
      </c>
      <c r="N16" s="2719">
        <v>26395</v>
      </c>
    </row>
    <row r="17" spans="1:14">
      <c r="A17" s="2718" t="s">
        <v>17</v>
      </c>
      <c r="B17" s="2717">
        <f t="shared" si="1"/>
        <v>195549</v>
      </c>
      <c r="C17" s="2719">
        <v>28077</v>
      </c>
      <c r="D17" s="2719">
        <v>17761</v>
      </c>
      <c r="E17" s="2719">
        <v>8228</v>
      </c>
      <c r="F17" s="2719">
        <v>13635</v>
      </c>
      <c r="G17" s="2719">
        <v>10835</v>
      </c>
      <c r="H17" s="2719">
        <v>13315</v>
      </c>
      <c r="I17" s="2719">
        <v>14500</v>
      </c>
      <c r="J17" s="2719">
        <v>18808</v>
      </c>
      <c r="K17" s="2719">
        <v>28714</v>
      </c>
      <c r="L17" s="2719">
        <v>11773</v>
      </c>
      <c r="M17" s="2719">
        <v>17050</v>
      </c>
      <c r="N17" s="2719">
        <v>12853</v>
      </c>
    </row>
    <row r="18" spans="1:14">
      <c r="A18" s="2718" t="s">
        <v>18</v>
      </c>
      <c r="B18" s="2717">
        <f t="shared" si="1"/>
        <v>53786</v>
      </c>
      <c r="C18" s="2719">
        <v>3457</v>
      </c>
      <c r="D18" s="2719">
        <v>3739</v>
      </c>
      <c r="E18" s="2719">
        <v>1507</v>
      </c>
      <c r="F18" s="2719">
        <v>1982</v>
      </c>
      <c r="G18" s="2719">
        <v>3387</v>
      </c>
      <c r="H18" s="2719">
        <v>2755</v>
      </c>
      <c r="I18" s="2719">
        <v>6206</v>
      </c>
      <c r="J18" s="2719">
        <v>7289</v>
      </c>
      <c r="K18" s="2719">
        <v>7524</v>
      </c>
      <c r="L18" s="2719">
        <v>5917</v>
      </c>
      <c r="M18" s="2719">
        <v>5205</v>
      </c>
      <c r="N18" s="2719">
        <v>4818</v>
      </c>
    </row>
    <row r="19" spans="1:14">
      <c r="A19" s="2718" t="s">
        <v>19</v>
      </c>
      <c r="B19" s="2717">
        <f t="shared" si="1"/>
        <v>138972</v>
      </c>
      <c r="C19" s="2719">
        <v>9770</v>
      </c>
      <c r="D19" s="2719">
        <v>14171</v>
      </c>
      <c r="E19" s="2719">
        <v>4681</v>
      </c>
      <c r="F19" s="2719">
        <v>6913</v>
      </c>
      <c r="G19" s="2719">
        <v>5435</v>
      </c>
      <c r="H19" s="2719">
        <v>5210</v>
      </c>
      <c r="I19" s="2719">
        <v>20107</v>
      </c>
      <c r="J19" s="2719">
        <v>10879</v>
      </c>
      <c r="K19" s="2719">
        <v>7740</v>
      </c>
      <c r="L19" s="2719">
        <v>10732</v>
      </c>
      <c r="M19" s="2719">
        <v>31960</v>
      </c>
      <c r="N19" s="2719">
        <v>11374</v>
      </c>
    </row>
    <row r="20" spans="1:14">
      <c r="A20" s="2718" t="s">
        <v>20</v>
      </c>
      <c r="B20" s="2717">
        <f t="shared" si="1"/>
        <v>10072</v>
      </c>
      <c r="C20" s="2719">
        <v>1190</v>
      </c>
      <c r="D20" s="2719">
        <v>50</v>
      </c>
      <c r="E20" s="2719">
        <v>1400</v>
      </c>
      <c r="F20" s="2719">
        <v>0</v>
      </c>
      <c r="G20" s="2719">
        <v>0</v>
      </c>
      <c r="H20" s="2719">
        <v>280</v>
      </c>
      <c r="I20" s="2719">
        <v>640</v>
      </c>
      <c r="J20" s="2719">
        <v>1587</v>
      </c>
      <c r="K20" s="2719">
        <v>960</v>
      </c>
      <c r="L20" s="2719">
        <v>1206</v>
      </c>
      <c r="M20" s="2719">
        <v>873</v>
      </c>
      <c r="N20" s="2719">
        <v>1886</v>
      </c>
    </row>
    <row r="21" spans="1:14">
      <c r="A21" s="2718" t="s">
        <v>21</v>
      </c>
      <c r="B21" s="2717">
        <f t="shared" si="1"/>
        <v>34410</v>
      </c>
      <c r="C21" s="2719">
        <v>2400</v>
      </c>
      <c r="D21" s="2719">
        <v>800</v>
      </c>
      <c r="E21" s="2719">
        <v>3950</v>
      </c>
      <c r="F21" s="2719">
        <v>930</v>
      </c>
      <c r="G21" s="2719">
        <v>1550</v>
      </c>
      <c r="H21" s="2719">
        <v>2920</v>
      </c>
      <c r="I21" s="2719">
        <v>1020</v>
      </c>
      <c r="J21" s="2719">
        <v>4340</v>
      </c>
      <c r="K21" s="2719">
        <v>3440</v>
      </c>
      <c r="L21" s="2719">
        <v>4400</v>
      </c>
      <c r="M21" s="2719">
        <v>3560</v>
      </c>
      <c r="N21" s="2719">
        <v>5100</v>
      </c>
    </row>
    <row r="23" spans="1:14" s="96" customFormat="1" ht="25.5" customHeight="1">
      <c r="A23" s="2208" t="s">
        <v>3768</v>
      </c>
      <c r="B23" s="2208"/>
      <c r="C23" s="2208"/>
      <c r="D23" s="2208"/>
      <c r="E23" s="2208"/>
      <c r="F23" s="2208"/>
      <c r="G23" s="2208"/>
      <c r="H23" s="2208"/>
      <c r="I23" s="2201"/>
      <c r="J23" s="2201"/>
      <c r="K23" s="2201"/>
      <c r="L23" s="2201"/>
      <c r="M23" s="2201"/>
      <c r="N23" s="2201"/>
    </row>
    <row r="24" spans="1:14" s="96" customFormat="1">
      <c r="A24" s="933" t="s">
        <v>161</v>
      </c>
      <c r="B24" s="1468"/>
      <c r="C24" s="1468"/>
      <c r="D24" s="1468"/>
      <c r="E24" s="1468"/>
      <c r="F24" s="1468"/>
      <c r="G24" s="1468"/>
      <c r="H24" s="1468"/>
      <c r="I24" s="170"/>
      <c r="J24" s="170"/>
      <c r="K24" s="170"/>
      <c r="L24" s="170"/>
      <c r="M24" s="170"/>
      <c r="N24" s="170"/>
    </row>
    <row r="25" spans="1:14" s="96" customFormat="1">
      <c r="A25" s="245" t="s">
        <v>1122</v>
      </c>
      <c r="B25" s="168"/>
      <c r="C25" s="168"/>
      <c r="D25" s="168"/>
      <c r="E25" s="168"/>
      <c r="F25" s="168"/>
      <c r="G25" s="168"/>
      <c r="H25" s="168"/>
      <c r="I25" s="168"/>
      <c r="J25" s="168"/>
      <c r="K25" s="168"/>
      <c r="L25" s="168"/>
      <c r="M25" s="168"/>
      <c r="N25" s="168"/>
    </row>
  </sheetData>
  <mergeCells count="4">
    <mergeCell ref="A2:N2"/>
    <mergeCell ref="A4:A5"/>
    <mergeCell ref="B4:N4"/>
    <mergeCell ref="A23:N23"/>
  </mergeCells>
  <pageMargins left="0.7" right="0.7" top="0.75" bottom="0.75" header="0.3" footer="0.3"/>
  <pageSetup paperSize="14" scale="86" orientation="landscape" r:id="rId1"/>
</worksheet>
</file>

<file path=xl/worksheets/sheet101.xml><?xml version="1.0" encoding="utf-8"?>
<worksheet xmlns="http://schemas.openxmlformats.org/spreadsheetml/2006/main" xmlns:r="http://schemas.openxmlformats.org/officeDocument/2006/relationships">
  <dimension ref="A1:C26"/>
  <sheetViews>
    <sheetView zoomScaleNormal="100" workbookViewId="0"/>
  </sheetViews>
  <sheetFormatPr baseColWidth="10" defaultColWidth="41.140625" defaultRowHeight="12"/>
  <cols>
    <col min="1" max="3" width="25.5703125" style="127" customWidth="1"/>
    <col min="4" max="16384" width="41.140625" style="127"/>
  </cols>
  <sheetData>
    <row r="1" spans="1:3" ht="14.25" customHeight="1"/>
    <row r="2" spans="1:3" ht="39" customHeight="1">
      <c r="A2" s="2209" t="s">
        <v>1147</v>
      </c>
      <c r="B2" s="2209"/>
      <c r="C2" s="2209"/>
    </row>
    <row r="3" spans="1:3">
      <c r="A3" s="117"/>
      <c r="B3" s="126"/>
      <c r="C3" s="126"/>
    </row>
    <row r="4" spans="1:3" ht="27" customHeight="1">
      <c r="A4" s="1230" t="s">
        <v>0</v>
      </c>
      <c r="B4" s="1230" t="s">
        <v>1148</v>
      </c>
      <c r="C4" s="1230" t="s">
        <v>1149</v>
      </c>
    </row>
    <row r="5" spans="1:3">
      <c r="A5" s="1493" t="s">
        <v>6</v>
      </c>
      <c r="B5" s="1610">
        <f>SUM(B6:B21)</f>
        <v>8228</v>
      </c>
      <c r="C5" s="1611">
        <f>B5/B5</f>
        <v>1</v>
      </c>
    </row>
    <row r="6" spans="1:3" ht="12.75">
      <c r="A6" s="1612" t="s">
        <v>3764</v>
      </c>
      <c r="B6" s="1613" t="s">
        <v>55</v>
      </c>
      <c r="C6" s="1614" t="s">
        <v>55</v>
      </c>
    </row>
    <row r="7" spans="1:3">
      <c r="A7" s="1612" t="s">
        <v>8</v>
      </c>
      <c r="B7" s="1005">
        <v>78</v>
      </c>
      <c r="C7" s="1615">
        <f t="shared" ref="C7:C16" si="0">+(B7/$B$5)*100</f>
        <v>0.94798249878463792</v>
      </c>
    </row>
    <row r="8" spans="1:3">
      <c r="A8" s="1612" t="s">
        <v>9</v>
      </c>
      <c r="B8" s="1005">
        <v>39</v>
      </c>
      <c r="C8" s="1615">
        <f t="shared" si="0"/>
        <v>0.47399124939231896</v>
      </c>
    </row>
    <row r="9" spans="1:3">
      <c r="A9" s="1612" t="s">
        <v>10</v>
      </c>
      <c r="B9" s="1005">
        <v>24</v>
      </c>
      <c r="C9" s="1615">
        <f t="shared" si="0"/>
        <v>0.29168692270296548</v>
      </c>
    </row>
    <row r="10" spans="1:3">
      <c r="A10" s="1612" t="s">
        <v>11</v>
      </c>
      <c r="B10" s="1005">
        <v>167</v>
      </c>
      <c r="C10" s="1615">
        <f t="shared" si="0"/>
        <v>2.029654837141468</v>
      </c>
    </row>
    <row r="11" spans="1:3">
      <c r="A11" s="1612" t="s">
        <v>12</v>
      </c>
      <c r="B11" s="1005">
        <v>569</v>
      </c>
      <c r="C11" s="1615">
        <f t="shared" si="0"/>
        <v>6.9154107924161403</v>
      </c>
    </row>
    <row r="12" spans="1:3">
      <c r="A12" s="1612" t="s">
        <v>13</v>
      </c>
      <c r="B12" s="1005">
        <v>6123</v>
      </c>
      <c r="C12" s="1615">
        <f t="shared" si="0"/>
        <v>74.41662615459407</v>
      </c>
    </row>
    <row r="13" spans="1:3">
      <c r="A13" s="1612" t="s">
        <v>14</v>
      </c>
      <c r="B13" s="1005">
        <v>145</v>
      </c>
      <c r="C13" s="1615">
        <f t="shared" si="0"/>
        <v>1.762275157997083</v>
      </c>
    </row>
    <row r="14" spans="1:3">
      <c r="A14" s="1612" t="s">
        <v>15</v>
      </c>
      <c r="B14" s="1005">
        <v>120</v>
      </c>
      <c r="C14" s="1615">
        <f t="shared" si="0"/>
        <v>1.4584346135148274</v>
      </c>
    </row>
    <row r="15" spans="1:3">
      <c r="A15" s="1612" t="s">
        <v>16</v>
      </c>
      <c r="B15" s="1005">
        <v>197</v>
      </c>
      <c r="C15" s="1615">
        <f t="shared" si="0"/>
        <v>2.3942634905201752</v>
      </c>
    </row>
    <row r="16" spans="1:3">
      <c r="A16" s="1612" t="s">
        <v>17</v>
      </c>
      <c r="B16" s="1005">
        <v>116</v>
      </c>
      <c r="C16" s="1615">
        <f t="shared" si="0"/>
        <v>1.4098201263976664</v>
      </c>
    </row>
    <row r="17" spans="1:3">
      <c r="A17" s="1612" t="s">
        <v>1150</v>
      </c>
      <c r="B17" s="1375" t="s">
        <v>55</v>
      </c>
      <c r="C17" s="1375" t="s">
        <v>55</v>
      </c>
    </row>
    <row r="18" spans="1:3">
      <c r="A18" s="1612" t="s">
        <v>19</v>
      </c>
      <c r="B18" s="1005">
        <v>142</v>
      </c>
      <c r="C18" s="1615">
        <f>+(B18/$B$5)*100</f>
        <v>1.7258142926592124</v>
      </c>
    </row>
    <row r="19" spans="1:3">
      <c r="A19" s="1612" t="s">
        <v>20</v>
      </c>
      <c r="B19" s="1005">
        <v>31</v>
      </c>
      <c r="C19" s="1615">
        <f>+(B19/$B$5)*100</f>
        <v>0.3767622751579971</v>
      </c>
    </row>
    <row r="20" spans="1:3">
      <c r="A20" s="1612" t="s">
        <v>21</v>
      </c>
      <c r="B20" s="1616">
        <v>24</v>
      </c>
      <c r="C20" s="1615">
        <f>+(B20/$B$5)*100</f>
        <v>0.29168692270296548</v>
      </c>
    </row>
    <row r="21" spans="1:3" ht="12.75">
      <c r="A21" s="1492" t="s">
        <v>3765</v>
      </c>
      <c r="B21" s="1617">
        <v>453</v>
      </c>
      <c r="C21" s="1615">
        <f>+(B21/$B$5)*100</f>
        <v>5.5055906660184739</v>
      </c>
    </row>
    <row r="22" spans="1:3">
      <c r="A22" s="1492"/>
      <c r="B22" s="1618"/>
      <c r="C22" s="1619"/>
    </row>
    <row r="23" spans="1:3" ht="44.25" customHeight="1">
      <c r="A23" s="2210" t="s">
        <v>3766</v>
      </c>
      <c r="B23" s="2210"/>
      <c r="C23" s="2210"/>
    </row>
    <row r="24" spans="1:3" ht="25.5" customHeight="1">
      <c r="A24" s="2211" t="s">
        <v>3767</v>
      </c>
      <c r="B24" s="2211"/>
      <c r="C24" s="2211"/>
    </row>
    <row r="25" spans="1:3">
      <c r="A25" s="2212" t="s">
        <v>1033</v>
      </c>
      <c r="B25" s="2212"/>
      <c r="C25" s="2212"/>
    </row>
    <row r="26" spans="1:3">
      <c r="A26" s="2185" t="s">
        <v>1151</v>
      </c>
      <c r="B26" s="2185"/>
      <c r="C26" s="2185"/>
    </row>
  </sheetData>
  <mergeCells count="5">
    <mergeCell ref="A2:C2"/>
    <mergeCell ref="A23:C23"/>
    <mergeCell ref="A24:C24"/>
    <mergeCell ref="A25:C25"/>
    <mergeCell ref="A26:C26"/>
  </mergeCells>
  <pageMargins left="0.7" right="0.7" top="0.75" bottom="0.75" header="0.3" footer="0.3"/>
  <pageSetup paperSize="14" orientation="landscape" r:id="rId1"/>
</worksheet>
</file>

<file path=xl/worksheets/sheet102.xml><?xml version="1.0" encoding="utf-8"?>
<worksheet xmlns="http://schemas.openxmlformats.org/spreadsheetml/2006/main" xmlns:r="http://schemas.openxmlformats.org/officeDocument/2006/relationships">
  <dimension ref="A1:N32"/>
  <sheetViews>
    <sheetView zoomScaleNormal="100" workbookViewId="0">
      <selection activeCell="D41" sqref="D41"/>
    </sheetView>
  </sheetViews>
  <sheetFormatPr baseColWidth="10" defaultRowHeight="12"/>
  <cols>
    <col min="1" max="1" width="19.42578125" style="128" customWidth="1"/>
    <col min="2" max="16384" width="11.42578125" style="128"/>
  </cols>
  <sheetData>
    <row r="1" spans="1:14" ht="6.75" customHeight="1">
      <c r="A1" s="1512"/>
    </row>
    <row r="2" spans="1:14" s="129" customFormat="1" ht="24.75" customHeight="1">
      <c r="A2" s="2195" t="s">
        <v>3239</v>
      </c>
      <c r="B2" s="2195"/>
      <c r="C2" s="2195"/>
      <c r="D2" s="2195"/>
      <c r="E2" s="2195"/>
      <c r="F2" s="2195"/>
      <c r="G2" s="2195"/>
      <c r="J2" s="1004"/>
      <c r="K2" s="1004"/>
      <c r="L2" s="1004"/>
      <c r="M2" s="1004"/>
    </row>
    <row r="3" spans="1:14" s="129" customFormat="1" ht="11.25">
      <c r="A3" s="130"/>
      <c r="J3" s="1513"/>
      <c r="K3" s="1513"/>
      <c r="L3" s="1513"/>
      <c r="M3" s="1513"/>
    </row>
    <row r="4" spans="1:14" s="129" customFormat="1" ht="24" customHeight="1">
      <c r="A4" s="1390" t="s">
        <v>0</v>
      </c>
      <c r="B4" s="1390" t="s">
        <v>26</v>
      </c>
      <c r="C4" s="1390" t="s">
        <v>1149</v>
      </c>
      <c r="D4" s="1390" t="s">
        <v>163</v>
      </c>
      <c r="E4" s="1390" t="s">
        <v>1149</v>
      </c>
      <c r="F4" s="1390" t="s">
        <v>164</v>
      </c>
      <c r="G4" s="1390" t="s">
        <v>1149</v>
      </c>
      <c r="J4" s="1004"/>
      <c r="M4" s="1004"/>
      <c r="N4" s="1004"/>
    </row>
    <row r="5" spans="1:14" s="129" customFormat="1" ht="12.75">
      <c r="A5" s="16" t="s">
        <v>3758</v>
      </c>
      <c r="B5" s="1601">
        <f t="shared" ref="B5:G5" si="0">SUM(B6:B21)</f>
        <v>8228</v>
      </c>
      <c r="C5" s="1415">
        <f t="shared" si="0"/>
        <v>0.99999999999999989</v>
      </c>
      <c r="D5" s="759">
        <f>SUM(D6:D21)</f>
        <v>6754</v>
      </c>
      <c r="E5" s="1415">
        <f t="shared" si="0"/>
        <v>1</v>
      </c>
      <c r="F5" s="759">
        <f t="shared" si="0"/>
        <v>1021</v>
      </c>
      <c r="G5" s="1415">
        <f t="shared" si="0"/>
        <v>1</v>
      </c>
      <c r="I5" s="1602"/>
      <c r="J5" s="741"/>
      <c r="K5" s="741"/>
      <c r="L5" s="741"/>
      <c r="M5" s="1382"/>
    </row>
    <row r="6" spans="1:14" s="129" customFormat="1" ht="12.75">
      <c r="A6" s="1603" t="s">
        <v>3460</v>
      </c>
      <c r="B6" s="1375" t="s">
        <v>55</v>
      </c>
      <c r="C6" s="1375" t="s">
        <v>55</v>
      </c>
      <c r="D6" s="1375"/>
      <c r="E6" s="1375" t="s">
        <v>55</v>
      </c>
      <c r="F6" s="1375"/>
      <c r="G6" s="1375" t="s">
        <v>55</v>
      </c>
      <c r="I6" s="1604"/>
      <c r="J6" s="741"/>
      <c r="K6" s="741"/>
      <c r="L6" s="741"/>
      <c r="M6" s="1382"/>
    </row>
    <row r="7" spans="1:14" s="129" customFormat="1" ht="11.25">
      <c r="A7" s="1603" t="s">
        <v>8</v>
      </c>
      <c r="B7" s="1605">
        <f t="shared" ref="B7:B20" si="1">+D7+F7</f>
        <v>78</v>
      </c>
      <c r="C7" s="1606">
        <f t="shared" ref="C7:C16" si="2">+B7/$B$5</f>
        <v>9.4798249878463789E-3</v>
      </c>
      <c r="D7" s="741">
        <v>72</v>
      </c>
      <c r="E7" s="1606">
        <f t="shared" ref="E7:E16" si="3">+D7/$D$5</f>
        <v>1.0660349422564407E-2</v>
      </c>
      <c r="F7" s="741">
        <v>6</v>
      </c>
      <c r="G7" s="1606">
        <f t="shared" ref="G7:G16" si="4">+F7/$F$5</f>
        <v>5.8765915768854062E-3</v>
      </c>
      <c r="I7" s="1604"/>
      <c r="J7" s="741"/>
      <c r="K7" s="741"/>
      <c r="L7" s="741"/>
      <c r="M7" s="1382"/>
    </row>
    <row r="8" spans="1:14" s="129" customFormat="1" ht="11.25">
      <c r="A8" s="1603" t="s">
        <v>9</v>
      </c>
      <c r="B8" s="1605">
        <f t="shared" si="1"/>
        <v>39</v>
      </c>
      <c r="C8" s="1606">
        <f t="shared" si="2"/>
        <v>4.7399124939231894E-3</v>
      </c>
      <c r="D8" s="741">
        <v>34</v>
      </c>
      <c r="E8" s="1606">
        <f t="shared" si="3"/>
        <v>5.0340538939887478E-3</v>
      </c>
      <c r="F8" s="741">
        <v>5</v>
      </c>
      <c r="G8" s="1606">
        <f t="shared" si="4"/>
        <v>4.8971596474045058E-3</v>
      </c>
      <c r="I8" s="1604"/>
      <c r="J8" s="741"/>
      <c r="K8" s="741"/>
      <c r="L8" s="741"/>
      <c r="M8" s="1382"/>
    </row>
    <row r="9" spans="1:14" s="129" customFormat="1" ht="11.25">
      <c r="A9" s="1603" t="s">
        <v>10</v>
      </c>
      <c r="B9" s="1605">
        <f t="shared" si="1"/>
        <v>24</v>
      </c>
      <c r="C9" s="1606">
        <f t="shared" si="2"/>
        <v>2.9168692270296549E-3</v>
      </c>
      <c r="D9" s="741">
        <v>22</v>
      </c>
      <c r="E9" s="1606">
        <f t="shared" si="3"/>
        <v>3.2573289902280132E-3</v>
      </c>
      <c r="F9" s="747">
        <v>2</v>
      </c>
      <c r="G9" s="1606">
        <f t="shared" si="4"/>
        <v>1.9588638589618022E-3</v>
      </c>
      <c r="I9" s="1604"/>
      <c r="J9" s="741"/>
      <c r="K9" s="741"/>
      <c r="L9" s="741"/>
      <c r="M9" s="1382"/>
    </row>
    <row r="10" spans="1:14" s="129" customFormat="1" ht="11.25">
      <c r="A10" s="1603" t="s">
        <v>11</v>
      </c>
      <c r="B10" s="1605">
        <f t="shared" si="1"/>
        <v>167</v>
      </c>
      <c r="C10" s="1606">
        <f t="shared" si="2"/>
        <v>2.0296548371414681E-2</v>
      </c>
      <c r="D10" s="741">
        <v>155</v>
      </c>
      <c r="E10" s="1606">
        <f t="shared" si="3"/>
        <v>2.294936334024282E-2</v>
      </c>
      <c r="F10" s="741">
        <v>12</v>
      </c>
      <c r="G10" s="1606">
        <f t="shared" si="4"/>
        <v>1.1753183153770812E-2</v>
      </c>
      <c r="I10" s="1604"/>
      <c r="J10" s="741"/>
      <c r="K10" s="741"/>
      <c r="L10" s="741"/>
      <c r="M10" s="1382"/>
    </row>
    <row r="11" spans="1:14" s="129" customFormat="1" ht="11.25">
      <c r="A11" s="1603" t="s">
        <v>12</v>
      </c>
      <c r="B11" s="1605">
        <f t="shared" si="1"/>
        <v>569</v>
      </c>
      <c r="C11" s="1606">
        <f t="shared" si="2"/>
        <v>6.9154107924161407E-2</v>
      </c>
      <c r="D11" s="741">
        <v>504</v>
      </c>
      <c r="E11" s="1606">
        <f t="shared" si="3"/>
        <v>7.4622445957950839E-2</v>
      </c>
      <c r="F11" s="741">
        <v>65</v>
      </c>
      <c r="G11" s="1606">
        <f t="shared" si="4"/>
        <v>6.3663075416258569E-2</v>
      </c>
      <c r="I11" s="1604"/>
      <c r="J11" s="741"/>
      <c r="K11" s="741"/>
      <c r="L11" s="741"/>
      <c r="M11" s="1382"/>
    </row>
    <row r="12" spans="1:14" s="129" customFormat="1" ht="11.25">
      <c r="A12" s="1603" t="s">
        <v>13</v>
      </c>
      <c r="B12" s="1605">
        <f t="shared" si="1"/>
        <v>6123</v>
      </c>
      <c r="C12" s="1606">
        <f t="shared" si="2"/>
        <v>0.74416626154594068</v>
      </c>
      <c r="D12" s="741">
        <v>5289</v>
      </c>
      <c r="E12" s="1606">
        <f t="shared" si="3"/>
        <v>0.78309150133254368</v>
      </c>
      <c r="F12" s="741">
        <v>834</v>
      </c>
      <c r="G12" s="1606">
        <f t="shared" si="4"/>
        <v>0.8168462291870715</v>
      </c>
      <c r="I12" s="1604"/>
      <c r="J12" s="741"/>
      <c r="K12" s="741"/>
      <c r="L12" s="741"/>
      <c r="M12" s="1382"/>
    </row>
    <row r="13" spans="1:14" s="129" customFormat="1" ht="11.25">
      <c r="A13" s="1603" t="s">
        <v>14</v>
      </c>
      <c r="B13" s="1605">
        <f t="shared" si="1"/>
        <v>145</v>
      </c>
      <c r="C13" s="1606">
        <f t="shared" si="2"/>
        <v>1.7622751579970831E-2</v>
      </c>
      <c r="D13" s="741">
        <v>123</v>
      </c>
      <c r="E13" s="1606">
        <f t="shared" si="3"/>
        <v>1.8211430263547528E-2</v>
      </c>
      <c r="F13" s="741">
        <v>22</v>
      </c>
      <c r="G13" s="1606">
        <f t="shared" si="4"/>
        <v>2.1547502448579822E-2</v>
      </c>
      <c r="I13" s="1604"/>
      <c r="J13" s="741"/>
      <c r="K13" s="741"/>
      <c r="L13" s="741"/>
      <c r="M13" s="1382"/>
    </row>
    <row r="14" spans="1:14" s="129" customFormat="1" ht="11.25">
      <c r="A14" s="1603" t="s">
        <v>15</v>
      </c>
      <c r="B14" s="1605">
        <f t="shared" si="1"/>
        <v>120</v>
      </c>
      <c r="C14" s="1606">
        <f t="shared" si="2"/>
        <v>1.4584346135148274E-2</v>
      </c>
      <c r="D14" s="741">
        <v>107</v>
      </c>
      <c r="E14" s="1606">
        <f t="shared" si="3"/>
        <v>1.584246372519988E-2</v>
      </c>
      <c r="F14" s="741">
        <v>13</v>
      </c>
      <c r="G14" s="1606">
        <f t="shared" si="4"/>
        <v>1.2732615083251714E-2</v>
      </c>
      <c r="I14" s="1604"/>
      <c r="J14" s="741"/>
      <c r="K14" s="741"/>
      <c r="L14" s="741"/>
      <c r="M14" s="1382"/>
    </row>
    <row r="15" spans="1:14" s="129" customFormat="1" ht="11.25">
      <c r="A15" s="1603" t="s">
        <v>16</v>
      </c>
      <c r="B15" s="1605">
        <f t="shared" si="1"/>
        <v>197</v>
      </c>
      <c r="C15" s="1606">
        <f t="shared" si="2"/>
        <v>2.3942634905201751E-2</v>
      </c>
      <c r="D15" s="741">
        <v>172</v>
      </c>
      <c r="E15" s="1606">
        <f t="shared" si="3"/>
        <v>2.5466390287237194E-2</v>
      </c>
      <c r="F15" s="741">
        <v>25</v>
      </c>
      <c r="G15" s="1606">
        <f t="shared" si="4"/>
        <v>2.4485798237022526E-2</v>
      </c>
      <c r="I15" s="1604"/>
      <c r="J15" s="741"/>
      <c r="K15" s="741"/>
      <c r="L15" s="741"/>
      <c r="M15" s="1382"/>
    </row>
    <row r="16" spans="1:14" s="129" customFormat="1" ht="11.25">
      <c r="A16" s="1603" t="s">
        <v>17</v>
      </c>
      <c r="B16" s="1605">
        <f t="shared" si="1"/>
        <v>116</v>
      </c>
      <c r="C16" s="1606">
        <f t="shared" si="2"/>
        <v>1.4098201263976665E-2</v>
      </c>
      <c r="D16" s="741">
        <v>100</v>
      </c>
      <c r="E16" s="1606">
        <f t="shared" si="3"/>
        <v>1.4806040864672786E-2</v>
      </c>
      <c r="F16" s="741">
        <v>16</v>
      </c>
      <c r="G16" s="1606">
        <f t="shared" si="4"/>
        <v>1.5670910871694418E-2</v>
      </c>
      <c r="I16" s="1604"/>
      <c r="J16" s="741"/>
      <c r="K16" s="741"/>
      <c r="L16" s="741"/>
      <c r="M16" s="1382"/>
    </row>
    <row r="17" spans="1:13" s="129" customFormat="1" ht="12.75">
      <c r="A17" s="1603" t="s">
        <v>3759</v>
      </c>
      <c r="B17" s="1605">
        <f t="shared" si="1"/>
        <v>0</v>
      </c>
      <c r="C17" s="1375" t="s">
        <v>55</v>
      </c>
      <c r="D17" s="1375"/>
      <c r="E17" s="1375" t="s">
        <v>55</v>
      </c>
      <c r="F17" s="1375"/>
      <c r="G17" s="1375" t="s">
        <v>55</v>
      </c>
      <c r="I17" s="1604"/>
      <c r="J17" s="741"/>
      <c r="K17" s="741"/>
      <c r="L17" s="741"/>
      <c r="M17" s="1382"/>
    </row>
    <row r="18" spans="1:13" s="129" customFormat="1" ht="11.25">
      <c r="A18" s="1603" t="s">
        <v>19</v>
      </c>
      <c r="B18" s="1605">
        <f t="shared" si="1"/>
        <v>142</v>
      </c>
      <c r="C18" s="1606">
        <f>+B18/$B$5</f>
        <v>1.7258142926592123E-2</v>
      </c>
      <c r="D18" s="741">
        <v>127</v>
      </c>
      <c r="E18" s="1606">
        <f>+D18/$D$5</f>
        <v>1.8803671898134439E-2</v>
      </c>
      <c r="F18" s="741">
        <v>15</v>
      </c>
      <c r="G18" s="1606">
        <f>+F18/$F$5</f>
        <v>1.4691478942213516E-2</v>
      </c>
      <c r="I18" s="1604"/>
      <c r="J18" s="741"/>
      <c r="K18" s="741"/>
      <c r="L18" s="741"/>
      <c r="M18" s="1382"/>
    </row>
    <row r="19" spans="1:13" s="129" customFormat="1" ht="11.25">
      <c r="A19" s="1603" t="s">
        <v>20</v>
      </c>
      <c r="B19" s="1605">
        <f t="shared" si="1"/>
        <v>31</v>
      </c>
      <c r="C19" s="1606">
        <f>+B19/$B$5</f>
        <v>3.767622751579971E-3</v>
      </c>
      <c r="D19" s="741">
        <v>29</v>
      </c>
      <c r="E19" s="1606">
        <f>+D19/$D$5</f>
        <v>4.293751850755108E-3</v>
      </c>
      <c r="F19" s="741">
        <v>2</v>
      </c>
      <c r="G19" s="1606">
        <f>+F19/$F$5</f>
        <v>1.9588638589618022E-3</v>
      </c>
      <c r="I19" s="1604"/>
      <c r="J19" s="741"/>
      <c r="K19" s="741"/>
      <c r="L19" s="741"/>
      <c r="M19" s="1382"/>
    </row>
    <row r="20" spans="1:13" s="129" customFormat="1" ht="11.25">
      <c r="A20" s="1603" t="s">
        <v>21</v>
      </c>
      <c r="B20" s="1605">
        <f t="shared" si="1"/>
        <v>24</v>
      </c>
      <c r="C20" s="1606">
        <f>+B20/$B$5</f>
        <v>2.9168692270296549E-3</v>
      </c>
      <c r="D20" s="741">
        <v>20</v>
      </c>
      <c r="E20" s="1606">
        <f>+D20/$D$5</f>
        <v>2.9612081729345572E-3</v>
      </c>
      <c r="F20" s="741">
        <v>4</v>
      </c>
      <c r="G20" s="1606">
        <f>+F20/$F$5</f>
        <v>3.9177277179236044E-3</v>
      </c>
      <c r="I20" s="1604"/>
      <c r="J20" s="741"/>
      <c r="K20" s="741"/>
      <c r="L20" s="741"/>
      <c r="M20" s="1382"/>
    </row>
    <row r="21" spans="1:13" s="129" customFormat="1" ht="12.75">
      <c r="A21" s="1604" t="s">
        <v>3760</v>
      </c>
      <c r="B21" s="1605">
        <v>453</v>
      </c>
      <c r="C21" s="1606">
        <f>+B21/$B$5</f>
        <v>5.5055906660184735E-2</v>
      </c>
      <c r="D21" s="747"/>
      <c r="E21" s="1606">
        <f>+D21/$D$5</f>
        <v>0</v>
      </c>
      <c r="F21" s="747"/>
      <c r="G21" s="1606">
        <f>+F21/$F$5</f>
        <v>0</v>
      </c>
      <c r="I21" s="1604"/>
      <c r="J21" s="741"/>
      <c r="K21" s="741"/>
      <c r="L21" s="741"/>
      <c r="M21" s="1382"/>
    </row>
    <row r="22" spans="1:13" s="129" customFormat="1" ht="6.75" customHeight="1">
      <c r="A22" s="1604"/>
      <c r="B22" s="741"/>
      <c r="C22" s="1606"/>
      <c r="D22" s="747"/>
      <c r="E22" s="1606"/>
      <c r="F22" s="747"/>
      <c r="G22" s="1606"/>
      <c r="I22" s="1604"/>
      <c r="J22" s="741"/>
      <c r="K22" s="741"/>
      <c r="L22" s="741"/>
      <c r="M22" s="1382"/>
    </row>
    <row r="23" spans="1:13" s="129" customFormat="1" ht="11.25">
      <c r="A23" s="2214" t="s">
        <v>3761</v>
      </c>
      <c r="B23" s="2214"/>
      <c r="C23" s="2214"/>
      <c r="D23" s="2214"/>
      <c r="E23" s="2214"/>
      <c r="F23" s="2214"/>
      <c r="G23" s="2214"/>
      <c r="I23" s="130"/>
    </row>
    <row r="24" spans="1:13" s="1004" customFormat="1" ht="36" customHeight="1">
      <c r="A24" s="2213" t="s">
        <v>3762</v>
      </c>
      <c r="B24" s="2213"/>
      <c r="C24" s="2213"/>
      <c r="D24" s="2213"/>
      <c r="E24" s="2213"/>
      <c r="F24" s="2213"/>
      <c r="G24" s="2213"/>
      <c r="J24" s="1607"/>
      <c r="K24" s="1607"/>
      <c r="L24" s="1607"/>
      <c r="M24" s="1608"/>
    </row>
    <row r="25" spans="1:13" s="129" customFormat="1" ht="23.25" customHeight="1">
      <c r="A25" s="2213" t="s">
        <v>3763</v>
      </c>
      <c r="B25" s="2213"/>
      <c r="C25" s="2213"/>
      <c r="D25" s="2213"/>
      <c r="E25" s="2213"/>
      <c r="F25" s="2213"/>
      <c r="G25" s="2213"/>
      <c r="I25" s="130"/>
    </row>
    <row r="26" spans="1:13" s="129" customFormat="1" ht="10.5" customHeight="1">
      <c r="A26" s="2215" t="s">
        <v>734</v>
      </c>
      <c r="B26" s="2215"/>
      <c r="C26" s="2215"/>
      <c r="D26" s="2215"/>
      <c r="E26" s="2215"/>
      <c r="F26" s="2215"/>
      <c r="G26" s="2215"/>
      <c r="I26" s="130"/>
    </row>
    <row r="27" spans="1:13" s="129" customFormat="1" ht="11.25">
      <c r="A27" s="2216" t="s">
        <v>1033</v>
      </c>
      <c r="B27" s="2216"/>
      <c r="C27" s="2216"/>
      <c r="D27" s="2216"/>
      <c r="E27" s="2216"/>
      <c r="F27" s="2216"/>
      <c r="G27" s="2216"/>
      <c r="I27" s="1381"/>
    </row>
    <row r="28" spans="1:13" s="129" customFormat="1" ht="11.25">
      <c r="A28" s="2152" t="s">
        <v>1151</v>
      </c>
      <c r="B28" s="2152"/>
      <c r="C28" s="2152"/>
      <c r="D28" s="2152"/>
      <c r="E28" s="2152"/>
      <c r="F28" s="2152"/>
      <c r="G28" s="2152"/>
      <c r="I28" s="1381"/>
    </row>
    <row r="29" spans="1:13" s="129" customFormat="1" ht="11.25">
      <c r="A29" s="130"/>
      <c r="I29" s="130"/>
    </row>
    <row r="32" spans="1:13">
      <c r="C32" s="1609"/>
    </row>
  </sheetData>
  <mergeCells count="7">
    <mergeCell ref="A28:G28"/>
    <mergeCell ref="A2:G2"/>
    <mergeCell ref="A24:G24"/>
    <mergeCell ref="A25:G25"/>
    <mergeCell ref="A23:G23"/>
    <mergeCell ref="A26:G26"/>
    <mergeCell ref="A27:G27"/>
  </mergeCells>
  <pageMargins left="0.7" right="0.7" top="0.75" bottom="0.75" header="0.3" footer="0.3"/>
  <pageSetup paperSize="14" orientation="portrait" r:id="rId1"/>
</worksheet>
</file>

<file path=xl/worksheets/sheet103.xml><?xml version="1.0" encoding="utf-8"?>
<worksheet xmlns="http://schemas.openxmlformats.org/spreadsheetml/2006/main" xmlns:r="http://schemas.openxmlformats.org/officeDocument/2006/relationships">
  <dimension ref="A1:G12"/>
  <sheetViews>
    <sheetView zoomScaleNormal="100" workbookViewId="0"/>
  </sheetViews>
  <sheetFormatPr baseColWidth="10" defaultRowHeight="12"/>
  <cols>
    <col min="1" max="1" width="41.140625" style="127" customWidth="1"/>
    <col min="2" max="2" width="11.42578125" style="127"/>
    <col min="3" max="3" width="16.7109375" style="127" customWidth="1"/>
    <col min="4" max="16384" width="11.42578125" style="127"/>
  </cols>
  <sheetData>
    <row r="1" spans="1:7">
      <c r="A1" s="1453"/>
    </row>
    <row r="2" spans="1:7" s="137" customFormat="1" ht="25.5" customHeight="1">
      <c r="A2" s="2217" t="s">
        <v>1152</v>
      </c>
      <c r="B2" s="2217"/>
      <c r="C2" s="2217"/>
      <c r="F2" s="138"/>
      <c r="G2" s="139"/>
    </row>
    <row r="3" spans="1:7" ht="7.5" customHeight="1">
      <c r="A3" s="117"/>
      <c r="B3" s="126"/>
      <c r="C3" s="126"/>
    </row>
    <row r="4" spans="1:7" s="8" customFormat="1" ht="17.25" customHeight="1">
      <c r="A4" s="1230" t="s">
        <v>1153</v>
      </c>
      <c r="B4" s="1230" t="s">
        <v>1148</v>
      </c>
      <c r="C4" s="1230" t="s">
        <v>1149</v>
      </c>
    </row>
    <row r="5" spans="1:7" s="8" customFormat="1">
      <c r="A5" s="1493" t="s">
        <v>6</v>
      </c>
      <c r="B5" s="622">
        <f>SUM(B6:B8)</f>
        <v>8228</v>
      </c>
      <c r="C5" s="1599">
        <f>SUM(C6:C8)</f>
        <v>1</v>
      </c>
    </row>
    <row r="6" spans="1:7" s="8" customFormat="1">
      <c r="A6" s="1307" t="s">
        <v>1154</v>
      </c>
      <c r="B6" s="538">
        <v>1485</v>
      </c>
      <c r="C6" s="1600">
        <f>+(B6/$B$5)</f>
        <v>0.18048128342245989</v>
      </c>
    </row>
    <row r="7" spans="1:7" s="8" customFormat="1">
      <c r="A7" s="1307" t="s">
        <v>1155</v>
      </c>
      <c r="B7" s="538">
        <v>1703</v>
      </c>
      <c r="C7" s="1600">
        <f>+(B7/$B$5)</f>
        <v>0.20697617890131259</v>
      </c>
    </row>
    <row r="8" spans="1:7" s="8" customFormat="1">
      <c r="A8" s="1307" t="s">
        <v>1156</v>
      </c>
      <c r="B8" s="538">
        <v>5040</v>
      </c>
      <c r="C8" s="1600">
        <f>+(B8/$B$5)</f>
        <v>0.61254253767622746</v>
      </c>
    </row>
    <row r="9" spans="1:7" s="8" customFormat="1" ht="5.25" customHeight="1">
      <c r="A9" s="1307"/>
      <c r="B9" s="538"/>
      <c r="C9" s="1600"/>
    </row>
    <row r="10" spans="1:7">
      <c r="A10" s="2185" t="s">
        <v>1151</v>
      </c>
      <c r="B10" s="2185"/>
      <c r="C10" s="2185"/>
    </row>
    <row r="11" spans="1:7">
      <c r="A11" s="117"/>
      <c r="B11" s="126"/>
      <c r="C11" s="126"/>
    </row>
    <row r="12" spans="1:7">
      <c r="A12" s="117"/>
      <c r="B12" s="126"/>
      <c r="C12" s="126"/>
    </row>
  </sheetData>
  <mergeCells count="2">
    <mergeCell ref="A2:C2"/>
    <mergeCell ref="A10:C10"/>
  </mergeCells>
  <pageMargins left="0.7" right="0.7" top="0.75" bottom="0.75" header="0.3" footer="0.3"/>
  <pageSetup paperSize="14" orientation="portrait" r:id="rId1"/>
</worksheet>
</file>

<file path=xl/worksheets/sheet104.xml><?xml version="1.0" encoding="utf-8"?>
<worksheet xmlns="http://schemas.openxmlformats.org/spreadsheetml/2006/main" xmlns:r="http://schemas.openxmlformats.org/officeDocument/2006/relationships">
  <dimension ref="A1:K9"/>
  <sheetViews>
    <sheetView zoomScaleNormal="100" workbookViewId="0"/>
  </sheetViews>
  <sheetFormatPr baseColWidth="10" defaultRowHeight="12"/>
  <cols>
    <col min="1" max="1" width="21.28515625" style="127" customWidth="1"/>
    <col min="2" max="7" width="11.42578125" style="127"/>
    <col min="8" max="8" width="6.7109375" style="127" customWidth="1"/>
    <col min="9" max="16384" width="11.42578125" style="127"/>
  </cols>
  <sheetData>
    <row r="1" spans="1:11" s="135" customFormat="1" ht="11.25">
      <c r="A1" s="116"/>
      <c r="J1" s="1327"/>
    </row>
    <row r="2" spans="1:11" s="135" customFormat="1" ht="25.5" customHeight="1">
      <c r="A2" s="2218" t="s">
        <v>3181</v>
      </c>
      <c r="B2" s="2218"/>
      <c r="C2" s="2218"/>
      <c r="D2" s="2218"/>
      <c r="E2" s="2218"/>
      <c r="F2" s="2218"/>
      <c r="G2" s="2218"/>
      <c r="H2" s="182"/>
      <c r="I2" s="129"/>
      <c r="J2" s="130"/>
      <c r="K2" s="129"/>
    </row>
    <row r="3" spans="1:11" s="135" customFormat="1" ht="13.5" customHeight="1">
      <c r="A3" s="1590"/>
      <c r="I3" s="129"/>
      <c r="J3" s="130"/>
      <c r="K3" s="129"/>
    </row>
    <row r="4" spans="1:11" s="1562" customFormat="1" ht="18" customHeight="1">
      <c r="A4" s="2219" t="s">
        <v>1157</v>
      </c>
      <c r="B4" s="2221" t="s">
        <v>671</v>
      </c>
      <c r="C4" s="2222"/>
      <c r="D4" s="2222"/>
      <c r="E4" s="2222"/>
      <c r="F4" s="2222"/>
      <c r="G4" s="2223"/>
      <c r="I4" s="1373"/>
      <c r="J4" s="1373"/>
      <c r="K4" s="1373"/>
    </row>
    <row r="5" spans="1:11" s="1562" customFormat="1" ht="18" customHeight="1">
      <c r="A5" s="2220"/>
      <c r="B5" s="1517">
        <v>2009</v>
      </c>
      <c r="C5" s="1517">
        <v>2010</v>
      </c>
      <c r="D5" s="1517">
        <v>2011</v>
      </c>
      <c r="E5" s="1517">
        <v>2012</v>
      </c>
      <c r="F5" s="1517">
        <v>2013</v>
      </c>
      <c r="G5" s="1517">
        <v>2014</v>
      </c>
      <c r="I5" s="1373"/>
      <c r="J5" s="763"/>
      <c r="K5" s="1373"/>
    </row>
    <row r="6" spans="1:11" s="135" customFormat="1" ht="11.25">
      <c r="A6" s="1597" t="s">
        <v>6</v>
      </c>
      <c r="B6" s="975">
        <v>5985</v>
      </c>
      <c r="C6" s="975">
        <v>6023</v>
      </c>
      <c r="D6" s="975">
        <v>6654</v>
      </c>
      <c r="E6" s="975">
        <v>5543</v>
      </c>
      <c r="F6" s="975">
        <v>6358</v>
      </c>
      <c r="G6" s="975">
        <v>5975</v>
      </c>
      <c r="J6" s="1327"/>
    </row>
    <row r="7" spans="1:11" s="135" customFormat="1" ht="11.25">
      <c r="G7" s="1598"/>
      <c r="J7" s="1327"/>
    </row>
    <row r="8" spans="1:11" s="135" customFormat="1" ht="11.25">
      <c r="A8" s="1381" t="s">
        <v>1151</v>
      </c>
      <c r="J8" s="1327"/>
    </row>
    <row r="9" spans="1:11" s="135" customFormat="1" ht="11.25">
      <c r="A9" s="1327"/>
      <c r="J9" s="134"/>
    </row>
  </sheetData>
  <mergeCells count="3">
    <mergeCell ref="A2:G2"/>
    <mergeCell ref="A4:A5"/>
    <mergeCell ref="B4:G4"/>
  </mergeCells>
  <pageMargins left="0.7" right="0.7" top="0.75" bottom="0.75" header="0.3" footer="0.3"/>
  <pageSetup paperSize="14" orientation="portrait" r:id="rId1"/>
</worksheet>
</file>

<file path=xl/worksheets/sheet105.xml><?xml version="1.0" encoding="utf-8"?>
<worksheet xmlns="http://schemas.openxmlformats.org/spreadsheetml/2006/main" xmlns:r="http://schemas.openxmlformats.org/officeDocument/2006/relationships">
  <dimension ref="A1:N14"/>
  <sheetViews>
    <sheetView zoomScaleNormal="100" workbookViewId="0">
      <selection activeCell="E23" sqref="E23"/>
    </sheetView>
  </sheetViews>
  <sheetFormatPr baseColWidth="10" defaultRowHeight="12"/>
  <cols>
    <col min="1" max="1" width="28.140625" style="127" customWidth="1"/>
    <col min="2" max="4" width="11.42578125" style="127"/>
    <col min="5" max="5" width="17" style="127" customWidth="1"/>
    <col min="6" max="16384" width="11.42578125" style="127"/>
  </cols>
  <sheetData>
    <row r="1" spans="1:14">
      <c r="A1" s="1453"/>
    </row>
    <row r="2" spans="1:14" s="135" customFormat="1" ht="39" customHeight="1">
      <c r="A2" s="2209" t="s">
        <v>1158</v>
      </c>
      <c r="B2" s="2209"/>
      <c r="C2" s="2209"/>
      <c r="D2" s="2209"/>
      <c r="E2" s="2209"/>
      <c r="G2" s="136"/>
      <c r="H2" s="136"/>
      <c r="I2" s="1498"/>
      <c r="J2" s="1498"/>
      <c r="K2" s="1498"/>
    </row>
    <row r="3" spans="1:14" s="135" customFormat="1" ht="15" customHeight="1">
      <c r="A3" s="991"/>
      <c r="B3" s="991"/>
      <c r="C3" s="991"/>
      <c r="D3" s="991"/>
      <c r="E3" s="991"/>
      <c r="G3" s="136"/>
      <c r="H3" s="1515"/>
      <c r="I3" s="1515"/>
      <c r="J3" s="1498"/>
      <c r="K3" s="1011"/>
      <c r="L3" s="966"/>
      <c r="M3" s="966"/>
      <c r="N3" s="966"/>
    </row>
    <row r="4" spans="1:14" s="135" customFormat="1" ht="15" customHeight="1">
      <c r="A4" s="2155" t="s">
        <v>1159</v>
      </c>
      <c r="B4" s="2225" t="s">
        <v>26</v>
      </c>
      <c r="C4" s="2226" t="s">
        <v>1062</v>
      </c>
      <c r="D4" s="2226"/>
      <c r="E4" s="2226"/>
      <c r="F4" s="1381"/>
      <c r="G4" s="1515"/>
      <c r="H4" s="1594"/>
      <c r="I4" s="1594"/>
      <c r="J4" s="1498"/>
      <c r="K4" s="1498"/>
    </row>
    <row r="5" spans="1:14" s="135" customFormat="1" ht="34.5" customHeight="1">
      <c r="A5" s="2155"/>
      <c r="B5" s="2225"/>
      <c r="C5" s="1591" t="s">
        <v>163</v>
      </c>
      <c r="D5" s="1591" t="s">
        <v>164</v>
      </c>
      <c r="E5" s="1390" t="s">
        <v>3756</v>
      </c>
      <c r="F5" s="1381"/>
      <c r="G5" s="1594"/>
      <c r="H5" s="1549"/>
      <c r="I5" s="1549"/>
      <c r="J5" s="1498"/>
      <c r="K5" s="1498"/>
    </row>
    <row r="6" spans="1:14" s="135" customFormat="1" ht="21.75" customHeight="1">
      <c r="A6" s="1004" t="s">
        <v>1160</v>
      </c>
      <c r="B6" s="754">
        <f>SUM(C6:E6)</f>
        <v>8228</v>
      </c>
      <c r="C6" s="1375">
        <v>6754</v>
      </c>
      <c r="D6" s="1375">
        <v>1021</v>
      </c>
      <c r="E6" s="1375">
        <v>453</v>
      </c>
      <c r="F6" s="1381"/>
      <c r="G6" s="1549"/>
      <c r="H6" s="1549"/>
      <c r="I6" s="1549"/>
      <c r="J6" s="1498"/>
      <c r="K6" s="1498"/>
    </row>
    <row r="7" spans="1:14" s="135" customFormat="1" ht="33.75">
      <c r="A7" s="1004" t="s">
        <v>1161</v>
      </c>
      <c r="B7" s="754">
        <f>SUM(C7:E7)</f>
        <v>6028</v>
      </c>
      <c r="C7" s="1375">
        <v>5269</v>
      </c>
      <c r="D7" s="1375">
        <v>759</v>
      </c>
      <c r="E7" s="1375">
        <v>0</v>
      </c>
      <c r="F7" s="1381"/>
      <c r="G7" s="1549"/>
      <c r="H7" s="1549"/>
      <c r="I7" s="1549"/>
      <c r="J7" s="1498"/>
      <c r="K7" s="1498"/>
    </row>
    <row r="8" spans="1:14" s="135" customFormat="1" ht="11.25">
      <c r="A8" s="1004"/>
      <c r="B8" s="759"/>
      <c r="C8" s="741"/>
      <c r="D8" s="741"/>
      <c r="F8" s="1381"/>
      <c r="G8" s="1549"/>
      <c r="H8" s="1549"/>
      <c r="I8" s="1549"/>
      <c r="J8" s="1498"/>
      <c r="K8" s="1498"/>
    </row>
    <row r="9" spans="1:14" s="135" customFormat="1" ht="25.5" customHeight="1">
      <c r="A9" s="2227" t="s">
        <v>3757</v>
      </c>
      <c r="B9" s="2227"/>
      <c r="C9" s="2227"/>
      <c r="D9" s="2227"/>
      <c r="E9" s="2227"/>
      <c r="F9" s="1381"/>
      <c r="G9" s="1549"/>
      <c r="H9" s="1549"/>
      <c r="I9" s="1549"/>
      <c r="J9" s="1498"/>
      <c r="K9" s="1498"/>
    </row>
    <row r="10" spans="1:14" s="135" customFormat="1" ht="11.25">
      <c r="A10" s="2224" t="s">
        <v>734</v>
      </c>
      <c r="B10" s="2224"/>
      <c r="C10" s="2224"/>
      <c r="D10" s="2224"/>
      <c r="E10" s="2224"/>
      <c r="F10" s="120"/>
      <c r="G10" s="120"/>
      <c r="H10" s="1549"/>
      <c r="I10" s="1549"/>
      <c r="J10" s="1498"/>
      <c r="K10" s="1498"/>
    </row>
    <row r="11" spans="1:14" s="135" customFormat="1" ht="11.25">
      <c r="A11" s="1381" t="s">
        <v>1151</v>
      </c>
      <c r="B11" s="741"/>
      <c r="C11" s="741"/>
      <c r="D11" s="741"/>
      <c r="F11" s="1381"/>
      <c r="G11" s="1549"/>
      <c r="I11" s="1498"/>
    </row>
    <row r="12" spans="1:14" s="135" customFormat="1" ht="16.5" customHeight="1">
      <c r="D12" s="1018"/>
      <c r="H12" s="1498"/>
      <c r="I12" s="136"/>
      <c r="J12" s="136"/>
      <c r="K12" s="136"/>
    </row>
    <row r="13" spans="1:14">
      <c r="B13" s="1595"/>
    </row>
    <row r="14" spans="1:14">
      <c r="B14" s="1596"/>
    </row>
  </sheetData>
  <mergeCells count="6">
    <mergeCell ref="A10:E10"/>
    <mergeCell ref="A2:E2"/>
    <mergeCell ref="A4:A5"/>
    <mergeCell ref="B4:B5"/>
    <mergeCell ref="C4:E4"/>
    <mergeCell ref="A9:E9"/>
  </mergeCells>
  <pageMargins left="0.7" right="0.7" top="0.75" bottom="0.75" header="0.3" footer="0.3"/>
  <pageSetup paperSize="14" orientation="portrait" r:id="rId1"/>
</worksheet>
</file>

<file path=xl/worksheets/sheet106.xml><?xml version="1.0" encoding="utf-8"?>
<worksheet xmlns="http://schemas.openxmlformats.org/spreadsheetml/2006/main" xmlns:r="http://schemas.openxmlformats.org/officeDocument/2006/relationships">
  <dimension ref="A1:C13"/>
  <sheetViews>
    <sheetView zoomScaleNormal="100" workbookViewId="0"/>
  </sheetViews>
  <sheetFormatPr baseColWidth="10" defaultRowHeight="12"/>
  <cols>
    <col min="1" max="1" width="42.7109375" style="127" customWidth="1"/>
    <col min="2" max="2" width="21" style="127" customWidth="1"/>
    <col min="3" max="16384" width="11.42578125" style="127"/>
  </cols>
  <sheetData>
    <row r="1" spans="1:3">
      <c r="A1" s="1490"/>
    </row>
    <row r="2" spans="1:3" s="134" customFormat="1" ht="38.25" customHeight="1">
      <c r="A2" s="2228" t="s">
        <v>1162</v>
      </c>
      <c r="B2" s="2228"/>
    </row>
    <row r="3" spans="1:3" s="134" customFormat="1" ht="13.5" customHeight="1">
      <c r="A3" s="1590"/>
      <c r="B3" s="1590"/>
    </row>
    <row r="4" spans="1:3" s="134" customFormat="1" ht="18" customHeight="1">
      <c r="A4" s="1591" t="s">
        <v>1163</v>
      </c>
      <c r="B4" s="1230">
        <v>2014</v>
      </c>
    </row>
    <row r="5" spans="1:3" s="134" customFormat="1" ht="11.25">
      <c r="A5" s="1590" t="s">
        <v>6</v>
      </c>
      <c r="B5" s="1592">
        <f>SUM(B6:B9)</f>
        <v>4310</v>
      </c>
      <c r="C5" s="750"/>
    </row>
    <row r="6" spans="1:3" s="134" customFormat="1" ht="11.25">
      <c r="A6" s="1593" t="s">
        <v>1164</v>
      </c>
      <c r="B6" s="1494">
        <v>3953</v>
      </c>
    </row>
    <row r="7" spans="1:3" s="134" customFormat="1" ht="11.25">
      <c r="A7" s="1593" t="s">
        <v>1165</v>
      </c>
      <c r="B7" s="1494">
        <v>300</v>
      </c>
    </row>
    <row r="8" spans="1:3" s="134" customFormat="1" ht="11.25">
      <c r="A8" s="1593" t="s">
        <v>1166</v>
      </c>
      <c r="B8" s="1494">
        <v>11</v>
      </c>
    </row>
    <row r="9" spans="1:3">
      <c r="A9" s="1593" t="s">
        <v>1167</v>
      </c>
      <c r="B9" s="1494">
        <v>46</v>
      </c>
    </row>
    <row r="11" spans="1:3">
      <c r="A11" s="2185" t="s">
        <v>1151</v>
      </c>
      <c r="B11" s="2185"/>
    </row>
    <row r="13" spans="1:3">
      <c r="A13" s="1026"/>
      <c r="B13" s="1026"/>
    </row>
  </sheetData>
  <mergeCells count="2">
    <mergeCell ref="A2:B2"/>
    <mergeCell ref="A11:B11"/>
  </mergeCells>
  <pageMargins left="0.7" right="0.7" top="0.75" bottom="0.75" header="0.3" footer="0.3"/>
  <pageSetup paperSize="14" orientation="portrait" r:id="rId1"/>
</worksheet>
</file>

<file path=xl/worksheets/sheet107.xml><?xml version="1.0" encoding="utf-8"?>
<worksheet xmlns="http://schemas.openxmlformats.org/spreadsheetml/2006/main" xmlns:r="http://schemas.openxmlformats.org/officeDocument/2006/relationships">
  <dimension ref="A1:H9"/>
  <sheetViews>
    <sheetView zoomScaleNormal="100" workbookViewId="0"/>
  </sheetViews>
  <sheetFormatPr baseColWidth="10" defaultRowHeight="12"/>
  <cols>
    <col min="1" max="1" width="24.28515625" style="127" customWidth="1"/>
    <col min="2" max="4" width="11.42578125" style="127"/>
    <col min="5" max="5" width="12.5703125" style="127" customWidth="1"/>
    <col min="6" max="16384" width="11.42578125" style="127"/>
  </cols>
  <sheetData>
    <row r="1" spans="1:8">
      <c r="A1" s="1453"/>
    </row>
    <row r="2" spans="1:8" s="115" customFormat="1" ht="27.75" customHeight="1">
      <c r="A2" s="2186" t="s">
        <v>3244</v>
      </c>
      <c r="B2" s="2186"/>
      <c r="C2" s="2186"/>
      <c r="D2" s="2186"/>
      <c r="E2" s="2186"/>
      <c r="F2" s="133"/>
      <c r="G2" s="133"/>
      <c r="H2" s="1327"/>
    </row>
    <row r="3" spans="1:8">
      <c r="A3" s="135"/>
      <c r="B3" s="1381"/>
      <c r="C3" s="1170"/>
      <c r="D3" s="1170"/>
      <c r="E3" s="1170"/>
      <c r="F3" s="135"/>
      <c r="G3" s="135"/>
      <c r="H3" s="135"/>
    </row>
    <row r="4" spans="1:8">
      <c r="A4" s="2229" t="s">
        <v>1168</v>
      </c>
      <c r="B4" s="2231" t="s">
        <v>671</v>
      </c>
      <c r="C4" s="2232"/>
      <c r="D4" s="2232"/>
      <c r="E4" s="2233"/>
      <c r="F4" s="135"/>
      <c r="G4" s="135"/>
      <c r="H4" s="135"/>
    </row>
    <row r="5" spans="1:8">
      <c r="A5" s="2230"/>
      <c r="B5" s="1517">
        <v>2011</v>
      </c>
      <c r="C5" s="1517">
        <v>2012</v>
      </c>
      <c r="D5" s="1517">
        <v>2013</v>
      </c>
      <c r="E5" s="1517">
        <v>2014</v>
      </c>
      <c r="F5" s="135"/>
      <c r="G5" s="135"/>
      <c r="H5" s="135"/>
    </row>
    <row r="6" spans="1:8">
      <c r="A6" s="1588" t="s">
        <v>6</v>
      </c>
      <c r="B6" s="1517">
        <v>7</v>
      </c>
      <c r="C6" s="1517">
        <v>8</v>
      </c>
      <c r="D6" s="1517">
        <v>7</v>
      </c>
      <c r="E6" s="1517">
        <v>7</v>
      </c>
      <c r="F6" s="135"/>
      <c r="G6" s="135"/>
      <c r="H6" s="135"/>
    </row>
    <row r="7" spans="1:8">
      <c r="A7" s="135"/>
      <c r="B7" s="1381"/>
      <c r="C7" s="1170"/>
      <c r="D7" s="1170"/>
      <c r="E7" s="1170"/>
      <c r="F7" s="135"/>
      <c r="G7" s="135"/>
      <c r="H7" s="135"/>
    </row>
    <row r="8" spans="1:8" ht="12.75" customHeight="1">
      <c r="A8" s="2214" t="s">
        <v>1169</v>
      </c>
      <c r="B8" s="2214"/>
      <c r="C8" s="2214"/>
      <c r="D8" s="2214"/>
      <c r="E8" s="2214"/>
      <c r="F8" s="994"/>
      <c r="G8" s="994"/>
      <c r="H8" s="135"/>
    </row>
    <row r="9" spans="1:8">
      <c r="A9" s="1589"/>
      <c r="B9" s="1589"/>
      <c r="C9" s="1589"/>
      <c r="D9" s="1589"/>
      <c r="E9" s="1589"/>
      <c r="F9" s="1589"/>
      <c r="G9" s="1589"/>
      <c r="H9" s="135"/>
    </row>
  </sheetData>
  <mergeCells count="4">
    <mergeCell ref="A2:E2"/>
    <mergeCell ref="A4:A5"/>
    <mergeCell ref="B4:E4"/>
    <mergeCell ref="A8:E8"/>
  </mergeCells>
  <pageMargins left="0.70866141732283472" right="0.70866141732283472" top="0.74803149606299213" bottom="0.74803149606299213" header="0.31496062992125984" footer="0.31496062992125984"/>
  <pageSetup paperSize="14" scale="95" orientation="landscape" r:id="rId1"/>
</worksheet>
</file>

<file path=xl/worksheets/sheet108.xml><?xml version="1.0" encoding="utf-8"?>
<worksheet xmlns="http://schemas.openxmlformats.org/spreadsheetml/2006/main" xmlns:r="http://schemas.openxmlformats.org/officeDocument/2006/relationships">
  <dimension ref="A1:I10"/>
  <sheetViews>
    <sheetView zoomScaleNormal="100" workbookViewId="0">
      <selection activeCell="D13" sqref="D13"/>
    </sheetView>
  </sheetViews>
  <sheetFormatPr baseColWidth="10" defaultRowHeight="12"/>
  <cols>
    <col min="1" max="1" width="24.85546875" style="127" customWidth="1"/>
    <col min="2" max="16384" width="11.42578125" style="127"/>
  </cols>
  <sheetData>
    <row r="1" spans="1:9">
      <c r="A1" s="1453"/>
    </row>
    <row r="2" spans="1:9" ht="25.5" customHeight="1">
      <c r="A2" s="2234" t="s">
        <v>1170</v>
      </c>
      <c r="B2" s="2234"/>
      <c r="C2" s="2234"/>
      <c r="D2" s="2234"/>
      <c r="E2" s="2234"/>
      <c r="F2" s="131"/>
      <c r="G2" s="132"/>
      <c r="H2" s="129"/>
      <c r="I2" s="128"/>
    </row>
    <row r="3" spans="1:9" ht="8.25" customHeight="1">
      <c r="A3" s="135"/>
      <c r="B3" s="135"/>
      <c r="C3" s="135"/>
      <c r="D3" s="135"/>
      <c r="E3" s="135"/>
      <c r="F3" s="135"/>
      <c r="G3" s="129"/>
      <c r="H3" s="129"/>
      <c r="I3" s="128"/>
    </row>
    <row r="4" spans="1:9">
      <c r="A4" s="2229" t="s">
        <v>1168</v>
      </c>
      <c r="B4" s="2221" t="s">
        <v>671</v>
      </c>
      <c r="C4" s="2222"/>
      <c r="D4" s="2222"/>
      <c r="E4" s="2223"/>
      <c r="F4" s="135"/>
      <c r="G4" s="129"/>
      <c r="H4" s="129"/>
      <c r="I4" s="128"/>
    </row>
    <row r="5" spans="1:9">
      <c r="A5" s="2230"/>
      <c r="B5" s="1517">
        <v>2011</v>
      </c>
      <c r="C5" s="1517">
        <v>2012</v>
      </c>
      <c r="D5" s="1517">
        <v>2013</v>
      </c>
      <c r="E5" s="1517">
        <v>2014</v>
      </c>
      <c r="F5" s="135"/>
      <c r="G5" s="129"/>
      <c r="H5" s="129"/>
      <c r="I5" s="128"/>
    </row>
    <row r="6" spans="1:9">
      <c r="A6" s="1326" t="s">
        <v>6</v>
      </c>
      <c r="B6" s="1517">
        <v>140</v>
      </c>
      <c r="C6" s="1517">
        <v>125</v>
      </c>
      <c r="D6" s="1367">
        <v>115</v>
      </c>
      <c r="E6" s="1367">
        <v>105</v>
      </c>
      <c r="F6" s="135"/>
      <c r="G6" s="129"/>
      <c r="H6" s="129"/>
      <c r="I6" s="128"/>
    </row>
    <row r="7" spans="1:9">
      <c r="A7" s="135"/>
      <c r="B7" s="135"/>
      <c r="C7" s="135"/>
      <c r="D7" s="135"/>
      <c r="E7" s="135"/>
      <c r="F7" s="135"/>
      <c r="G7" s="129"/>
      <c r="H7" s="129"/>
      <c r="I7" s="128"/>
    </row>
    <row r="8" spans="1:9" ht="14.25" customHeight="1">
      <c r="A8" s="2214" t="s">
        <v>1169</v>
      </c>
      <c r="B8" s="2214"/>
      <c r="C8" s="2214"/>
      <c r="D8" s="2214"/>
      <c r="E8" s="2214"/>
      <c r="F8" s="994"/>
      <c r="G8" s="1004"/>
      <c r="H8" s="129"/>
      <c r="I8" s="128"/>
    </row>
    <row r="9" spans="1:9">
      <c r="A9" s="135"/>
      <c r="B9" s="135"/>
      <c r="C9" s="135"/>
      <c r="D9" s="135"/>
      <c r="E9" s="135"/>
      <c r="F9" s="135"/>
      <c r="G9" s="135"/>
      <c r="H9" s="135"/>
    </row>
    <row r="10" spans="1:9">
      <c r="E10" s="1587"/>
    </row>
  </sheetData>
  <mergeCells count="4">
    <mergeCell ref="A2:E2"/>
    <mergeCell ref="A4:A5"/>
    <mergeCell ref="B4:E4"/>
    <mergeCell ref="A8:E8"/>
  </mergeCells>
  <pageMargins left="0.7" right="0.7" top="0.75" bottom="0.75" header="0.3" footer="0.3"/>
  <pageSetup paperSize="14" orientation="portrait" r:id="rId1"/>
</worksheet>
</file>

<file path=xl/worksheets/sheet109.xml><?xml version="1.0" encoding="utf-8"?>
<worksheet xmlns="http://schemas.openxmlformats.org/spreadsheetml/2006/main" xmlns:r="http://schemas.openxmlformats.org/officeDocument/2006/relationships">
  <dimension ref="A1:I51"/>
  <sheetViews>
    <sheetView zoomScaleNormal="100" workbookViewId="0"/>
  </sheetViews>
  <sheetFormatPr baseColWidth="10" defaultRowHeight="12"/>
  <cols>
    <col min="1" max="1" width="45.140625" style="51" customWidth="1"/>
    <col min="2" max="2" width="11" style="51" customWidth="1"/>
    <col min="3" max="3" width="12.42578125" style="51" customWidth="1"/>
    <col min="4" max="4" width="10.7109375" style="51" customWidth="1"/>
    <col min="5" max="5" width="12.42578125" style="51" customWidth="1"/>
    <col min="6" max="16384" width="11.42578125" style="51"/>
  </cols>
  <sheetData>
    <row r="1" spans="1:9" ht="6" customHeight="1"/>
    <row r="2" spans="1:9" s="61" customFormat="1" ht="33" customHeight="1">
      <c r="A2" s="2236" t="s">
        <v>1171</v>
      </c>
      <c r="B2" s="2236"/>
      <c r="C2" s="2236"/>
      <c r="D2" s="2236"/>
      <c r="E2" s="2236"/>
      <c r="F2" s="2236"/>
      <c r="G2" s="2236"/>
      <c r="I2" s="750"/>
    </row>
    <row r="3" spans="1:9" ht="6" customHeight="1">
      <c r="A3" s="1572"/>
      <c r="B3" s="1572"/>
      <c r="C3" s="1572"/>
      <c r="D3" s="1572"/>
      <c r="E3" s="1572"/>
    </row>
    <row r="4" spans="1:9">
      <c r="A4" s="2237" t="s">
        <v>1172</v>
      </c>
      <c r="B4" s="2239">
        <v>2012</v>
      </c>
      <c r="C4" s="2240"/>
      <c r="D4" s="2241">
        <v>2013</v>
      </c>
      <c r="E4" s="2241"/>
      <c r="F4" s="2239">
        <v>2014</v>
      </c>
      <c r="G4" s="2240"/>
    </row>
    <row r="5" spans="1:9" ht="22.5">
      <c r="A5" s="2238"/>
      <c r="B5" s="1573" t="s">
        <v>1173</v>
      </c>
      <c r="C5" s="1573" t="s">
        <v>1149</v>
      </c>
      <c r="D5" s="1573" t="s">
        <v>1173</v>
      </c>
      <c r="E5" s="1573" t="s">
        <v>1149</v>
      </c>
      <c r="F5" s="1573" t="s">
        <v>1173</v>
      </c>
      <c r="G5" s="1573" t="s">
        <v>1149</v>
      </c>
    </row>
    <row r="6" spans="1:9">
      <c r="A6" s="318" t="s">
        <v>1174</v>
      </c>
      <c r="B6" s="1574">
        <f>SUM(B7:B9)</f>
        <v>642</v>
      </c>
      <c r="C6" s="1575">
        <f>SUM(C7:C9)</f>
        <v>100.00000000000001</v>
      </c>
      <c r="D6" s="1574">
        <f>SUM(D7:D9)</f>
        <v>1017</v>
      </c>
      <c r="E6" s="1575">
        <f>SUM(E7:E9)</f>
        <v>100</v>
      </c>
      <c r="F6" s="1574">
        <v>1021</v>
      </c>
      <c r="G6" s="1575">
        <f>SUM(G7:G9)</f>
        <v>100</v>
      </c>
      <c r="I6" s="448"/>
    </row>
    <row r="7" spans="1:9">
      <c r="A7" s="1576" t="s">
        <v>1175</v>
      </c>
      <c r="B7" s="1577">
        <v>150</v>
      </c>
      <c r="C7" s="1578">
        <f>B7*100/B6</f>
        <v>23.364485981308412</v>
      </c>
      <c r="D7" s="1577">
        <v>310</v>
      </c>
      <c r="E7" s="1578">
        <f>D7*100/D6</f>
        <v>30.48180924287119</v>
      </c>
      <c r="F7" s="1577">
        <v>434</v>
      </c>
      <c r="G7" s="1578">
        <f>F7*100/F6</f>
        <v>42.507345739471106</v>
      </c>
    </row>
    <row r="8" spans="1:9">
      <c r="A8" s="1576" t="s">
        <v>1176</v>
      </c>
      <c r="B8" s="1577">
        <v>395</v>
      </c>
      <c r="C8" s="1578">
        <f>B8*100/B6</f>
        <v>61.526479750778819</v>
      </c>
      <c r="D8" s="1577">
        <v>637</v>
      </c>
      <c r="E8" s="1578">
        <f>D8*100/D6</f>
        <v>62.635201573254669</v>
      </c>
      <c r="F8" s="1577">
        <v>38</v>
      </c>
      <c r="G8" s="1578">
        <f>F8*100/F6</f>
        <v>3.7218413320274242</v>
      </c>
    </row>
    <row r="9" spans="1:9">
      <c r="A9" s="1576" t="s">
        <v>1177</v>
      </c>
      <c r="B9" s="1577">
        <v>97</v>
      </c>
      <c r="C9" s="1578">
        <f>B9*100/B6</f>
        <v>15.109034267912772</v>
      </c>
      <c r="D9" s="1577">
        <v>70</v>
      </c>
      <c r="E9" s="1578">
        <f>D9*100/D6</f>
        <v>6.8829891838741393</v>
      </c>
      <c r="F9" s="1577">
        <v>549</v>
      </c>
      <c r="G9" s="1578">
        <f>F9*100/F6</f>
        <v>53.770812928501471</v>
      </c>
    </row>
    <row r="10" spans="1:9">
      <c r="A10" s="318" t="s">
        <v>1178</v>
      </c>
      <c r="B10" s="1574">
        <f>SUM(B11:B13)</f>
        <v>643</v>
      </c>
      <c r="C10" s="1579">
        <f>SUM(C11:C13)</f>
        <v>1</v>
      </c>
      <c r="D10" s="1574">
        <f>SUM(D11:D13)</f>
        <v>1015</v>
      </c>
      <c r="E10" s="1579">
        <f>SUM(E11:E13)</f>
        <v>1</v>
      </c>
      <c r="F10" s="1574">
        <v>1021</v>
      </c>
      <c r="G10" s="1575">
        <f>SUM(G11:G13)</f>
        <v>100</v>
      </c>
      <c r="H10" s="448"/>
    </row>
    <row r="11" spans="1:9">
      <c r="A11" s="1576" t="s">
        <v>1179</v>
      </c>
      <c r="B11" s="1577">
        <v>568</v>
      </c>
      <c r="C11" s="1580">
        <f>B11/$B$10</f>
        <v>0.8833592534992224</v>
      </c>
      <c r="D11" s="1577">
        <v>929</v>
      </c>
      <c r="E11" s="1580">
        <f>D11/$D$10</f>
        <v>0.91527093596059117</v>
      </c>
      <c r="F11" s="1577">
        <v>937</v>
      </c>
      <c r="G11" s="1578">
        <f>F11*100/F10</f>
        <v>91.77277179236043</v>
      </c>
      <c r="H11" s="448"/>
    </row>
    <row r="12" spans="1:9">
      <c r="A12" s="1576" t="s">
        <v>1180</v>
      </c>
      <c r="B12" s="1577">
        <v>61</v>
      </c>
      <c r="C12" s="1580">
        <f>B12/$B$10</f>
        <v>9.4867807153965783E-2</v>
      </c>
      <c r="D12" s="1577">
        <v>72</v>
      </c>
      <c r="E12" s="1580">
        <f>D12/$D$10</f>
        <v>7.093596059113301E-2</v>
      </c>
      <c r="F12" s="1577">
        <v>56</v>
      </c>
      <c r="G12" s="1578">
        <f>F12*100/F10</f>
        <v>5.4848188050930462</v>
      </c>
    </row>
    <row r="13" spans="1:9">
      <c r="A13" s="1576" t="s">
        <v>1181</v>
      </c>
      <c r="B13" s="1577">
        <v>14</v>
      </c>
      <c r="C13" s="1580">
        <f>B13/$B$10</f>
        <v>2.177293934681182E-2</v>
      </c>
      <c r="D13" s="1577">
        <v>14</v>
      </c>
      <c r="E13" s="1580">
        <f>D13/$D$10</f>
        <v>1.3793103448275862E-2</v>
      </c>
      <c r="F13" s="1577">
        <v>28</v>
      </c>
      <c r="G13" s="1578">
        <f>F13*100/F10</f>
        <v>2.7424094025465231</v>
      </c>
    </row>
    <row r="14" spans="1:9" ht="23.25">
      <c r="A14" s="318" t="s">
        <v>1182</v>
      </c>
      <c r="B14" s="1574">
        <f>SUM(B15:B16)</f>
        <v>640</v>
      </c>
      <c r="C14" s="1579">
        <f>SUM(C15:C16)</f>
        <v>1</v>
      </c>
      <c r="D14" s="1574">
        <f>SUM(D15:D16)</f>
        <v>1017</v>
      </c>
      <c r="E14" s="1579">
        <f>SUM(E15:E16)</f>
        <v>1</v>
      </c>
      <c r="F14" s="1574">
        <v>1021</v>
      </c>
      <c r="G14" s="1575">
        <f>SUM(G15:G16)</f>
        <v>100</v>
      </c>
    </row>
    <row r="15" spans="1:9">
      <c r="A15" s="1576" t="s">
        <v>1183</v>
      </c>
      <c r="B15" s="1577">
        <v>73</v>
      </c>
      <c r="C15" s="1580">
        <f>B15/$B$14</f>
        <v>0.1140625</v>
      </c>
      <c r="D15" s="1577">
        <v>53</v>
      </c>
      <c r="E15" s="1580">
        <f>D15/$D$14</f>
        <v>5.2114060963618487E-2</v>
      </c>
      <c r="F15" s="1577">
        <v>84</v>
      </c>
      <c r="G15" s="1578">
        <f>F15*100/F14</f>
        <v>8.2272282076395697</v>
      </c>
    </row>
    <row r="16" spans="1:9">
      <c r="A16" s="1576" t="s">
        <v>1184</v>
      </c>
      <c r="B16" s="1577">
        <v>567</v>
      </c>
      <c r="C16" s="1580">
        <f>B16/$B$14</f>
        <v>0.88593750000000004</v>
      </c>
      <c r="D16" s="1577">
        <v>964</v>
      </c>
      <c r="E16" s="1580">
        <f>D16/$D$14</f>
        <v>0.94788593903638152</v>
      </c>
      <c r="F16" s="1577">
        <v>937</v>
      </c>
      <c r="G16" s="1578">
        <f>F16*100/F14</f>
        <v>91.77277179236043</v>
      </c>
    </row>
    <row r="17" spans="1:9">
      <c r="A17" s="318" t="s">
        <v>1185</v>
      </c>
      <c r="B17" s="1574">
        <f>SUM(B18:B29)</f>
        <v>595</v>
      </c>
      <c r="C17" s="1579">
        <f>SUM(C18:C29)</f>
        <v>1</v>
      </c>
      <c r="D17" s="1581">
        <f>SUM(D18:D29)</f>
        <v>1017</v>
      </c>
      <c r="E17" s="1357">
        <f>SUM(E18:E29)</f>
        <v>0.99999999999999989</v>
      </c>
      <c r="F17" s="1581" t="s">
        <v>55</v>
      </c>
      <c r="G17" s="1581" t="s">
        <v>55</v>
      </c>
    </row>
    <row r="18" spans="1:9">
      <c r="A18" s="1576" t="s">
        <v>1135</v>
      </c>
      <c r="B18" s="1577">
        <v>33</v>
      </c>
      <c r="C18" s="1580">
        <f>B18/$B$17</f>
        <v>5.5462184873949577E-2</v>
      </c>
      <c r="D18" s="1582">
        <v>50</v>
      </c>
      <c r="E18" s="1583">
        <f>D18/$D$17</f>
        <v>4.9164208456243856E-2</v>
      </c>
      <c r="F18" s="1581" t="s">
        <v>55</v>
      </c>
      <c r="G18" s="1581" t="s">
        <v>55</v>
      </c>
    </row>
    <row r="19" spans="1:9">
      <c r="A19" s="1576" t="s">
        <v>1136</v>
      </c>
      <c r="B19" s="1577">
        <v>13</v>
      </c>
      <c r="C19" s="1580">
        <f t="shared" ref="C19:C29" si="0">B19/$B$17</f>
        <v>2.1848739495798318E-2</v>
      </c>
      <c r="D19" s="1582">
        <v>27</v>
      </c>
      <c r="E19" s="1583">
        <f t="shared" ref="E19:E29" si="1">D19/$D$17</f>
        <v>2.6548672566371681E-2</v>
      </c>
      <c r="F19" s="1581" t="s">
        <v>55</v>
      </c>
      <c r="G19" s="1581" t="s">
        <v>55</v>
      </c>
    </row>
    <row r="20" spans="1:9">
      <c r="A20" s="1576" t="s">
        <v>1137</v>
      </c>
      <c r="B20" s="1577">
        <v>38</v>
      </c>
      <c r="C20" s="1580">
        <f t="shared" si="0"/>
        <v>6.386554621848739E-2</v>
      </c>
      <c r="D20" s="1582">
        <v>51</v>
      </c>
      <c r="E20" s="1583">
        <f t="shared" si="1"/>
        <v>5.0147492625368731E-2</v>
      </c>
      <c r="F20" s="1581" t="s">
        <v>55</v>
      </c>
      <c r="G20" s="1581" t="s">
        <v>55</v>
      </c>
    </row>
    <row r="21" spans="1:9">
      <c r="A21" s="1576" t="s">
        <v>1138</v>
      </c>
      <c r="B21" s="1577">
        <v>42</v>
      </c>
      <c r="C21" s="1580">
        <f t="shared" si="0"/>
        <v>7.0588235294117646E-2</v>
      </c>
      <c r="D21" s="1582">
        <v>74</v>
      </c>
      <c r="E21" s="1583">
        <f t="shared" si="1"/>
        <v>7.2763028515240899E-2</v>
      </c>
      <c r="F21" s="1581" t="s">
        <v>55</v>
      </c>
      <c r="G21" s="1581" t="s">
        <v>55</v>
      </c>
    </row>
    <row r="22" spans="1:9">
      <c r="A22" s="1576" t="s">
        <v>1139</v>
      </c>
      <c r="B22" s="1577">
        <v>55</v>
      </c>
      <c r="C22" s="1580">
        <f t="shared" si="0"/>
        <v>9.2436974789915971E-2</v>
      </c>
      <c r="D22" s="1582">
        <v>67</v>
      </c>
      <c r="E22" s="1583">
        <f t="shared" si="1"/>
        <v>6.5880039331366769E-2</v>
      </c>
      <c r="F22" s="1581" t="s">
        <v>55</v>
      </c>
      <c r="G22" s="1581" t="s">
        <v>55</v>
      </c>
      <c r="H22" s="118"/>
      <c r="I22" s="118"/>
    </row>
    <row r="23" spans="1:9">
      <c r="A23" s="1576" t="s">
        <v>1140</v>
      </c>
      <c r="B23" s="1577">
        <v>44</v>
      </c>
      <c r="C23" s="1580">
        <f t="shared" si="0"/>
        <v>7.3949579831932774E-2</v>
      </c>
      <c r="D23" s="1582">
        <v>83</v>
      </c>
      <c r="E23" s="1583">
        <f t="shared" si="1"/>
        <v>8.1612586037364793E-2</v>
      </c>
      <c r="F23" s="1581" t="s">
        <v>55</v>
      </c>
      <c r="G23" s="1581" t="s">
        <v>55</v>
      </c>
      <c r="H23" s="118"/>
      <c r="I23" s="118"/>
    </row>
    <row r="24" spans="1:9">
      <c r="A24" s="1576" t="s">
        <v>1141</v>
      </c>
      <c r="B24" s="1577">
        <v>57</v>
      </c>
      <c r="C24" s="1580">
        <f t="shared" si="0"/>
        <v>9.5798319327731099E-2</v>
      </c>
      <c r="D24" s="1582">
        <v>70</v>
      </c>
      <c r="E24" s="1583">
        <f t="shared" si="1"/>
        <v>6.88298918387414E-2</v>
      </c>
      <c r="F24" s="1581" t="s">
        <v>55</v>
      </c>
      <c r="G24" s="1581" t="s">
        <v>55</v>
      </c>
      <c r="H24" s="118"/>
      <c r="I24" s="118"/>
    </row>
    <row r="25" spans="1:9">
      <c r="A25" s="1576" t="s">
        <v>1142</v>
      </c>
      <c r="B25" s="1577">
        <v>52</v>
      </c>
      <c r="C25" s="1580">
        <f t="shared" si="0"/>
        <v>8.7394957983193272E-2</v>
      </c>
      <c r="D25" s="1582">
        <v>100</v>
      </c>
      <c r="E25" s="1583">
        <f t="shared" si="1"/>
        <v>9.8328416912487712E-2</v>
      </c>
      <c r="F25" s="1581" t="s">
        <v>55</v>
      </c>
      <c r="G25" s="1581" t="s">
        <v>55</v>
      </c>
      <c r="H25" s="118"/>
      <c r="I25" s="118"/>
    </row>
    <row r="26" spans="1:9">
      <c r="A26" s="1576" t="s">
        <v>1143</v>
      </c>
      <c r="B26" s="1577">
        <v>52</v>
      </c>
      <c r="C26" s="1580">
        <f t="shared" si="0"/>
        <v>8.7394957983193272E-2</v>
      </c>
      <c r="D26" s="1582">
        <v>79</v>
      </c>
      <c r="E26" s="1583">
        <f t="shared" si="1"/>
        <v>7.7679449360865294E-2</v>
      </c>
      <c r="F26" s="1581" t="s">
        <v>55</v>
      </c>
      <c r="G26" s="1581" t="s">
        <v>55</v>
      </c>
      <c r="H26" s="118"/>
      <c r="I26" s="118"/>
    </row>
    <row r="27" spans="1:9">
      <c r="A27" s="1576" t="s">
        <v>1144</v>
      </c>
      <c r="B27" s="1577">
        <v>68</v>
      </c>
      <c r="C27" s="1580">
        <f t="shared" si="0"/>
        <v>0.11428571428571428</v>
      </c>
      <c r="D27" s="1582">
        <v>85</v>
      </c>
      <c r="E27" s="1583">
        <f t="shared" si="1"/>
        <v>8.3579154375614556E-2</v>
      </c>
      <c r="F27" s="1581" t="s">
        <v>55</v>
      </c>
      <c r="G27" s="1581" t="s">
        <v>55</v>
      </c>
      <c r="H27" s="118"/>
      <c r="I27" s="118"/>
    </row>
    <row r="28" spans="1:9">
      <c r="A28" s="1576" t="s">
        <v>1145</v>
      </c>
      <c r="B28" s="1577">
        <v>60</v>
      </c>
      <c r="C28" s="1580">
        <f t="shared" si="0"/>
        <v>0.10084033613445378</v>
      </c>
      <c r="D28" s="1582">
        <v>231</v>
      </c>
      <c r="E28" s="1583">
        <f t="shared" si="1"/>
        <v>0.22713864306784662</v>
      </c>
      <c r="F28" s="1581" t="s">
        <v>55</v>
      </c>
      <c r="G28" s="1581" t="s">
        <v>55</v>
      </c>
      <c r="H28" s="118"/>
      <c r="I28" s="118"/>
    </row>
    <row r="29" spans="1:9">
      <c r="A29" s="1576" t="s">
        <v>1146</v>
      </c>
      <c r="B29" s="1577">
        <v>81</v>
      </c>
      <c r="C29" s="1580">
        <f t="shared" si="0"/>
        <v>0.13613445378151259</v>
      </c>
      <c r="D29" s="1582">
        <v>100</v>
      </c>
      <c r="E29" s="1583">
        <f t="shared" si="1"/>
        <v>9.8328416912487712E-2</v>
      </c>
      <c r="F29" s="1581" t="s">
        <v>55</v>
      </c>
      <c r="G29" s="1581" t="s">
        <v>55</v>
      </c>
      <c r="H29" s="118"/>
      <c r="I29" s="118"/>
    </row>
    <row r="30" spans="1:9">
      <c r="A30" s="318" t="s">
        <v>1186</v>
      </c>
      <c r="B30" s="1574">
        <f>SUM(B31:B34)</f>
        <v>567</v>
      </c>
      <c r="C30" s="1579">
        <f>B30/$B$30</f>
        <v>1</v>
      </c>
      <c r="D30" s="1581">
        <f>SUM(D31:D34)</f>
        <v>1044</v>
      </c>
      <c r="E30" s="1396">
        <f>D30/$D$30</f>
        <v>1</v>
      </c>
      <c r="F30" s="1581">
        <v>1021</v>
      </c>
      <c r="G30" s="1396">
        <f>SUM(G31:G34)</f>
        <v>0</v>
      </c>
      <c r="H30" s="118"/>
      <c r="I30" s="118"/>
    </row>
    <row r="31" spans="1:9">
      <c r="A31" s="1576" t="s">
        <v>1187</v>
      </c>
      <c r="B31" s="1577">
        <v>277</v>
      </c>
      <c r="C31" s="1580">
        <f>B31/$B$30</f>
        <v>0.48853615520282184</v>
      </c>
      <c r="D31" s="1582">
        <v>437</v>
      </c>
      <c r="E31" s="1583">
        <f>D31/$D$30</f>
        <v>0.41858237547892718</v>
      </c>
      <c r="F31" s="1581" t="s">
        <v>55</v>
      </c>
      <c r="G31" s="1581" t="s">
        <v>55</v>
      </c>
      <c r="H31" s="118"/>
      <c r="I31" s="118"/>
    </row>
    <row r="32" spans="1:9">
      <c r="A32" s="1576" t="s">
        <v>1188</v>
      </c>
      <c r="B32" s="1577">
        <v>248</v>
      </c>
      <c r="C32" s="1580">
        <f>B32/$B$30</f>
        <v>0.43738977072310403</v>
      </c>
      <c r="D32" s="1582">
        <v>566</v>
      </c>
      <c r="E32" s="1583">
        <f>D32/$D$30</f>
        <v>0.54214559386973182</v>
      </c>
      <c r="F32" s="1581" t="s">
        <v>55</v>
      </c>
      <c r="G32" s="1581" t="s">
        <v>55</v>
      </c>
      <c r="H32" s="118"/>
      <c r="I32" s="118"/>
    </row>
    <row r="33" spans="1:9">
      <c r="A33" s="1576" t="s">
        <v>1189</v>
      </c>
      <c r="B33" s="1577">
        <v>28</v>
      </c>
      <c r="C33" s="1580">
        <f>B33/$B$30</f>
        <v>4.9382716049382713E-2</v>
      </c>
      <c r="D33" s="1582">
        <v>24</v>
      </c>
      <c r="E33" s="1583">
        <f>D33/$D$30</f>
        <v>2.2988505747126436E-2</v>
      </c>
      <c r="F33" s="1581" t="s">
        <v>55</v>
      </c>
      <c r="G33" s="1581" t="s">
        <v>55</v>
      </c>
      <c r="H33" s="118"/>
      <c r="I33" s="118"/>
    </row>
    <row r="34" spans="1:9">
      <c r="A34" s="1576" t="s">
        <v>1190</v>
      </c>
      <c r="B34" s="1577">
        <v>14</v>
      </c>
      <c r="C34" s="1580">
        <f>B34/$B$30</f>
        <v>2.4691358024691357E-2</v>
      </c>
      <c r="D34" s="1582">
        <v>17</v>
      </c>
      <c r="E34" s="1583">
        <f>D34/$D$30</f>
        <v>1.6283524904214558E-2</v>
      </c>
      <c r="F34" s="1581" t="s">
        <v>55</v>
      </c>
      <c r="G34" s="1581" t="s">
        <v>55</v>
      </c>
      <c r="H34" s="118"/>
      <c r="I34" s="118"/>
    </row>
    <row r="35" spans="1:9">
      <c r="A35" s="318" t="s">
        <v>1191</v>
      </c>
      <c r="B35" s="1574">
        <f>SUM(B36:B37)</f>
        <v>378</v>
      </c>
      <c r="C35" s="1579">
        <f>SUM(C36:C37)</f>
        <v>1</v>
      </c>
      <c r="D35" s="1581">
        <f>SUM(D36:D37)</f>
        <v>1017</v>
      </c>
      <c r="E35" s="1357">
        <f>SUM(E36:E37)</f>
        <v>1</v>
      </c>
      <c r="F35" s="1581">
        <v>936</v>
      </c>
      <c r="G35" s="1357">
        <f>SUM(G36:G37)</f>
        <v>1</v>
      </c>
      <c r="H35" s="118"/>
      <c r="I35" s="118"/>
    </row>
    <row r="36" spans="1:9">
      <c r="A36" s="1576" t="s">
        <v>1192</v>
      </c>
      <c r="B36" s="1577">
        <v>305</v>
      </c>
      <c r="C36" s="1580">
        <f>B36/$B$35</f>
        <v>0.80687830687830686</v>
      </c>
      <c r="D36" s="1582">
        <v>911</v>
      </c>
      <c r="E36" s="1583">
        <f>D36/$D$35</f>
        <v>0.89577187807276304</v>
      </c>
      <c r="F36" s="1582">
        <v>876</v>
      </c>
      <c r="G36" s="1583">
        <f>F36/$F$35</f>
        <v>0.9358974358974359</v>
      </c>
      <c r="H36" s="118"/>
      <c r="I36" s="118"/>
    </row>
    <row r="37" spans="1:9">
      <c r="A37" s="1576" t="s">
        <v>1193</v>
      </c>
      <c r="B37" s="1577">
        <v>73</v>
      </c>
      <c r="C37" s="1580">
        <f>B37/$B$35</f>
        <v>0.19312169312169311</v>
      </c>
      <c r="D37" s="1582">
        <v>106</v>
      </c>
      <c r="E37" s="1583">
        <f>D37/$D$35</f>
        <v>0.10422812192723697</v>
      </c>
      <c r="F37" s="1582">
        <v>60</v>
      </c>
      <c r="G37" s="1583">
        <f>F37/$F$35</f>
        <v>6.4102564102564097E-2</v>
      </c>
      <c r="H37" s="118"/>
      <c r="I37" s="118"/>
    </row>
    <row r="38" spans="1:9">
      <c r="A38" s="318" t="s">
        <v>1194</v>
      </c>
      <c r="B38" s="1574">
        <f>SUM(B39:B44)</f>
        <v>391</v>
      </c>
      <c r="C38" s="1579">
        <f>SUM(C39:C44)</f>
        <v>1</v>
      </c>
      <c r="D38" s="1581">
        <f>SUM(D39:D44)</f>
        <v>1015</v>
      </c>
      <c r="E38" s="1357">
        <f>SUM(E39:E44)</f>
        <v>1</v>
      </c>
      <c r="F38" s="1581">
        <v>1021</v>
      </c>
      <c r="G38" s="1357">
        <f>SUM(G39:G44)</f>
        <v>1.0000000000000002</v>
      </c>
      <c r="H38" s="118"/>
      <c r="I38" s="118"/>
    </row>
    <row r="39" spans="1:9">
      <c r="A39" s="1576" t="s">
        <v>1195</v>
      </c>
      <c r="B39" s="1577">
        <v>72</v>
      </c>
      <c r="C39" s="1580">
        <f t="shared" ref="C39:C44" si="2">B39/$B$38</f>
        <v>0.18414322250639387</v>
      </c>
      <c r="D39" s="1582">
        <v>133</v>
      </c>
      <c r="E39" s="1583">
        <f t="shared" ref="E39:E44" si="3">SUM(D39)/$D$38</f>
        <v>0.1310344827586207</v>
      </c>
      <c r="F39" s="1582">
        <v>56</v>
      </c>
      <c r="G39" s="1583">
        <f t="shared" ref="G39:G44" si="4">SUM(F39)/$F$38</f>
        <v>5.484818805093046E-2</v>
      </c>
      <c r="H39" s="118"/>
      <c r="I39" s="118"/>
    </row>
    <row r="40" spans="1:9">
      <c r="A40" s="1576" t="s">
        <v>1196</v>
      </c>
      <c r="B40" s="1577">
        <v>18</v>
      </c>
      <c r="C40" s="1580">
        <f t="shared" si="2"/>
        <v>4.6035805626598467E-2</v>
      </c>
      <c r="D40" s="1582">
        <v>30</v>
      </c>
      <c r="E40" s="1583">
        <f t="shared" si="3"/>
        <v>2.9556650246305417E-2</v>
      </c>
      <c r="F40" s="1582">
        <v>17</v>
      </c>
      <c r="G40" s="1583">
        <f t="shared" si="4"/>
        <v>1.6650342801175319E-2</v>
      </c>
      <c r="H40" s="118"/>
      <c r="I40" s="1584"/>
    </row>
    <row r="41" spans="1:9">
      <c r="A41" s="1576" t="s">
        <v>1197</v>
      </c>
      <c r="B41" s="1577">
        <v>268</v>
      </c>
      <c r="C41" s="1580">
        <f t="shared" si="2"/>
        <v>0.68542199488491051</v>
      </c>
      <c r="D41" s="1582">
        <v>806</v>
      </c>
      <c r="E41" s="1583">
        <f t="shared" si="3"/>
        <v>0.7940886699507389</v>
      </c>
      <c r="F41" s="1582">
        <v>795</v>
      </c>
      <c r="G41" s="1583">
        <f t="shared" si="4"/>
        <v>0.77864838393731639</v>
      </c>
      <c r="H41" s="118"/>
      <c r="I41" s="118"/>
    </row>
    <row r="42" spans="1:9">
      <c r="A42" s="1576" t="s">
        <v>1198</v>
      </c>
      <c r="B42" s="1577">
        <v>28</v>
      </c>
      <c r="C42" s="1580">
        <f t="shared" si="2"/>
        <v>7.1611253196930943E-2</v>
      </c>
      <c r="D42" s="1582">
        <v>30</v>
      </c>
      <c r="E42" s="1583">
        <f t="shared" si="3"/>
        <v>2.9556650246305417E-2</v>
      </c>
      <c r="F42" s="1582">
        <v>57</v>
      </c>
      <c r="G42" s="1583">
        <f t="shared" si="4"/>
        <v>5.5827619980411358E-2</v>
      </c>
      <c r="H42" s="118"/>
      <c r="I42" s="118"/>
    </row>
    <row r="43" spans="1:9">
      <c r="A43" s="1576" t="s">
        <v>1199</v>
      </c>
      <c r="B43" s="1577">
        <v>0</v>
      </c>
      <c r="C43" s="1580">
        <f t="shared" si="2"/>
        <v>0</v>
      </c>
      <c r="D43" s="1582">
        <v>16</v>
      </c>
      <c r="E43" s="1583">
        <f t="shared" si="3"/>
        <v>1.5763546798029555E-2</v>
      </c>
      <c r="F43" s="1582">
        <v>3</v>
      </c>
      <c r="G43" s="1583">
        <f t="shared" si="4"/>
        <v>2.9382957884427031E-3</v>
      </c>
      <c r="H43" s="118"/>
      <c r="I43" s="118"/>
    </row>
    <row r="44" spans="1:9">
      <c r="A44" s="1576" t="s">
        <v>1200</v>
      </c>
      <c r="B44" s="1577">
        <v>5</v>
      </c>
      <c r="C44" s="1580">
        <f t="shared" si="2"/>
        <v>1.278772378516624E-2</v>
      </c>
      <c r="D44" s="1582" t="s">
        <v>155</v>
      </c>
      <c r="E44" s="1583">
        <f t="shared" si="3"/>
        <v>0</v>
      </c>
      <c r="F44" s="1582">
        <v>93</v>
      </c>
      <c r="G44" s="1583">
        <f t="shared" si="4"/>
        <v>9.1087169441723806E-2</v>
      </c>
      <c r="H44" s="118"/>
      <c r="I44" s="118"/>
    </row>
    <row r="45" spans="1:9" ht="29.25" customHeight="1">
      <c r="A45" s="318" t="s">
        <v>1201</v>
      </c>
      <c r="B45" s="1574">
        <f>SUM(B46:B48)</f>
        <v>362</v>
      </c>
      <c r="C45" s="1579">
        <f>SUM(C46:C48)</f>
        <v>1</v>
      </c>
      <c r="D45" s="1581">
        <f>SUM(D46:D48)</f>
        <v>700</v>
      </c>
      <c r="E45" s="1357">
        <f>D45/$D$45</f>
        <v>1</v>
      </c>
      <c r="F45" s="1581" t="s">
        <v>55</v>
      </c>
      <c r="G45" s="1581" t="s">
        <v>55</v>
      </c>
      <c r="H45" s="118"/>
      <c r="I45" s="118"/>
    </row>
    <row r="46" spans="1:9">
      <c r="A46" s="1576" t="s">
        <v>1202</v>
      </c>
      <c r="B46" s="1577">
        <v>113</v>
      </c>
      <c r="C46" s="1580">
        <f>B46/$B$45</f>
        <v>0.31215469613259667</v>
      </c>
      <c r="D46" s="1582">
        <v>352</v>
      </c>
      <c r="E46" s="1585">
        <f>D46/$D$45</f>
        <v>0.50285714285714289</v>
      </c>
      <c r="F46" s="1581" t="s">
        <v>55</v>
      </c>
      <c r="G46" s="1581" t="s">
        <v>55</v>
      </c>
      <c r="H46" s="118"/>
      <c r="I46" s="118"/>
    </row>
    <row r="47" spans="1:9">
      <c r="A47" s="1576" t="s">
        <v>1203</v>
      </c>
      <c r="B47" s="1577">
        <v>52</v>
      </c>
      <c r="C47" s="1580">
        <f>B47/$B$45</f>
        <v>0.143646408839779</v>
      </c>
      <c r="D47" s="1582">
        <v>124</v>
      </c>
      <c r="E47" s="1585">
        <f>D47/$D$45</f>
        <v>0.17714285714285713</v>
      </c>
      <c r="F47" s="1581" t="s">
        <v>55</v>
      </c>
      <c r="G47" s="1581" t="s">
        <v>55</v>
      </c>
      <c r="H47" s="118"/>
      <c r="I47" s="118"/>
    </row>
    <row r="48" spans="1:9">
      <c r="A48" s="1576" t="s">
        <v>1204</v>
      </c>
      <c r="B48" s="1577">
        <v>197</v>
      </c>
      <c r="C48" s="1580">
        <f>B48/$B$45</f>
        <v>0.54419889502762431</v>
      </c>
      <c r="D48" s="1582">
        <v>224</v>
      </c>
      <c r="E48" s="1585">
        <f>D48/$D$45</f>
        <v>0.32</v>
      </c>
      <c r="F48" s="1581" t="s">
        <v>55</v>
      </c>
      <c r="G48" s="1581" t="s">
        <v>55</v>
      </c>
      <c r="H48" s="118"/>
      <c r="I48" s="118"/>
    </row>
    <row r="49" spans="1:9">
      <c r="D49" s="118"/>
      <c r="E49" s="118"/>
      <c r="F49" s="118"/>
      <c r="G49" s="118"/>
      <c r="H49" s="118"/>
      <c r="I49" s="118"/>
    </row>
    <row r="50" spans="1:9">
      <c r="A50" s="2235" t="s">
        <v>1033</v>
      </c>
      <c r="B50" s="2235"/>
      <c r="D50" s="118"/>
      <c r="E50" s="118"/>
      <c r="F50" s="118"/>
      <c r="G50" s="118"/>
      <c r="H50" s="118"/>
      <c r="I50" s="118"/>
    </row>
    <row r="51" spans="1:9">
      <c r="A51" s="1586" t="s">
        <v>1205</v>
      </c>
      <c r="D51" s="118"/>
      <c r="E51" s="118"/>
      <c r="F51" s="118"/>
      <c r="G51" s="118"/>
      <c r="H51" s="118"/>
      <c r="I51" s="118"/>
    </row>
  </sheetData>
  <mergeCells count="6">
    <mergeCell ref="A50:B50"/>
    <mergeCell ref="A2:G2"/>
    <mergeCell ref="A4:A5"/>
    <mergeCell ref="B4:C4"/>
    <mergeCell ref="D4:E4"/>
    <mergeCell ref="F4:G4"/>
  </mergeCells>
  <pageMargins left="0.7" right="0.7" top="0.75" bottom="0.75" header="0.3" footer="0.3"/>
  <pageSetup paperSize="14" orientation="portrait" r:id="rId1"/>
</worksheet>
</file>

<file path=xl/worksheets/sheet11.xml><?xml version="1.0" encoding="utf-8"?>
<worksheet xmlns="http://schemas.openxmlformats.org/spreadsheetml/2006/main" xmlns:r="http://schemas.openxmlformats.org/officeDocument/2006/relationships">
  <dimension ref="A1:F15"/>
  <sheetViews>
    <sheetView zoomScaleNormal="100" workbookViewId="0"/>
  </sheetViews>
  <sheetFormatPr baseColWidth="10" defaultRowHeight="11.25"/>
  <cols>
    <col min="1" max="1" width="28.42578125" style="117" customWidth="1"/>
    <col min="2" max="6" width="11.42578125" style="117"/>
    <col min="7" max="7" width="6.42578125" style="117" customWidth="1"/>
    <col min="8" max="8" width="5.140625" style="117" customWidth="1"/>
    <col min="9" max="9" width="12.42578125" style="117" customWidth="1"/>
    <col min="10" max="16384" width="11.42578125" style="117"/>
  </cols>
  <sheetData>
    <row r="1" spans="1:6">
      <c r="A1" s="1590"/>
    </row>
    <row r="2" spans="1:6" s="152" customFormat="1" ht="28.5" customHeight="1">
      <c r="A2" s="2044" t="s">
        <v>940</v>
      </c>
      <c r="B2" s="2044"/>
      <c r="C2" s="2044"/>
      <c r="D2" s="2044"/>
      <c r="E2" s="2044"/>
      <c r="F2" s="2044"/>
    </row>
    <row r="4" spans="1:6">
      <c r="A4" s="2041" t="s">
        <v>864</v>
      </c>
      <c r="B4" s="2041" t="s">
        <v>26</v>
      </c>
      <c r="C4" s="2041" t="s">
        <v>788</v>
      </c>
      <c r="D4" s="2041"/>
      <c r="E4" s="2041"/>
      <c r="F4" s="2041"/>
    </row>
    <row r="5" spans="1:6" ht="67.5">
      <c r="A5" s="2041"/>
      <c r="B5" s="2041"/>
      <c r="C5" s="1806" t="s">
        <v>789</v>
      </c>
      <c r="D5" s="1806" t="s">
        <v>760</v>
      </c>
      <c r="E5" s="1806" t="s">
        <v>761</v>
      </c>
      <c r="F5" s="1806" t="s">
        <v>3932</v>
      </c>
    </row>
    <row r="6" spans="1:6" s="115" customFormat="1">
      <c r="A6" s="115" t="s">
        <v>679</v>
      </c>
      <c r="B6" s="115">
        <f>SUM(B7:B12)</f>
        <v>395</v>
      </c>
      <c r="C6" s="115">
        <f>SUM(C7:C12)</f>
        <v>41</v>
      </c>
      <c r="D6" s="115">
        <f>SUM(D7:D12)</f>
        <v>79</v>
      </c>
      <c r="E6" s="115">
        <f>SUM(E7:E12)</f>
        <v>49</v>
      </c>
      <c r="F6" s="115">
        <f>SUM(F7:F12)</f>
        <v>226</v>
      </c>
    </row>
    <row r="7" spans="1:6">
      <c r="A7" s="117" t="s">
        <v>865</v>
      </c>
      <c r="B7" s="117">
        <f t="shared" ref="B7:B12" si="0">SUM(C7:F7)</f>
        <v>8</v>
      </c>
      <c r="C7" s="1240">
        <v>1</v>
      </c>
      <c r="D7" s="1240">
        <v>2</v>
      </c>
      <c r="E7" s="1240">
        <v>3</v>
      </c>
      <c r="F7" s="1240">
        <v>2</v>
      </c>
    </row>
    <row r="8" spans="1:6">
      <c r="A8" s="117" t="s">
        <v>866</v>
      </c>
      <c r="B8" s="117">
        <f t="shared" si="0"/>
        <v>151</v>
      </c>
      <c r="C8" s="1240">
        <v>21</v>
      </c>
      <c r="D8" s="1240">
        <v>32</v>
      </c>
      <c r="E8" s="1240">
        <v>16</v>
      </c>
      <c r="F8" s="1240">
        <v>82</v>
      </c>
    </row>
    <row r="9" spans="1:6">
      <c r="A9" s="117" t="s">
        <v>867</v>
      </c>
      <c r="B9" s="117">
        <f t="shared" si="0"/>
        <v>63</v>
      </c>
      <c r="C9" s="1240">
        <v>4</v>
      </c>
      <c r="D9" s="1240">
        <v>14</v>
      </c>
      <c r="E9" s="1240">
        <v>7</v>
      </c>
      <c r="F9" s="1240">
        <v>38</v>
      </c>
    </row>
    <row r="10" spans="1:6">
      <c r="A10" s="117" t="s">
        <v>868</v>
      </c>
      <c r="B10" s="117">
        <f t="shared" si="0"/>
        <v>42</v>
      </c>
      <c r="C10" s="1240">
        <v>5</v>
      </c>
      <c r="D10" s="1240">
        <v>11</v>
      </c>
      <c r="E10" s="1240">
        <v>3</v>
      </c>
      <c r="F10" s="1240">
        <v>23</v>
      </c>
    </row>
    <row r="11" spans="1:6">
      <c r="A11" s="117" t="s">
        <v>869</v>
      </c>
      <c r="B11" s="117">
        <f t="shared" si="0"/>
        <v>56</v>
      </c>
      <c r="C11" s="1240">
        <v>2</v>
      </c>
      <c r="D11" s="1240">
        <v>8</v>
      </c>
      <c r="E11" s="1240">
        <v>7</v>
      </c>
      <c r="F11" s="1240">
        <v>39</v>
      </c>
    </row>
    <row r="12" spans="1:6">
      <c r="A12" s="117" t="s">
        <v>870</v>
      </c>
      <c r="B12" s="117">
        <f t="shared" si="0"/>
        <v>75</v>
      </c>
      <c r="C12" s="1240">
        <v>8</v>
      </c>
      <c r="D12" s="1240">
        <v>12</v>
      </c>
      <c r="E12" s="1240">
        <v>13</v>
      </c>
      <c r="F12" s="1240">
        <v>42</v>
      </c>
    </row>
    <row r="14" spans="1:6">
      <c r="A14" s="117" t="s">
        <v>3933</v>
      </c>
    </row>
    <row r="15" spans="1:6">
      <c r="A15" s="2027" t="s">
        <v>680</v>
      </c>
      <c r="B15" s="2027"/>
      <c r="C15" s="2027"/>
      <c r="D15" s="2027"/>
      <c r="E15" s="2027"/>
      <c r="F15" s="2027"/>
    </row>
  </sheetData>
  <mergeCells count="5">
    <mergeCell ref="A4:A5"/>
    <mergeCell ref="A2:F2"/>
    <mergeCell ref="B4:B5"/>
    <mergeCell ref="C4:F4"/>
    <mergeCell ref="A15:F15"/>
  </mergeCells>
  <pageMargins left="0.7" right="0.7" top="0.75" bottom="0.75" header="0.3" footer="0.3"/>
</worksheet>
</file>

<file path=xl/worksheets/sheet110.xml><?xml version="1.0" encoding="utf-8"?>
<worksheet xmlns="http://schemas.openxmlformats.org/spreadsheetml/2006/main" xmlns:r="http://schemas.openxmlformats.org/officeDocument/2006/relationships">
  <dimension ref="A1:U55"/>
  <sheetViews>
    <sheetView zoomScaleNormal="100" workbookViewId="0">
      <selection activeCell="A4" sqref="A4:A5"/>
    </sheetView>
  </sheetViews>
  <sheetFormatPr baseColWidth="10" defaultRowHeight="11.25"/>
  <cols>
    <col min="1" max="1" width="21.42578125" style="453" customWidth="1"/>
    <col min="2" max="2" width="10.7109375" style="453" customWidth="1"/>
    <col min="3" max="3" width="17.7109375" style="453" bestFit="1" customWidth="1"/>
    <col min="4" max="4" width="10.7109375" style="453" customWidth="1"/>
    <col min="5" max="5" width="15.7109375" style="453" bestFit="1" customWidth="1"/>
    <col min="6" max="6" width="6.5703125" style="453" customWidth="1"/>
    <col min="7" max="7" width="15.7109375" style="453" bestFit="1" customWidth="1"/>
    <col min="8" max="8" width="10.7109375" style="453" customWidth="1"/>
    <col min="9" max="9" width="17.5703125" style="453" customWidth="1"/>
    <col min="10" max="10" width="11.7109375" style="453" customWidth="1"/>
    <col min="11" max="11" width="15.7109375" style="453" bestFit="1" customWidth="1"/>
    <col min="12" max="12" width="12.140625" style="453" customWidth="1"/>
    <col min="13" max="13" width="15.7109375" style="453" customWidth="1"/>
    <col min="14" max="14" width="10.42578125" style="453" customWidth="1"/>
    <col min="15" max="15" width="15.7109375" style="453" bestFit="1" customWidth="1"/>
    <col min="16" max="16" width="10.42578125" style="453" customWidth="1"/>
    <col min="17" max="17" width="15.7109375" style="453" bestFit="1" customWidth="1"/>
    <col min="18" max="18" width="6.85546875" style="1179" bestFit="1" customWidth="1"/>
    <col min="19" max="19" width="15.7109375" style="1179" bestFit="1" customWidth="1"/>
    <col min="20" max="20" width="10.28515625" style="1179" customWidth="1"/>
    <col min="21" max="21" width="15.7109375" style="1179" bestFit="1" customWidth="1"/>
    <col min="22" max="22" width="5" style="1179" customWidth="1"/>
    <col min="23" max="16384" width="11.42578125" style="1179"/>
  </cols>
  <sheetData>
    <row r="1" spans="1:21">
      <c r="A1" s="69"/>
      <c r="B1" s="461"/>
      <c r="C1" s="461"/>
      <c r="D1" s="461"/>
      <c r="E1" s="461"/>
      <c r="F1" s="461"/>
      <c r="G1" s="461"/>
      <c r="H1" s="461"/>
      <c r="I1" s="461"/>
      <c r="J1" s="461"/>
      <c r="K1" s="461"/>
      <c r="L1" s="461"/>
      <c r="M1" s="461"/>
      <c r="N1" s="461"/>
      <c r="O1" s="461"/>
    </row>
    <row r="2" spans="1:21" ht="18.75" customHeight="1">
      <c r="A2" s="2242" t="s">
        <v>1206</v>
      </c>
      <c r="B2" s="2242"/>
      <c r="C2" s="2242"/>
      <c r="D2" s="2242"/>
      <c r="E2" s="2242"/>
      <c r="F2" s="2242"/>
      <c r="G2" s="2242"/>
      <c r="H2" s="2242"/>
      <c r="I2" s="2242"/>
      <c r="J2" s="2242"/>
      <c r="K2" s="2242"/>
      <c r="L2" s="2242"/>
      <c r="M2" s="2242"/>
      <c r="N2" s="1567"/>
      <c r="O2" s="1567"/>
      <c r="P2" s="1568"/>
      <c r="Q2" s="1568"/>
      <c r="R2" s="1569"/>
      <c r="S2" s="1569"/>
    </row>
    <row r="3" spans="1:21" ht="7.5" customHeight="1">
      <c r="A3" s="69"/>
      <c r="B3" s="461"/>
      <c r="C3" s="461"/>
      <c r="D3" s="461"/>
      <c r="E3" s="461"/>
      <c r="F3" s="461"/>
      <c r="G3" s="461"/>
      <c r="H3" s="461"/>
      <c r="I3" s="461"/>
      <c r="J3" s="461"/>
      <c r="K3" s="461"/>
      <c r="L3" s="461"/>
      <c r="M3" s="461"/>
      <c r="N3" s="461"/>
      <c r="O3" s="461"/>
    </row>
    <row r="4" spans="1:21" ht="43.5" customHeight="1">
      <c r="A4" s="2243" t="s">
        <v>1207</v>
      </c>
      <c r="B4" s="2244" t="s">
        <v>26</v>
      </c>
      <c r="C4" s="2244"/>
      <c r="D4" s="2243" t="s">
        <v>1208</v>
      </c>
      <c r="E4" s="2243"/>
      <c r="F4" s="2243" t="s">
        <v>1209</v>
      </c>
      <c r="G4" s="2243"/>
      <c r="H4" s="2243" t="s">
        <v>1210</v>
      </c>
      <c r="I4" s="2243"/>
      <c r="J4" s="2243" t="s">
        <v>1211</v>
      </c>
      <c r="K4" s="2243"/>
      <c r="L4" s="2243" t="s">
        <v>1212</v>
      </c>
      <c r="M4" s="2243"/>
      <c r="N4" s="2243" t="s">
        <v>1213</v>
      </c>
      <c r="O4" s="2243"/>
      <c r="P4" s="2243" t="s">
        <v>1214</v>
      </c>
      <c r="Q4" s="2243"/>
      <c r="R4" s="2243" t="s">
        <v>4618</v>
      </c>
      <c r="S4" s="2243"/>
      <c r="T4" s="2243" t="s">
        <v>1215</v>
      </c>
      <c r="U4" s="2243"/>
    </row>
    <row r="5" spans="1:21" ht="45">
      <c r="A5" s="2243"/>
      <c r="B5" s="2011" t="s">
        <v>1216</v>
      </c>
      <c r="C5" s="2011" t="s">
        <v>1217</v>
      </c>
      <c r="D5" s="2011" t="s">
        <v>1216</v>
      </c>
      <c r="E5" s="2011" t="s">
        <v>1217</v>
      </c>
      <c r="F5" s="2011" t="s">
        <v>1216</v>
      </c>
      <c r="G5" s="2011" t="s">
        <v>1217</v>
      </c>
      <c r="H5" s="2011" t="s">
        <v>1216</v>
      </c>
      <c r="I5" s="2011" t="s">
        <v>1217</v>
      </c>
      <c r="J5" s="2011" t="s">
        <v>1216</v>
      </c>
      <c r="K5" s="2011" t="s">
        <v>1217</v>
      </c>
      <c r="L5" s="2011" t="s">
        <v>1216</v>
      </c>
      <c r="M5" s="2011" t="s">
        <v>1217</v>
      </c>
      <c r="N5" s="2011" t="s">
        <v>1216</v>
      </c>
      <c r="O5" s="2011" t="s">
        <v>1217</v>
      </c>
      <c r="P5" s="2011" t="s">
        <v>1216</v>
      </c>
      <c r="Q5" s="2011" t="s">
        <v>1217</v>
      </c>
      <c r="R5" s="2011" t="s">
        <v>1216</v>
      </c>
      <c r="S5" s="2011" t="s">
        <v>1217</v>
      </c>
      <c r="T5" s="2011" t="s">
        <v>1216</v>
      </c>
      <c r="U5" s="2011" t="s">
        <v>1217</v>
      </c>
    </row>
    <row r="6" spans="1:21">
      <c r="A6" s="2720" t="s">
        <v>6</v>
      </c>
      <c r="B6" s="2721">
        <f>SUM(D6+F6+H6+J6+L6+N6+P6+R6+T6)</f>
        <v>420</v>
      </c>
      <c r="C6" s="2721">
        <f>SUM(E6+G6+I6+K6+M6+O6+Q6+S6+U6)</f>
        <v>2563529241.0999999</v>
      </c>
      <c r="D6" s="2721">
        <f>SUM(D7:D22)</f>
        <v>60</v>
      </c>
      <c r="E6" s="2721">
        <f t="shared" ref="E6:Q6" si="0">SUM(E7:E22)</f>
        <v>405249203.29999995</v>
      </c>
      <c r="F6" s="2721">
        <f t="shared" si="0"/>
        <v>19</v>
      </c>
      <c r="G6" s="2721">
        <f t="shared" si="0"/>
        <v>104405842</v>
      </c>
      <c r="H6" s="2721">
        <f t="shared" si="0"/>
        <v>20</v>
      </c>
      <c r="I6" s="2721">
        <f t="shared" si="0"/>
        <v>122347431</v>
      </c>
      <c r="J6" s="2721">
        <f t="shared" si="0"/>
        <v>91</v>
      </c>
      <c r="K6" s="2721">
        <f t="shared" si="0"/>
        <v>387241274.60000002</v>
      </c>
      <c r="L6" s="2721">
        <f t="shared" si="0"/>
        <v>51</v>
      </c>
      <c r="M6" s="2721">
        <f t="shared" si="0"/>
        <v>473476384.40000004</v>
      </c>
      <c r="N6" s="2721">
        <f t="shared" si="0"/>
        <v>19</v>
      </c>
      <c r="O6" s="2721">
        <f t="shared" si="0"/>
        <v>289891567.79999995</v>
      </c>
      <c r="P6" s="2721">
        <f t="shared" si="0"/>
        <v>27</v>
      </c>
      <c r="Q6" s="2721">
        <f t="shared" si="0"/>
        <v>339672769</v>
      </c>
      <c r="R6" s="2721">
        <f>SUM(R7:R22)</f>
        <v>123</v>
      </c>
      <c r="S6" s="2721">
        <f>SUM(S7:S22)</f>
        <v>291751393</v>
      </c>
      <c r="T6" s="2721">
        <f>SUM(T7:T22)</f>
        <v>10</v>
      </c>
      <c r="U6" s="2721">
        <f>SUM(U7:U22)</f>
        <v>149493376</v>
      </c>
    </row>
    <row r="7" spans="1:21">
      <c r="A7" s="2676" t="s">
        <v>7</v>
      </c>
      <c r="B7" s="2721">
        <f t="shared" ref="B7:C22" si="1">SUM(D7+F7+H7+J7+L7+N7+P7+R7+T7)</f>
        <v>5</v>
      </c>
      <c r="C7" s="2721">
        <f t="shared" si="1"/>
        <v>33710613</v>
      </c>
      <c r="D7" s="2722">
        <v>0</v>
      </c>
      <c r="E7" s="2722">
        <v>0</v>
      </c>
      <c r="F7" s="2722">
        <v>0</v>
      </c>
      <c r="G7" s="2722">
        <v>0</v>
      </c>
      <c r="H7" s="2722">
        <v>0</v>
      </c>
      <c r="I7" s="2722">
        <v>0</v>
      </c>
      <c r="J7" s="2722">
        <v>4</v>
      </c>
      <c r="K7" s="2722">
        <v>18710613</v>
      </c>
      <c r="L7" s="2722">
        <v>0</v>
      </c>
      <c r="M7" s="2722">
        <v>0</v>
      </c>
      <c r="N7" s="2722">
        <v>0</v>
      </c>
      <c r="O7" s="2722">
        <v>0</v>
      </c>
      <c r="P7" s="2722">
        <v>1</v>
      </c>
      <c r="Q7" s="2722">
        <v>15000000</v>
      </c>
      <c r="R7" s="2722">
        <v>0</v>
      </c>
      <c r="S7" s="2722">
        <v>0</v>
      </c>
      <c r="T7" s="2722">
        <v>0</v>
      </c>
      <c r="U7" s="2722">
        <v>0</v>
      </c>
    </row>
    <row r="8" spans="1:21">
      <c r="A8" s="2676" t="s">
        <v>8</v>
      </c>
      <c r="B8" s="2721">
        <f t="shared" si="1"/>
        <v>3</v>
      </c>
      <c r="C8" s="2721">
        <f t="shared" si="1"/>
        <v>14739337.800000001</v>
      </c>
      <c r="D8" s="2722">
        <v>0</v>
      </c>
      <c r="E8" s="2722">
        <v>0</v>
      </c>
      <c r="F8" s="2722">
        <v>0</v>
      </c>
      <c r="G8" s="2722">
        <v>0</v>
      </c>
      <c r="H8" s="2722">
        <v>0</v>
      </c>
      <c r="I8" s="2722">
        <v>0</v>
      </c>
      <c r="J8" s="2722">
        <v>1</v>
      </c>
      <c r="K8" s="2722">
        <v>3363138</v>
      </c>
      <c r="L8" s="2722">
        <v>1</v>
      </c>
      <c r="M8" s="2722">
        <v>8676199.8000000007</v>
      </c>
      <c r="N8" s="2722">
        <v>0</v>
      </c>
      <c r="O8" s="2722">
        <v>0</v>
      </c>
      <c r="P8" s="2722">
        <v>0</v>
      </c>
      <c r="Q8" s="2722">
        <v>0</v>
      </c>
      <c r="R8" s="2722">
        <v>1</v>
      </c>
      <c r="S8" s="2722">
        <v>2700000</v>
      </c>
      <c r="T8" s="2722">
        <v>0</v>
      </c>
      <c r="U8" s="2722">
        <v>0</v>
      </c>
    </row>
    <row r="9" spans="1:21">
      <c r="A9" s="2676" t="s">
        <v>9</v>
      </c>
      <c r="B9" s="2721">
        <f t="shared" si="1"/>
        <v>3</v>
      </c>
      <c r="C9" s="2721">
        <f t="shared" si="1"/>
        <v>37188747</v>
      </c>
      <c r="D9" s="2722">
        <v>0</v>
      </c>
      <c r="E9" s="2722">
        <v>0</v>
      </c>
      <c r="F9" s="2722">
        <v>0</v>
      </c>
      <c r="G9" s="2722">
        <v>0</v>
      </c>
      <c r="H9" s="2722">
        <v>0</v>
      </c>
      <c r="I9" s="2722">
        <v>0</v>
      </c>
      <c r="J9" s="2722">
        <v>0</v>
      </c>
      <c r="K9" s="2722">
        <v>0</v>
      </c>
      <c r="L9" s="2722">
        <v>1</v>
      </c>
      <c r="M9" s="2722">
        <v>8886987</v>
      </c>
      <c r="N9" s="2722">
        <v>0</v>
      </c>
      <c r="O9" s="2722">
        <v>0</v>
      </c>
      <c r="P9" s="2722">
        <v>0</v>
      </c>
      <c r="Q9" s="2722">
        <v>0</v>
      </c>
      <c r="R9" s="2722">
        <v>1</v>
      </c>
      <c r="S9" s="2722">
        <v>2520000</v>
      </c>
      <c r="T9" s="2722">
        <v>1</v>
      </c>
      <c r="U9" s="2722">
        <v>25781760</v>
      </c>
    </row>
    <row r="10" spans="1:21">
      <c r="A10" s="2676" t="s">
        <v>10</v>
      </c>
      <c r="B10" s="2721">
        <f t="shared" si="1"/>
        <v>3</v>
      </c>
      <c r="C10" s="2721">
        <f t="shared" si="1"/>
        <v>26395536.600000001</v>
      </c>
      <c r="D10" s="2722">
        <v>0</v>
      </c>
      <c r="E10" s="2722">
        <v>0</v>
      </c>
      <c r="F10" s="2722">
        <v>0</v>
      </c>
      <c r="G10" s="2722">
        <v>0</v>
      </c>
      <c r="H10" s="2722">
        <v>0</v>
      </c>
      <c r="I10" s="2722">
        <v>0</v>
      </c>
      <c r="J10" s="2722">
        <v>1</v>
      </c>
      <c r="K10" s="2722">
        <v>4158000</v>
      </c>
      <c r="L10" s="2722">
        <v>2</v>
      </c>
      <c r="M10" s="2722">
        <v>22237536.600000001</v>
      </c>
      <c r="N10" s="2722">
        <v>0</v>
      </c>
      <c r="O10" s="2722">
        <v>0</v>
      </c>
      <c r="P10" s="2722">
        <v>0</v>
      </c>
      <c r="Q10" s="2722">
        <v>0</v>
      </c>
      <c r="R10" s="2722">
        <v>0</v>
      </c>
      <c r="S10" s="2722">
        <v>0</v>
      </c>
      <c r="T10" s="2722">
        <v>0</v>
      </c>
      <c r="U10" s="2722">
        <v>0</v>
      </c>
    </row>
    <row r="11" spans="1:21">
      <c r="A11" s="2676" t="s">
        <v>11</v>
      </c>
      <c r="B11" s="2721">
        <f t="shared" si="1"/>
        <v>15</v>
      </c>
      <c r="C11" s="2721">
        <f t="shared" si="1"/>
        <v>99517710.200000003</v>
      </c>
      <c r="D11" s="2722">
        <v>6</v>
      </c>
      <c r="E11" s="2722">
        <v>61108783.200000003</v>
      </c>
      <c r="F11" s="2722">
        <v>1</v>
      </c>
      <c r="G11" s="2722">
        <v>7276798</v>
      </c>
      <c r="H11" s="2722">
        <v>0</v>
      </c>
      <c r="I11" s="2722">
        <v>0</v>
      </c>
      <c r="J11" s="2722">
        <v>1</v>
      </c>
      <c r="K11" s="2722">
        <v>1048950</v>
      </c>
      <c r="L11" s="2722">
        <v>0</v>
      </c>
      <c r="M11" s="2722">
        <v>0</v>
      </c>
      <c r="N11" s="2722">
        <v>1</v>
      </c>
      <c r="O11" s="2722">
        <v>4810000</v>
      </c>
      <c r="P11" s="2722">
        <v>0</v>
      </c>
      <c r="Q11" s="2722">
        <v>0</v>
      </c>
      <c r="R11" s="2722">
        <v>5</v>
      </c>
      <c r="S11" s="2722">
        <v>8424763</v>
      </c>
      <c r="T11" s="2722">
        <v>1</v>
      </c>
      <c r="U11" s="2722">
        <v>16848416</v>
      </c>
    </row>
    <row r="12" spans="1:21">
      <c r="A12" s="2676" t="s">
        <v>12</v>
      </c>
      <c r="B12" s="2721">
        <f t="shared" si="1"/>
        <v>51</v>
      </c>
      <c r="C12" s="2721">
        <f t="shared" si="1"/>
        <v>308767488.29999995</v>
      </c>
      <c r="D12" s="2722">
        <v>7</v>
      </c>
      <c r="E12" s="2722">
        <v>36085020.5</v>
      </c>
      <c r="F12" s="2722">
        <v>1</v>
      </c>
      <c r="G12" s="2722">
        <v>3600000</v>
      </c>
      <c r="H12" s="2722">
        <v>2</v>
      </c>
      <c r="I12" s="2722">
        <v>12611151</v>
      </c>
      <c r="J12" s="2722">
        <v>16</v>
      </c>
      <c r="K12" s="2722">
        <v>74091681</v>
      </c>
      <c r="L12" s="2722">
        <v>8</v>
      </c>
      <c r="M12" s="2722">
        <v>66486166.200000003</v>
      </c>
      <c r="N12" s="2722">
        <v>2</v>
      </c>
      <c r="O12" s="2722">
        <v>26398983.600000001</v>
      </c>
      <c r="P12" s="2722">
        <v>4</v>
      </c>
      <c r="Q12" s="2722">
        <v>46698478</v>
      </c>
      <c r="R12" s="2722">
        <v>9</v>
      </c>
      <c r="S12" s="2722">
        <v>18928808</v>
      </c>
      <c r="T12" s="2722">
        <v>2</v>
      </c>
      <c r="U12" s="2722">
        <v>23867200</v>
      </c>
    </row>
    <row r="13" spans="1:21">
      <c r="A13" s="2676" t="s">
        <v>13</v>
      </c>
      <c r="B13" s="2721">
        <f t="shared" si="1"/>
        <v>233</v>
      </c>
      <c r="C13" s="2721">
        <f t="shared" si="1"/>
        <v>1337254468.8</v>
      </c>
      <c r="D13" s="2722">
        <v>30</v>
      </c>
      <c r="E13" s="2722">
        <v>167385539.5</v>
      </c>
      <c r="F13" s="2722">
        <v>14</v>
      </c>
      <c r="G13" s="2722">
        <v>80216042</v>
      </c>
      <c r="H13" s="2722">
        <v>6</v>
      </c>
      <c r="I13" s="2722">
        <v>36506036</v>
      </c>
      <c r="J13" s="2722">
        <v>46</v>
      </c>
      <c r="K13" s="2722">
        <v>195476359.20000002</v>
      </c>
      <c r="L13" s="2722">
        <v>22</v>
      </c>
      <c r="M13" s="2722">
        <v>209508395.90000001</v>
      </c>
      <c r="N13" s="2722">
        <v>14</v>
      </c>
      <c r="O13" s="2722">
        <v>239173751.19999996</v>
      </c>
      <c r="P13" s="2722">
        <v>12</v>
      </c>
      <c r="Q13" s="2722">
        <v>183409721</v>
      </c>
      <c r="R13" s="2722">
        <v>89</v>
      </c>
      <c r="S13" s="2722">
        <v>225578624</v>
      </c>
      <c r="T13" s="2722">
        <v>0</v>
      </c>
      <c r="U13" s="2722">
        <v>0</v>
      </c>
    </row>
    <row r="14" spans="1:21">
      <c r="A14" s="2676" t="s">
        <v>14</v>
      </c>
      <c r="B14" s="2721">
        <f t="shared" si="1"/>
        <v>2</v>
      </c>
      <c r="C14" s="2721">
        <f t="shared" si="1"/>
        <v>10683810</v>
      </c>
      <c r="D14" s="2722">
        <v>0</v>
      </c>
      <c r="E14" s="2722">
        <v>0</v>
      </c>
      <c r="F14" s="2722">
        <v>0</v>
      </c>
      <c r="G14" s="2722">
        <v>0</v>
      </c>
      <c r="H14" s="2722">
        <v>0</v>
      </c>
      <c r="I14" s="2722">
        <v>0</v>
      </c>
      <c r="J14" s="2722">
        <v>2</v>
      </c>
      <c r="K14" s="2722">
        <v>10683810</v>
      </c>
      <c r="L14" s="2722">
        <v>0</v>
      </c>
      <c r="M14" s="2722">
        <v>0</v>
      </c>
      <c r="N14" s="2722">
        <v>0</v>
      </c>
      <c r="O14" s="2722">
        <v>0</v>
      </c>
      <c r="P14" s="2722">
        <v>0</v>
      </c>
      <c r="Q14" s="2722">
        <v>0</v>
      </c>
      <c r="R14" s="2722">
        <v>0</v>
      </c>
      <c r="S14" s="2722">
        <v>0</v>
      </c>
      <c r="T14" s="2722">
        <v>0</v>
      </c>
      <c r="U14" s="2722">
        <v>0</v>
      </c>
    </row>
    <row r="15" spans="1:21">
      <c r="A15" s="2676" t="s">
        <v>15</v>
      </c>
      <c r="B15" s="2721">
        <f t="shared" si="1"/>
        <v>15</v>
      </c>
      <c r="C15" s="2721">
        <f t="shared" si="1"/>
        <v>145051065.59999999</v>
      </c>
      <c r="D15" s="2722">
        <v>1</v>
      </c>
      <c r="E15" s="2722">
        <v>11964877.199999999</v>
      </c>
      <c r="F15" s="2722">
        <v>0</v>
      </c>
      <c r="G15" s="2722">
        <v>0</v>
      </c>
      <c r="H15" s="2722">
        <v>1</v>
      </c>
      <c r="I15" s="2722">
        <v>5092201</v>
      </c>
      <c r="J15" s="2722">
        <v>3</v>
      </c>
      <c r="K15" s="2722">
        <v>12149196.300000001</v>
      </c>
      <c r="L15" s="2722">
        <v>3</v>
      </c>
      <c r="M15" s="2722">
        <v>56398034.100000001</v>
      </c>
      <c r="N15" s="2722">
        <v>1</v>
      </c>
      <c r="O15" s="2722">
        <v>8732766</v>
      </c>
      <c r="P15" s="2722">
        <v>3</v>
      </c>
      <c r="Q15" s="2722">
        <v>18550000</v>
      </c>
      <c r="R15" s="2722">
        <v>2</v>
      </c>
      <c r="S15" s="2722">
        <v>5163991</v>
      </c>
      <c r="T15" s="2722">
        <v>1</v>
      </c>
      <c r="U15" s="2722">
        <v>27000000</v>
      </c>
    </row>
    <row r="16" spans="1:21">
      <c r="A16" s="2676" t="s">
        <v>16</v>
      </c>
      <c r="B16" s="2721">
        <f t="shared" si="1"/>
        <v>15</v>
      </c>
      <c r="C16" s="2721">
        <f t="shared" si="1"/>
        <v>79942873</v>
      </c>
      <c r="D16" s="2722">
        <v>2</v>
      </c>
      <c r="E16" s="2722">
        <v>7113309</v>
      </c>
      <c r="F16" s="2722">
        <v>1</v>
      </c>
      <c r="G16" s="2722">
        <v>8000000</v>
      </c>
      <c r="H16" s="2722">
        <v>2</v>
      </c>
      <c r="I16" s="2722">
        <v>13729419</v>
      </c>
      <c r="J16" s="2722">
        <v>1</v>
      </c>
      <c r="K16" s="2722">
        <v>1300800</v>
      </c>
      <c r="L16" s="2722">
        <v>3</v>
      </c>
      <c r="M16" s="2722">
        <v>27152639</v>
      </c>
      <c r="N16" s="2722">
        <v>0</v>
      </c>
      <c r="O16" s="2722">
        <v>0</v>
      </c>
      <c r="P16" s="2722">
        <v>1</v>
      </c>
      <c r="Q16" s="2722">
        <v>8323500</v>
      </c>
      <c r="R16" s="2722">
        <v>5</v>
      </c>
      <c r="S16" s="2722">
        <v>14323206</v>
      </c>
      <c r="T16" s="2722">
        <v>0</v>
      </c>
      <c r="U16" s="2722">
        <v>0</v>
      </c>
    </row>
    <row r="17" spans="1:21">
      <c r="A17" s="2676" t="s">
        <v>17</v>
      </c>
      <c r="B17" s="2721">
        <f t="shared" si="1"/>
        <v>9</v>
      </c>
      <c r="C17" s="2721">
        <f t="shared" si="1"/>
        <v>61676756.799999997</v>
      </c>
      <c r="D17" s="2722">
        <v>1</v>
      </c>
      <c r="E17" s="2722">
        <v>1752805.8</v>
      </c>
      <c r="F17" s="2722">
        <v>0</v>
      </c>
      <c r="G17" s="2722">
        <v>0</v>
      </c>
      <c r="H17" s="2722">
        <v>1</v>
      </c>
      <c r="I17" s="2722">
        <v>7192350</v>
      </c>
      <c r="J17" s="2722">
        <v>1</v>
      </c>
      <c r="K17" s="2722">
        <v>5328000</v>
      </c>
      <c r="L17" s="2722">
        <v>3</v>
      </c>
      <c r="M17" s="2722">
        <v>23984757</v>
      </c>
      <c r="N17" s="2722">
        <v>0</v>
      </c>
      <c r="O17" s="2722">
        <v>0</v>
      </c>
      <c r="P17" s="2722">
        <v>1</v>
      </c>
      <c r="Q17" s="2722">
        <v>18558000</v>
      </c>
      <c r="R17" s="2722">
        <v>1</v>
      </c>
      <c r="S17" s="2722">
        <v>964844</v>
      </c>
      <c r="T17" s="2722">
        <v>1</v>
      </c>
      <c r="U17" s="2722">
        <v>3896000</v>
      </c>
    </row>
    <row r="18" spans="1:21">
      <c r="A18" s="2676" t="s">
        <v>18</v>
      </c>
      <c r="B18" s="2721">
        <f t="shared" si="1"/>
        <v>22</v>
      </c>
      <c r="C18" s="2721">
        <f t="shared" si="1"/>
        <v>119285793.5</v>
      </c>
      <c r="D18" s="2722">
        <v>5</v>
      </c>
      <c r="E18" s="2722">
        <v>34323256.200000003</v>
      </c>
      <c r="F18" s="2722">
        <v>0</v>
      </c>
      <c r="G18" s="2722">
        <v>0</v>
      </c>
      <c r="H18" s="2722">
        <v>4</v>
      </c>
      <c r="I18" s="2722">
        <v>20894427</v>
      </c>
      <c r="J18" s="2722">
        <v>1</v>
      </c>
      <c r="K18" s="2722">
        <v>2655900</v>
      </c>
      <c r="L18" s="2722">
        <v>5</v>
      </c>
      <c r="M18" s="2722">
        <v>33995436.299999997</v>
      </c>
      <c r="N18" s="2722">
        <v>0</v>
      </c>
      <c r="O18" s="2722">
        <v>0</v>
      </c>
      <c r="P18" s="2722">
        <v>2</v>
      </c>
      <c r="Q18" s="2722">
        <v>18848110</v>
      </c>
      <c r="R18" s="2722">
        <v>5</v>
      </c>
      <c r="S18" s="2722">
        <v>8568664</v>
      </c>
      <c r="T18" s="2722">
        <v>0</v>
      </c>
      <c r="U18" s="2722">
        <v>0</v>
      </c>
    </row>
    <row r="19" spans="1:21">
      <c r="A19" s="2676" t="s">
        <v>19</v>
      </c>
      <c r="B19" s="2721">
        <f t="shared" si="1"/>
        <v>22</v>
      </c>
      <c r="C19" s="2721">
        <f t="shared" si="1"/>
        <v>151911914.69999999</v>
      </c>
      <c r="D19" s="2722">
        <v>1</v>
      </c>
      <c r="E19" s="2722">
        <v>10972400</v>
      </c>
      <c r="F19" s="2722">
        <v>0</v>
      </c>
      <c r="G19" s="2722">
        <v>0</v>
      </c>
      <c r="H19" s="2722">
        <v>3</v>
      </c>
      <c r="I19" s="2722">
        <v>21412980</v>
      </c>
      <c r="J19" s="2722">
        <v>7</v>
      </c>
      <c r="K19" s="2722">
        <v>28385449.199999999</v>
      </c>
      <c r="L19" s="2722">
        <v>3</v>
      </c>
      <c r="M19" s="2722">
        <v>16150232.5</v>
      </c>
      <c r="N19" s="2722">
        <v>0</v>
      </c>
      <c r="O19" s="2722">
        <v>0</v>
      </c>
      <c r="P19" s="2722">
        <v>3</v>
      </c>
      <c r="Q19" s="2722">
        <v>30284960</v>
      </c>
      <c r="R19" s="2722">
        <v>3</v>
      </c>
      <c r="S19" s="2722">
        <v>3675893</v>
      </c>
      <c r="T19" s="2722">
        <v>2</v>
      </c>
      <c r="U19" s="2722">
        <v>41030000</v>
      </c>
    </row>
    <row r="20" spans="1:21">
      <c r="A20" s="2676" t="s">
        <v>20</v>
      </c>
      <c r="B20" s="2721">
        <f t="shared" si="1"/>
        <v>3</v>
      </c>
      <c r="C20" s="2721">
        <f t="shared" si="1"/>
        <v>21083035</v>
      </c>
      <c r="D20" s="2722">
        <v>0</v>
      </c>
      <c r="E20" s="2722">
        <v>0</v>
      </c>
      <c r="F20" s="2722">
        <v>0</v>
      </c>
      <c r="G20" s="2722">
        <v>0</v>
      </c>
      <c r="H20" s="2722">
        <v>1</v>
      </c>
      <c r="I20" s="2722">
        <v>4908867</v>
      </c>
      <c r="J20" s="2722">
        <v>1</v>
      </c>
      <c r="K20" s="2722">
        <v>5398101</v>
      </c>
      <c r="L20" s="2721">
        <v>0</v>
      </c>
      <c r="M20" s="2721">
        <v>0</v>
      </c>
      <c r="N20" s="2722">
        <v>1</v>
      </c>
      <c r="O20" s="2722">
        <v>10776067</v>
      </c>
      <c r="P20" s="2722">
        <v>0</v>
      </c>
      <c r="Q20" s="2722">
        <v>0</v>
      </c>
      <c r="R20" s="2722">
        <v>0</v>
      </c>
      <c r="S20" s="2722">
        <v>0</v>
      </c>
      <c r="T20" s="2722">
        <v>0</v>
      </c>
      <c r="U20" s="2722">
        <v>0</v>
      </c>
    </row>
    <row r="21" spans="1:21">
      <c r="A21" s="1179" t="s">
        <v>21</v>
      </c>
      <c r="B21" s="2721">
        <f t="shared" si="1"/>
        <v>2</v>
      </c>
      <c r="C21" s="2721">
        <f t="shared" si="1"/>
        <v>11070000</v>
      </c>
      <c r="D21" s="2722">
        <v>0</v>
      </c>
      <c r="E21" s="2722">
        <v>0</v>
      </c>
      <c r="F21" s="2722">
        <v>0</v>
      </c>
      <c r="G21" s="2722">
        <v>0</v>
      </c>
      <c r="H21" s="2722">
        <v>0</v>
      </c>
      <c r="I21" s="2722">
        <v>0</v>
      </c>
      <c r="J21" s="2722">
        <v>0</v>
      </c>
      <c r="K21" s="2722">
        <v>0</v>
      </c>
      <c r="L21" s="2722">
        <v>0</v>
      </c>
      <c r="M21" s="2722">
        <v>0</v>
      </c>
      <c r="N21" s="2722">
        <v>0</v>
      </c>
      <c r="O21" s="2722">
        <v>0</v>
      </c>
      <c r="P21" s="2722">
        <v>0</v>
      </c>
      <c r="Q21" s="2722">
        <v>0</v>
      </c>
      <c r="R21" s="2722">
        <v>0</v>
      </c>
      <c r="S21" s="2722">
        <v>0</v>
      </c>
      <c r="T21" s="2722">
        <v>2</v>
      </c>
      <c r="U21" s="2722">
        <v>11070000</v>
      </c>
    </row>
    <row r="22" spans="1:21" ht="12.75">
      <c r="A22" s="1179" t="s">
        <v>4619</v>
      </c>
      <c r="B22" s="2721">
        <f t="shared" si="1"/>
        <v>17</v>
      </c>
      <c r="C22" s="2721">
        <f t="shared" si="1"/>
        <v>105250090.79999998</v>
      </c>
      <c r="D22" s="2722">
        <v>7</v>
      </c>
      <c r="E22" s="2722">
        <v>74543211.899999991</v>
      </c>
      <c r="F22" s="2722">
        <v>2</v>
      </c>
      <c r="G22" s="2722">
        <v>5313002</v>
      </c>
      <c r="H22" s="2722">
        <v>0</v>
      </c>
      <c r="I22" s="2722">
        <v>0</v>
      </c>
      <c r="J22" s="2722">
        <v>6</v>
      </c>
      <c r="K22" s="2722">
        <v>24491276.899999999</v>
      </c>
      <c r="L22" s="2722">
        <v>0</v>
      </c>
      <c r="M22" s="2722">
        <v>0</v>
      </c>
      <c r="N22" s="2722">
        <v>0</v>
      </c>
      <c r="O22" s="2722">
        <v>0</v>
      </c>
      <c r="P22" s="2722">
        <v>0</v>
      </c>
      <c r="Q22" s="2722">
        <v>0</v>
      </c>
      <c r="R22" s="2722">
        <v>2</v>
      </c>
      <c r="S22" s="2722">
        <v>902600</v>
      </c>
      <c r="T22" s="2722">
        <v>0</v>
      </c>
      <c r="U22" s="2722">
        <v>0</v>
      </c>
    </row>
    <row r="24" spans="1:21">
      <c r="A24" s="61" t="s">
        <v>3755</v>
      </c>
      <c r="K24" s="1179"/>
      <c r="L24" s="1179"/>
      <c r="M24" s="1179"/>
      <c r="N24" s="1179"/>
      <c r="O24" s="1179"/>
      <c r="P24" s="1179"/>
      <c r="Q24" s="1179"/>
    </row>
    <row r="25" spans="1:21">
      <c r="A25" s="2235" t="s">
        <v>22</v>
      </c>
      <c r="B25" s="2235"/>
      <c r="C25" s="1570"/>
      <c r="K25" s="1179"/>
      <c r="L25" s="1179"/>
      <c r="M25" s="1179"/>
      <c r="N25" s="1179"/>
      <c r="O25" s="1179"/>
      <c r="P25" s="1179"/>
      <c r="Q25" s="1179"/>
    </row>
    <row r="26" spans="1:21">
      <c r="A26" s="428" t="s">
        <v>1218</v>
      </c>
      <c r="B26" s="458"/>
      <c r="C26" s="458"/>
      <c r="D26" s="458"/>
      <c r="E26" s="458"/>
      <c r="F26" s="458"/>
      <c r="G26" s="458"/>
      <c r="H26" s="458"/>
      <c r="I26" s="458"/>
      <c r="J26" s="458"/>
      <c r="K26" s="1179"/>
      <c r="L26" s="1179"/>
      <c r="M26" s="1179"/>
      <c r="N26" s="1179"/>
      <c r="O26" s="1179"/>
      <c r="P26" s="1179"/>
      <c r="Q26" s="1179"/>
    </row>
    <row r="27" spans="1:21">
      <c r="A27" s="428"/>
      <c r="B27" s="458"/>
      <c r="C27" s="458"/>
      <c r="D27" s="458"/>
      <c r="E27" s="458"/>
      <c r="F27" s="458"/>
      <c r="G27" s="458"/>
      <c r="H27" s="458"/>
      <c r="I27" s="458"/>
      <c r="J27" s="458"/>
      <c r="K27" s="1179"/>
      <c r="L27" s="1179"/>
      <c r="M27" s="1179"/>
      <c r="N27" s="1179"/>
      <c r="O27" s="1179"/>
      <c r="P27" s="1179"/>
      <c r="Q27" s="1179"/>
    </row>
    <row r="28" spans="1:21">
      <c r="E28" s="370"/>
      <c r="F28" s="370"/>
      <c r="G28" s="370"/>
      <c r="K28" s="1179"/>
      <c r="L28" s="1179"/>
      <c r="M28" s="1179"/>
      <c r="N28" s="1179"/>
      <c r="O28" s="1179"/>
      <c r="P28" s="1179"/>
      <c r="Q28" s="1179"/>
    </row>
    <row r="29" spans="1:21">
      <c r="C29" s="1571"/>
      <c r="K29" s="1179"/>
      <c r="L29" s="1179"/>
      <c r="M29" s="1179"/>
      <c r="N29" s="1179"/>
      <c r="O29" s="1179"/>
      <c r="P29" s="1179"/>
      <c r="Q29" s="1179"/>
    </row>
    <row r="30" spans="1:21">
      <c r="K30" s="1179"/>
      <c r="L30" s="1179"/>
      <c r="M30" s="1179"/>
      <c r="N30" s="1179"/>
      <c r="O30" s="1179"/>
      <c r="P30" s="1179"/>
      <c r="Q30" s="1179"/>
    </row>
    <row r="31" spans="1:21">
      <c r="K31" s="1179"/>
      <c r="L31" s="1179"/>
      <c r="M31" s="1179"/>
      <c r="N31" s="1179"/>
      <c r="O31" s="1179"/>
      <c r="P31" s="1179"/>
      <c r="Q31" s="1179"/>
    </row>
    <row r="32" spans="1:21">
      <c r="K32" s="1179"/>
      <c r="L32" s="1179"/>
      <c r="M32" s="1179"/>
      <c r="N32" s="1179"/>
      <c r="O32" s="1179"/>
      <c r="P32" s="1179"/>
      <c r="Q32" s="1179"/>
    </row>
    <row r="33" spans="1:10" s="1179" customFormat="1">
      <c r="A33" s="453"/>
      <c r="B33" s="453"/>
      <c r="C33" s="453"/>
      <c r="D33" s="453"/>
      <c r="E33" s="453"/>
      <c r="F33" s="453"/>
      <c r="G33" s="453"/>
      <c r="H33" s="453"/>
      <c r="I33" s="453"/>
      <c r="J33" s="453"/>
    </row>
    <row r="34" spans="1:10" s="1179" customFormat="1">
      <c r="A34" s="453"/>
      <c r="B34" s="453"/>
      <c r="C34" s="453"/>
      <c r="D34" s="453"/>
      <c r="E34" s="453"/>
      <c r="F34" s="453"/>
      <c r="G34" s="453"/>
      <c r="H34" s="453"/>
      <c r="I34" s="453"/>
      <c r="J34" s="453"/>
    </row>
    <row r="35" spans="1:10" s="1179" customFormat="1">
      <c r="A35" s="453"/>
      <c r="B35" s="453"/>
      <c r="C35" s="453"/>
      <c r="D35" s="453"/>
      <c r="E35" s="453"/>
      <c r="F35" s="453"/>
      <c r="G35" s="453"/>
      <c r="H35" s="453"/>
      <c r="I35" s="453"/>
      <c r="J35" s="453"/>
    </row>
    <row r="36" spans="1:10" s="1179" customFormat="1">
      <c r="A36" s="453"/>
      <c r="B36" s="453"/>
      <c r="C36" s="453"/>
      <c r="D36" s="453"/>
      <c r="E36" s="453"/>
      <c r="F36" s="453"/>
      <c r="G36" s="453"/>
      <c r="H36" s="453"/>
      <c r="I36" s="453"/>
      <c r="J36" s="453"/>
    </row>
    <row r="37" spans="1:10" s="1179" customFormat="1">
      <c r="A37" s="453"/>
      <c r="B37" s="453"/>
      <c r="C37" s="453"/>
      <c r="D37" s="453"/>
      <c r="E37" s="453"/>
      <c r="F37" s="453"/>
      <c r="G37" s="453"/>
      <c r="H37" s="453"/>
      <c r="I37" s="453"/>
      <c r="J37" s="453"/>
    </row>
    <row r="38" spans="1:10" s="1179" customFormat="1">
      <c r="A38" s="453"/>
      <c r="B38" s="453"/>
      <c r="C38" s="453"/>
      <c r="D38" s="453"/>
      <c r="E38" s="453"/>
      <c r="F38" s="453"/>
      <c r="G38" s="453"/>
      <c r="H38" s="453"/>
      <c r="I38" s="453"/>
      <c r="J38" s="453"/>
    </row>
    <row r="39" spans="1:10" s="1179" customFormat="1">
      <c r="A39" s="453"/>
      <c r="B39" s="453"/>
      <c r="C39" s="453"/>
      <c r="D39" s="453"/>
      <c r="E39" s="453"/>
      <c r="F39" s="453"/>
      <c r="G39" s="453"/>
      <c r="H39" s="453"/>
      <c r="I39" s="453"/>
      <c r="J39" s="453"/>
    </row>
    <row r="40" spans="1:10" s="1179" customFormat="1">
      <c r="A40" s="453"/>
      <c r="B40" s="453"/>
      <c r="C40" s="453"/>
      <c r="D40" s="453"/>
      <c r="E40" s="453"/>
      <c r="F40" s="453"/>
      <c r="G40" s="453"/>
      <c r="H40" s="453"/>
      <c r="I40" s="453"/>
      <c r="J40" s="453"/>
    </row>
    <row r="41" spans="1:10" s="1179" customFormat="1">
      <c r="A41" s="453"/>
      <c r="B41" s="453"/>
      <c r="C41" s="453"/>
      <c r="D41" s="453"/>
      <c r="E41" s="453"/>
      <c r="F41" s="453"/>
      <c r="G41" s="453"/>
      <c r="H41" s="453"/>
      <c r="I41" s="453"/>
      <c r="J41" s="453"/>
    </row>
    <row r="42" spans="1:10" s="1179" customFormat="1">
      <c r="A42" s="453"/>
      <c r="B42" s="453"/>
      <c r="C42" s="453"/>
      <c r="D42" s="453"/>
      <c r="E42" s="453"/>
      <c r="F42" s="453"/>
      <c r="G42" s="453"/>
      <c r="H42" s="453"/>
      <c r="I42" s="453"/>
      <c r="J42" s="453"/>
    </row>
    <row r="43" spans="1:10" s="1179" customFormat="1">
      <c r="A43" s="453"/>
      <c r="B43" s="453"/>
      <c r="C43" s="453"/>
      <c r="D43" s="453"/>
      <c r="E43" s="453"/>
      <c r="F43" s="453"/>
      <c r="G43" s="453"/>
      <c r="H43" s="453"/>
      <c r="I43" s="453"/>
      <c r="J43" s="453"/>
    </row>
    <row r="44" spans="1:10" s="1179" customFormat="1">
      <c r="A44" s="453"/>
      <c r="B44" s="453"/>
      <c r="C44" s="453"/>
      <c r="D44" s="453"/>
      <c r="E44" s="453"/>
      <c r="F44" s="453"/>
      <c r="G44" s="453"/>
      <c r="H44" s="453"/>
      <c r="I44" s="453"/>
      <c r="J44" s="453"/>
    </row>
    <row r="45" spans="1:10" s="1179" customFormat="1">
      <c r="A45" s="453"/>
      <c r="B45" s="453"/>
      <c r="C45" s="453"/>
      <c r="D45" s="453"/>
      <c r="E45" s="453"/>
      <c r="F45" s="453"/>
      <c r="G45" s="453"/>
      <c r="H45" s="453"/>
      <c r="I45" s="453"/>
      <c r="J45" s="453"/>
    </row>
    <row r="46" spans="1:10" s="1179" customFormat="1">
      <c r="A46" s="453"/>
      <c r="B46" s="453"/>
      <c r="C46" s="453"/>
      <c r="D46" s="453"/>
      <c r="E46" s="453"/>
      <c r="F46" s="453"/>
      <c r="G46" s="453"/>
      <c r="H46" s="453"/>
      <c r="I46" s="453"/>
      <c r="J46" s="453"/>
    </row>
    <row r="47" spans="1:10" s="1179" customFormat="1">
      <c r="A47" s="453"/>
      <c r="B47" s="453"/>
      <c r="C47" s="453"/>
      <c r="D47" s="453"/>
      <c r="E47" s="453"/>
      <c r="F47" s="453"/>
      <c r="G47" s="453"/>
      <c r="H47" s="453"/>
      <c r="I47" s="453"/>
      <c r="J47" s="453"/>
    </row>
    <row r="48" spans="1:10" s="1179" customFormat="1">
      <c r="A48" s="453"/>
      <c r="B48" s="453"/>
      <c r="C48" s="453"/>
      <c r="D48" s="453"/>
      <c r="E48" s="453"/>
      <c r="F48" s="453"/>
      <c r="G48" s="453"/>
      <c r="H48" s="453"/>
      <c r="I48" s="453"/>
      <c r="J48" s="453"/>
    </row>
    <row r="49" spans="1:10" s="1179" customFormat="1">
      <c r="A49" s="453"/>
      <c r="B49" s="453"/>
      <c r="C49" s="453"/>
      <c r="D49" s="453"/>
      <c r="E49" s="453"/>
      <c r="F49" s="453"/>
      <c r="G49" s="453"/>
      <c r="H49" s="453"/>
      <c r="I49" s="453"/>
      <c r="J49" s="453"/>
    </row>
    <row r="50" spans="1:10" s="1179" customFormat="1">
      <c r="A50" s="453"/>
      <c r="B50" s="453"/>
      <c r="C50" s="453"/>
      <c r="D50" s="453"/>
      <c r="E50" s="453"/>
      <c r="F50" s="453"/>
      <c r="G50" s="453"/>
      <c r="H50" s="453"/>
      <c r="I50" s="453"/>
      <c r="J50" s="453"/>
    </row>
    <row r="51" spans="1:10" s="1179" customFormat="1">
      <c r="A51" s="453"/>
      <c r="B51" s="453"/>
      <c r="C51" s="453"/>
      <c r="D51" s="453"/>
      <c r="E51" s="453"/>
      <c r="F51" s="453"/>
      <c r="G51" s="453"/>
      <c r="H51" s="453"/>
      <c r="I51" s="453"/>
      <c r="J51" s="453"/>
    </row>
    <row r="52" spans="1:10" s="1179" customFormat="1">
      <c r="A52" s="453"/>
      <c r="B52" s="453"/>
      <c r="C52" s="453"/>
      <c r="D52" s="453"/>
      <c r="E52" s="453"/>
      <c r="F52" s="453"/>
      <c r="G52" s="453"/>
      <c r="H52" s="453"/>
      <c r="I52" s="453"/>
      <c r="J52" s="453"/>
    </row>
    <row r="53" spans="1:10" s="1179" customFormat="1">
      <c r="A53" s="453"/>
      <c r="B53" s="453"/>
      <c r="C53" s="453"/>
      <c r="D53" s="453"/>
      <c r="E53" s="453"/>
      <c r="F53" s="453"/>
      <c r="G53" s="453"/>
      <c r="H53" s="453"/>
      <c r="I53" s="453"/>
      <c r="J53" s="453"/>
    </row>
    <row r="54" spans="1:10" s="1179" customFormat="1">
      <c r="A54" s="453"/>
      <c r="B54" s="453"/>
      <c r="C54" s="453"/>
      <c r="D54" s="453"/>
      <c r="E54" s="453"/>
      <c r="F54" s="453"/>
      <c r="G54" s="453"/>
      <c r="H54" s="453"/>
      <c r="I54" s="453"/>
      <c r="J54" s="453"/>
    </row>
    <row r="55" spans="1:10" s="1179" customFormat="1">
      <c r="A55" s="453"/>
      <c r="B55" s="453"/>
      <c r="C55" s="453"/>
      <c r="D55" s="453"/>
      <c r="E55" s="453"/>
      <c r="F55" s="453"/>
      <c r="G55" s="453"/>
      <c r="H55" s="453"/>
      <c r="I55" s="453"/>
      <c r="J55" s="453"/>
    </row>
  </sheetData>
  <mergeCells count="13">
    <mergeCell ref="N4:O4"/>
    <mergeCell ref="P4:Q4"/>
    <mergeCell ref="R4:S4"/>
    <mergeCell ref="T4:U4"/>
    <mergeCell ref="A25:B25"/>
    <mergeCell ref="A2:M2"/>
    <mergeCell ref="A4:A5"/>
    <mergeCell ref="B4:C4"/>
    <mergeCell ref="D4:E4"/>
    <mergeCell ref="F4:G4"/>
    <mergeCell ref="H4:I4"/>
    <mergeCell ref="J4:K4"/>
    <mergeCell ref="L4:M4"/>
  </mergeCells>
  <pageMargins left="0.7" right="0.7" top="0.75" bottom="0.75" header="0.3" footer="0.3"/>
</worksheet>
</file>

<file path=xl/worksheets/sheet111.xml><?xml version="1.0" encoding="utf-8"?>
<worksheet xmlns="http://schemas.openxmlformats.org/spreadsheetml/2006/main" xmlns:r="http://schemas.openxmlformats.org/officeDocument/2006/relationships">
  <dimension ref="A1:L9"/>
  <sheetViews>
    <sheetView zoomScaleNormal="100" workbookViewId="0">
      <selection activeCell="A40" sqref="A40"/>
    </sheetView>
  </sheetViews>
  <sheetFormatPr baseColWidth="10" defaultRowHeight="12"/>
  <cols>
    <col min="1" max="1" width="24.28515625" style="50" customWidth="1"/>
    <col min="2" max="2" width="20.140625" style="50" customWidth="1"/>
    <col min="3" max="3" width="19.7109375" style="50" customWidth="1"/>
    <col min="4" max="16384" width="11.42578125" style="50"/>
  </cols>
  <sheetData>
    <row r="1" spans="1:12" s="53" customFormat="1" ht="11.25">
      <c r="A1" s="494"/>
      <c r="F1" s="61"/>
      <c r="L1" s="61"/>
    </row>
    <row r="2" spans="1:12" s="53" customFormat="1" ht="24" customHeight="1">
      <c r="A2" s="2055" t="s">
        <v>3182</v>
      </c>
      <c r="B2" s="2055"/>
      <c r="C2" s="2055"/>
      <c r="F2" s="61"/>
      <c r="L2" s="61"/>
    </row>
    <row r="3" spans="1:12" s="53" customFormat="1" ht="11.25">
      <c r="F3" s="61"/>
      <c r="L3" s="61"/>
    </row>
    <row r="4" spans="1:12" s="1566" customFormat="1" ht="18" customHeight="1">
      <c r="A4" s="1565" t="s">
        <v>1219</v>
      </c>
      <c r="B4" s="1565" t="s">
        <v>3564</v>
      </c>
      <c r="C4" s="1565" t="s">
        <v>3752</v>
      </c>
      <c r="F4" s="373"/>
      <c r="L4" s="373"/>
    </row>
    <row r="5" spans="1:12" s="53" customFormat="1" ht="15.75" customHeight="1">
      <c r="A5" s="378" t="s">
        <v>6</v>
      </c>
      <c r="B5" s="61">
        <v>136</v>
      </c>
      <c r="C5" s="61">
        <v>206</v>
      </c>
      <c r="D5" s="1183"/>
      <c r="E5" s="310"/>
      <c r="F5" s="310"/>
      <c r="G5" s="310"/>
      <c r="L5" s="61"/>
    </row>
    <row r="6" spans="1:12" s="53" customFormat="1" ht="11.25">
      <c r="A6" s="147"/>
      <c r="B6" s="61"/>
      <c r="D6" s="310"/>
      <c r="E6" s="310"/>
      <c r="F6" s="310"/>
      <c r="G6" s="310"/>
      <c r="L6" s="61"/>
    </row>
    <row r="7" spans="1:12" s="53" customFormat="1" ht="26.25" customHeight="1">
      <c r="A7" s="2106" t="s">
        <v>3753</v>
      </c>
      <c r="B7" s="2106"/>
      <c r="C7" s="2106"/>
      <c r="D7" s="1183"/>
      <c r="E7" s="1183"/>
      <c r="F7" s="310"/>
      <c r="G7" s="310"/>
      <c r="L7" s="61"/>
    </row>
    <row r="8" spans="1:12" ht="36.75" customHeight="1">
      <c r="A8" s="2106" t="s">
        <v>3754</v>
      </c>
      <c r="B8" s="2106"/>
      <c r="C8" s="2106"/>
    </row>
    <row r="9" spans="1:12" ht="30" customHeight="1">
      <c r="A9" s="2124" t="s">
        <v>1205</v>
      </c>
      <c r="B9" s="2124"/>
      <c r="C9" s="2124"/>
    </row>
  </sheetData>
  <mergeCells count="4">
    <mergeCell ref="A2:C2"/>
    <mergeCell ref="A7:C7"/>
    <mergeCell ref="A8:C8"/>
    <mergeCell ref="A9:C9"/>
  </mergeCells>
  <pageMargins left="0.7" right="0.7" top="0.75" bottom="0.75" header="0.3" footer="0.3"/>
  <pageSetup paperSize="14" orientation="portrait" r:id="rId1"/>
</worksheet>
</file>

<file path=xl/worksheets/sheet112.xml><?xml version="1.0" encoding="utf-8"?>
<worksheet xmlns="http://schemas.openxmlformats.org/spreadsheetml/2006/main" xmlns:r="http://schemas.openxmlformats.org/officeDocument/2006/relationships">
  <dimension ref="A1:H20"/>
  <sheetViews>
    <sheetView zoomScaleNormal="100" workbookViewId="0">
      <selection activeCell="B24" sqref="B24"/>
    </sheetView>
  </sheetViews>
  <sheetFormatPr baseColWidth="10" defaultRowHeight="12"/>
  <cols>
    <col min="1" max="1" width="27.28515625" style="127" customWidth="1"/>
    <col min="2" max="3" width="15.85546875" style="127" bestFit="1" customWidth="1"/>
    <col min="4" max="7" width="17.28515625" style="127" bestFit="1" customWidth="1"/>
    <col min="8" max="8" width="2.7109375" style="127" customWidth="1"/>
    <col min="9" max="16384" width="11.42578125" style="127"/>
  </cols>
  <sheetData>
    <row r="1" spans="1:8" s="135" customFormat="1">
      <c r="A1" s="1453"/>
    </row>
    <row r="2" spans="1:8" s="135" customFormat="1" ht="28.5" customHeight="1">
      <c r="A2" s="2245" t="s">
        <v>1220</v>
      </c>
      <c r="B2" s="2245"/>
      <c r="C2" s="2245"/>
      <c r="D2" s="2245"/>
      <c r="E2" s="2245"/>
      <c r="F2" s="2245"/>
      <c r="G2" s="2245"/>
    </row>
    <row r="3" spans="1:8" s="1562" customFormat="1" ht="9.75" customHeight="1">
      <c r="A3" s="135"/>
      <c r="B3" s="135"/>
      <c r="C3" s="135"/>
      <c r="D3" s="135"/>
      <c r="E3" s="135"/>
      <c r="F3" s="135"/>
      <c r="G3" s="135"/>
      <c r="H3" s="135"/>
    </row>
    <row r="4" spans="1:8" s="1562" customFormat="1" ht="15.75" customHeight="1">
      <c r="A4" s="2187" t="s">
        <v>1221</v>
      </c>
      <c r="B4" s="2187" t="s">
        <v>3749</v>
      </c>
      <c r="C4" s="2187"/>
      <c r="D4" s="2187"/>
      <c r="E4" s="2187"/>
      <c r="F4" s="2187"/>
      <c r="G4" s="2187"/>
    </row>
    <row r="5" spans="1:8" s="135" customFormat="1" ht="11.25">
      <c r="A5" s="2187"/>
      <c r="B5" s="1517">
        <v>2009</v>
      </c>
      <c r="C5" s="1517">
        <v>2010</v>
      </c>
      <c r="D5" s="1517">
        <v>2011</v>
      </c>
      <c r="E5" s="1517">
        <v>2012</v>
      </c>
      <c r="F5" s="1517">
        <v>2013</v>
      </c>
      <c r="G5" s="1517">
        <v>2014</v>
      </c>
    </row>
    <row r="6" spans="1:8" s="135" customFormat="1" ht="11.25">
      <c r="A6" s="1327" t="s">
        <v>26</v>
      </c>
      <c r="B6" s="1002">
        <f t="shared" ref="B6:G6" si="0">SUM(B7:B14)</f>
        <v>8665621512</v>
      </c>
      <c r="C6" s="1002">
        <f t="shared" si="0"/>
        <v>9586549376</v>
      </c>
      <c r="D6" s="1002">
        <f t="shared" si="0"/>
        <v>11449314288</v>
      </c>
      <c r="E6" s="1002">
        <f t="shared" si="0"/>
        <v>12444855932</v>
      </c>
      <c r="F6" s="1002">
        <f t="shared" si="0"/>
        <v>13375208881</v>
      </c>
      <c r="G6" s="1002">
        <f t="shared" si="0"/>
        <v>14855769721</v>
      </c>
    </row>
    <row r="7" spans="1:8" s="135" customFormat="1" ht="10.5" customHeight="1">
      <c r="A7" s="135" t="s">
        <v>1222</v>
      </c>
      <c r="B7" s="1563">
        <v>716957346</v>
      </c>
      <c r="C7" s="1563">
        <v>750405041</v>
      </c>
      <c r="D7" s="1563">
        <v>872027916</v>
      </c>
      <c r="E7" s="1563">
        <v>932524932</v>
      </c>
      <c r="F7" s="1550">
        <v>1001313327</v>
      </c>
      <c r="G7" s="1550">
        <v>961791486</v>
      </c>
    </row>
    <row r="8" spans="1:8" s="135" customFormat="1" ht="11.25">
      <c r="A8" s="135" t="s">
        <v>1223</v>
      </c>
      <c r="B8" s="1563">
        <v>1372414305</v>
      </c>
      <c r="C8" s="1563">
        <v>1470387817</v>
      </c>
      <c r="D8" s="1563">
        <v>1738710584</v>
      </c>
      <c r="E8" s="1563">
        <v>1730573577</v>
      </c>
      <c r="F8" s="1550">
        <v>1757087722</v>
      </c>
      <c r="G8" s="1550">
        <v>1741870712</v>
      </c>
    </row>
    <row r="9" spans="1:8" s="135" customFormat="1" ht="11.25">
      <c r="A9" s="135" t="s">
        <v>1224</v>
      </c>
      <c r="B9" s="1563">
        <v>302792040</v>
      </c>
      <c r="C9" s="1563">
        <v>302696799</v>
      </c>
      <c r="D9" s="1563">
        <v>410291821</v>
      </c>
      <c r="E9" s="1563">
        <v>486691909</v>
      </c>
      <c r="F9" s="1550">
        <v>520308891</v>
      </c>
      <c r="G9" s="1550">
        <v>541795040</v>
      </c>
    </row>
    <row r="10" spans="1:8" s="135" customFormat="1" ht="11.25">
      <c r="A10" s="135" t="s">
        <v>1225</v>
      </c>
      <c r="B10" s="1563">
        <v>3816742175</v>
      </c>
      <c r="C10" s="1563">
        <v>3929640416</v>
      </c>
      <c r="D10" s="1563">
        <v>4806349245</v>
      </c>
      <c r="E10" s="1563">
        <v>4905605431</v>
      </c>
      <c r="F10" s="1550">
        <v>5502885703</v>
      </c>
      <c r="G10" s="1550">
        <v>5861591876</v>
      </c>
    </row>
    <row r="11" spans="1:8" s="135" customFormat="1" ht="11.25">
      <c r="A11" s="135" t="s">
        <v>1226</v>
      </c>
      <c r="B11" s="1563">
        <v>815716876</v>
      </c>
      <c r="C11" s="1563">
        <v>1053380240</v>
      </c>
      <c r="D11" s="1563">
        <v>1161427101</v>
      </c>
      <c r="E11" s="1563">
        <v>1615509413</v>
      </c>
      <c r="F11" s="1550">
        <v>1458214938</v>
      </c>
      <c r="G11" s="1550">
        <v>2102026900</v>
      </c>
    </row>
    <row r="12" spans="1:8" s="135" customFormat="1" ht="11.25">
      <c r="A12" s="135" t="s">
        <v>1227</v>
      </c>
      <c r="B12" s="1563">
        <v>65318618</v>
      </c>
      <c r="C12" s="1563">
        <v>93250045</v>
      </c>
      <c r="D12" s="1563">
        <v>118631921</v>
      </c>
      <c r="E12" s="1563">
        <v>131250303</v>
      </c>
      <c r="F12" s="1550">
        <v>143834040</v>
      </c>
      <c r="G12" s="1550">
        <v>153643317</v>
      </c>
    </row>
    <row r="13" spans="1:8" s="135" customFormat="1" ht="11.25">
      <c r="A13" s="135" t="s">
        <v>1228</v>
      </c>
      <c r="B13" s="1563">
        <v>1552616675</v>
      </c>
      <c r="C13" s="1563">
        <v>1947936680</v>
      </c>
      <c r="D13" s="1563">
        <v>2307718202</v>
      </c>
      <c r="E13" s="1563">
        <v>2593398864</v>
      </c>
      <c r="F13" s="1550">
        <v>2933683788</v>
      </c>
      <c r="G13" s="1550">
        <v>3450425344</v>
      </c>
    </row>
    <row r="14" spans="1:8" s="135" customFormat="1" ht="11.25">
      <c r="A14" s="135" t="s">
        <v>1229</v>
      </c>
      <c r="B14" s="1563">
        <v>23063477</v>
      </c>
      <c r="C14" s="1563">
        <v>38852338</v>
      </c>
      <c r="D14" s="1563">
        <v>34157498</v>
      </c>
      <c r="E14" s="1563">
        <v>49301503</v>
      </c>
      <c r="F14" s="1550">
        <v>57880472</v>
      </c>
      <c r="G14" s="1550">
        <v>42625046</v>
      </c>
    </row>
    <row r="15" spans="1:8" s="135" customFormat="1" ht="11.25" customHeight="1">
      <c r="B15" s="1563"/>
      <c r="C15" s="1563"/>
      <c r="D15" s="1563"/>
      <c r="E15" s="1563"/>
      <c r="F15" s="1563"/>
      <c r="G15" s="1550"/>
    </row>
    <row r="16" spans="1:8" s="135" customFormat="1" ht="11.25">
      <c r="A16" s="135" t="s">
        <v>3750</v>
      </c>
      <c r="E16" s="1002"/>
      <c r="F16" s="1002"/>
      <c r="H16" s="1564"/>
    </row>
    <row r="17" spans="1:6" s="135" customFormat="1" ht="11.25">
      <c r="A17" s="1498" t="s">
        <v>1151</v>
      </c>
      <c r="E17" s="1002"/>
      <c r="F17" s="1002"/>
    </row>
    <row r="18" spans="1:6" s="135" customFormat="1" ht="11.25">
      <c r="A18" s="1498"/>
      <c r="E18" s="1002"/>
      <c r="F18" s="1002"/>
    </row>
    <row r="19" spans="1:6" s="135" customFormat="1" ht="11.25">
      <c r="A19" s="1498"/>
      <c r="E19" s="1002"/>
      <c r="F19" s="1002"/>
    </row>
    <row r="20" spans="1:6" s="135" customFormat="1" ht="11.25"/>
  </sheetData>
  <mergeCells count="3">
    <mergeCell ref="A2:G2"/>
    <mergeCell ref="A4:A5"/>
    <mergeCell ref="B4:G4"/>
  </mergeCells>
  <pageMargins left="0.7" right="0.7" top="0.75" bottom="0.75" header="0.3" footer="0.3"/>
  <pageSetup paperSize="14" scale="89" orientation="portrait" r:id="rId1"/>
</worksheet>
</file>

<file path=xl/worksheets/sheet113.xml><?xml version="1.0" encoding="utf-8"?>
<worksheet xmlns="http://schemas.openxmlformats.org/spreadsheetml/2006/main" xmlns:r="http://schemas.openxmlformats.org/officeDocument/2006/relationships">
  <dimension ref="A1:M14"/>
  <sheetViews>
    <sheetView zoomScaleNormal="100" workbookViewId="0"/>
  </sheetViews>
  <sheetFormatPr baseColWidth="10" defaultRowHeight="11.25"/>
  <cols>
    <col min="1" max="1" width="23" style="135" customWidth="1"/>
    <col min="2" max="5" width="15.85546875" style="135" bestFit="1" customWidth="1"/>
    <col min="6" max="7" width="17.28515625" style="135" bestFit="1" customWidth="1"/>
    <col min="8" max="8" width="6.28515625" style="135" bestFit="1" customWidth="1"/>
    <col min="9" max="9" width="11.42578125" style="135"/>
    <col min="10" max="10" width="15.85546875" style="135" customWidth="1"/>
    <col min="11" max="11" width="14" style="135" customWidth="1"/>
    <col min="12" max="12" width="12" style="135" bestFit="1" customWidth="1"/>
    <col min="13" max="16384" width="11.42578125" style="135"/>
  </cols>
  <sheetData>
    <row r="1" spans="1:13" ht="12">
      <c r="A1" s="1453"/>
    </row>
    <row r="2" spans="1:13" ht="22.5" customHeight="1">
      <c r="A2" s="2028" t="s">
        <v>1230</v>
      </c>
      <c r="B2" s="2028"/>
      <c r="C2" s="2028"/>
      <c r="D2" s="2028"/>
      <c r="E2" s="2028"/>
      <c r="F2" s="2028"/>
      <c r="G2" s="2028"/>
    </row>
    <row r="3" spans="1:13" ht="16.5" customHeight="1">
      <c r="A3" s="1327"/>
      <c r="I3" s="1381"/>
      <c r="J3" s="1381"/>
      <c r="K3" s="1498"/>
      <c r="L3" s="1498"/>
      <c r="M3" s="1554"/>
    </row>
    <row r="4" spans="1:13" ht="16.5" customHeight="1">
      <c r="A4" s="2187" t="s">
        <v>1071</v>
      </c>
      <c r="B4" s="2187" t="s">
        <v>3749</v>
      </c>
      <c r="C4" s="2187"/>
      <c r="D4" s="2187"/>
      <c r="E4" s="2187"/>
      <c r="F4" s="2187"/>
      <c r="G4" s="2187"/>
      <c r="I4" s="1381"/>
      <c r="J4" s="777"/>
      <c r="K4" s="1554"/>
      <c r="L4" s="1554"/>
      <c r="M4" s="1554"/>
    </row>
    <row r="5" spans="1:13">
      <c r="A5" s="2187"/>
      <c r="B5" s="1517">
        <v>2009</v>
      </c>
      <c r="C5" s="1517">
        <v>2010</v>
      </c>
      <c r="D5" s="1517">
        <v>2011</v>
      </c>
      <c r="E5" s="1517">
        <v>2012</v>
      </c>
      <c r="F5" s="1517">
        <v>2013</v>
      </c>
      <c r="G5" s="1517">
        <v>2014</v>
      </c>
      <c r="I5" s="129"/>
      <c r="J5" s="1005"/>
      <c r="K5" s="1001"/>
      <c r="L5" s="1001"/>
      <c r="M5" s="1002"/>
    </row>
    <row r="6" spans="1:13">
      <c r="A6" s="1327" t="s">
        <v>6</v>
      </c>
      <c r="B6" s="1002">
        <f t="shared" ref="B6:G6" si="0">SUM(B7:B9)</f>
        <v>5521731157</v>
      </c>
      <c r="C6" s="1002">
        <f t="shared" si="0"/>
        <v>7008109839</v>
      </c>
      <c r="D6" s="1002">
        <f t="shared" si="0"/>
        <v>7844990076</v>
      </c>
      <c r="E6" s="1002">
        <f t="shared" si="0"/>
        <v>9235984781</v>
      </c>
      <c r="F6" s="1002">
        <f t="shared" si="0"/>
        <v>10588567636</v>
      </c>
      <c r="G6" s="1002">
        <f t="shared" si="0"/>
        <v>10959761250</v>
      </c>
      <c r="I6" s="129"/>
      <c r="J6" s="1005"/>
      <c r="K6" s="1001"/>
      <c r="L6" s="1560"/>
      <c r="M6" s="1560"/>
    </row>
    <row r="7" spans="1:13">
      <c r="A7" s="135" t="s">
        <v>1100</v>
      </c>
      <c r="B7" s="1001">
        <v>1040701491</v>
      </c>
      <c r="C7" s="1001">
        <v>1178419120</v>
      </c>
      <c r="D7" s="1560">
        <v>1307132912</v>
      </c>
      <c r="E7" s="1560">
        <v>1474820887</v>
      </c>
      <c r="F7" s="1001">
        <v>1810278275</v>
      </c>
      <c r="G7" s="1001">
        <v>1829777387</v>
      </c>
      <c r="H7" s="1561"/>
      <c r="I7" s="129"/>
      <c r="J7" s="1005"/>
      <c r="K7" s="1001"/>
      <c r="L7" s="1560"/>
      <c r="M7" s="1560"/>
    </row>
    <row r="8" spans="1:13">
      <c r="A8" s="135" t="s">
        <v>1231</v>
      </c>
      <c r="B8" s="1001">
        <v>1920623381</v>
      </c>
      <c r="C8" s="1001">
        <v>2268375174</v>
      </c>
      <c r="D8" s="1560">
        <v>2508433594</v>
      </c>
      <c r="E8" s="1560">
        <v>2964090787</v>
      </c>
      <c r="F8" s="1001">
        <v>3433107578</v>
      </c>
      <c r="G8" s="1001">
        <v>3529811174</v>
      </c>
      <c r="H8" s="1561"/>
      <c r="I8" s="129"/>
      <c r="J8" s="1005"/>
      <c r="K8" s="1001"/>
      <c r="L8" s="1560"/>
      <c r="M8" s="1560"/>
    </row>
    <row r="9" spans="1:13">
      <c r="A9" s="135" t="s">
        <v>1232</v>
      </c>
      <c r="B9" s="1001">
        <v>2560406285</v>
      </c>
      <c r="C9" s="1001">
        <v>3561315545</v>
      </c>
      <c r="D9" s="1560">
        <v>4029423570</v>
      </c>
      <c r="E9" s="1560">
        <v>4797073107</v>
      </c>
      <c r="F9" s="1001">
        <v>5345181783</v>
      </c>
      <c r="G9" s="1001">
        <v>5600172689</v>
      </c>
      <c r="H9" s="1561"/>
      <c r="I9" s="129"/>
      <c r="J9" s="1005"/>
      <c r="K9" s="1001"/>
      <c r="L9" s="1560"/>
      <c r="M9" s="1560"/>
    </row>
    <row r="10" spans="1:13" ht="6" customHeight="1">
      <c r="B10" s="1001"/>
      <c r="C10" s="1001"/>
      <c r="D10" s="1560"/>
      <c r="E10" s="1560"/>
      <c r="F10" s="1001"/>
      <c r="G10" s="1001"/>
      <c r="I10" s="129"/>
      <c r="J10" s="129"/>
    </row>
    <row r="11" spans="1:13">
      <c r="A11" s="135" t="s">
        <v>3750</v>
      </c>
      <c r="I11" s="1381"/>
      <c r="J11" s="129"/>
    </row>
    <row r="12" spans="1:13">
      <c r="A12" s="1498" t="s">
        <v>1151</v>
      </c>
    </row>
    <row r="13" spans="1:13">
      <c r="A13" s="1498"/>
    </row>
    <row r="14" spans="1:13">
      <c r="A14" s="1498"/>
    </row>
  </sheetData>
  <mergeCells count="3">
    <mergeCell ref="A2:G2"/>
    <mergeCell ref="A4:A5"/>
    <mergeCell ref="B4:G4"/>
  </mergeCells>
  <pageMargins left="0.7" right="0.7" top="0.75" bottom="0.75" header="0.3" footer="0.3"/>
  <pageSetup paperSize="14" scale="74" orientation="portrait" r:id="rId1"/>
</worksheet>
</file>

<file path=xl/worksheets/sheet114.xml><?xml version="1.0" encoding="utf-8"?>
<worksheet xmlns="http://schemas.openxmlformats.org/spreadsheetml/2006/main" xmlns:r="http://schemas.openxmlformats.org/officeDocument/2006/relationships">
  <dimension ref="A1:N15"/>
  <sheetViews>
    <sheetView zoomScaleNormal="100" workbookViewId="0">
      <selection activeCell="A45" sqref="A45"/>
    </sheetView>
  </sheetViews>
  <sheetFormatPr baseColWidth="10" defaultRowHeight="12"/>
  <cols>
    <col min="1" max="1" width="23.7109375" style="127" customWidth="1"/>
    <col min="2" max="2" width="14" style="127" customWidth="1"/>
    <col min="3" max="3" width="14.28515625" style="127" customWidth="1"/>
    <col min="4" max="4" width="13.28515625" style="127" customWidth="1"/>
    <col min="5" max="5" width="14.42578125" style="127" customWidth="1"/>
    <col min="6" max="6" width="14.7109375" style="127" customWidth="1"/>
    <col min="7" max="7" width="12.85546875" style="127" customWidth="1"/>
    <col min="8" max="8" width="5.5703125" style="127" customWidth="1"/>
    <col min="9" max="9" width="11.42578125" style="127"/>
    <col min="10" max="10" width="9.28515625" style="127" customWidth="1"/>
    <col min="11" max="11" width="2.85546875" style="127" customWidth="1"/>
    <col min="12" max="16384" width="11.42578125" style="127"/>
  </cols>
  <sheetData>
    <row r="1" spans="1:14" ht="9.75" customHeight="1">
      <c r="A1" s="1453"/>
    </row>
    <row r="2" spans="1:14" s="135" customFormat="1" ht="25.5" customHeight="1">
      <c r="A2" s="2033" t="s">
        <v>3183</v>
      </c>
      <c r="B2" s="2033"/>
      <c r="C2" s="2033"/>
      <c r="D2" s="2033"/>
      <c r="E2" s="2033"/>
      <c r="F2" s="2033"/>
      <c r="G2" s="2033"/>
      <c r="I2" s="1498"/>
      <c r="J2" s="1498"/>
      <c r="K2" s="1498"/>
      <c r="L2" s="1498"/>
      <c r="M2" s="1498"/>
      <c r="N2" s="1498"/>
    </row>
    <row r="3" spans="1:14" s="135" customFormat="1" ht="8.25" customHeight="1">
      <c r="A3" s="1327"/>
      <c r="I3" s="1498"/>
      <c r="J3" s="1498"/>
      <c r="K3" s="1498"/>
      <c r="L3" s="1498"/>
      <c r="M3" s="1498"/>
      <c r="N3" s="1498"/>
    </row>
    <row r="4" spans="1:14" s="135" customFormat="1" ht="14.25" customHeight="1">
      <c r="A4" s="2246" t="s">
        <v>1233</v>
      </c>
      <c r="B4" s="2187" t="s">
        <v>3749</v>
      </c>
      <c r="C4" s="2187"/>
      <c r="D4" s="2187"/>
      <c r="E4" s="2187"/>
      <c r="F4" s="2187"/>
      <c r="G4" s="2187"/>
      <c r="I4" s="1498"/>
      <c r="J4" s="1554"/>
      <c r="K4" s="1554"/>
      <c r="L4" s="1554"/>
      <c r="M4" s="1554"/>
      <c r="N4" s="1554"/>
    </row>
    <row r="5" spans="1:14" s="135" customFormat="1" ht="11.25">
      <c r="A5" s="2247"/>
      <c r="B5" s="1367">
        <v>2009</v>
      </c>
      <c r="C5" s="1517">
        <v>2010</v>
      </c>
      <c r="D5" s="1517">
        <v>2011</v>
      </c>
      <c r="E5" s="1517">
        <v>2012</v>
      </c>
      <c r="F5" s="1517">
        <v>2013</v>
      </c>
      <c r="G5" s="1517">
        <v>2014</v>
      </c>
      <c r="I5" s="129"/>
      <c r="J5" s="129"/>
      <c r="K5" s="1005"/>
      <c r="L5" s="1005"/>
      <c r="M5" s="1001"/>
      <c r="N5" s="1498"/>
    </row>
    <row r="6" spans="1:14" s="135" customFormat="1" ht="11.25">
      <c r="A6" s="1555" t="s">
        <v>1234</v>
      </c>
      <c r="B6" s="1556">
        <v>88076369</v>
      </c>
      <c r="C6" s="1002">
        <v>132905476</v>
      </c>
      <c r="D6" s="1002">
        <v>93685036</v>
      </c>
      <c r="E6" s="754">
        <v>151694202</v>
      </c>
      <c r="F6" s="1002">
        <v>119931127</v>
      </c>
      <c r="G6" s="1002">
        <v>82456206</v>
      </c>
      <c r="I6" s="129"/>
      <c r="J6" s="129"/>
      <c r="K6" s="1170"/>
      <c r="L6" s="1170"/>
      <c r="M6" s="1011"/>
      <c r="N6" s="1011"/>
    </row>
    <row r="7" spans="1:14" s="135" customFormat="1" ht="11.25">
      <c r="A7" s="1555" t="s">
        <v>1235</v>
      </c>
      <c r="B7" s="1556">
        <f t="shared" ref="B7:G7" si="0">SUM(B8:B10)</f>
        <v>94999952</v>
      </c>
      <c r="C7" s="960">
        <f t="shared" si="0"/>
        <v>87772250</v>
      </c>
      <c r="D7" s="960">
        <f t="shared" si="0"/>
        <v>74340998</v>
      </c>
      <c r="E7" s="960">
        <f t="shared" si="0"/>
        <v>186162609</v>
      </c>
      <c r="F7" s="960">
        <f t="shared" si="0"/>
        <v>149283568</v>
      </c>
      <c r="G7" s="960">
        <f t="shared" si="0"/>
        <v>93645303</v>
      </c>
      <c r="I7" s="1386"/>
      <c r="J7" s="1005"/>
      <c r="K7" s="129"/>
      <c r="L7" s="129"/>
      <c r="N7" s="1498"/>
    </row>
    <row r="8" spans="1:14" s="135" customFormat="1" ht="11.25">
      <c r="A8" s="135" t="s">
        <v>1236</v>
      </c>
      <c r="B8" s="1557">
        <v>53584187</v>
      </c>
      <c r="C8" s="1001">
        <v>53118338</v>
      </c>
      <c r="D8" s="1558">
        <v>40229791</v>
      </c>
      <c r="E8" s="1558">
        <v>77613888</v>
      </c>
      <c r="F8" s="1001">
        <v>69678766</v>
      </c>
      <c r="G8" s="1001">
        <v>45783556</v>
      </c>
      <c r="I8" s="1381"/>
      <c r="J8" s="1005"/>
      <c r="K8" s="129"/>
      <c r="L8" s="129"/>
      <c r="N8" s="1498"/>
    </row>
    <row r="9" spans="1:14" s="135" customFormat="1" ht="11.25">
      <c r="A9" s="135" t="s">
        <v>1237</v>
      </c>
      <c r="B9" s="1557">
        <v>2851179</v>
      </c>
      <c r="C9" s="1001">
        <v>3867812</v>
      </c>
      <c r="D9" s="1558">
        <v>4231630</v>
      </c>
      <c r="E9" s="1558">
        <v>11079180</v>
      </c>
      <c r="F9" s="1001">
        <v>12831255</v>
      </c>
      <c r="G9" s="1001">
        <v>7467553</v>
      </c>
      <c r="I9" s="1381"/>
      <c r="J9" s="1005"/>
      <c r="K9" s="1005"/>
      <c r="L9" s="129"/>
      <c r="N9" s="1498"/>
    </row>
    <row r="10" spans="1:14" s="135" customFormat="1" ht="11.25">
      <c r="A10" s="135" t="s">
        <v>1238</v>
      </c>
      <c r="B10" s="1557">
        <v>38564586</v>
      </c>
      <c r="C10" s="1001">
        <v>30786100</v>
      </c>
      <c r="D10" s="1558">
        <v>29879577</v>
      </c>
      <c r="E10" s="1558">
        <v>97469541</v>
      </c>
      <c r="F10" s="1001">
        <v>66773547</v>
      </c>
      <c r="G10" s="1001">
        <v>40394194</v>
      </c>
      <c r="I10" s="1381"/>
      <c r="J10" s="1005"/>
      <c r="K10" s="1005"/>
      <c r="L10" s="129"/>
      <c r="N10" s="1498"/>
    </row>
    <row r="11" spans="1:14" s="135" customFormat="1" ht="11.25">
      <c r="B11" s="1168"/>
      <c r="C11" s="1001"/>
      <c r="D11" s="1559"/>
      <c r="E11" s="1559"/>
      <c r="F11" s="1559"/>
      <c r="G11" s="1001"/>
      <c r="I11" s="1381"/>
      <c r="J11" s="1381"/>
      <c r="K11" s="1381"/>
      <c r="L11" s="1381"/>
      <c r="M11" s="1498"/>
      <c r="N11" s="1498"/>
    </row>
    <row r="12" spans="1:14" s="135" customFormat="1" ht="11.25">
      <c r="A12" s="135" t="s">
        <v>3751</v>
      </c>
      <c r="I12" s="129"/>
      <c r="J12" s="1381"/>
      <c r="K12" s="1381"/>
      <c r="L12" s="1381"/>
      <c r="M12" s="1498"/>
      <c r="N12" s="1498"/>
    </row>
    <row r="13" spans="1:14" s="135" customFormat="1" ht="11.25">
      <c r="A13" s="1498" t="s">
        <v>1151</v>
      </c>
      <c r="I13" s="129"/>
      <c r="J13" s="129"/>
      <c r="K13" s="129"/>
      <c r="L13" s="129"/>
    </row>
    <row r="14" spans="1:14" s="135" customFormat="1" ht="11.25">
      <c r="A14" s="1498"/>
      <c r="I14" s="129"/>
      <c r="J14" s="129"/>
      <c r="K14" s="129"/>
      <c r="L14" s="129"/>
    </row>
    <row r="15" spans="1:14" s="135" customFormat="1" ht="11.25">
      <c r="A15" s="1498"/>
      <c r="I15" s="129"/>
      <c r="J15" s="129"/>
      <c r="K15" s="129"/>
      <c r="L15" s="129"/>
    </row>
  </sheetData>
  <mergeCells count="3">
    <mergeCell ref="A2:G2"/>
    <mergeCell ref="A4:A5"/>
    <mergeCell ref="B4:G4"/>
  </mergeCells>
  <pageMargins left="0.7" right="0.7" top="0.75" bottom="0.75" header="0.3" footer="0.3"/>
  <pageSetup paperSize="14" orientation="landscape" r:id="rId1"/>
</worksheet>
</file>

<file path=xl/worksheets/sheet115.xml><?xml version="1.0" encoding="utf-8"?>
<worksheet xmlns="http://schemas.openxmlformats.org/spreadsheetml/2006/main" xmlns:r="http://schemas.openxmlformats.org/officeDocument/2006/relationships">
  <dimension ref="A1:T20"/>
  <sheetViews>
    <sheetView zoomScaleNormal="100" workbookViewId="0">
      <selection activeCell="A25" sqref="A25"/>
    </sheetView>
  </sheetViews>
  <sheetFormatPr baseColWidth="10" defaultRowHeight="12"/>
  <cols>
    <col min="1" max="1" width="24.28515625" style="127" customWidth="1"/>
    <col min="2" max="7" width="15.85546875" style="127" bestFit="1" customWidth="1"/>
    <col min="8" max="8" width="4.7109375" style="127" customWidth="1"/>
    <col min="9" max="16384" width="11.42578125" style="127"/>
  </cols>
  <sheetData>
    <row r="1" spans="1:13">
      <c r="A1" s="1453"/>
    </row>
    <row r="2" spans="1:13" s="135" customFormat="1" ht="24.75" customHeight="1">
      <c r="A2" s="2028" t="s">
        <v>1239</v>
      </c>
      <c r="B2" s="2028"/>
      <c r="C2" s="2028"/>
      <c r="D2" s="2028"/>
      <c r="E2" s="2028"/>
      <c r="F2" s="2028"/>
      <c r="G2" s="2028"/>
      <c r="H2" s="1498"/>
      <c r="I2" s="1498"/>
      <c r="J2" s="1498"/>
      <c r="K2" s="1498"/>
      <c r="L2" s="1498"/>
      <c r="M2" s="1498"/>
    </row>
    <row r="3" spans="1:13" s="135" customFormat="1" ht="11.25">
      <c r="A3" s="2186"/>
      <c r="B3" s="2186"/>
      <c r="C3" s="2186"/>
      <c r="D3" s="2186"/>
      <c r="E3" s="2186"/>
      <c r="F3" s="2186"/>
      <c r="H3" s="1498"/>
      <c r="I3" s="777"/>
      <c r="J3" s="1381"/>
      <c r="K3" s="1381"/>
      <c r="L3" s="1498"/>
      <c r="M3" s="1498"/>
    </row>
    <row r="4" spans="1:13" s="135" customFormat="1" ht="15" customHeight="1">
      <c r="A4" s="2187" t="s">
        <v>1221</v>
      </c>
      <c r="B4" s="2221" t="s">
        <v>3749</v>
      </c>
      <c r="C4" s="2222"/>
      <c r="D4" s="2222"/>
      <c r="E4" s="2222"/>
      <c r="F4" s="2222"/>
      <c r="G4" s="2223"/>
      <c r="H4" s="1498"/>
      <c r="I4" s="1381"/>
      <c r="J4" s="1381"/>
      <c r="K4" s="1381"/>
      <c r="L4" s="1498"/>
      <c r="M4" s="1498"/>
    </row>
    <row r="5" spans="1:13" s="135" customFormat="1" ht="11.25">
      <c r="A5" s="2187"/>
      <c r="B5" s="1517">
        <v>2009</v>
      </c>
      <c r="C5" s="1517">
        <v>2010</v>
      </c>
      <c r="D5" s="1517">
        <v>2011</v>
      </c>
      <c r="E5" s="1517">
        <v>2012</v>
      </c>
      <c r="F5" s="1517">
        <v>2013</v>
      </c>
      <c r="G5" s="1517">
        <v>2014</v>
      </c>
      <c r="H5" s="1498"/>
      <c r="I5" s="129"/>
      <c r="J5" s="129"/>
      <c r="K5" s="1005"/>
      <c r="L5" s="1001"/>
      <c r="M5" s="1001"/>
    </row>
    <row r="6" spans="1:13" s="135" customFormat="1" ht="11.25">
      <c r="A6" s="1327" t="s">
        <v>6</v>
      </c>
      <c r="B6" s="1002">
        <f t="shared" ref="B6:G6" si="0">SUM(B7:B15)</f>
        <v>2568095929</v>
      </c>
      <c r="C6" s="1002">
        <f t="shared" si="0"/>
        <v>2906879313</v>
      </c>
      <c r="D6" s="1002">
        <f t="shared" si="0"/>
        <v>3673708226</v>
      </c>
      <c r="E6" s="1002">
        <f t="shared" si="0"/>
        <v>3976924084</v>
      </c>
      <c r="F6" s="1002">
        <f t="shared" si="0"/>
        <v>4600304668</v>
      </c>
      <c r="G6" s="1002">
        <f t="shared" si="0"/>
        <v>5222390478</v>
      </c>
      <c r="H6" s="1498"/>
      <c r="I6" s="129"/>
      <c r="J6" s="129"/>
      <c r="K6" s="757"/>
      <c r="L6" s="985"/>
      <c r="M6" s="1498"/>
    </row>
    <row r="7" spans="1:13" s="135" customFormat="1" ht="11.25">
      <c r="A7" s="135" t="s">
        <v>1222</v>
      </c>
      <c r="B7" s="1545">
        <v>358760561</v>
      </c>
      <c r="C7" s="1546">
        <v>375707686</v>
      </c>
      <c r="D7" s="1547">
        <v>436369592</v>
      </c>
      <c r="E7" s="1547">
        <v>466439138</v>
      </c>
      <c r="F7" s="1005">
        <v>500987520</v>
      </c>
      <c r="G7" s="1005">
        <v>481387957</v>
      </c>
      <c r="H7" s="1498"/>
      <c r="I7" s="1548"/>
      <c r="J7" s="1005"/>
      <c r="K7" s="757"/>
      <c r="L7" s="985"/>
      <c r="M7" s="1498"/>
    </row>
    <row r="8" spans="1:13" s="135" customFormat="1" ht="11.25">
      <c r="A8" s="135" t="s">
        <v>1223</v>
      </c>
      <c r="B8" s="1545">
        <v>686208242</v>
      </c>
      <c r="C8" s="1546">
        <v>737813150</v>
      </c>
      <c r="D8" s="1547">
        <v>869355512</v>
      </c>
      <c r="E8" s="1547">
        <v>865286773</v>
      </c>
      <c r="F8" s="1005">
        <v>878543864</v>
      </c>
      <c r="G8" s="1005">
        <v>870935348</v>
      </c>
      <c r="H8" s="1498"/>
      <c r="I8" s="1548"/>
      <c r="J8" s="1005"/>
      <c r="K8" s="757"/>
      <c r="L8" s="985"/>
      <c r="M8" s="1498"/>
    </row>
    <row r="9" spans="1:13" s="135" customFormat="1" ht="11.25">
      <c r="A9" s="135" t="s">
        <v>1224</v>
      </c>
      <c r="B9" s="1545">
        <v>151394304</v>
      </c>
      <c r="C9" s="1546">
        <v>151348520</v>
      </c>
      <c r="D9" s="1547">
        <v>205143160</v>
      </c>
      <c r="E9" s="1547">
        <v>243342442</v>
      </c>
      <c r="F9" s="1005">
        <v>260154824</v>
      </c>
      <c r="G9" s="1005">
        <v>270842895</v>
      </c>
      <c r="H9" s="1498"/>
      <c r="I9" s="1548"/>
      <c r="J9" s="1005"/>
      <c r="K9" s="757"/>
      <c r="L9" s="985"/>
      <c r="M9" s="1498"/>
    </row>
    <row r="10" spans="1:13" s="135" customFormat="1" ht="11.25">
      <c r="A10" s="135" t="s">
        <v>1240</v>
      </c>
      <c r="B10" s="1545">
        <v>527274962</v>
      </c>
      <c r="C10" s="1546">
        <v>586058959</v>
      </c>
      <c r="D10" s="1547">
        <v>910741316</v>
      </c>
      <c r="E10" s="1547">
        <v>993398940</v>
      </c>
      <c r="F10" s="1005">
        <v>1338350192</v>
      </c>
      <c r="G10" s="1005">
        <v>1717991132</v>
      </c>
      <c r="H10" s="1498"/>
      <c r="I10" s="1548"/>
      <c r="J10" s="1005"/>
      <c r="K10" s="757"/>
      <c r="L10" s="985"/>
      <c r="M10" s="1498"/>
    </row>
    <row r="11" spans="1:13" s="135" customFormat="1" ht="11.25">
      <c r="A11" s="135" t="s">
        <v>1226</v>
      </c>
      <c r="B11" s="1545">
        <v>14124511</v>
      </c>
      <c r="C11" s="1546">
        <v>17052939</v>
      </c>
      <c r="D11" s="1547">
        <v>22207314</v>
      </c>
      <c r="E11" s="1547">
        <v>28584889</v>
      </c>
      <c r="F11" s="1005">
        <v>48801896</v>
      </c>
      <c r="G11" s="1005">
        <v>52371173</v>
      </c>
      <c r="H11" s="1498"/>
      <c r="I11" s="1548"/>
      <c r="J11" s="1005"/>
      <c r="K11" s="757"/>
      <c r="L11" s="985"/>
      <c r="M11" s="1498"/>
    </row>
    <row r="12" spans="1:13" s="135" customFormat="1" ht="11.25">
      <c r="A12" s="135" t="s">
        <v>1227</v>
      </c>
      <c r="B12" s="1545">
        <v>32555612</v>
      </c>
      <c r="C12" s="1546">
        <v>46511840</v>
      </c>
      <c r="D12" s="1547">
        <v>57564744</v>
      </c>
      <c r="E12" s="1547">
        <v>60562000</v>
      </c>
      <c r="F12" s="1005">
        <v>71915335</v>
      </c>
      <c r="G12" s="1005">
        <v>76821471</v>
      </c>
      <c r="H12" s="1498"/>
      <c r="I12" s="1548"/>
      <c r="J12" s="1005"/>
      <c r="K12" s="757"/>
      <c r="L12" s="985"/>
      <c r="M12" s="1498"/>
    </row>
    <row r="13" spans="1:13" s="135" customFormat="1" ht="11.25">
      <c r="A13" s="135" t="s">
        <v>1228</v>
      </c>
      <c r="B13" s="1545">
        <v>776308315</v>
      </c>
      <c r="C13" s="1546">
        <v>973780763</v>
      </c>
      <c r="D13" s="1547">
        <v>1153818472</v>
      </c>
      <c r="E13" s="1547">
        <v>1296698812</v>
      </c>
      <c r="F13" s="1005">
        <v>1466838839</v>
      </c>
      <c r="G13" s="1005">
        <v>1725212937</v>
      </c>
      <c r="H13" s="1498"/>
      <c r="I13" s="1548"/>
      <c r="J13" s="1005"/>
      <c r="K13" s="757"/>
      <c r="L13" s="985"/>
      <c r="M13" s="1498"/>
    </row>
    <row r="14" spans="1:13" s="135" customFormat="1" ht="11.25">
      <c r="A14" s="135" t="s">
        <v>1229</v>
      </c>
      <c r="B14" s="1545">
        <v>11539008</v>
      </c>
      <c r="C14" s="1546">
        <v>18605456</v>
      </c>
      <c r="D14" s="1547">
        <v>16111550</v>
      </c>
      <c r="E14" s="1547">
        <v>22611090</v>
      </c>
      <c r="F14" s="1005">
        <v>25483677</v>
      </c>
      <c r="G14" s="1005">
        <v>18887694</v>
      </c>
      <c r="H14" s="1498"/>
      <c r="I14" s="1548"/>
      <c r="J14" s="1381"/>
      <c r="K14" s="1549"/>
      <c r="L14" s="1550"/>
      <c r="M14" s="1498"/>
    </row>
    <row r="15" spans="1:13" s="135" customFormat="1" ht="11.25">
      <c r="A15" s="135" t="s">
        <v>1241</v>
      </c>
      <c r="B15" s="1545">
        <v>9930414</v>
      </c>
      <c r="C15" s="1551">
        <v>0</v>
      </c>
      <c r="D15" s="1545">
        <v>2396566</v>
      </c>
      <c r="E15" s="1551">
        <v>0</v>
      </c>
      <c r="F15" s="1168">
        <v>9228521</v>
      </c>
      <c r="G15" s="1168">
        <v>7939871</v>
      </c>
      <c r="H15" s="1498"/>
      <c r="I15" s="1548"/>
      <c r="J15" s="1381"/>
      <c r="K15" s="1549"/>
      <c r="L15" s="1550"/>
      <c r="M15" s="1498"/>
    </row>
    <row r="16" spans="1:13" s="135" customFormat="1" ht="11.25">
      <c r="B16" s="1545"/>
      <c r="C16" s="1551"/>
      <c r="D16" s="1545"/>
      <c r="E16" s="1551"/>
      <c r="F16" s="1168"/>
      <c r="H16" s="1498"/>
      <c r="I16" s="1548"/>
      <c r="J16" s="1381"/>
      <c r="K16" s="1381"/>
      <c r="L16" s="1498"/>
      <c r="M16" s="1498"/>
    </row>
    <row r="17" spans="1:20" s="1525" customFormat="1" ht="12" customHeight="1">
      <c r="A17" s="135" t="s">
        <v>3751</v>
      </c>
      <c r="B17" s="135"/>
      <c r="C17" s="135"/>
      <c r="D17" s="1329"/>
      <c r="E17" s="1329"/>
      <c r="F17" s="135"/>
      <c r="G17" s="135"/>
      <c r="H17" s="1552"/>
      <c r="J17" s="1307"/>
      <c r="K17" s="1524"/>
      <c r="L17" s="1524"/>
      <c r="M17" s="1524"/>
      <c r="N17" s="1524"/>
      <c r="O17" s="1524"/>
      <c r="P17" s="1524"/>
      <c r="Q17" s="1524"/>
      <c r="R17" s="1524"/>
      <c r="S17" s="1524"/>
      <c r="T17" s="1524"/>
    </row>
    <row r="18" spans="1:20" s="135" customFormat="1" ht="11.25">
      <c r="A18" s="1553" t="s">
        <v>22</v>
      </c>
      <c r="B18" s="1552"/>
      <c r="C18" s="1552"/>
      <c r="D18" s="1552"/>
      <c r="E18" s="1552"/>
      <c r="F18" s="1552"/>
      <c r="G18" s="1552"/>
      <c r="I18" s="129"/>
      <c r="J18" s="129"/>
      <c r="K18" s="129"/>
    </row>
    <row r="19" spans="1:20" s="135" customFormat="1" ht="11.25">
      <c r="A19" s="1498" t="s">
        <v>1151</v>
      </c>
      <c r="I19" s="129"/>
      <c r="J19" s="129"/>
      <c r="K19" s="129"/>
    </row>
    <row r="20" spans="1:20">
      <c r="I20" s="128"/>
      <c r="J20" s="128"/>
      <c r="K20" s="128"/>
    </row>
  </sheetData>
  <mergeCells count="4">
    <mergeCell ref="A2:G2"/>
    <mergeCell ref="A3:F3"/>
    <mergeCell ref="A4:A5"/>
    <mergeCell ref="B4:G4"/>
  </mergeCells>
  <pageMargins left="0.7" right="0.7" top="0.75" bottom="0.75" header="0.3" footer="0.3"/>
  <pageSetup paperSize="14" orientation="landscape" r:id="rId1"/>
</worksheet>
</file>

<file path=xl/worksheets/sheet116.xml><?xml version="1.0" encoding="utf-8"?>
<worksheet xmlns="http://schemas.openxmlformats.org/spreadsheetml/2006/main" xmlns:r="http://schemas.openxmlformats.org/officeDocument/2006/relationships">
  <dimension ref="A1:J19"/>
  <sheetViews>
    <sheetView zoomScaleNormal="100" workbookViewId="0">
      <selection activeCell="B15" sqref="B15"/>
    </sheetView>
  </sheetViews>
  <sheetFormatPr baseColWidth="10" defaultRowHeight="12"/>
  <cols>
    <col min="1" max="1" width="23.140625" style="127" customWidth="1"/>
    <col min="2" max="7" width="15.85546875" style="127" bestFit="1" customWidth="1"/>
    <col min="8" max="8" width="4.85546875" style="127" customWidth="1"/>
    <col min="9" max="16384" width="11.42578125" style="127"/>
  </cols>
  <sheetData>
    <row r="1" spans="1:10">
      <c r="A1" s="1453"/>
    </row>
    <row r="2" spans="1:10" s="135" customFormat="1" ht="24" customHeight="1">
      <c r="A2" s="2028" t="s">
        <v>1242</v>
      </c>
      <c r="B2" s="2028"/>
      <c r="C2" s="2028"/>
      <c r="D2" s="2028"/>
      <c r="E2" s="2028"/>
      <c r="F2" s="2028"/>
      <c r="G2" s="2028"/>
    </row>
    <row r="3" spans="1:10" s="135" customFormat="1" ht="12.75" customHeight="1">
      <c r="A3" s="1327"/>
      <c r="H3" s="1498"/>
      <c r="I3" s="1498"/>
    </row>
    <row r="4" spans="1:10" s="135" customFormat="1" ht="13.5" customHeight="1">
      <c r="A4" s="2248" t="s">
        <v>1071</v>
      </c>
      <c r="B4" s="2248" t="s">
        <v>3749</v>
      </c>
      <c r="C4" s="2248"/>
      <c r="D4" s="2248"/>
      <c r="E4" s="2248"/>
      <c r="F4" s="2248"/>
      <c r="G4" s="2248"/>
      <c r="H4" s="1498"/>
      <c r="I4" s="129"/>
      <c r="J4" s="129"/>
    </row>
    <row r="5" spans="1:10" s="135" customFormat="1" ht="13.5" customHeight="1">
      <c r="A5" s="2248"/>
      <c r="B5" s="1326">
        <v>2009</v>
      </c>
      <c r="C5" s="1326">
        <v>2010</v>
      </c>
      <c r="D5" s="1326">
        <v>2011</v>
      </c>
      <c r="E5" s="1326">
        <v>2012</v>
      </c>
      <c r="F5" s="1326">
        <v>2013</v>
      </c>
      <c r="G5" s="1326">
        <v>2014</v>
      </c>
      <c r="I5" s="129"/>
      <c r="J5" s="129"/>
    </row>
    <row r="6" spans="1:10" s="135" customFormat="1" ht="11.25">
      <c r="A6" s="1327" t="s">
        <v>6</v>
      </c>
      <c r="B6" s="1002">
        <f t="shared" ref="B6:G6" si="0">SUM(B7:B9)</f>
        <v>1649093079</v>
      </c>
      <c r="C6" s="1002">
        <f t="shared" si="0"/>
        <v>2145707103</v>
      </c>
      <c r="D6" s="1002">
        <f t="shared" si="0"/>
        <v>2304052834</v>
      </c>
      <c r="E6" s="1002">
        <f t="shared" si="0"/>
        <v>2875080399</v>
      </c>
      <c r="F6" s="1002">
        <f t="shared" si="0"/>
        <v>3355595094</v>
      </c>
      <c r="G6" s="1002">
        <f t="shared" si="0"/>
        <v>3634295459</v>
      </c>
      <c r="I6" s="129"/>
      <c r="J6" s="129"/>
    </row>
    <row r="7" spans="1:10" s="135" customFormat="1" ht="11.25">
      <c r="A7" s="135" t="s">
        <v>1243</v>
      </c>
      <c r="B7" s="1001">
        <v>631416742</v>
      </c>
      <c r="C7" s="1001">
        <v>979525761</v>
      </c>
      <c r="D7" s="1544">
        <v>886376463</v>
      </c>
      <c r="E7" s="1544">
        <v>1186621756</v>
      </c>
      <c r="F7" s="1001">
        <v>1484043907</v>
      </c>
      <c r="G7" s="1001">
        <v>1410125822</v>
      </c>
      <c r="I7" s="129"/>
      <c r="J7" s="129"/>
    </row>
    <row r="8" spans="1:10" s="135" customFormat="1" ht="11.25">
      <c r="A8" s="135" t="s">
        <v>1244</v>
      </c>
      <c r="B8" s="1001">
        <v>939760623</v>
      </c>
      <c r="C8" s="1001">
        <v>1061975677</v>
      </c>
      <c r="D8" s="1544">
        <v>1298667173</v>
      </c>
      <c r="E8" s="1544">
        <v>1534445533</v>
      </c>
      <c r="F8" s="1001">
        <v>1682633226</v>
      </c>
      <c r="G8" s="1001">
        <v>2033576722</v>
      </c>
      <c r="I8" s="129"/>
      <c r="J8" s="129"/>
    </row>
    <row r="9" spans="1:10" s="135" customFormat="1" ht="11.25">
      <c r="A9" s="135" t="s">
        <v>1238</v>
      </c>
      <c r="B9" s="1001">
        <v>77915714</v>
      </c>
      <c r="C9" s="1001">
        <v>104205665</v>
      </c>
      <c r="D9" s="1544">
        <v>119009198</v>
      </c>
      <c r="E9" s="1544">
        <v>154013110</v>
      </c>
      <c r="F9" s="1001">
        <v>188917961</v>
      </c>
      <c r="G9" s="1001">
        <v>190592915</v>
      </c>
      <c r="I9" s="129"/>
      <c r="J9" s="129"/>
    </row>
    <row r="10" spans="1:10" s="135" customFormat="1" ht="11.25">
      <c r="B10" s="1001"/>
      <c r="C10" s="1001"/>
      <c r="D10" s="1544"/>
      <c r="E10" s="1544"/>
      <c r="F10" s="1001"/>
      <c r="I10" s="129"/>
      <c r="J10" s="129"/>
    </row>
    <row r="11" spans="1:10" s="135" customFormat="1" ht="11.25">
      <c r="A11" s="135" t="s">
        <v>3750</v>
      </c>
      <c r="H11" s="1498"/>
    </row>
    <row r="12" spans="1:10" s="135" customFormat="1" ht="11.25">
      <c r="A12" s="1498" t="s">
        <v>1151</v>
      </c>
    </row>
    <row r="13" spans="1:10" s="135" customFormat="1" ht="11.25"/>
    <row r="14" spans="1:10" s="135" customFormat="1" ht="11.25"/>
    <row r="15" spans="1:10" s="135" customFormat="1" ht="11.25"/>
    <row r="16" spans="1:10" s="135" customFormat="1" ht="11.25"/>
    <row r="17" s="135" customFormat="1" ht="11.25"/>
    <row r="18" s="135" customFormat="1" ht="11.25"/>
    <row r="19" s="135" customFormat="1" ht="11.25"/>
  </sheetData>
  <mergeCells count="3">
    <mergeCell ref="A2:G2"/>
    <mergeCell ref="A4:A5"/>
    <mergeCell ref="B4:G4"/>
  </mergeCells>
  <pageMargins left="0.7" right="0.7" top="0.75" bottom="0.75" header="0.3" footer="0.3"/>
  <pageSetup paperSize="14" orientation="landscape" r:id="rId1"/>
</worksheet>
</file>

<file path=xl/worksheets/sheet117.xml><?xml version="1.0" encoding="utf-8"?>
<worksheet xmlns="http://schemas.openxmlformats.org/spreadsheetml/2006/main" xmlns:r="http://schemas.openxmlformats.org/officeDocument/2006/relationships">
  <dimension ref="A1:D29"/>
  <sheetViews>
    <sheetView zoomScaleNormal="100" workbookViewId="0">
      <selection activeCell="A33" sqref="A33"/>
    </sheetView>
  </sheetViews>
  <sheetFormatPr baseColWidth="10" defaultRowHeight="12"/>
  <cols>
    <col min="1" max="1" width="27.85546875" style="127" customWidth="1"/>
    <col min="2" max="2" width="18.85546875" style="127" customWidth="1"/>
    <col min="3" max="4" width="15.85546875" style="127" bestFit="1" customWidth="1"/>
    <col min="5" max="5" width="11.42578125" style="127"/>
    <col min="6" max="6" width="20" style="127" bestFit="1" customWidth="1"/>
    <col min="7" max="7" width="14.140625" style="127" bestFit="1" customWidth="1"/>
    <col min="8" max="16384" width="11.42578125" style="127"/>
  </cols>
  <sheetData>
    <row r="1" spans="1:4">
      <c r="A1" s="1453"/>
    </row>
    <row r="2" spans="1:4" ht="39.75" customHeight="1">
      <c r="A2" s="2033" t="s">
        <v>1245</v>
      </c>
      <c r="B2" s="2033"/>
      <c r="C2" s="2033"/>
      <c r="D2" s="2033"/>
    </row>
    <row r="3" spans="1:4">
      <c r="A3" s="1539"/>
      <c r="B3" s="1539"/>
    </row>
    <row r="4" spans="1:4" ht="16.5" customHeight="1">
      <c r="A4" s="2249" t="s">
        <v>3746</v>
      </c>
      <c r="B4" s="2249" t="s">
        <v>671</v>
      </c>
      <c r="C4" s="2249"/>
      <c r="D4" s="2249"/>
    </row>
    <row r="5" spans="1:4" ht="16.5" customHeight="1">
      <c r="A5" s="2249"/>
      <c r="B5" s="1230" t="s">
        <v>3482</v>
      </c>
      <c r="C5" s="1230" t="s">
        <v>3514</v>
      </c>
      <c r="D5" s="1251">
        <v>2014</v>
      </c>
    </row>
    <row r="6" spans="1:4">
      <c r="A6" s="1527" t="s">
        <v>1234</v>
      </c>
      <c r="B6" s="114">
        <f>SUM(B7:B14)</f>
        <v>2004490482</v>
      </c>
      <c r="C6" s="114">
        <f>SUM(C7:C14)</f>
        <v>2305760209</v>
      </c>
      <c r="D6" s="114">
        <f>SUM(D7:D14)</f>
        <v>2607225305</v>
      </c>
    </row>
    <row r="7" spans="1:4">
      <c r="A7" s="157" t="s">
        <v>1222</v>
      </c>
      <c r="B7" s="1257">
        <v>233219569</v>
      </c>
      <c r="C7" s="1257">
        <v>250493760</v>
      </c>
      <c r="D7" s="1257">
        <v>240693979</v>
      </c>
    </row>
    <row r="8" spans="1:4">
      <c r="A8" s="157" t="s">
        <v>1223</v>
      </c>
      <c r="B8" s="1257">
        <v>443191051</v>
      </c>
      <c r="C8" s="1257">
        <v>439271932</v>
      </c>
      <c r="D8" s="1257">
        <v>435467674</v>
      </c>
    </row>
    <row r="9" spans="1:4">
      <c r="A9" s="157" t="s">
        <v>926</v>
      </c>
      <c r="B9" s="1257">
        <v>121671221</v>
      </c>
      <c r="C9" s="1257">
        <v>130077412</v>
      </c>
      <c r="D9" s="1257">
        <v>135421448</v>
      </c>
    </row>
    <row r="10" spans="1:4">
      <c r="A10" s="157" t="s">
        <v>1246</v>
      </c>
      <c r="B10" s="1257">
        <v>496680245</v>
      </c>
      <c r="C10" s="1257">
        <v>669182949</v>
      </c>
      <c r="D10" s="1257">
        <v>858995566</v>
      </c>
    </row>
    <row r="11" spans="1:4">
      <c r="A11" s="157" t="s">
        <v>1226</v>
      </c>
      <c r="B11" s="1257">
        <v>14292445</v>
      </c>
      <c r="C11" s="1257">
        <v>24400948</v>
      </c>
      <c r="D11" s="1257">
        <v>26185587</v>
      </c>
    </row>
    <row r="12" spans="1:4">
      <c r="A12" s="157" t="s">
        <v>1228</v>
      </c>
      <c r="B12" s="1257">
        <v>648349406</v>
      </c>
      <c r="C12" s="1257">
        <v>733419420</v>
      </c>
      <c r="D12" s="1257">
        <v>862606468</v>
      </c>
    </row>
    <row r="13" spans="1:4">
      <c r="A13" s="157" t="s">
        <v>856</v>
      </c>
      <c r="B13" s="1257">
        <v>30281000</v>
      </c>
      <c r="C13" s="1257">
        <v>35957668</v>
      </c>
      <c r="D13" s="1257">
        <v>38410736</v>
      </c>
    </row>
    <row r="14" spans="1:4">
      <c r="A14" s="157" t="s">
        <v>1229</v>
      </c>
      <c r="B14" s="1257">
        <v>16805545</v>
      </c>
      <c r="C14" s="1257">
        <v>22956120</v>
      </c>
      <c r="D14" s="1257">
        <v>9443847</v>
      </c>
    </row>
    <row r="15" spans="1:4">
      <c r="A15" s="155" t="s">
        <v>1235</v>
      </c>
      <c r="B15" s="1540">
        <f>SUM(B16:B22)</f>
        <v>1251652110</v>
      </c>
      <c r="C15" s="1540">
        <f>SUM(C16:C22)</f>
        <v>1533229755</v>
      </c>
      <c r="D15" s="1540">
        <f>SUM(D16:D22)</f>
        <v>1697883038</v>
      </c>
    </row>
    <row r="16" spans="1:4">
      <c r="A16" s="117" t="s">
        <v>1247</v>
      </c>
      <c r="B16" s="1533">
        <v>218839104</v>
      </c>
      <c r="C16" s="1533">
        <v>126319059</v>
      </c>
      <c r="D16" s="1257">
        <v>12471096</v>
      </c>
    </row>
    <row r="17" spans="1:4">
      <c r="A17" s="117" t="s">
        <v>1248</v>
      </c>
      <c r="B17" s="1533">
        <v>151658490</v>
      </c>
      <c r="C17" s="1533">
        <v>174659001</v>
      </c>
      <c r="D17" s="1257">
        <v>78367528</v>
      </c>
    </row>
    <row r="18" spans="1:4">
      <c r="A18" s="117" t="s">
        <v>1249</v>
      </c>
      <c r="B18" s="1533">
        <v>126415049</v>
      </c>
      <c r="C18" s="1533">
        <v>154688268</v>
      </c>
      <c r="D18" s="1257">
        <v>38298272</v>
      </c>
    </row>
    <row r="19" spans="1:4">
      <c r="A19" s="117" t="s">
        <v>1250</v>
      </c>
      <c r="B19" s="1533">
        <v>211138038</v>
      </c>
      <c r="C19" s="1533">
        <v>474648056</v>
      </c>
      <c r="D19" s="1257">
        <v>593852000</v>
      </c>
    </row>
    <row r="20" spans="1:4">
      <c r="A20" s="117" t="s">
        <v>1251</v>
      </c>
      <c r="B20" s="1533">
        <v>315944116</v>
      </c>
      <c r="C20" s="1533">
        <v>296902258</v>
      </c>
      <c r="D20" s="1257">
        <v>494950165</v>
      </c>
    </row>
    <row r="21" spans="1:4">
      <c r="A21" s="117" t="s">
        <v>1252</v>
      </c>
      <c r="B21" s="1533">
        <v>227657313</v>
      </c>
      <c r="C21" s="1533">
        <v>237543796</v>
      </c>
      <c r="D21" s="1257">
        <v>445461245</v>
      </c>
    </row>
    <row r="22" spans="1:4">
      <c r="A22" s="117" t="s">
        <v>1253</v>
      </c>
      <c r="B22" s="1317">
        <v>0</v>
      </c>
      <c r="C22" s="1533">
        <v>68469317</v>
      </c>
      <c r="D22" s="1257">
        <v>34482732</v>
      </c>
    </row>
    <row r="23" spans="1:4" ht="11.25" customHeight="1">
      <c r="A23" s="149"/>
      <c r="B23" s="149"/>
      <c r="C23" s="1541" t="s">
        <v>1254</v>
      </c>
      <c r="D23" s="1541" t="s">
        <v>466</v>
      </c>
    </row>
    <row r="24" spans="1:4" ht="36" customHeight="1">
      <c r="A24" s="2250" t="s">
        <v>3747</v>
      </c>
      <c r="B24" s="2250"/>
      <c r="C24" s="2250"/>
      <c r="D24" s="2250"/>
    </row>
    <row r="25" spans="1:4" ht="14.25" customHeight="1">
      <c r="A25" s="1236" t="s">
        <v>3748</v>
      </c>
      <c r="B25" s="1236"/>
      <c r="C25" s="1236"/>
      <c r="D25" s="1291"/>
    </row>
    <row r="26" spans="1:4" ht="14.25" customHeight="1">
      <c r="A26" s="1536" t="s">
        <v>1255</v>
      </c>
      <c r="B26" s="1542"/>
      <c r="C26" s="1542"/>
      <c r="D26" s="1291"/>
    </row>
    <row r="27" spans="1:4">
      <c r="A27" s="183" t="s">
        <v>1256</v>
      </c>
      <c r="B27" s="113"/>
    </row>
    <row r="28" spans="1:4" s="8" customFormat="1">
      <c r="A28" s="1543"/>
      <c r="B28" s="1543"/>
    </row>
    <row r="29" spans="1:4" s="8" customFormat="1"/>
  </sheetData>
  <mergeCells count="4">
    <mergeCell ref="A2:D2"/>
    <mergeCell ref="A4:A5"/>
    <mergeCell ref="B4:D4"/>
    <mergeCell ref="A24:D24"/>
  </mergeCells>
  <pageMargins left="0.7" right="0.7" top="0.75" bottom="0.75" header="0.3" footer="0.3"/>
  <pageSetup paperSize="14" orientation="portrait" r:id="rId1"/>
</worksheet>
</file>

<file path=xl/worksheets/sheet118.xml><?xml version="1.0" encoding="utf-8"?>
<worksheet xmlns="http://schemas.openxmlformats.org/spreadsheetml/2006/main" xmlns:r="http://schemas.openxmlformats.org/officeDocument/2006/relationships">
  <dimension ref="A1:F38"/>
  <sheetViews>
    <sheetView zoomScaleNormal="100" workbookViewId="0">
      <selection activeCell="A34" sqref="A34"/>
    </sheetView>
  </sheetViews>
  <sheetFormatPr baseColWidth="10" defaultRowHeight="12"/>
  <cols>
    <col min="1" max="1" width="39.5703125" style="127" customWidth="1"/>
    <col min="2" max="3" width="15.7109375" style="127" bestFit="1" customWidth="1"/>
    <col min="4" max="4" width="15.5703125" style="127" bestFit="1" customWidth="1"/>
    <col min="5" max="16384" width="11.42578125" style="127"/>
  </cols>
  <sheetData>
    <row r="1" spans="1:4">
      <c r="A1" s="1453"/>
    </row>
    <row r="2" spans="1:4" ht="34.5" customHeight="1">
      <c r="A2" s="2033" t="s">
        <v>1257</v>
      </c>
      <c r="B2" s="2033"/>
      <c r="C2" s="2033"/>
      <c r="D2" s="2033"/>
    </row>
    <row r="3" spans="1:4" s="117" customFormat="1" ht="11.25"/>
    <row r="4" spans="1:4" s="117" customFormat="1" ht="11.25">
      <c r="A4" s="2249" t="s">
        <v>1258</v>
      </c>
      <c r="B4" s="2249" t="s">
        <v>671</v>
      </c>
      <c r="C4" s="2249"/>
      <c r="D4" s="2249"/>
    </row>
    <row r="5" spans="1:4" s="117" customFormat="1" ht="12.75">
      <c r="A5" s="2249"/>
      <c r="B5" s="1251" t="s">
        <v>3744</v>
      </c>
      <c r="C5" s="1251" t="s">
        <v>3564</v>
      </c>
      <c r="D5" s="1251">
        <v>2014</v>
      </c>
    </row>
    <row r="6" spans="1:4" s="115" customFormat="1" ht="11.25">
      <c r="A6" s="1527" t="s">
        <v>1234</v>
      </c>
      <c r="B6" s="1528">
        <f>SUM(B7:B14)</f>
        <v>220301686</v>
      </c>
      <c r="C6" s="1529">
        <f>SUM(C7:C14)</f>
        <v>303988581</v>
      </c>
      <c r="D6" s="1529">
        <f>SUM(D7:D14)</f>
        <v>335861032</v>
      </c>
    </row>
    <row r="7" spans="1:4" s="117" customFormat="1" ht="11.25">
      <c r="A7" s="117" t="s">
        <v>1248</v>
      </c>
      <c r="B7" s="1317">
        <v>36566269</v>
      </c>
      <c r="C7" s="1530">
        <v>29803504</v>
      </c>
      <c r="D7" s="1234">
        <v>16430848</v>
      </c>
    </row>
    <row r="8" spans="1:4" s="117" customFormat="1" ht="11.25">
      <c r="A8" s="117" t="s">
        <v>1250</v>
      </c>
      <c r="B8" s="1317">
        <v>26794074</v>
      </c>
      <c r="C8" s="1530">
        <v>92697728</v>
      </c>
      <c r="D8" s="1234">
        <v>120068078</v>
      </c>
    </row>
    <row r="9" spans="1:4" s="117" customFormat="1" ht="11.25">
      <c r="A9" s="117" t="s">
        <v>1251</v>
      </c>
      <c r="B9" s="1317">
        <v>22754123</v>
      </c>
      <c r="C9" s="1530">
        <v>67068422</v>
      </c>
      <c r="D9" s="1234">
        <v>94518354</v>
      </c>
    </row>
    <row r="10" spans="1:4" s="117" customFormat="1" ht="11.25">
      <c r="A10" s="117" t="s">
        <v>1252</v>
      </c>
      <c r="B10" s="1317">
        <v>34767906</v>
      </c>
      <c r="C10" s="1530">
        <v>51306755</v>
      </c>
      <c r="D10" s="1234">
        <v>81822237</v>
      </c>
    </row>
    <row r="11" spans="1:4" s="117" customFormat="1" ht="11.25">
      <c r="A11" s="117" t="s">
        <v>1259</v>
      </c>
      <c r="B11" s="1317">
        <v>54580467</v>
      </c>
      <c r="C11" s="1530">
        <v>23035226</v>
      </c>
      <c r="D11" s="1234">
        <v>4887725</v>
      </c>
    </row>
    <row r="12" spans="1:4" s="117" customFormat="1" ht="11.25">
      <c r="A12" s="117" t="s">
        <v>1249</v>
      </c>
      <c r="B12" s="1317">
        <v>37857543</v>
      </c>
      <c r="C12" s="1530">
        <v>27848179</v>
      </c>
      <c r="D12" s="1234">
        <v>5581662</v>
      </c>
    </row>
    <row r="13" spans="1:4" s="117" customFormat="1" ht="11.25">
      <c r="A13" s="117" t="s">
        <v>1253</v>
      </c>
      <c r="B13" s="1317">
        <v>6981304</v>
      </c>
      <c r="C13" s="1530">
        <v>12228767</v>
      </c>
      <c r="D13" s="1234">
        <v>5669855</v>
      </c>
    </row>
    <row r="14" spans="1:4" s="117" customFormat="1" ht="11.25">
      <c r="A14" s="117" t="s">
        <v>1260</v>
      </c>
      <c r="B14" s="1317">
        <v>0</v>
      </c>
      <c r="C14" s="1530">
        <v>0</v>
      </c>
      <c r="D14" s="1234">
        <v>6882273</v>
      </c>
    </row>
    <row r="15" spans="1:4" s="115" customFormat="1" ht="11.25">
      <c r="A15" s="115" t="s">
        <v>1235</v>
      </c>
      <c r="B15" s="1531">
        <f>SUM(B16:B23)</f>
        <v>210330268</v>
      </c>
      <c r="C15" s="1532">
        <f>SUM(C16:C23)</f>
        <v>313159839</v>
      </c>
      <c r="D15" s="1532">
        <f>SUM(D16:D23)</f>
        <v>360666920</v>
      </c>
    </row>
    <row r="16" spans="1:4" s="117" customFormat="1" ht="11.25">
      <c r="A16" s="117" t="s">
        <v>1248</v>
      </c>
      <c r="B16" s="1533">
        <v>26194647</v>
      </c>
      <c r="C16" s="1534">
        <v>41247832</v>
      </c>
      <c r="D16" s="1234">
        <v>12810751</v>
      </c>
    </row>
    <row r="17" spans="1:6" s="117" customFormat="1" ht="11.25">
      <c r="A17" s="117" t="s">
        <v>1250</v>
      </c>
      <c r="B17" s="1533">
        <v>27205668</v>
      </c>
      <c r="C17" s="1534">
        <v>85060475</v>
      </c>
      <c r="D17" s="1234">
        <v>98447934</v>
      </c>
    </row>
    <row r="18" spans="1:6" s="117" customFormat="1" ht="11.25">
      <c r="A18" s="117" t="s">
        <v>1251</v>
      </c>
      <c r="B18" s="1533">
        <v>42009485</v>
      </c>
      <c r="C18" s="1534">
        <v>54413753</v>
      </c>
      <c r="D18" s="1234">
        <v>95067514</v>
      </c>
    </row>
    <row r="19" spans="1:6" s="117" customFormat="1" ht="11.25">
      <c r="A19" s="117" t="s">
        <v>1252</v>
      </c>
      <c r="B19" s="1533">
        <v>24937440</v>
      </c>
      <c r="C19" s="1534">
        <v>55506512</v>
      </c>
      <c r="D19" s="1234">
        <v>60714954</v>
      </c>
    </row>
    <row r="20" spans="1:6" s="117" customFormat="1" ht="11.25">
      <c r="A20" s="117" t="s">
        <v>1259</v>
      </c>
      <c r="B20" s="1533">
        <v>40962989</v>
      </c>
      <c r="C20" s="1534">
        <v>30851857</v>
      </c>
      <c r="D20" s="1234">
        <v>43420108</v>
      </c>
    </row>
    <row r="21" spans="1:6" s="117" customFormat="1" ht="11.25">
      <c r="A21" s="117" t="s">
        <v>1249</v>
      </c>
      <c r="B21" s="1533">
        <v>46233344</v>
      </c>
      <c r="C21" s="1534">
        <v>31804938</v>
      </c>
      <c r="D21" s="1234">
        <v>38099080</v>
      </c>
    </row>
    <row r="22" spans="1:6" s="117" customFormat="1" ht="11.25">
      <c r="A22" s="117" t="s">
        <v>1253</v>
      </c>
      <c r="B22" s="1533">
        <v>2786695</v>
      </c>
      <c r="C22" s="1534">
        <v>14274472</v>
      </c>
      <c r="D22" s="1234">
        <v>7657318</v>
      </c>
    </row>
    <row r="23" spans="1:6" s="117" customFormat="1" ht="11.25">
      <c r="A23" s="117" t="s">
        <v>1260</v>
      </c>
      <c r="B23" s="1317">
        <v>0</v>
      </c>
      <c r="C23" s="1530">
        <v>0</v>
      </c>
      <c r="D23" s="1234">
        <v>4449261</v>
      </c>
    </row>
    <row r="25" spans="1:6" ht="14.25" customHeight="1">
      <c r="A25" s="1535" t="s">
        <v>3745</v>
      </c>
      <c r="B25" s="1535"/>
      <c r="C25" s="1535"/>
      <c r="D25" s="1291"/>
    </row>
    <row r="26" spans="1:6">
      <c r="A26" s="1536" t="s">
        <v>1255</v>
      </c>
      <c r="B26" s="1535"/>
      <c r="C26" s="1535"/>
      <c r="D26" s="1291"/>
    </row>
    <row r="27" spans="1:6" s="117" customFormat="1" ht="11.25">
      <c r="A27" s="183" t="s">
        <v>1256</v>
      </c>
    </row>
    <row r="31" spans="1:6">
      <c r="A31" s="1493"/>
      <c r="B31" s="2251"/>
      <c r="C31" s="2251"/>
      <c r="D31" s="2251"/>
      <c r="E31" s="8"/>
      <c r="F31" s="8"/>
    </row>
    <row r="32" spans="1:6">
      <c r="A32" s="1493"/>
      <c r="B32" s="1537"/>
      <c r="C32" s="1537"/>
      <c r="D32" s="1537"/>
      <c r="E32" s="8"/>
      <c r="F32" s="8"/>
    </row>
    <row r="33" spans="1:6">
      <c r="A33" s="1538"/>
      <c r="B33" s="1529"/>
      <c r="C33" s="1529"/>
      <c r="D33" s="1529"/>
      <c r="E33" s="8"/>
      <c r="F33" s="8"/>
    </row>
    <row r="34" spans="1:6">
      <c r="A34" s="8"/>
      <c r="B34" s="8"/>
      <c r="C34" s="8"/>
      <c r="D34" s="8"/>
      <c r="E34" s="8"/>
      <c r="F34" s="8"/>
    </row>
    <row r="35" spans="1:6">
      <c r="A35" s="8"/>
      <c r="B35" s="8"/>
      <c r="C35" s="8"/>
      <c r="D35" s="8"/>
      <c r="E35" s="8"/>
      <c r="F35" s="8"/>
    </row>
    <row r="36" spans="1:6">
      <c r="A36" s="8"/>
      <c r="B36" s="8"/>
      <c r="C36" s="8"/>
      <c r="D36" s="8"/>
      <c r="E36" s="8"/>
      <c r="F36" s="8"/>
    </row>
    <row r="37" spans="1:6">
      <c r="A37" s="8"/>
      <c r="B37" s="8"/>
      <c r="C37" s="8"/>
      <c r="D37" s="8"/>
      <c r="E37" s="8"/>
      <c r="F37" s="8"/>
    </row>
    <row r="38" spans="1:6">
      <c r="A38" s="8"/>
      <c r="B38" s="8"/>
      <c r="C38" s="8"/>
      <c r="D38" s="8"/>
      <c r="E38" s="8"/>
      <c r="F38" s="8"/>
    </row>
  </sheetData>
  <mergeCells count="4">
    <mergeCell ref="A2:D2"/>
    <mergeCell ref="A4:A5"/>
    <mergeCell ref="B4:D4"/>
    <mergeCell ref="B31:D31"/>
  </mergeCells>
  <pageMargins left="0.7" right="0.7" top="0.75" bottom="0.75" header="0.3" footer="0.3"/>
  <pageSetup paperSize="14" orientation="portrait" r:id="rId1"/>
</worksheet>
</file>

<file path=xl/worksheets/sheet119.xml><?xml version="1.0" encoding="utf-8"?>
<worksheet xmlns="http://schemas.openxmlformats.org/spreadsheetml/2006/main" xmlns:r="http://schemas.openxmlformats.org/officeDocument/2006/relationships">
  <dimension ref="A1:Q22"/>
  <sheetViews>
    <sheetView zoomScaleNormal="100" zoomScaleSheetLayoutView="100" workbookViewId="0"/>
  </sheetViews>
  <sheetFormatPr baseColWidth="10" defaultRowHeight="11.25"/>
  <cols>
    <col min="1" max="1" width="22.42578125" style="135" customWidth="1"/>
    <col min="2" max="12" width="13.140625" style="135" bestFit="1" customWidth="1"/>
    <col min="13" max="13" width="13.5703125" style="135" customWidth="1"/>
    <col min="14" max="14" width="12.28515625" style="135" customWidth="1"/>
    <col min="15" max="15" width="2.85546875" style="135" customWidth="1"/>
    <col min="16" max="16384" width="11.42578125" style="135"/>
  </cols>
  <sheetData>
    <row r="1" spans="1:15" ht="12">
      <c r="A1" s="1453"/>
    </row>
    <row r="2" spans="1:15" s="1327" customFormat="1">
      <c r="A2" s="116" t="s">
        <v>1261</v>
      </c>
      <c r="B2" s="130"/>
      <c r="C2" s="130"/>
      <c r="D2" s="130"/>
      <c r="E2" s="130"/>
      <c r="F2" s="130"/>
      <c r="G2" s="130"/>
      <c r="H2" s="130"/>
      <c r="I2" s="130"/>
      <c r="J2" s="130"/>
    </row>
    <row r="3" spans="1:15" ht="12" customHeight="1">
      <c r="B3" s="2252"/>
      <c r="C3" s="2252"/>
      <c r="D3" s="2252"/>
      <c r="E3" s="2252"/>
      <c r="F3" s="1516"/>
      <c r="K3" s="1327"/>
      <c r="L3" s="1327"/>
      <c r="M3" s="1327"/>
      <c r="N3" s="1327"/>
      <c r="O3" s="1327"/>
    </row>
    <row r="4" spans="1:15" ht="15.75" customHeight="1">
      <c r="A4" s="2187" t="s">
        <v>1262</v>
      </c>
      <c r="B4" s="2248" t="s">
        <v>3735</v>
      </c>
      <c r="C4" s="2248"/>
      <c r="D4" s="2248"/>
      <c r="E4" s="2248"/>
      <c r="F4" s="2248"/>
      <c r="G4" s="2248"/>
      <c r="H4" s="2248" t="s">
        <v>1263</v>
      </c>
      <c r="I4" s="2248"/>
      <c r="J4" s="2248"/>
      <c r="K4" s="2248"/>
      <c r="L4" s="2248"/>
      <c r="M4" s="2248"/>
    </row>
    <row r="5" spans="1:15" ht="15.75" customHeight="1">
      <c r="A5" s="2187"/>
      <c r="B5" s="1390">
        <v>2009</v>
      </c>
      <c r="C5" s="1326">
        <v>2010</v>
      </c>
      <c r="D5" s="1514">
        <v>2011</v>
      </c>
      <c r="E5" s="1514">
        <v>2012</v>
      </c>
      <c r="F5" s="1517">
        <v>2013</v>
      </c>
      <c r="G5" s="1517">
        <v>2014</v>
      </c>
      <c r="H5" s="1517">
        <v>2009</v>
      </c>
      <c r="I5" s="1326">
        <v>2010</v>
      </c>
      <c r="J5" s="1230">
        <v>2011</v>
      </c>
      <c r="K5" s="1230">
        <v>2012</v>
      </c>
      <c r="L5" s="1517">
        <v>2013</v>
      </c>
      <c r="M5" s="1517">
        <v>2014</v>
      </c>
    </row>
    <row r="6" spans="1:15" s="1327" customFormat="1">
      <c r="A6" s="1327" t="s">
        <v>6</v>
      </c>
      <c r="B6" s="1518">
        <f>SUM(B7:B14)</f>
        <v>6101173</v>
      </c>
      <c r="C6" s="1518">
        <f>SUM(C7:C14)</f>
        <v>6412163</v>
      </c>
      <c r="D6" s="1518">
        <f>SUM(D7:D14)</f>
        <v>6038280</v>
      </c>
      <c r="E6" s="1518">
        <f>SUM(E7:E14)</f>
        <v>8208947</v>
      </c>
      <c r="F6" s="1518">
        <f t="shared" ref="F6:M6" si="0">SUM(F7:F14)</f>
        <v>8325178</v>
      </c>
      <c r="G6" s="1518">
        <f>SUM(G7:G14)</f>
        <v>8162704</v>
      </c>
      <c r="H6" s="1518">
        <f>SUM(H7:H14)</f>
        <v>2375042</v>
      </c>
      <c r="I6" s="1518">
        <f t="shared" si="0"/>
        <v>2520963</v>
      </c>
      <c r="J6" s="1518">
        <f t="shared" si="0"/>
        <v>2625203</v>
      </c>
      <c r="K6" s="1518">
        <f t="shared" si="0"/>
        <v>3503223</v>
      </c>
      <c r="L6" s="1518">
        <f t="shared" si="0"/>
        <v>3136146</v>
      </c>
      <c r="M6" s="1518">
        <f t="shared" si="0"/>
        <v>1309444</v>
      </c>
    </row>
    <row r="7" spans="1:15">
      <c r="A7" s="135" t="s">
        <v>1187</v>
      </c>
      <c r="B7" s="747">
        <v>3447390</v>
      </c>
      <c r="C7" s="1018">
        <v>3656684</v>
      </c>
      <c r="D7" s="1519">
        <v>3641734</v>
      </c>
      <c r="E7" s="1519">
        <v>4503832</v>
      </c>
      <c r="F7" s="1329">
        <v>3926408</v>
      </c>
      <c r="G7" s="741">
        <v>2146406</v>
      </c>
      <c r="H7" s="135">
        <v>1934946</v>
      </c>
      <c r="I7" s="1018">
        <v>2325906</v>
      </c>
      <c r="J7" s="1519">
        <v>2330172</v>
      </c>
      <c r="K7" s="1519">
        <v>2796112</v>
      </c>
      <c r="L7" s="1329">
        <v>2743692</v>
      </c>
      <c r="M7" s="741">
        <v>1019082</v>
      </c>
      <c r="N7" s="1327"/>
      <c r="O7" s="1327"/>
    </row>
    <row r="8" spans="1:15" ht="12.75">
      <c r="A8" s="135" t="s">
        <v>3737</v>
      </c>
      <c r="B8" s="747">
        <v>14</v>
      </c>
      <c r="C8" s="1018">
        <v>16795</v>
      </c>
      <c r="D8" s="1520">
        <v>0</v>
      </c>
      <c r="E8" s="1519">
        <v>57156</v>
      </c>
      <c r="F8" s="1329">
        <v>18510</v>
      </c>
      <c r="G8" s="741">
        <v>14065</v>
      </c>
      <c r="H8" s="135">
        <v>5</v>
      </c>
      <c r="I8" s="1018">
        <v>72152</v>
      </c>
      <c r="J8" s="1520">
        <v>0</v>
      </c>
      <c r="K8" s="1519">
        <v>51667</v>
      </c>
      <c r="L8" s="1329">
        <v>11700</v>
      </c>
      <c r="M8" s="741">
        <v>2608</v>
      </c>
      <c r="N8" s="1327"/>
      <c r="O8" s="1327"/>
    </row>
    <row r="9" spans="1:15" ht="12.75">
      <c r="A9" s="135" t="s">
        <v>3738</v>
      </c>
      <c r="B9" s="747">
        <v>3039</v>
      </c>
      <c r="C9" s="1018">
        <v>4043</v>
      </c>
      <c r="D9" s="1519">
        <v>30976</v>
      </c>
      <c r="E9" s="1519">
        <v>89268</v>
      </c>
      <c r="F9" s="1329">
        <v>149380</v>
      </c>
      <c r="G9" s="741">
        <v>571313</v>
      </c>
      <c r="H9" s="135">
        <v>402</v>
      </c>
      <c r="I9" s="1018">
        <v>616</v>
      </c>
      <c r="J9" s="1519">
        <v>4153</v>
      </c>
      <c r="K9" s="1519">
        <v>11513</v>
      </c>
      <c r="L9" s="1329">
        <v>21942</v>
      </c>
      <c r="M9" s="741">
        <v>80169</v>
      </c>
      <c r="N9" s="1327"/>
      <c r="O9" s="1327"/>
    </row>
    <row r="10" spans="1:15">
      <c r="A10" s="135" t="s">
        <v>1264</v>
      </c>
      <c r="B10" s="1375">
        <v>781099</v>
      </c>
      <c r="C10" s="1520">
        <v>512403</v>
      </c>
      <c r="D10" s="1519">
        <v>199891</v>
      </c>
      <c r="E10" s="1519">
        <v>632371</v>
      </c>
      <c r="F10" s="1329">
        <v>288754</v>
      </c>
      <c r="G10" s="741">
        <v>211062</v>
      </c>
      <c r="H10" s="135">
        <v>439689</v>
      </c>
      <c r="I10" s="1018">
        <v>122289</v>
      </c>
      <c r="J10" s="1520">
        <v>192054</v>
      </c>
      <c r="K10" s="1520">
        <v>457754</v>
      </c>
      <c r="L10" s="1329">
        <v>202589</v>
      </c>
      <c r="M10" s="741">
        <v>201210</v>
      </c>
      <c r="N10" s="1327"/>
      <c r="O10" s="1327"/>
    </row>
    <row r="11" spans="1:15">
      <c r="A11" s="135" t="s">
        <v>1265</v>
      </c>
      <c r="B11" s="1375">
        <v>0</v>
      </c>
      <c r="C11" s="1520">
        <v>0</v>
      </c>
      <c r="D11" s="1519">
        <v>8980</v>
      </c>
      <c r="E11" s="1519">
        <v>45633</v>
      </c>
      <c r="F11" s="1329">
        <v>163014</v>
      </c>
      <c r="G11" s="741">
        <v>14065</v>
      </c>
      <c r="H11" s="1520">
        <v>0</v>
      </c>
      <c r="I11" s="1520">
        <v>0</v>
      </c>
      <c r="J11" s="1519">
        <v>1540</v>
      </c>
      <c r="K11" s="1519">
        <v>7584</v>
      </c>
      <c r="L11" s="1329">
        <v>48645</v>
      </c>
      <c r="M11" s="741">
        <v>2608</v>
      </c>
      <c r="N11" s="1327"/>
      <c r="O11" s="1327"/>
    </row>
    <row r="12" spans="1:15" ht="12.75">
      <c r="A12" s="129" t="s">
        <v>3739</v>
      </c>
      <c r="B12" s="1375">
        <v>0</v>
      </c>
      <c r="C12" s="1520">
        <v>0</v>
      </c>
      <c r="D12" s="1519">
        <v>1839132</v>
      </c>
      <c r="E12" s="1519">
        <v>2608351</v>
      </c>
      <c r="F12" s="1329">
        <v>3532848</v>
      </c>
      <c r="G12" s="741">
        <v>4916751</v>
      </c>
      <c r="H12" s="1520">
        <v>0</v>
      </c>
      <c r="I12" s="1520">
        <v>0</v>
      </c>
      <c r="J12" s="1520">
        <v>0</v>
      </c>
      <c r="K12" s="1520">
        <v>0</v>
      </c>
      <c r="L12" s="1520">
        <v>0</v>
      </c>
      <c r="M12" s="1375">
        <v>0</v>
      </c>
      <c r="N12" s="1327"/>
      <c r="O12" s="1327"/>
    </row>
    <row r="13" spans="1:15">
      <c r="A13" s="135" t="s">
        <v>1266</v>
      </c>
      <c r="B13" s="1375">
        <v>0</v>
      </c>
      <c r="C13" s="1520">
        <v>0</v>
      </c>
      <c r="D13" s="1519">
        <v>317567</v>
      </c>
      <c r="E13" s="1519">
        <v>240879</v>
      </c>
      <c r="F13" s="1329">
        <v>235944</v>
      </c>
      <c r="G13" s="741">
        <v>285731</v>
      </c>
      <c r="H13" s="1520">
        <v>0</v>
      </c>
      <c r="I13" s="1520">
        <v>0</v>
      </c>
      <c r="J13" s="1519">
        <v>97284</v>
      </c>
      <c r="K13" s="1519">
        <v>67009</v>
      </c>
      <c r="L13" s="1329">
        <v>95578</v>
      </c>
      <c r="M13" s="741">
        <v>2776</v>
      </c>
      <c r="N13" s="1327"/>
      <c r="O13" s="1327"/>
    </row>
    <row r="14" spans="1:15">
      <c r="A14" s="135" t="s">
        <v>1031</v>
      </c>
      <c r="B14" s="747">
        <v>1869631</v>
      </c>
      <c r="C14" s="1018">
        <v>2222238</v>
      </c>
      <c r="D14" s="1520">
        <v>0</v>
      </c>
      <c r="E14" s="1519">
        <v>31457</v>
      </c>
      <c r="F14" s="1329">
        <v>10320</v>
      </c>
      <c r="G14" s="741">
        <v>3311</v>
      </c>
      <c r="H14" s="1520">
        <v>0</v>
      </c>
      <c r="I14" s="1520">
        <v>0</v>
      </c>
      <c r="J14" s="1520">
        <v>0</v>
      </c>
      <c r="K14" s="1519">
        <v>111584</v>
      </c>
      <c r="L14" s="1329">
        <v>12000</v>
      </c>
      <c r="M14" s="741">
        <v>991</v>
      </c>
    </row>
    <row r="15" spans="1:15">
      <c r="B15" s="1521"/>
      <c r="C15" s="1520"/>
      <c r="D15" s="1323"/>
      <c r="E15" s="1520"/>
      <c r="F15" s="1520"/>
      <c r="G15" s="1375"/>
      <c r="H15" s="1498"/>
      <c r="K15" s="1327"/>
      <c r="L15" s="1327"/>
      <c r="M15" s="129"/>
    </row>
    <row r="16" spans="1:15" s="1373" customFormat="1" ht="25.5" customHeight="1">
      <c r="A16" s="2190" t="s">
        <v>3740</v>
      </c>
      <c r="B16" s="2190"/>
      <c r="C16" s="2190"/>
      <c r="D16" s="2190"/>
      <c r="E16" s="2190"/>
      <c r="F16" s="2190"/>
      <c r="G16" s="2190"/>
      <c r="H16" s="2190"/>
      <c r="I16" s="2190"/>
      <c r="J16" s="2190"/>
      <c r="K16" s="2190"/>
      <c r="L16" s="2190"/>
      <c r="M16" s="2190"/>
      <c r="N16" s="763"/>
      <c r="O16" s="763"/>
    </row>
    <row r="17" spans="1:17" s="1373" customFormat="1" ht="12.75" customHeight="1">
      <c r="A17" s="1373" t="s">
        <v>3741</v>
      </c>
      <c r="M17" s="1522"/>
      <c r="N17" s="763"/>
      <c r="O17" s="763"/>
    </row>
    <row r="18" spans="1:17" s="1373" customFormat="1">
      <c r="A18" s="1373" t="s">
        <v>3742</v>
      </c>
    </row>
    <row r="19" spans="1:17" s="1373" customFormat="1">
      <c r="A19" s="1373" t="s">
        <v>3743</v>
      </c>
    </row>
    <row r="20" spans="1:17" s="1525" customFormat="1">
      <c r="A20" s="1523"/>
      <c r="B20" s="1523"/>
      <c r="C20" s="1523"/>
      <c r="D20" s="1523"/>
      <c r="E20" s="1523"/>
      <c r="F20" s="1523"/>
      <c r="G20" s="1523"/>
      <c r="H20" s="1523"/>
      <c r="I20" s="1523"/>
      <c r="J20" s="1523"/>
      <c r="K20" s="1523"/>
      <c r="L20" s="1523"/>
      <c r="M20" s="1523"/>
      <c r="N20" s="1524"/>
      <c r="O20" s="1524"/>
      <c r="P20" s="1524"/>
      <c r="Q20" s="1524"/>
    </row>
    <row r="21" spans="1:17" s="1373" customFormat="1" ht="10.5" customHeight="1">
      <c r="A21" s="2214" t="s">
        <v>1169</v>
      </c>
      <c r="B21" s="2214"/>
      <c r="C21" s="2214"/>
      <c r="D21" s="2214"/>
      <c r="E21" s="2214"/>
    </row>
    <row r="22" spans="1:17" s="1373" customFormat="1">
      <c r="A22" s="1526"/>
      <c r="B22" s="1526"/>
      <c r="C22" s="1526"/>
      <c r="D22" s="1526"/>
      <c r="E22" s="1526"/>
      <c r="F22" s="1526"/>
      <c r="G22" s="1526"/>
      <c r="H22" s="1526"/>
      <c r="I22" s="1526"/>
      <c r="J22" s="1526"/>
      <c r="K22" s="1526"/>
      <c r="L22" s="1526"/>
      <c r="M22" s="1526"/>
    </row>
  </sheetData>
  <mergeCells count="7">
    <mergeCell ref="A21:E21"/>
    <mergeCell ref="A16:M16"/>
    <mergeCell ref="B3:C3"/>
    <mergeCell ref="D3:E3"/>
    <mergeCell ref="A4:A5"/>
    <mergeCell ref="B4:G4"/>
    <mergeCell ref="H4:M4"/>
  </mergeCells>
  <pageMargins left="0.7" right="0.7" top="0.75" bottom="0.75" header="0.3" footer="0.3"/>
  <pageSetup paperSize="14" scale="91" orientation="landscape" r:id="rId1"/>
</worksheet>
</file>

<file path=xl/worksheets/sheet12.xml><?xml version="1.0" encoding="utf-8"?>
<worksheet xmlns="http://schemas.openxmlformats.org/spreadsheetml/2006/main" xmlns:r="http://schemas.openxmlformats.org/officeDocument/2006/relationships">
  <dimension ref="A2:G19"/>
  <sheetViews>
    <sheetView zoomScaleNormal="100" workbookViewId="0"/>
  </sheetViews>
  <sheetFormatPr baseColWidth="10" defaultColWidth="11.42578125" defaultRowHeight="11.25"/>
  <cols>
    <col min="1" max="1" width="17.42578125" style="117" customWidth="1"/>
    <col min="2" max="5" width="11.42578125" style="117"/>
    <col min="6" max="6" width="12.140625" style="117" customWidth="1"/>
    <col min="7" max="16384" width="11.42578125" style="117"/>
  </cols>
  <sheetData>
    <row r="2" spans="1:7" s="152" customFormat="1" ht="28.5" customHeight="1">
      <c r="A2" s="2028" t="s">
        <v>941</v>
      </c>
      <c r="B2" s="2028"/>
      <c r="C2" s="2028"/>
      <c r="D2" s="2028"/>
      <c r="E2" s="2028"/>
      <c r="F2" s="2028"/>
      <c r="G2" s="2028"/>
    </row>
    <row r="4" spans="1:7" s="1298" customFormat="1">
      <c r="A4" s="2041" t="s">
        <v>737</v>
      </c>
      <c r="B4" s="2041" t="s">
        <v>3930</v>
      </c>
      <c r="C4" s="2041"/>
      <c r="D4" s="2041"/>
      <c r="E4" s="2041"/>
      <c r="F4" s="2041"/>
      <c r="G4" s="2041"/>
    </row>
    <row r="5" spans="1:7" s="1298" customFormat="1">
      <c r="A5" s="2041"/>
      <c r="B5" s="1806">
        <v>2009</v>
      </c>
      <c r="C5" s="1806">
        <v>2010</v>
      </c>
      <c r="D5" s="1806">
        <v>2011</v>
      </c>
      <c r="E5" s="1806">
        <v>2012</v>
      </c>
      <c r="F5" s="1806">
        <v>2013</v>
      </c>
      <c r="G5" s="1806">
        <v>2014</v>
      </c>
    </row>
    <row r="6" spans="1:7" s="115" customFormat="1">
      <c r="A6" s="115" t="s">
        <v>679</v>
      </c>
      <c r="B6" s="115">
        <f t="shared" ref="B6:G6" si="0">SUM(B7:B16)</f>
        <v>26</v>
      </c>
      <c r="C6" s="115">
        <f t="shared" si="0"/>
        <v>26</v>
      </c>
      <c r="D6" s="115">
        <f t="shared" si="0"/>
        <v>26</v>
      </c>
      <c r="E6" s="115">
        <f t="shared" si="0"/>
        <v>26</v>
      </c>
      <c r="F6" s="115">
        <f t="shared" si="0"/>
        <v>27</v>
      </c>
      <c r="G6" s="115">
        <f t="shared" si="0"/>
        <v>27</v>
      </c>
    </row>
    <row r="7" spans="1:7">
      <c r="A7" s="117" t="s">
        <v>738</v>
      </c>
      <c r="B7" s="117">
        <v>6</v>
      </c>
      <c r="C7" s="117">
        <v>6</v>
      </c>
      <c r="D7" s="117">
        <v>6</v>
      </c>
      <c r="E7" s="117">
        <v>6</v>
      </c>
      <c r="F7" s="117">
        <v>7</v>
      </c>
      <c r="G7" s="1240">
        <v>7</v>
      </c>
    </row>
    <row r="8" spans="1:7">
      <c r="A8" s="117" t="s">
        <v>739</v>
      </c>
      <c r="B8" s="117">
        <v>2</v>
      </c>
      <c r="C8" s="117">
        <v>2</v>
      </c>
      <c r="D8" s="117">
        <v>2</v>
      </c>
      <c r="E8" s="117">
        <v>2</v>
      </c>
      <c r="F8" s="117">
        <v>1</v>
      </c>
      <c r="G8" s="1240">
        <v>1</v>
      </c>
    </row>
    <row r="9" spans="1:7">
      <c r="A9" s="117" t="s">
        <v>740</v>
      </c>
      <c r="B9" s="117">
        <v>1</v>
      </c>
      <c r="C9" s="117">
        <v>1</v>
      </c>
      <c r="D9" s="117">
        <v>1</v>
      </c>
      <c r="E9" s="117">
        <v>1</v>
      </c>
      <c r="F9" s="117">
        <v>1</v>
      </c>
      <c r="G9" s="1240">
        <v>1</v>
      </c>
    </row>
    <row r="10" spans="1:7">
      <c r="A10" s="117" t="s">
        <v>546</v>
      </c>
      <c r="B10" s="117">
        <v>2</v>
      </c>
      <c r="C10" s="117">
        <v>2</v>
      </c>
      <c r="D10" s="117">
        <v>2</v>
      </c>
      <c r="E10" s="117">
        <v>2</v>
      </c>
      <c r="F10" s="117">
        <v>2</v>
      </c>
      <c r="G10" s="1240">
        <v>2</v>
      </c>
    </row>
    <row r="11" spans="1:7">
      <c r="A11" s="117" t="s">
        <v>547</v>
      </c>
      <c r="B11" s="117">
        <v>5</v>
      </c>
      <c r="C11" s="117">
        <v>5</v>
      </c>
      <c r="D11" s="117">
        <v>5</v>
      </c>
      <c r="E11" s="117">
        <v>5</v>
      </c>
      <c r="F11" s="117">
        <v>6</v>
      </c>
      <c r="G11" s="1240">
        <v>6</v>
      </c>
    </row>
    <row r="12" spans="1:7">
      <c r="A12" s="117" t="s">
        <v>741</v>
      </c>
      <c r="B12" s="117">
        <v>2</v>
      </c>
      <c r="C12" s="117">
        <v>2</v>
      </c>
      <c r="D12" s="117">
        <v>2</v>
      </c>
      <c r="E12" s="117">
        <v>2</v>
      </c>
      <c r="F12" s="117">
        <v>3</v>
      </c>
      <c r="G12" s="1240">
        <v>3</v>
      </c>
    </row>
    <row r="13" spans="1:7">
      <c r="A13" s="117" t="s">
        <v>742</v>
      </c>
      <c r="B13" s="117">
        <v>1</v>
      </c>
      <c r="C13" s="117">
        <v>1</v>
      </c>
      <c r="D13" s="117">
        <v>1</v>
      </c>
      <c r="E13" s="117">
        <v>1</v>
      </c>
      <c r="F13" s="117">
        <v>1</v>
      </c>
      <c r="G13" s="1240">
        <v>1</v>
      </c>
    </row>
    <row r="14" spans="1:7">
      <c r="A14" s="117" t="s">
        <v>743</v>
      </c>
      <c r="B14" s="117">
        <v>1</v>
      </c>
      <c r="C14" s="117">
        <v>1</v>
      </c>
      <c r="D14" s="117">
        <v>1</v>
      </c>
      <c r="E14" s="117">
        <v>1</v>
      </c>
      <c r="F14" s="117">
        <v>0</v>
      </c>
      <c r="G14" s="1240">
        <v>0</v>
      </c>
    </row>
    <row r="15" spans="1:7">
      <c r="A15" s="117" t="s">
        <v>744</v>
      </c>
      <c r="B15" s="117">
        <v>3</v>
      </c>
      <c r="C15" s="117">
        <v>3</v>
      </c>
      <c r="D15" s="117">
        <v>3</v>
      </c>
      <c r="E15" s="117">
        <v>3</v>
      </c>
      <c r="F15" s="117">
        <v>3</v>
      </c>
      <c r="G15" s="1240">
        <v>3</v>
      </c>
    </row>
    <row r="16" spans="1:7">
      <c r="A16" s="117" t="s">
        <v>745</v>
      </c>
      <c r="B16" s="117">
        <v>3</v>
      </c>
      <c r="C16" s="117">
        <v>3</v>
      </c>
      <c r="D16" s="117">
        <v>3</v>
      </c>
      <c r="E16" s="117">
        <v>3</v>
      </c>
      <c r="F16" s="117">
        <v>3</v>
      </c>
      <c r="G16" s="1240">
        <v>3</v>
      </c>
    </row>
    <row r="18" spans="1:7" ht="23.25" customHeight="1">
      <c r="A18" s="2036" t="s">
        <v>3931</v>
      </c>
      <c r="B18" s="2036"/>
      <c r="C18" s="2036"/>
      <c r="D18" s="2036"/>
      <c r="E18" s="2036"/>
      <c r="F18" s="2036"/>
      <c r="G18" s="2036"/>
    </row>
    <row r="19" spans="1:7" ht="15" customHeight="1">
      <c r="A19" s="2027" t="s">
        <v>680</v>
      </c>
      <c r="B19" s="2027"/>
      <c r="C19" s="2027"/>
      <c r="D19" s="2027"/>
      <c r="E19" s="2027"/>
      <c r="F19" s="2027"/>
    </row>
  </sheetData>
  <mergeCells count="5">
    <mergeCell ref="A4:A5"/>
    <mergeCell ref="B4:G4"/>
    <mergeCell ref="A19:F19"/>
    <mergeCell ref="A2:G2"/>
    <mergeCell ref="A18:G18"/>
  </mergeCells>
  <pageMargins left="0.7" right="0.7" top="0.75" bottom="0.75" header="0.3" footer="0.3"/>
</worksheet>
</file>

<file path=xl/worksheets/sheet120.xml><?xml version="1.0" encoding="utf-8"?>
<worksheet xmlns="http://schemas.openxmlformats.org/spreadsheetml/2006/main" xmlns:r="http://schemas.openxmlformats.org/officeDocument/2006/relationships">
  <dimension ref="A1:Y19"/>
  <sheetViews>
    <sheetView zoomScaleNormal="100" workbookViewId="0"/>
  </sheetViews>
  <sheetFormatPr baseColWidth="10" defaultRowHeight="12"/>
  <cols>
    <col min="1" max="1" width="19.42578125" style="128" customWidth="1"/>
    <col min="2" max="13" width="13.140625" style="128" bestFit="1" customWidth="1"/>
    <col min="14" max="16384" width="11.42578125" style="128"/>
  </cols>
  <sheetData>
    <row r="1" spans="1:25">
      <c r="A1" s="1512"/>
    </row>
    <row r="2" spans="1:25" s="129" customFormat="1" ht="11.25">
      <c r="A2" s="113" t="s">
        <v>1267</v>
      </c>
    </row>
    <row r="3" spans="1:25" s="129" customFormat="1" ht="12" customHeight="1">
      <c r="B3" s="2253"/>
      <c r="C3" s="2253"/>
      <c r="D3" s="2253"/>
      <c r="E3" s="2253"/>
      <c r="F3" s="1513"/>
    </row>
    <row r="4" spans="1:25" s="129" customFormat="1" ht="26.25" customHeight="1">
      <c r="A4" s="2154" t="s">
        <v>1268</v>
      </c>
      <c r="B4" s="2155" t="s">
        <v>3735</v>
      </c>
      <c r="C4" s="2155"/>
      <c r="D4" s="2155"/>
      <c r="E4" s="2155"/>
      <c r="F4" s="2155"/>
      <c r="G4" s="2155"/>
      <c r="H4" s="2155" t="s">
        <v>1263</v>
      </c>
      <c r="I4" s="2155"/>
      <c r="J4" s="2155"/>
      <c r="K4" s="2155"/>
      <c r="L4" s="2155"/>
      <c r="M4" s="2155"/>
      <c r="N4" s="130"/>
      <c r="O4" s="130"/>
      <c r="P4" s="130"/>
      <c r="Q4" s="130"/>
      <c r="R4" s="130"/>
      <c r="S4" s="130"/>
      <c r="T4" s="130"/>
      <c r="U4" s="130"/>
      <c r="V4" s="130"/>
      <c r="W4" s="130"/>
      <c r="X4" s="130"/>
      <c r="Y4" s="130"/>
    </row>
    <row r="5" spans="1:25" s="129" customFormat="1" ht="14.25" customHeight="1">
      <c r="A5" s="2154"/>
      <c r="B5" s="1367">
        <v>2009</v>
      </c>
      <c r="C5" s="1390">
        <v>2010</v>
      </c>
      <c r="D5" s="1514">
        <v>2011</v>
      </c>
      <c r="E5" s="1514">
        <v>2012</v>
      </c>
      <c r="F5" s="1367">
        <v>2013</v>
      </c>
      <c r="G5" s="1367">
        <v>2014</v>
      </c>
      <c r="H5" s="1367">
        <v>2009</v>
      </c>
      <c r="I5" s="1390">
        <v>2010</v>
      </c>
      <c r="J5" s="1230">
        <v>2011</v>
      </c>
      <c r="K5" s="1230">
        <v>2012</v>
      </c>
      <c r="L5" s="1367">
        <v>2013</v>
      </c>
      <c r="M5" s="1367">
        <v>2014</v>
      </c>
    </row>
    <row r="6" spans="1:25" s="130" customFormat="1" ht="11.25">
      <c r="A6" s="130" t="s">
        <v>6</v>
      </c>
      <c r="B6" s="1034">
        <f>SUM(B7:B12)</f>
        <v>6101173</v>
      </c>
      <c r="C6" s="1034">
        <f t="shared" ref="C6:M6" si="0">SUM(C7:C12)</f>
        <v>6412163</v>
      </c>
      <c r="D6" s="1034">
        <f t="shared" si="0"/>
        <v>6038280</v>
      </c>
      <c r="E6" s="1034">
        <f t="shared" si="0"/>
        <v>8208947</v>
      </c>
      <c r="F6" s="1034">
        <f t="shared" si="0"/>
        <v>8325178</v>
      </c>
      <c r="G6" s="1034">
        <f t="shared" si="0"/>
        <v>8162704</v>
      </c>
      <c r="H6" s="1034">
        <f t="shared" si="0"/>
        <v>2375042</v>
      </c>
      <c r="I6" s="1034">
        <f>SUM(I7:I12)</f>
        <v>2520963</v>
      </c>
      <c r="J6" s="1034">
        <f t="shared" si="0"/>
        <v>2625203</v>
      </c>
      <c r="K6" s="1034">
        <f t="shared" si="0"/>
        <v>3503223</v>
      </c>
      <c r="L6" s="1034">
        <f t="shared" si="0"/>
        <v>3136146</v>
      </c>
      <c r="M6" s="1034">
        <f t="shared" si="0"/>
        <v>1309444</v>
      </c>
      <c r="N6" s="129"/>
      <c r="O6" s="129"/>
      <c r="P6" s="129"/>
      <c r="Q6" s="129"/>
      <c r="R6" s="129"/>
      <c r="S6" s="129"/>
      <c r="T6" s="129"/>
      <c r="U6" s="129"/>
      <c r="V6" s="129"/>
      <c r="W6" s="129"/>
      <c r="X6" s="129"/>
      <c r="Y6" s="129"/>
    </row>
    <row r="7" spans="1:25" s="129" customFormat="1" ht="11.25">
      <c r="A7" s="129" t="s">
        <v>1269</v>
      </c>
      <c r="B7" s="1168">
        <v>2029516</v>
      </c>
      <c r="C7" s="741">
        <v>1841238</v>
      </c>
      <c r="D7" s="1234">
        <v>2005769</v>
      </c>
      <c r="E7" s="1234">
        <v>2986193</v>
      </c>
      <c r="F7" s="1234">
        <v>2247436</v>
      </c>
      <c r="G7" s="1234">
        <v>1800377</v>
      </c>
      <c r="H7" s="1168">
        <v>754788</v>
      </c>
      <c r="I7" s="1168">
        <v>701634</v>
      </c>
      <c r="J7" s="1234">
        <v>968653</v>
      </c>
      <c r="K7" s="1234">
        <v>1346489</v>
      </c>
      <c r="L7" s="1168">
        <v>1032659</v>
      </c>
      <c r="M7" s="1168">
        <v>583793</v>
      </c>
    </row>
    <row r="8" spans="1:25" s="129" customFormat="1" ht="11.25">
      <c r="A8" s="129" t="s">
        <v>1181</v>
      </c>
      <c r="B8" s="1168">
        <v>64735</v>
      </c>
      <c r="C8" s="741">
        <v>65765</v>
      </c>
      <c r="D8" s="1234">
        <v>60116</v>
      </c>
      <c r="E8" s="1234">
        <v>84860</v>
      </c>
      <c r="F8" s="1234">
        <v>24330</v>
      </c>
      <c r="G8" s="1234">
        <v>23949</v>
      </c>
      <c r="H8" s="741">
        <v>33451</v>
      </c>
      <c r="I8" s="741">
        <v>30353</v>
      </c>
      <c r="J8" s="1234">
        <v>24171</v>
      </c>
      <c r="K8" s="1234">
        <v>50931</v>
      </c>
      <c r="L8" s="1168">
        <v>15659</v>
      </c>
      <c r="M8" s="1168">
        <v>8062</v>
      </c>
      <c r="N8" s="130"/>
      <c r="O8" s="130"/>
      <c r="P8" s="130"/>
      <c r="Q8" s="130"/>
      <c r="R8" s="130"/>
      <c r="S8" s="130"/>
      <c r="T8" s="130"/>
      <c r="U8" s="130"/>
      <c r="V8" s="130"/>
      <c r="W8" s="130"/>
      <c r="X8" s="130"/>
      <c r="Y8" s="130"/>
    </row>
    <row r="9" spans="1:25" s="129" customFormat="1" ht="11.25">
      <c r="A9" s="129" t="s">
        <v>1270</v>
      </c>
      <c r="B9" s="1168">
        <v>1327348</v>
      </c>
      <c r="C9" s="741">
        <v>1379147</v>
      </c>
      <c r="D9" s="1234">
        <v>1357954</v>
      </c>
      <c r="E9" s="1234">
        <v>1646749</v>
      </c>
      <c r="F9" s="1234">
        <v>1811706</v>
      </c>
      <c r="G9" s="1234">
        <v>923429</v>
      </c>
      <c r="H9" s="741">
        <v>808709</v>
      </c>
      <c r="I9" s="741">
        <v>933652</v>
      </c>
      <c r="J9" s="1234">
        <v>1102825</v>
      </c>
      <c r="K9" s="1234">
        <v>1380160</v>
      </c>
      <c r="L9" s="1168">
        <v>1546584</v>
      </c>
      <c r="M9" s="1168">
        <v>484889</v>
      </c>
    </row>
    <row r="10" spans="1:25" s="129" customFormat="1" ht="11.25">
      <c r="A10" s="129" t="s">
        <v>1271</v>
      </c>
      <c r="B10" s="1168">
        <v>713800</v>
      </c>
      <c r="C10" s="1005">
        <v>654531</v>
      </c>
      <c r="D10" s="1234">
        <v>754243</v>
      </c>
      <c r="E10" s="1234">
        <v>836413</v>
      </c>
      <c r="F10" s="1234">
        <v>670934</v>
      </c>
      <c r="G10" s="1234">
        <v>479282</v>
      </c>
      <c r="H10" s="741">
        <v>733927</v>
      </c>
      <c r="I10" s="741">
        <v>617917</v>
      </c>
      <c r="J10" s="1005">
        <v>476337</v>
      </c>
      <c r="K10" s="1005">
        <v>604243</v>
      </c>
      <c r="L10" s="1168">
        <v>519772</v>
      </c>
      <c r="M10" s="1168">
        <v>223391</v>
      </c>
    </row>
    <row r="11" spans="1:25" s="129" customFormat="1" ht="11.25">
      <c r="A11" s="129" t="s">
        <v>1272</v>
      </c>
      <c r="B11" s="1168">
        <v>1869631</v>
      </c>
      <c r="C11" s="741">
        <v>2222238</v>
      </c>
      <c r="D11" s="1234">
        <v>1839132</v>
      </c>
      <c r="E11" s="1234">
        <v>2608351</v>
      </c>
      <c r="F11" s="1234">
        <v>3532848</v>
      </c>
      <c r="G11" s="1234">
        <v>4916751</v>
      </c>
      <c r="H11" s="1005" t="s">
        <v>155</v>
      </c>
      <c r="I11" s="1005" t="s">
        <v>155</v>
      </c>
      <c r="J11" s="1234">
        <v>15130</v>
      </c>
      <c r="K11" s="1005" t="s">
        <v>155</v>
      </c>
      <c r="L11" s="1168">
        <v>0</v>
      </c>
      <c r="M11" s="1168">
        <v>0</v>
      </c>
    </row>
    <row r="12" spans="1:25" s="129" customFormat="1" ht="11.25">
      <c r="A12" s="129" t="s">
        <v>1273</v>
      </c>
      <c r="B12" s="1168">
        <v>96143</v>
      </c>
      <c r="C12" s="1005">
        <v>249244</v>
      </c>
      <c r="D12" s="1234">
        <v>21066</v>
      </c>
      <c r="E12" s="1234">
        <v>46381</v>
      </c>
      <c r="F12" s="1234">
        <v>37924</v>
      </c>
      <c r="G12" s="1234">
        <v>18916</v>
      </c>
      <c r="H12" s="741">
        <v>44167</v>
      </c>
      <c r="I12" s="741">
        <v>237407</v>
      </c>
      <c r="J12" s="1234">
        <v>38087</v>
      </c>
      <c r="K12" s="1234">
        <v>121400</v>
      </c>
      <c r="L12" s="1168">
        <v>21472</v>
      </c>
      <c r="M12" s="1168">
        <v>9309</v>
      </c>
    </row>
    <row r="13" spans="1:25" s="129" customFormat="1" ht="8.25" customHeight="1">
      <c r="B13" s="1168"/>
      <c r="C13" s="1005"/>
      <c r="D13" s="1234"/>
      <c r="E13" s="1234"/>
      <c r="F13" s="1234"/>
      <c r="G13" s="1234"/>
      <c r="I13" s="741"/>
      <c r="J13" s="1234"/>
      <c r="K13" s="1234"/>
      <c r="L13" s="1234"/>
      <c r="M13" s="1168"/>
    </row>
    <row r="14" spans="1:25" s="129" customFormat="1" ht="24.75" customHeight="1">
      <c r="A14" s="2190" t="s">
        <v>3736</v>
      </c>
      <c r="B14" s="2190"/>
      <c r="C14" s="2190"/>
      <c r="D14" s="2190"/>
      <c r="E14" s="2190"/>
      <c r="F14" s="2190"/>
      <c r="G14" s="2190"/>
      <c r="H14" s="2190"/>
      <c r="I14" s="2190"/>
      <c r="J14" s="2190"/>
      <c r="K14" s="2190"/>
      <c r="L14" s="2190"/>
      <c r="M14" s="2190"/>
    </row>
    <row r="15" spans="1:25" s="129" customFormat="1" ht="11.25">
      <c r="A15" s="1489" t="s">
        <v>161</v>
      </c>
      <c r="B15" s="1004"/>
      <c r="C15" s="1004"/>
      <c r="D15" s="1004"/>
      <c r="E15" s="1004"/>
      <c r="F15" s="1004"/>
      <c r="G15" s="1004"/>
      <c r="H15" s="1004"/>
    </row>
    <row r="16" spans="1:25" s="129" customFormat="1">
      <c r="A16" s="2214" t="s">
        <v>1169</v>
      </c>
      <c r="B16" s="2214"/>
      <c r="C16" s="2214"/>
      <c r="D16" s="2214"/>
      <c r="E16" s="2214"/>
      <c r="F16" s="1381"/>
      <c r="G16" s="1381"/>
      <c r="H16" s="1381"/>
      <c r="I16" s="1381"/>
      <c r="J16" s="1381"/>
      <c r="K16" s="1381"/>
      <c r="L16" s="1381"/>
      <c r="M16" s="1381"/>
      <c r="N16" s="1381"/>
      <c r="O16" s="1381"/>
      <c r="P16" s="1381"/>
      <c r="Q16" s="1381"/>
      <c r="R16" s="1386"/>
      <c r="S16" s="1515"/>
    </row>
    <row r="17" spans="2:19" s="129" customFormat="1" ht="11.25">
      <c r="J17" s="1381"/>
      <c r="K17" s="1381"/>
      <c r="L17" s="1381"/>
      <c r="M17" s="1381"/>
      <c r="N17" s="1381"/>
      <c r="O17" s="1381"/>
      <c r="P17" s="1381"/>
      <c r="Q17" s="1381"/>
      <c r="R17" s="1381"/>
      <c r="S17" s="1381"/>
    </row>
    <row r="19" spans="2:19">
      <c r="B19" s="129"/>
    </row>
  </sheetData>
  <mergeCells count="7">
    <mergeCell ref="H4:M4"/>
    <mergeCell ref="A14:M14"/>
    <mergeCell ref="A16:E16"/>
    <mergeCell ref="B3:C3"/>
    <mergeCell ref="D3:E3"/>
    <mergeCell ref="A4:A5"/>
    <mergeCell ref="B4:G4"/>
  </mergeCells>
  <pageMargins left="0.7" right="0.7" top="0.75" bottom="0.75" header="0.3" footer="0.3"/>
  <pageSetup paperSize="14" orientation="landscape" r:id="rId1"/>
</worksheet>
</file>

<file path=xl/worksheets/sheet121.xml><?xml version="1.0" encoding="utf-8"?>
<worksheet xmlns="http://schemas.openxmlformats.org/spreadsheetml/2006/main" xmlns:r="http://schemas.openxmlformats.org/officeDocument/2006/relationships">
  <dimension ref="A2:B105"/>
  <sheetViews>
    <sheetView zoomScaleNormal="100" workbookViewId="0">
      <selection activeCell="A43" sqref="A43"/>
    </sheetView>
  </sheetViews>
  <sheetFormatPr baseColWidth="10" defaultRowHeight="12"/>
  <cols>
    <col min="1" max="1" width="67.5703125" style="134" customWidth="1"/>
    <col min="2" max="2" width="18" style="1511" customWidth="1"/>
    <col min="3" max="16384" width="11.42578125" style="128"/>
  </cols>
  <sheetData>
    <row r="2" spans="1:2" ht="19.5" customHeight="1">
      <c r="A2" s="2218" t="s">
        <v>3293</v>
      </c>
      <c r="B2" s="2218"/>
    </row>
    <row r="3" spans="1:2" ht="8.25" customHeight="1">
      <c r="A3" s="1309"/>
      <c r="B3" s="1509"/>
    </row>
    <row r="4" spans="1:2" ht="17.25" customHeight="1">
      <c r="A4" s="1230" t="s">
        <v>1274</v>
      </c>
      <c r="B4" s="1230" t="s">
        <v>1275</v>
      </c>
    </row>
    <row r="5" spans="1:2" ht="12.75" customHeight="1">
      <c r="A5" s="1493" t="s">
        <v>6</v>
      </c>
      <c r="B5" s="1494">
        <f>SUM(B6:B10)</f>
        <v>1437</v>
      </c>
    </row>
    <row r="6" spans="1:2" ht="22.5">
      <c r="A6" s="1510" t="s">
        <v>1276</v>
      </c>
      <c r="B6" s="475">
        <v>672</v>
      </c>
    </row>
    <row r="7" spans="1:2">
      <c r="A7" s="1510" t="s">
        <v>1277</v>
      </c>
      <c r="B7" s="475">
        <v>47</v>
      </c>
    </row>
    <row r="8" spans="1:2" ht="12.75">
      <c r="A8" s="1510" t="s">
        <v>3732</v>
      </c>
      <c r="B8" s="475">
        <v>358</v>
      </c>
    </row>
    <row r="9" spans="1:2">
      <c r="A9" s="1510" t="s">
        <v>1278</v>
      </c>
      <c r="B9" s="1496">
        <v>356</v>
      </c>
    </row>
    <row r="10" spans="1:2" ht="25.5" customHeight="1">
      <c r="A10" s="1510" t="s">
        <v>1279</v>
      </c>
      <c r="B10" s="1496">
        <v>4</v>
      </c>
    </row>
    <row r="11" spans="1:2" ht="6" customHeight="1">
      <c r="A11" s="1510"/>
      <c r="B11" s="1495"/>
    </row>
    <row r="12" spans="1:2" ht="28.5" customHeight="1">
      <c r="A12" s="2254" t="s">
        <v>3733</v>
      </c>
      <c r="B12" s="2254"/>
    </row>
    <row r="13" spans="1:2" ht="23.25" customHeight="1">
      <c r="A13" s="2201" t="s">
        <v>3734</v>
      </c>
      <c r="B13" s="2201"/>
    </row>
    <row r="14" spans="1:2">
      <c r="A14" s="1381" t="s">
        <v>1151</v>
      </c>
    </row>
    <row r="105" spans="1:1">
      <c r="A105" s="1309"/>
    </row>
  </sheetData>
  <mergeCells count="3">
    <mergeCell ref="A2:B2"/>
    <mergeCell ref="A12:B12"/>
    <mergeCell ref="A13:B13"/>
  </mergeCells>
  <pageMargins left="0.7" right="0.7" top="0.75" bottom="0.75" header="0.3" footer="0.3"/>
  <pageSetup paperSize="14" orientation="portrait" r:id="rId1"/>
</worksheet>
</file>

<file path=xl/worksheets/sheet122.xml><?xml version="1.0" encoding="utf-8"?>
<worksheet xmlns="http://schemas.openxmlformats.org/spreadsheetml/2006/main" xmlns:r="http://schemas.openxmlformats.org/officeDocument/2006/relationships">
  <dimension ref="A2:H22"/>
  <sheetViews>
    <sheetView zoomScaleNormal="100" workbookViewId="0">
      <selection activeCell="B23" sqref="B23"/>
    </sheetView>
  </sheetViews>
  <sheetFormatPr baseColWidth="10" defaultRowHeight="12"/>
  <cols>
    <col min="1" max="1" width="17.85546875" style="107" customWidth="1"/>
    <col min="2" max="4" width="19.140625" style="107" customWidth="1"/>
    <col min="5" max="5" width="11.42578125" style="107" customWidth="1"/>
    <col min="6" max="16384" width="11.42578125" style="107"/>
  </cols>
  <sheetData>
    <row r="2" spans="1:8" ht="26.25" customHeight="1">
      <c r="A2" s="2256" t="s">
        <v>1280</v>
      </c>
      <c r="B2" s="2256"/>
      <c r="C2" s="2256"/>
      <c r="D2" s="2256"/>
    </row>
    <row r="3" spans="1:8" s="1474" customFormat="1" ht="8.25" customHeight="1">
      <c r="A3" s="1470"/>
      <c r="B3" s="186"/>
      <c r="C3" s="179"/>
      <c r="D3" s="179"/>
      <c r="F3" s="1476"/>
      <c r="G3" s="1476"/>
      <c r="H3" s="1476"/>
    </row>
    <row r="4" spans="1:8" ht="13.5">
      <c r="A4" s="2257" t="s">
        <v>671</v>
      </c>
      <c r="B4" s="2260" t="s">
        <v>3474</v>
      </c>
      <c r="C4" s="2261"/>
      <c r="D4" s="2262"/>
      <c r="F4" s="48"/>
      <c r="G4" s="48"/>
      <c r="H4" s="48"/>
    </row>
    <row r="5" spans="1:8">
      <c r="A5" s="2258"/>
      <c r="B5" s="2260" t="s">
        <v>1113</v>
      </c>
      <c r="C5" s="2261"/>
      <c r="D5" s="2262"/>
      <c r="F5" s="48"/>
      <c r="G5" s="48"/>
      <c r="H5" s="48"/>
    </row>
    <row r="6" spans="1:8" ht="23.25">
      <c r="A6" s="2259"/>
      <c r="B6" s="1461" t="s">
        <v>6</v>
      </c>
      <c r="C6" s="1337" t="s">
        <v>1281</v>
      </c>
      <c r="D6" s="1337" t="s">
        <v>1282</v>
      </c>
      <c r="F6" s="48"/>
      <c r="G6" s="48"/>
      <c r="H6" s="48"/>
    </row>
    <row r="7" spans="1:8">
      <c r="A7" s="1506" t="s">
        <v>1121</v>
      </c>
      <c r="B7" s="186">
        <f t="shared" ref="B7:B12" si="0">SUM(C7:D7)</f>
        <v>3710</v>
      </c>
      <c r="C7" s="179">
        <v>1124</v>
      </c>
      <c r="D7" s="179">
        <v>2586</v>
      </c>
      <c r="F7" s="48"/>
      <c r="G7" s="48"/>
      <c r="H7" s="48"/>
    </row>
    <row r="8" spans="1:8">
      <c r="A8" s="1506">
        <v>2010</v>
      </c>
      <c r="B8" s="186">
        <f t="shared" si="0"/>
        <v>4117</v>
      </c>
      <c r="C8" s="179">
        <v>1161</v>
      </c>
      <c r="D8" s="179">
        <v>2956</v>
      </c>
      <c r="F8" s="1507"/>
      <c r="G8" s="1507"/>
      <c r="H8" s="48"/>
    </row>
    <row r="9" spans="1:8">
      <c r="A9" s="1506" t="s">
        <v>801</v>
      </c>
      <c r="B9" s="186">
        <f t="shared" si="0"/>
        <v>4299</v>
      </c>
      <c r="C9" s="179">
        <v>1346</v>
      </c>
      <c r="D9" s="179">
        <v>2953</v>
      </c>
    </row>
    <row r="10" spans="1:8">
      <c r="A10" s="1506" t="s">
        <v>802</v>
      </c>
      <c r="B10" s="186">
        <f t="shared" si="0"/>
        <v>4681</v>
      </c>
      <c r="C10" s="179">
        <v>1371</v>
      </c>
      <c r="D10" s="179">
        <v>3310</v>
      </c>
    </row>
    <row r="11" spans="1:8">
      <c r="A11" s="1506" t="s">
        <v>803</v>
      </c>
      <c r="B11" s="186">
        <f t="shared" si="0"/>
        <v>4479</v>
      </c>
      <c r="C11" s="179">
        <v>1398</v>
      </c>
      <c r="D11" s="179">
        <v>3081</v>
      </c>
    </row>
    <row r="12" spans="1:8">
      <c r="A12" s="1506" t="s">
        <v>804</v>
      </c>
      <c r="B12" s="186">
        <f t="shared" si="0"/>
        <v>4704</v>
      </c>
      <c r="C12" s="179">
        <v>1495</v>
      </c>
      <c r="D12" s="179">
        <v>3209</v>
      </c>
    </row>
    <row r="13" spans="1:8">
      <c r="A13" s="1470"/>
      <c r="B13" s="186"/>
      <c r="C13" s="508"/>
      <c r="D13" s="508"/>
    </row>
    <row r="14" spans="1:8" ht="34.5" customHeight="1">
      <c r="A14" s="2263" t="s">
        <v>3729</v>
      </c>
      <c r="B14" s="2263"/>
      <c r="C14" s="2263"/>
      <c r="D14" s="2263"/>
    </row>
    <row r="15" spans="1:8">
      <c r="A15" s="245" t="s">
        <v>1122</v>
      </c>
      <c r="B15" s="177"/>
      <c r="C15" s="177"/>
      <c r="D15" s="177"/>
    </row>
    <row r="16" spans="1:8" s="1474" customFormat="1">
      <c r="A16" s="1470"/>
      <c r="B16" s="179"/>
      <c r="C16" s="179"/>
    </row>
    <row r="17" spans="2:2" s="1474" customFormat="1">
      <c r="B17" s="1508"/>
    </row>
    <row r="18" spans="2:2" s="1474" customFormat="1"/>
    <row r="19" spans="2:2" s="1474" customFormat="1"/>
    <row r="20" spans="2:2" s="1474" customFormat="1"/>
    <row r="21" spans="2:2" s="1474" customFormat="1"/>
    <row r="22" spans="2:2" s="1474" customFormat="1"/>
  </sheetData>
  <mergeCells count="5">
    <mergeCell ref="A2:D2"/>
    <mergeCell ref="A4:A6"/>
    <mergeCell ref="B4:D4"/>
    <mergeCell ref="B5:D5"/>
    <mergeCell ref="A14:D14"/>
  </mergeCells>
  <pageMargins left="0.70866141732283472" right="0.70866141732283472" top="0.74803149606299213" bottom="0.74803149606299213" header="0.31496062992125984" footer="0.31496062992125984"/>
  <pageSetup paperSize="14" scale="120" orientation="landscape" r:id="rId1"/>
</worksheet>
</file>

<file path=xl/worksheets/sheet123.xml><?xml version="1.0" encoding="utf-8"?>
<worksheet xmlns="http://schemas.openxmlformats.org/spreadsheetml/2006/main" xmlns:r="http://schemas.openxmlformats.org/officeDocument/2006/relationships">
  <dimension ref="A2:I27"/>
  <sheetViews>
    <sheetView zoomScaleNormal="100" workbookViewId="0">
      <selection activeCell="A31" sqref="A31"/>
    </sheetView>
  </sheetViews>
  <sheetFormatPr baseColWidth="10" defaultRowHeight="11.25"/>
  <cols>
    <col min="1" max="1" width="29.85546875" style="108" customWidth="1"/>
    <col min="2" max="2" width="10.85546875" style="108" customWidth="1"/>
    <col min="3" max="3" width="14.7109375" style="108" customWidth="1"/>
    <col min="4" max="4" width="19.28515625" style="1481" customWidth="1"/>
    <col min="5" max="5" width="4.42578125" style="108" customWidth="1"/>
    <col min="6" max="16384" width="11.42578125" style="108"/>
  </cols>
  <sheetData>
    <row r="2" spans="1:9" ht="36" customHeight="1">
      <c r="A2" s="2256" t="s">
        <v>1283</v>
      </c>
      <c r="B2" s="2256"/>
      <c r="C2" s="2256"/>
      <c r="D2" s="2256"/>
    </row>
    <row r="4" spans="1:9" ht="12.75">
      <c r="A4" s="2202" t="s">
        <v>0</v>
      </c>
      <c r="B4" s="2265" t="s">
        <v>3473</v>
      </c>
      <c r="C4" s="2266"/>
      <c r="D4" s="2267"/>
      <c r="F4" s="96"/>
      <c r="G4" s="96"/>
      <c r="H4" s="96"/>
      <c r="I4" s="96"/>
    </row>
    <row r="5" spans="1:9">
      <c r="A5" s="2202"/>
      <c r="B5" s="2202" t="s">
        <v>26</v>
      </c>
      <c r="C5" s="2264" t="s">
        <v>1113</v>
      </c>
      <c r="D5" s="2264"/>
      <c r="E5" s="96"/>
      <c r="F5" s="96"/>
      <c r="G5" s="96"/>
      <c r="H5" s="96"/>
    </row>
    <row r="6" spans="1:9" ht="22.5">
      <c r="A6" s="2202"/>
      <c r="B6" s="2202"/>
      <c r="C6" s="1480" t="s">
        <v>1281</v>
      </c>
      <c r="D6" s="1480" t="s">
        <v>1282</v>
      </c>
      <c r="E6" s="96"/>
      <c r="F6" s="96"/>
      <c r="G6" s="96"/>
      <c r="H6" s="96"/>
    </row>
    <row r="7" spans="1:9">
      <c r="A7" s="926" t="s">
        <v>6</v>
      </c>
      <c r="B7" s="1482">
        <f>SUM(B8:B22)</f>
        <v>4704</v>
      </c>
      <c r="C7" s="1500">
        <f>SUM(C8:C22)</f>
        <v>1495</v>
      </c>
      <c r="D7" s="1500">
        <f>SUM(D8:D22)</f>
        <v>3209</v>
      </c>
      <c r="E7" s="96"/>
      <c r="F7" s="96"/>
      <c r="G7" s="96"/>
      <c r="H7" s="96"/>
    </row>
    <row r="8" spans="1:9">
      <c r="A8" s="1501" t="s">
        <v>7</v>
      </c>
      <c r="B8" s="1482">
        <f>SUM(C8:D8)</f>
        <v>25</v>
      </c>
      <c r="C8" s="1502">
        <v>3</v>
      </c>
      <c r="D8" s="1502">
        <v>22</v>
      </c>
      <c r="E8" s="96"/>
      <c r="F8" s="96"/>
      <c r="G8" s="96"/>
      <c r="H8" s="96"/>
    </row>
    <row r="9" spans="1:9">
      <c r="A9" s="1501" t="s">
        <v>8</v>
      </c>
      <c r="B9" s="1482">
        <f t="shared" ref="B9:B22" si="0">SUM(C9:D9)</f>
        <v>31</v>
      </c>
      <c r="C9" s="1502">
        <v>13</v>
      </c>
      <c r="D9" s="1502">
        <v>18</v>
      </c>
      <c r="E9" s="96"/>
      <c r="F9" s="96"/>
      <c r="G9" s="96"/>
      <c r="H9" s="96"/>
    </row>
    <row r="10" spans="1:9">
      <c r="A10" s="1501" t="s">
        <v>9</v>
      </c>
      <c r="B10" s="1482">
        <f t="shared" si="0"/>
        <v>93</v>
      </c>
      <c r="C10" s="1502">
        <v>29</v>
      </c>
      <c r="D10" s="1502">
        <v>64</v>
      </c>
      <c r="E10" s="96"/>
      <c r="F10" s="96"/>
      <c r="G10" s="96"/>
      <c r="H10" s="96"/>
    </row>
    <row r="11" spans="1:9">
      <c r="A11" s="1501" t="s">
        <v>10</v>
      </c>
      <c r="B11" s="1482">
        <f t="shared" si="0"/>
        <v>160</v>
      </c>
      <c r="C11" s="1502">
        <v>30</v>
      </c>
      <c r="D11" s="1502">
        <v>130</v>
      </c>
      <c r="E11" s="96"/>
      <c r="F11" s="96"/>
      <c r="G11" s="96"/>
      <c r="H11" s="96"/>
    </row>
    <row r="12" spans="1:9">
      <c r="A12" s="1501" t="s">
        <v>11</v>
      </c>
      <c r="B12" s="1482">
        <f t="shared" si="0"/>
        <v>140</v>
      </c>
      <c r="C12" s="1502">
        <v>47</v>
      </c>
      <c r="D12" s="1502">
        <v>93</v>
      </c>
      <c r="E12" s="96"/>
      <c r="F12" s="96"/>
      <c r="G12" s="96"/>
      <c r="H12" s="96"/>
    </row>
    <row r="13" spans="1:9">
      <c r="A13" s="1501" t="s">
        <v>12</v>
      </c>
      <c r="B13" s="1482">
        <f t="shared" si="0"/>
        <v>473</v>
      </c>
      <c r="C13" s="1502">
        <v>203</v>
      </c>
      <c r="D13" s="1502">
        <v>270</v>
      </c>
      <c r="E13" s="96"/>
      <c r="F13" s="96"/>
      <c r="G13" s="96"/>
      <c r="H13" s="96"/>
    </row>
    <row r="14" spans="1:9">
      <c r="A14" s="1501" t="s">
        <v>13</v>
      </c>
      <c r="B14" s="1482">
        <f t="shared" si="0"/>
        <v>1957</v>
      </c>
      <c r="C14" s="1502">
        <v>515</v>
      </c>
      <c r="D14" s="1502">
        <v>1442</v>
      </c>
      <c r="E14" s="96"/>
      <c r="F14" s="96"/>
      <c r="G14" s="96"/>
      <c r="H14" s="96"/>
    </row>
    <row r="15" spans="1:9">
      <c r="A15" s="1501" t="s">
        <v>14</v>
      </c>
      <c r="B15" s="1482">
        <f t="shared" si="0"/>
        <v>289</v>
      </c>
      <c r="C15" s="1502">
        <v>84</v>
      </c>
      <c r="D15" s="1502">
        <v>205</v>
      </c>
      <c r="E15" s="96"/>
      <c r="F15" s="96"/>
      <c r="G15" s="96"/>
      <c r="H15" s="96"/>
    </row>
    <row r="16" spans="1:9">
      <c r="A16" s="1501" t="s">
        <v>1284</v>
      </c>
      <c r="B16" s="1482">
        <f t="shared" si="0"/>
        <v>318</v>
      </c>
      <c r="C16" s="1502">
        <v>124</v>
      </c>
      <c r="D16" s="1502">
        <v>194</v>
      </c>
      <c r="E16" s="96"/>
      <c r="F16" s="96"/>
      <c r="G16" s="96"/>
      <c r="H16" s="96"/>
    </row>
    <row r="17" spans="1:9">
      <c r="A17" s="1501" t="s">
        <v>16</v>
      </c>
      <c r="B17" s="1482">
        <f t="shared" si="0"/>
        <v>349</v>
      </c>
      <c r="C17" s="1502">
        <v>136</v>
      </c>
      <c r="D17" s="1502">
        <v>213</v>
      </c>
      <c r="E17" s="96"/>
      <c r="F17" s="96"/>
      <c r="G17" s="96"/>
      <c r="H17" s="96"/>
    </row>
    <row r="18" spans="1:9">
      <c r="A18" s="1501" t="s">
        <v>17</v>
      </c>
      <c r="B18" s="1482">
        <f t="shared" si="0"/>
        <v>316</v>
      </c>
      <c r="C18" s="1502">
        <v>72</v>
      </c>
      <c r="D18" s="1502">
        <v>244</v>
      </c>
      <c r="E18" s="96"/>
      <c r="F18" s="96"/>
      <c r="G18" s="96"/>
      <c r="H18" s="96"/>
    </row>
    <row r="19" spans="1:9">
      <c r="A19" s="1501" t="s">
        <v>18</v>
      </c>
      <c r="B19" s="1482">
        <f t="shared" si="0"/>
        <v>271</v>
      </c>
      <c r="C19" s="1502">
        <v>140</v>
      </c>
      <c r="D19" s="1502">
        <v>131</v>
      </c>
      <c r="E19" s="96"/>
      <c r="F19" s="96"/>
      <c r="G19" s="96"/>
      <c r="H19" s="96"/>
    </row>
    <row r="20" spans="1:9">
      <c r="A20" s="1501" t="s">
        <v>19</v>
      </c>
      <c r="B20" s="1482">
        <f t="shared" si="0"/>
        <v>230</v>
      </c>
      <c r="C20" s="1502">
        <v>79</v>
      </c>
      <c r="D20" s="1502">
        <v>151</v>
      </c>
      <c r="E20" s="96"/>
      <c r="F20" s="96"/>
      <c r="G20" s="96"/>
      <c r="H20" s="96"/>
    </row>
    <row r="21" spans="1:9">
      <c r="A21" s="1501" t="s">
        <v>20</v>
      </c>
      <c r="B21" s="1482">
        <f t="shared" si="0"/>
        <v>7</v>
      </c>
      <c r="C21" s="1502">
        <v>1</v>
      </c>
      <c r="D21" s="1502">
        <v>6</v>
      </c>
      <c r="E21" s="96"/>
      <c r="F21" s="96"/>
      <c r="G21" s="96"/>
      <c r="H21" s="96"/>
    </row>
    <row r="22" spans="1:9">
      <c r="A22" s="1501" t="s">
        <v>21</v>
      </c>
      <c r="B22" s="1482">
        <f t="shared" si="0"/>
        <v>45</v>
      </c>
      <c r="C22" s="1502">
        <v>19</v>
      </c>
      <c r="D22" s="1502">
        <v>26</v>
      </c>
      <c r="E22" s="96"/>
      <c r="F22" s="96"/>
      <c r="G22" s="96"/>
      <c r="H22" s="1503"/>
    </row>
    <row r="23" spans="1:9">
      <c r="F23" s="96"/>
      <c r="G23" s="96"/>
      <c r="H23" s="96"/>
      <c r="I23" s="96"/>
    </row>
    <row r="24" spans="1:9" s="96" customFormat="1" ht="36.75" customHeight="1">
      <c r="A24" s="2197" t="s">
        <v>3729</v>
      </c>
      <c r="B24" s="2197"/>
      <c r="C24" s="2197"/>
      <c r="D24" s="2197"/>
    </row>
    <row r="25" spans="1:9" s="96" customFormat="1">
      <c r="A25" s="245" t="s">
        <v>1122</v>
      </c>
      <c r="B25" s="177"/>
      <c r="C25" s="177"/>
      <c r="D25" s="479"/>
    </row>
    <row r="26" spans="1:9">
      <c r="C26" s="1504"/>
      <c r="D26" s="1505"/>
    </row>
    <row r="27" spans="1:9">
      <c r="D27" s="1505"/>
    </row>
  </sheetData>
  <mergeCells count="6">
    <mergeCell ref="A24:D24"/>
    <mergeCell ref="A2:D2"/>
    <mergeCell ref="A4:A6"/>
    <mergeCell ref="B5:B6"/>
    <mergeCell ref="C5:D5"/>
    <mergeCell ref="B4:D4"/>
  </mergeCells>
  <pageMargins left="0.70866141732283472" right="0.70866141732283472" top="0.74803149606299213" bottom="0.74803149606299213" header="0.31496062992125984" footer="0.31496062992125984"/>
  <pageSetup paperSize="14" scale="120" orientation="landscape" r:id="rId1"/>
</worksheet>
</file>

<file path=xl/worksheets/sheet124.xml><?xml version="1.0" encoding="utf-8"?>
<worksheet xmlns="http://schemas.openxmlformats.org/spreadsheetml/2006/main" xmlns:r="http://schemas.openxmlformats.org/officeDocument/2006/relationships">
  <dimension ref="A1:F12"/>
  <sheetViews>
    <sheetView zoomScaleNormal="100" workbookViewId="0">
      <selection activeCell="A16" sqref="A16"/>
    </sheetView>
  </sheetViews>
  <sheetFormatPr baseColWidth="10" defaultRowHeight="12"/>
  <cols>
    <col min="1" max="1" width="52.7109375" style="127" customWidth="1"/>
    <col min="2" max="2" width="13" style="127" customWidth="1"/>
    <col min="3" max="3" width="2.5703125" style="127" customWidth="1"/>
    <col min="4" max="16384" width="11.42578125" style="127"/>
  </cols>
  <sheetData>
    <row r="1" spans="1:6">
      <c r="A1" s="1490"/>
    </row>
    <row r="2" spans="1:6" ht="36.75" customHeight="1">
      <c r="A2" s="2028" t="s">
        <v>3292</v>
      </c>
      <c r="B2" s="2028"/>
      <c r="C2" s="126"/>
    </row>
    <row r="3" spans="1:6">
      <c r="A3" s="117"/>
      <c r="B3" s="126"/>
      <c r="C3" s="126"/>
      <c r="E3" s="1307"/>
      <c r="F3" s="1491"/>
    </row>
    <row r="4" spans="1:6" ht="17.25" customHeight="1">
      <c r="A4" s="1230" t="s">
        <v>1285</v>
      </c>
      <c r="B4" s="1230" t="s">
        <v>1286</v>
      </c>
      <c r="C4" s="126"/>
      <c r="E4" s="1492"/>
      <c r="F4" s="1491"/>
    </row>
    <row r="5" spans="1:6">
      <c r="A5" s="1493" t="s">
        <v>6</v>
      </c>
      <c r="B5" s="1494">
        <f>SUM(B6:B9)</f>
        <v>5508</v>
      </c>
      <c r="E5" s="1492"/>
      <c r="F5" s="1495"/>
    </row>
    <row r="6" spans="1:6">
      <c r="A6" s="1492" t="s">
        <v>1287</v>
      </c>
      <c r="B6" s="475">
        <v>4463</v>
      </c>
      <c r="E6" s="1492"/>
      <c r="F6" s="1495"/>
    </row>
    <row r="7" spans="1:6">
      <c r="A7" s="1492" t="s">
        <v>1288</v>
      </c>
      <c r="B7" s="1496">
        <v>468</v>
      </c>
      <c r="E7" s="1492"/>
      <c r="F7" s="1495"/>
    </row>
    <row r="8" spans="1:6">
      <c r="A8" s="1492" t="s">
        <v>1289</v>
      </c>
      <c r="B8" s="1496">
        <v>420</v>
      </c>
    </row>
    <row r="9" spans="1:6">
      <c r="A9" s="1492" t="s">
        <v>1290</v>
      </c>
      <c r="B9" s="1496">
        <v>157</v>
      </c>
    </row>
    <row r="10" spans="1:6" ht="5.25" customHeight="1">
      <c r="A10" s="1492"/>
      <c r="B10" s="1495"/>
      <c r="C10" s="126"/>
    </row>
    <row r="11" spans="1:6" ht="56.25" customHeight="1">
      <c r="A11" s="2268" t="s">
        <v>3731</v>
      </c>
      <c r="B11" s="2268"/>
      <c r="C11" s="1497"/>
    </row>
    <row r="12" spans="1:6">
      <c r="A12" s="1498" t="s">
        <v>1151</v>
      </c>
      <c r="B12" s="1499"/>
      <c r="C12" s="126"/>
    </row>
  </sheetData>
  <mergeCells count="2">
    <mergeCell ref="A2:B2"/>
    <mergeCell ref="A11:B11"/>
  </mergeCells>
  <pageMargins left="0.7" right="0.7" top="0.75" bottom="0.75" header="0.3" footer="0.3"/>
  <pageSetup paperSize="14" orientation="portrait" r:id="rId1"/>
</worksheet>
</file>

<file path=xl/worksheets/sheet125.xml><?xml version="1.0" encoding="utf-8"?>
<worksheet xmlns="http://schemas.openxmlformats.org/spreadsheetml/2006/main" xmlns:r="http://schemas.openxmlformats.org/officeDocument/2006/relationships">
  <dimension ref="A2:F26"/>
  <sheetViews>
    <sheetView zoomScaleNormal="100" workbookViewId="0">
      <selection activeCell="A31" sqref="A31"/>
    </sheetView>
  </sheetViews>
  <sheetFormatPr baseColWidth="10" defaultRowHeight="11.25"/>
  <cols>
    <col min="1" max="1" width="32.5703125" style="108" customWidth="1"/>
    <col min="2" max="4" width="18.7109375" style="108" customWidth="1"/>
    <col min="5" max="5" width="5" style="108" customWidth="1"/>
    <col min="6" max="16384" width="11.42578125" style="108"/>
  </cols>
  <sheetData>
    <row r="2" spans="1:6" s="96" customFormat="1" ht="25.5" customHeight="1">
      <c r="A2" s="2204" t="s">
        <v>1291</v>
      </c>
      <c r="B2" s="2204"/>
      <c r="C2" s="2204"/>
      <c r="D2" s="2204"/>
    </row>
    <row r="3" spans="1:6">
      <c r="A3" s="96"/>
      <c r="B3" s="96"/>
    </row>
    <row r="4" spans="1:6" s="1481" customFormat="1" ht="16.5" customHeight="1">
      <c r="A4" s="2264" t="s">
        <v>0</v>
      </c>
      <c r="B4" s="2264" t="s">
        <v>3472</v>
      </c>
      <c r="C4" s="2264"/>
      <c r="D4" s="2264"/>
    </row>
    <row r="5" spans="1:6" s="1481" customFormat="1">
      <c r="A5" s="2264"/>
      <c r="B5" s="2264" t="s">
        <v>26</v>
      </c>
      <c r="C5" s="2264" t="s">
        <v>1113</v>
      </c>
      <c r="D5" s="2264"/>
    </row>
    <row r="6" spans="1:6" s="1481" customFormat="1" ht="31.5" customHeight="1">
      <c r="A6" s="2264"/>
      <c r="B6" s="2264"/>
      <c r="C6" s="1480" t="s">
        <v>1281</v>
      </c>
      <c r="D6" s="1480" t="s">
        <v>1282</v>
      </c>
      <c r="F6" s="170"/>
    </row>
    <row r="7" spans="1:6" s="1481" customFormat="1">
      <c r="A7" s="1486" t="s">
        <v>6</v>
      </c>
      <c r="B7" s="1487">
        <f>SUM(B8:B22)</f>
        <v>1809448</v>
      </c>
      <c r="C7" s="927">
        <f>SUM(C8:C22)</f>
        <v>193914</v>
      </c>
      <c r="D7" s="927">
        <f>SUM(D8:D22)</f>
        <v>1615534</v>
      </c>
      <c r="F7" s="170"/>
    </row>
    <row r="8" spans="1:6" s="1481" customFormat="1">
      <c r="A8" s="1464" t="s">
        <v>7</v>
      </c>
      <c r="B8" s="1487">
        <f>SUM(C8:D8)</f>
        <v>1470</v>
      </c>
      <c r="C8" s="931">
        <v>0</v>
      </c>
      <c r="D8" s="931">
        <v>1470</v>
      </c>
      <c r="F8" s="1478"/>
    </row>
    <row r="9" spans="1:6" s="1481" customFormat="1">
      <c r="A9" s="1464" t="s">
        <v>8</v>
      </c>
      <c r="B9" s="1487">
        <f t="shared" ref="B9:B22" si="0">SUM(C9:D9)</f>
        <v>9800</v>
      </c>
      <c r="C9" s="931">
        <v>5000</v>
      </c>
      <c r="D9" s="931">
        <v>4800</v>
      </c>
      <c r="F9" s="1478"/>
    </row>
    <row r="10" spans="1:6" s="1481" customFormat="1">
      <c r="A10" s="1464" t="s">
        <v>9</v>
      </c>
      <c r="B10" s="1487">
        <f t="shared" si="0"/>
        <v>29241</v>
      </c>
      <c r="C10" s="931">
        <v>2153</v>
      </c>
      <c r="D10" s="931">
        <v>27088</v>
      </c>
      <c r="F10" s="1478"/>
    </row>
    <row r="11" spans="1:6" s="1481" customFormat="1">
      <c r="A11" s="1464" t="s">
        <v>10</v>
      </c>
      <c r="B11" s="1487">
        <f t="shared" si="0"/>
        <v>9740</v>
      </c>
      <c r="C11" s="931">
        <v>0</v>
      </c>
      <c r="D11" s="931">
        <v>9740</v>
      </c>
      <c r="F11" s="1478"/>
    </row>
    <row r="12" spans="1:6" s="1481" customFormat="1">
      <c r="A12" s="1464" t="s">
        <v>11</v>
      </c>
      <c r="B12" s="1487">
        <f t="shared" si="0"/>
        <v>22500</v>
      </c>
      <c r="C12" s="931">
        <v>5000</v>
      </c>
      <c r="D12" s="931">
        <v>17500</v>
      </c>
      <c r="F12" s="1478"/>
    </row>
    <row r="13" spans="1:6" s="1481" customFormat="1">
      <c r="A13" s="1464" t="s">
        <v>12</v>
      </c>
      <c r="B13" s="1487">
        <f t="shared" si="0"/>
        <v>220581</v>
      </c>
      <c r="C13" s="931">
        <v>33041</v>
      </c>
      <c r="D13" s="931">
        <v>187540</v>
      </c>
      <c r="F13" s="1478"/>
    </row>
    <row r="14" spans="1:6" s="1481" customFormat="1">
      <c r="A14" s="1464" t="s">
        <v>13</v>
      </c>
      <c r="B14" s="1487">
        <f t="shared" si="0"/>
        <v>1316120</v>
      </c>
      <c r="C14" s="931">
        <v>103599</v>
      </c>
      <c r="D14" s="931">
        <v>1212521</v>
      </c>
      <c r="F14" s="1478"/>
    </row>
    <row r="15" spans="1:6" s="1481" customFormat="1">
      <c r="A15" s="1464" t="s">
        <v>14</v>
      </c>
      <c r="B15" s="1487">
        <f t="shared" si="0"/>
        <v>45073</v>
      </c>
      <c r="C15" s="931">
        <v>8776</v>
      </c>
      <c r="D15" s="931">
        <v>36297</v>
      </c>
      <c r="F15" s="1478"/>
    </row>
    <row r="16" spans="1:6" s="1481" customFormat="1">
      <c r="A16" s="1464" t="s">
        <v>1284</v>
      </c>
      <c r="B16" s="1487">
        <f t="shared" si="0"/>
        <v>12666</v>
      </c>
      <c r="C16" s="931">
        <v>541</v>
      </c>
      <c r="D16" s="931">
        <v>12125</v>
      </c>
      <c r="F16" s="1478"/>
    </row>
    <row r="17" spans="1:6" s="1481" customFormat="1">
      <c r="A17" s="1464" t="s">
        <v>16</v>
      </c>
      <c r="B17" s="1487">
        <f t="shared" si="0"/>
        <v>51296</v>
      </c>
      <c r="C17" s="931">
        <v>22419</v>
      </c>
      <c r="D17" s="931">
        <v>28877</v>
      </c>
      <c r="F17" s="1478"/>
    </row>
    <row r="18" spans="1:6" s="1481" customFormat="1">
      <c r="A18" s="1464" t="s">
        <v>17</v>
      </c>
      <c r="B18" s="1487">
        <f t="shared" si="0"/>
        <v>19105</v>
      </c>
      <c r="C18" s="931">
        <v>6570</v>
      </c>
      <c r="D18" s="931">
        <v>12535</v>
      </c>
      <c r="F18" s="1478"/>
    </row>
    <row r="19" spans="1:6">
      <c r="A19" s="929" t="s">
        <v>18</v>
      </c>
      <c r="B19" s="928">
        <f t="shared" si="0"/>
        <v>16007</v>
      </c>
      <c r="C19" s="1488">
        <v>2123</v>
      </c>
      <c r="D19" s="1488">
        <v>13884</v>
      </c>
      <c r="F19" s="1478"/>
    </row>
    <row r="20" spans="1:6">
      <c r="A20" s="929" t="s">
        <v>19</v>
      </c>
      <c r="B20" s="928">
        <f t="shared" si="0"/>
        <v>43242</v>
      </c>
      <c r="C20" s="1488">
        <v>4342</v>
      </c>
      <c r="D20" s="1488">
        <v>38900</v>
      </c>
      <c r="F20" s="1478"/>
    </row>
    <row r="21" spans="1:6">
      <c r="A21" s="929" t="s">
        <v>20</v>
      </c>
      <c r="B21" s="928">
        <f t="shared" si="0"/>
        <v>3657</v>
      </c>
      <c r="C21" s="1488">
        <v>0</v>
      </c>
      <c r="D21" s="1488">
        <v>3657</v>
      </c>
      <c r="F21" s="1478"/>
    </row>
    <row r="22" spans="1:6">
      <c r="A22" s="929" t="s">
        <v>21</v>
      </c>
      <c r="B22" s="928">
        <f t="shared" si="0"/>
        <v>8950</v>
      </c>
      <c r="C22" s="1488">
        <v>350</v>
      </c>
      <c r="D22" s="1488">
        <v>8600</v>
      </c>
      <c r="F22" s="1478"/>
    </row>
    <row r="24" spans="1:6" s="96" customFormat="1" ht="33" customHeight="1">
      <c r="A24" s="2197" t="s">
        <v>3729</v>
      </c>
      <c r="B24" s="2197"/>
      <c r="C24" s="2197"/>
      <c r="D24" s="2197"/>
    </row>
    <row r="25" spans="1:6" s="96" customFormat="1">
      <c r="A25" s="1489" t="s">
        <v>161</v>
      </c>
      <c r="B25" s="934"/>
      <c r="C25" s="934"/>
      <c r="D25" s="934"/>
    </row>
    <row r="26" spans="1:6" s="96" customFormat="1">
      <c r="A26" s="245" t="s">
        <v>1122</v>
      </c>
      <c r="B26" s="177"/>
      <c r="C26" s="177"/>
      <c r="D26" s="177"/>
    </row>
  </sheetData>
  <mergeCells count="6">
    <mergeCell ref="A24:D24"/>
    <mergeCell ref="A2:D2"/>
    <mergeCell ref="A4:A6"/>
    <mergeCell ref="B4:D4"/>
    <mergeCell ref="B5:B6"/>
    <mergeCell ref="C5:D5"/>
  </mergeCells>
  <pageMargins left="0.70866141732283472" right="0.70866141732283472" top="0.74803149606299213" bottom="0.74803149606299213" header="0.31496062992125984" footer="0.31496062992125984"/>
  <pageSetup paperSize="14" scale="115" orientation="landscape" r:id="rId1"/>
</worksheet>
</file>

<file path=xl/worksheets/sheet126.xml><?xml version="1.0" encoding="utf-8"?>
<worksheet xmlns="http://schemas.openxmlformats.org/spreadsheetml/2006/main" xmlns:r="http://schemas.openxmlformats.org/officeDocument/2006/relationships">
  <dimension ref="A2:G25"/>
  <sheetViews>
    <sheetView zoomScaleNormal="100" workbookViewId="0">
      <selection activeCell="C36" sqref="C36"/>
    </sheetView>
  </sheetViews>
  <sheetFormatPr baseColWidth="10" defaultRowHeight="11.25"/>
  <cols>
    <col min="1" max="1" width="18.5703125" style="108" customWidth="1"/>
    <col min="2" max="2" width="17" style="108" customWidth="1"/>
    <col min="3" max="3" width="26" style="108" customWidth="1"/>
    <col min="4" max="4" width="26.5703125" style="108" customWidth="1"/>
    <col min="5" max="5" width="16.5703125" style="108" customWidth="1"/>
    <col min="6" max="7" width="19" style="108" customWidth="1"/>
    <col min="8" max="16384" width="11.42578125" style="108"/>
  </cols>
  <sheetData>
    <row r="2" spans="1:7" s="96" customFormat="1" ht="28.5" customHeight="1">
      <c r="A2" s="2204" t="s">
        <v>1292</v>
      </c>
      <c r="B2" s="2204"/>
      <c r="C2" s="2204"/>
      <c r="D2" s="2204"/>
    </row>
    <row r="3" spans="1:7" s="1479" customFormat="1"/>
    <row r="4" spans="1:7" ht="15.75" customHeight="1">
      <c r="A4" s="2202" t="s">
        <v>0</v>
      </c>
      <c r="B4" s="2202" t="s">
        <v>3730</v>
      </c>
      <c r="C4" s="2202"/>
      <c r="D4" s="2202"/>
      <c r="F4" s="96"/>
    </row>
    <row r="5" spans="1:7" ht="15.75" customHeight="1">
      <c r="A5" s="2202"/>
      <c r="B5" s="2202" t="s">
        <v>26</v>
      </c>
      <c r="C5" s="2202" t="s">
        <v>1113</v>
      </c>
      <c r="D5" s="2202"/>
      <c r="F5" s="96"/>
    </row>
    <row r="6" spans="1:7" s="1481" customFormat="1" ht="25.5" customHeight="1">
      <c r="A6" s="2202"/>
      <c r="B6" s="2202"/>
      <c r="C6" s="1480" t="s">
        <v>1281</v>
      </c>
      <c r="D6" s="1480" t="s">
        <v>1282</v>
      </c>
      <c r="F6" s="170"/>
    </row>
    <row r="7" spans="1:7">
      <c r="A7" s="926" t="s">
        <v>6</v>
      </c>
      <c r="B7" s="1482">
        <f>SUM(B8:B22)</f>
        <v>1522223</v>
      </c>
      <c r="C7" s="1483">
        <f>SUM(C8:C22)</f>
        <v>425746</v>
      </c>
      <c r="D7" s="1483">
        <f>SUM(D8:D22)</f>
        <v>1096477</v>
      </c>
      <c r="F7" s="170"/>
      <c r="G7" s="1484"/>
    </row>
    <row r="8" spans="1:7">
      <c r="A8" s="929" t="s">
        <v>7</v>
      </c>
      <c r="B8" s="1482">
        <f>SUM(C8:D8)</f>
        <v>9330</v>
      </c>
      <c r="C8" s="1485">
        <v>1280</v>
      </c>
      <c r="D8" s="1485">
        <v>8050</v>
      </c>
      <c r="F8" s="1478"/>
    </row>
    <row r="9" spans="1:7">
      <c r="A9" s="929" t="s">
        <v>8</v>
      </c>
      <c r="B9" s="1482">
        <f>SUM(C9:D9)</f>
        <v>9590</v>
      </c>
      <c r="C9" s="1485">
        <v>1440</v>
      </c>
      <c r="D9" s="1485">
        <v>8150</v>
      </c>
      <c r="F9" s="1478"/>
    </row>
    <row r="10" spans="1:7">
      <c r="A10" s="929" t="s">
        <v>9</v>
      </c>
      <c r="B10" s="1482">
        <f t="shared" ref="B10:B22" si="0">SUM(C10:D10)</f>
        <v>31204</v>
      </c>
      <c r="C10" s="1485">
        <v>16779</v>
      </c>
      <c r="D10" s="1485">
        <v>14425</v>
      </c>
      <c r="F10" s="1478"/>
    </row>
    <row r="11" spans="1:7">
      <c r="A11" s="929" t="s">
        <v>10</v>
      </c>
      <c r="B11" s="1482">
        <f t="shared" si="0"/>
        <v>82860</v>
      </c>
      <c r="C11" s="1485">
        <v>39230</v>
      </c>
      <c r="D11" s="1485">
        <v>43630</v>
      </c>
      <c r="F11" s="1478"/>
    </row>
    <row r="12" spans="1:7">
      <c r="A12" s="929" t="s">
        <v>11</v>
      </c>
      <c r="B12" s="1482">
        <f t="shared" si="0"/>
        <v>37332</v>
      </c>
      <c r="C12" s="1485">
        <v>12650</v>
      </c>
      <c r="D12" s="1485">
        <v>24682</v>
      </c>
      <c r="F12" s="1478"/>
    </row>
    <row r="13" spans="1:7">
      <c r="A13" s="929" t="s">
        <v>12</v>
      </c>
      <c r="B13" s="1482">
        <f t="shared" si="0"/>
        <v>159935</v>
      </c>
      <c r="C13" s="1485">
        <v>59748</v>
      </c>
      <c r="D13" s="1485">
        <v>100187</v>
      </c>
      <c r="F13" s="1478"/>
    </row>
    <row r="14" spans="1:7">
      <c r="A14" s="929" t="s">
        <v>13</v>
      </c>
      <c r="B14" s="1482">
        <f t="shared" si="0"/>
        <v>484570</v>
      </c>
      <c r="C14" s="1485">
        <v>122622</v>
      </c>
      <c r="D14" s="1485">
        <v>361948</v>
      </c>
      <c r="F14" s="1478"/>
    </row>
    <row r="15" spans="1:7">
      <c r="A15" s="929" t="s">
        <v>14</v>
      </c>
      <c r="B15" s="1482">
        <f t="shared" si="0"/>
        <v>124260</v>
      </c>
      <c r="C15" s="1485">
        <v>37407</v>
      </c>
      <c r="D15" s="1485">
        <v>86853</v>
      </c>
      <c r="F15" s="1478"/>
    </row>
    <row r="16" spans="1:7">
      <c r="A16" s="929" t="s">
        <v>15</v>
      </c>
      <c r="B16" s="1482">
        <f t="shared" si="0"/>
        <v>111035</v>
      </c>
      <c r="C16" s="1485">
        <v>28738</v>
      </c>
      <c r="D16" s="1485">
        <v>82297</v>
      </c>
      <c r="F16" s="1478"/>
    </row>
    <row r="17" spans="1:6">
      <c r="A17" s="929" t="s">
        <v>16</v>
      </c>
      <c r="B17" s="1482">
        <f t="shared" si="0"/>
        <v>191064</v>
      </c>
      <c r="C17" s="1485">
        <v>34699</v>
      </c>
      <c r="D17" s="1485">
        <v>156365</v>
      </c>
      <c r="F17" s="1478"/>
    </row>
    <row r="18" spans="1:6">
      <c r="A18" s="929" t="s">
        <v>17</v>
      </c>
      <c r="B18" s="1482">
        <f t="shared" si="0"/>
        <v>138794</v>
      </c>
      <c r="C18" s="1485">
        <v>20300</v>
      </c>
      <c r="D18" s="1485">
        <v>118494</v>
      </c>
      <c r="F18" s="1478"/>
    </row>
    <row r="19" spans="1:6">
      <c r="A19" s="929" t="s">
        <v>18</v>
      </c>
      <c r="B19" s="1482">
        <f t="shared" si="0"/>
        <v>65121</v>
      </c>
      <c r="C19" s="1485">
        <v>27533</v>
      </c>
      <c r="D19" s="1485">
        <v>37588</v>
      </c>
      <c r="F19" s="1478"/>
    </row>
    <row r="20" spans="1:6">
      <c r="A20" s="929" t="s">
        <v>19</v>
      </c>
      <c r="B20" s="1482">
        <f t="shared" si="0"/>
        <v>61070</v>
      </c>
      <c r="C20" s="1485">
        <v>16202</v>
      </c>
      <c r="D20" s="1485">
        <v>44868</v>
      </c>
      <c r="F20" s="1478"/>
    </row>
    <row r="21" spans="1:6">
      <c r="A21" s="929" t="s">
        <v>20</v>
      </c>
      <c r="B21" s="1482">
        <f t="shared" si="0"/>
        <v>2660</v>
      </c>
      <c r="C21" s="1485">
        <v>400</v>
      </c>
      <c r="D21" s="1485">
        <v>2260</v>
      </c>
      <c r="F21" s="1478"/>
    </row>
    <row r="22" spans="1:6">
      <c r="A22" s="929" t="s">
        <v>21</v>
      </c>
      <c r="B22" s="1482">
        <f t="shared" si="0"/>
        <v>13398</v>
      </c>
      <c r="C22" s="1485">
        <v>6718</v>
      </c>
      <c r="D22" s="1485">
        <v>6680</v>
      </c>
      <c r="F22" s="1478"/>
    </row>
    <row r="23" spans="1:6">
      <c r="F23" s="96"/>
    </row>
    <row r="24" spans="1:6" s="96" customFormat="1" ht="38.25" customHeight="1">
      <c r="A24" s="2197" t="s">
        <v>3729</v>
      </c>
      <c r="B24" s="2197"/>
      <c r="C24" s="2197"/>
      <c r="D24" s="2197"/>
    </row>
    <row r="25" spans="1:6" s="96" customFormat="1">
      <c r="A25" s="245" t="s">
        <v>1122</v>
      </c>
      <c r="B25" s="177"/>
      <c r="C25" s="177"/>
      <c r="D25" s="177"/>
    </row>
  </sheetData>
  <mergeCells count="6">
    <mergeCell ref="A24:D24"/>
    <mergeCell ref="A2:D2"/>
    <mergeCell ref="A4:A6"/>
    <mergeCell ref="B4:D4"/>
    <mergeCell ref="B5:B6"/>
    <mergeCell ref="C5:D5"/>
  </mergeCells>
  <pageMargins left="0.70866141732283472" right="0.70866141732283472" top="0.74803149606299213" bottom="0.74803149606299213" header="0.31496062992125984" footer="0.31496062992125984"/>
  <pageSetup paperSize="14" scale="120" orientation="landscape" r:id="rId1"/>
</worksheet>
</file>

<file path=xl/worksheets/sheet127.xml><?xml version="1.0" encoding="utf-8"?>
<worksheet xmlns="http://schemas.openxmlformats.org/spreadsheetml/2006/main" xmlns:r="http://schemas.openxmlformats.org/officeDocument/2006/relationships">
  <dimension ref="A2:H16"/>
  <sheetViews>
    <sheetView zoomScaleNormal="100" workbookViewId="0">
      <selection activeCell="B23" sqref="B23"/>
    </sheetView>
  </sheetViews>
  <sheetFormatPr baseColWidth="10" defaultRowHeight="12"/>
  <cols>
    <col min="1" max="1" width="16.7109375" style="107" customWidth="1"/>
    <col min="2" max="4" width="16.85546875" style="107" customWidth="1"/>
    <col min="5" max="5" width="12.85546875" style="107" bestFit="1" customWidth="1"/>
    <col min="6" max="16384" width="11.42578125" style="107"/>
  </cols>
  <sheetData>
    <row r="2" spans="1:8" ht="36.75" customHeight="1">
      <c r="A2" s="2269" t="s">
        <v>1293</v>
      </c>
      <c r="B2" s="2269"/>
      <c r="C2" s="2269"/>
      <c r="D2" s="2269"/>
    </row>
    <row r="3" spans="1:8" s="1474" customFormat="1">
      <c r="A3" s="934"/>
      <c r="B3" s="177"/>
      <c r="C3" s="1475"/>
      <c r="D3" s="1475"/>
    </row>
    <row r="4" spans="1:8" s="1474" customFormat="1" ht="12.75">
      <c r="A4" s="2257" t="s">
        <v>1092</v>
      </c>
      <c r="B4" s="2174" t="s">
        <v>3470</v>
      </c>
      <c r="C4" s="2174"/>
      <c r="D4" s="2174"/>
      <c r="F4" s="1476"/>
      <c r="G4" s="1476"/>
      <c r="H4" s="1476"/>
    </row>
    <row r="5" spans="1:8" s="1474" customFormat="1">
      <c r="A5" s="2258"/>
      <c r="B5" s="1477"/>
      <c r="C5" s="2174" t="s">
        <v>1113</v>
      </c>
      <c r="D5" s="2174"/>
      <c r="F5" s="1476"/>
      <c r="G5" s="1476"/>
      <c r="H5" s="1476"/>
    </row>
    <row r="6" spans="1:8" s="1474" customFormat="1" ht="22.5">
      <c r="A6" s="2259"/>
      <c r="B6" s="1461" t="s">
        <v>6</v>
      </c>
      <c r="C6" s="1461" t="s">
        <v>1281</v>
      </c>
      <c r="D6" s="1461" t="s">
        <v>1282</v>
      </c>
      <c r="E6" s="1476"/>
    </row>
    <row r="7" spans="1:8" s="1474" customFormat="1">
      <c r="A7" s="1470" t="s">
        <v>1121</v>
      </c>
      <c r="B7" s="186">
        <f t="shared" ref="B7:B12" si="0">SUM(C7:D7)</f>
        <v>1434005</v>
      </c>
      <c r="C7" s="179">
        <v>134112</v>
      </c>
      <c r="D7" s="179">
        <v>1299893</v>
      </c>
      <c r="E7" s="1476"/>
    </row>
    <row r="8" spans="1:8" s="1474" customFormat="1">
      <c r="A8" s="1470" t="s">
        <v>1131</v>
      </c>
      <c r="B8" s="186">
        <f t="shared" si="0"/>
        <v>1522660</v>
      </c>
      <c r="C8" s="179">
        <v>104051</v>
      </c>
      <c r="D8" s="179">
        <v>1418609</v>
      </c>
      <c r="E8" s="1476"/>
    </row>
    <row r="9" spans="1:8" s="1474" customFormat="1">
      <c r="A9" s="1470" t="s">
        <v>801</v>
      </c>
      <c r="B9" s="186">
        <f t="shared" si="0"/>
        <v>1864446</v>
      </c>
      <c r="C9" s="179">
        <v>139555</v>
      </c>
      <c r="D9" s="179">
        <v>1724891</v>
      </c>
      <c r="E9" s="1476"/>
    </row>
    <row r="10" spans="1:8" s="1474" customFormat="1">
      <c r="A10" s="1470" t="s">
        <v>802</v>
      </c>
      <c r="B10" s="186">
        <f t="shared" si="0"/>
        <v>2044451</v>
      </c>
      <c r="C10" s="179">
        <v>149065</v>
      </c>
      <c r="D10" s="179">
        <v>1895386</v>
      </c>
      <c r="E10" s="1476"/>
    </row>
    <row r="11" spans="1:8" s="1474" customFormat="1">
      <c r="A11" s="1470" t="s">
        <v>803</v>
      </c>
      <c r="B11" s="186">
        <f t="shared" si="0"/>
        <v>1755001</v>
      </c>
      <c r="C11" s="179">
        <v>256898</v>
      </c>
      <c r="D11" s="179">
        <v>1498103</v>
      </c>
      <c r="E11" s="1476"/>
    </row>
    <row r="12" spans="1:8" s="1474" customFormat="1">
      <c r="A12" s="1470" t="s">
        <v>804</v>
      </c>
      <c r="B12" s="186">
        <f t="shared" si="0"/>
        <v>1809448</v>
      </c>
      <c r="C12" s="179">
        <v>193914</v>
      </c>
      <c r="D12" s="179">
        <v>1615534</v>
      </c>
      <c r="E12" s="1476"/>
    </row>
    <row r="13" spans="1:8" s="1474" customFormat="1">
      <c r="A13" s="1470"/>
      <c r="B13" s="186"/>
      <c r="C13" s="508">
        <f>C12/$B$12</f>
        <v>0.10716748975378126</v>
      </c>
      <c r="D13" s="508">
        <f>D12/$B$12</f>
        <v>0.89283251024621879</v>
      </c>
      <c r="E13" s="1476"/>
    </row>
    <row r="14" spans="1:8" s="1474" customFormat="1" ht="33.75" customHeight="1">
      <c r="A14" s="2197" t="s">
        <v>3729</v>
      </c>
      <c r="B14" s="2197"/>
      <c r="C14" s="2197"/>
      <c r="D14" s="2197"/>
      <c r="E14" s="1476"/>
    </row>
    <row r="15" spans="1:8" s="1474" customFormat="1">
      <c r="A15" s="245" t="s">
        <v>1122</v>
      </c>
      <c r="B15" s="177"/>
      <c r="C15" s="1475"/>
      <c r="D15" s="1475"/>
      <c r="E15" s="1476"/>
    </row>
    <row r="16" spans="1:8" s="1474" customFormat="1">
      <c r="A16" s="107"/>
      <c r="B16" s="107"/>
      <c r="C16" s="107"/>
      <c r="D16" s="107"/>
      <c r="F16" s="1478"/>
      <c r="G16" s="1478"/>
      <c r="H16" s="1476"/>
    </row>
  </sheetData>
  <mergeCells count="5">
    <mergeCell ref="A14:D14"/>
    <mergeCell ref="A2:D2"/>
    <mergeCell ref="A4:A6"/>
    <mergeCell ref="B4:D4"/>
    <mergeCell ref="C5:D5"/>
  </mergeCells>
  <pageMargins left="0.70866141732283472" right="0.70866141732283472" top="0.74803149606299213" bottom="0.74803149606299213" header="0.31496062992125984" footer="0.31496062992125984"/>
  <pageSetup paperSize="14" scale="125" orientation="landscape" r:id="rId1"/>
</worksheet>
</file>

<file path=xl/worksheets/sheet128.xml><?xml version="1.0" encoding="utf-8"?>
<worksheet xmlns="http://schemas.openxmlformats.org/spreadsheetml/2006/main" xmlns:r="http://schemas.openxmlformats.org/officeDocument/2006/relationships">
  <dimension ref="A2:K17"/>
  <sheetViews>
    <sheetView zoomScaleNormal="100" workbookViewId="0">
      <selection activeCell="A4" sqref="A4:A6"/>
    </sheetView>
  </sheetViews>
  <sheetFormatPr baseColWidth="10" defaultRowHeight="12"/>
  <cols>
    <col min="1" max="1" width="23" style="107" customWidth="1"/>
    <col min="2" max="2" width="16.140625" style="107" customWidth="1"/>
    <col min="3" max="4" width="21.5703125" style="107" customWidth="1"/>
    <col min="5" max="16384" width="11.42578125" style="107"/>
  </cols>
  <sheetData>
    <row r="2" spans="1:11" ht="26.25" customHeight="1">
      <c r="A2" s="2269" t="s">
        <v>1294</v>
      </c>
      <c r="B2" s="2269"/>
      <c r="C2" s="2269"/>
      <c r="D2" s="2269"/>
    </row>
    <row r="4" spans="1:11" ht="13.5">
      <c r="A4" s="2270" t="s">
        <v>1092</v>
      </c>
      <c r="B4" s="2273" t="s">
        <v>3468</v>
      </c>
      <c r="C4" s="2274"/>
      <c r="D4" s="2275"/>
    </row>
    <row r="5" spans="1:11">
      <c r="A5" s="2271"/>
      <c r="B5" s="2270" t="s">
        <v>26</v>
      </c>
      <c r="C5" s="2273" t="s">
        <v>1113</v>
      </c>
      <c r="D5" s="2275"/>
      <c r="F5" s="48"/>
      <c r="G5" s="48"/>
      <c r="H5" s="48"/>
      <c r="I5" s="48"/>
      <c r="J5" s="48"/>
      <c r="K5" s="48"/>
    </row>
    <row r="6" spans="1:11" ht="22.5">
      <c r="A6" s="2272"/>
      <c r="B6" s="2272"/>
      <c r="C6" s="1469" t="s">
        <v>1281</v>
      </c>
      <c r="D6" s="1469" t="s">
        <v>1282</v>
      </c>
      <c r="E6" s="48"/>
    </row>
    <row r="7" spans="1:11">
      <c r="A7" s="1470" t="s">
        <v>1121</v>
      </c>
      <c r="B7" s="186">
        <f t="shared" ref="B7:B12" si="0">SUM(C7:D7)</f>
        <v>1105416</v>
      </c>
      <c r="C7" s="179">
        <v>252993</v>
      </c>
      <c r="D7" s="179">
        <v>852423</v>
      </c>
      <c r="E7" s="1471"/>
      <c r="F7" s="1471"/>
      <c r="G7" s="48"/>
    </row>
    <row r="8" spans="1:11">
      <c r="A8" s="1470">
        <v>2010</v>
      </c>
      <c r="B8" s="186">
        <f t="shared" si="0"/>
        <v>1248158</v>
      </c>
      <c r="C8" s="179">
        <v>267442</v>
      </c>
      <c r="D8" s="179">
        <v>980716</v>
      </c>
      <c r="E8" s="1472"/>
      <c r="F8" s="1472"/>
      <c r="G8" s="48"/>
    </row>
    <row r="9" spans="1:11">
      <c r="A9" s="1470" t="s">
        <v>801</v>
      </c>
      <c r="B9" s="186">
        <f t="shared" si="0"/>
        <v>1144744</v>
      </c>
      <c r="C9" s="179">
        <v>324026</v>
      </c>
      <c r="D9" s="179">
        <v>820718</v>
      </c>
      <c r="E9" s="48"/>
      <c r="F9" s="48"/>
      <c r="G9" s="48"/>
    </row>
    <row r="10" spans="1:11">
      <c r="A10" s="1470" t="s">
        <v>802</v>
      </c>
      <c r="B10" s="186">
        <f t="shared" si="0"/>
        <v>1353780</v>
      </c>
      <c r="C10" s="179">
        <v>345747</v>
      </c>
      <c r="D10" s="179">
        <v>1008033</v>
      </c>
      <c r="E10" s="48"/>
      <c r="F10" s="48"/>
      <c r="G10" s="48"/>
    </row>
    <row r="11" spans="1:11">
      <c r="A11" s="1470" t="s">
        <v>803</v>
      </c>
      <c r="B11" s="186">
        <f t="shared" si="0"/>
        <v>1258398</v>
      </c>
      <c r="C11" s="179">
        <v>368567</v>
      </c>
      <c r="D11" s="179">
        <v>889831</v>
      </c>
      <c r="E11" s="48"/>
      <c r="F11" s="48"/>
      <c r="G11" s="48"/>
    </row>
    <row r="12" spans="1:11" ht="11.25" customHeight="1">
      <c r="A12" s="1470" t="s">
        <v>804</v>
      </c>
      <c r="B12" s="186">
        <f t="shared" si="0"/>
        <v>1522223</v>
      </c>
      <c r="C12" s="179">
        <v>425746</v>
      </c>
      <c r="D12" s="179">
        <v>1096477</v>
      </c>
      <c r="E12" s="48"/>
      <c r="F12" s="48"/>
      <c r="G12" s="48"/>
    </row>
    <row r="13" spans="1:11">
      <c r="A13" s="1470"/>
      <c r="B13" s="186"/>
      <c r="C13" s="508"/>
      <c r="D13" s="508"/>
      <c r="E13" s="48"/>
      <c r="F13" s="48"/>
      <c r="G13" s="48"/>
    </row>
    <row r="14" spans="1:11" ht="36" customHeight="1">
      <c r="A14" s="2197" t="s">
        <v>3729</v>
      </c>
      <c r="B14" s="2197"/>
      <c r="C14" s="2197"/>
      <c r="D14" s="2197"/>
      <c r="E14" s="48"/>
      <c r="F14" s="48"/>
      <c r="G14" s="48"/>
    </row>
    <row r="15" spans="1:11">
      <c r="A15" s="245" t="s">
        <v>1122</v>
      </c>
      <c r="B15" s="177"/>
      <c r="C15" s="177"/>
      <c r="D15" s="177"/>
    </row>
    <row r="16" spans="1:11">
      <c r="A16" s="48"/>
      <c r="B16" s="48"/>
    </row>
    <row r="17" spans="2:7">
      <c r="B17" s="1473"/>
      <c r="F17" s="1474"/>
      <c r="G17" s="1474"/>
    </row>
  </sheetData>
  <mergeCells count="6">
    <mergeCell ref="A14:D14"/>
    <mergeCell ref="A2:D2"/>
    <mergeCell ref="A4:A6"/>
    <mergeCell ref="B4:D4"/>
    <mergeCell ref="B5:B6"/>
    <mergeCell ref="C5:D5"/>
  </mergeCells>
  <pageMargins left="0.70866141732283472" right="0.70866141732283472" top="0.74803149606299213" bottom="0.74803149606299213" header="0.31496062992125984" footer="0.31496062992125984"/>
  <pageSetup paperSize="14" scale="120" orientation="landscape" r:id="rId1"/>
</worksheet>
</file>

<file path=xl/worksheets/sheet129.xml><?xml version="1.0" encoding="utf-8"?>
<worksheet xmlns="http://schemas.openxmlformats.org/spreadsheetml/2006/main" xmlns:r="http://schemas.openxmlformats.org/officeDocument/2006/relationships">
  <dimension ref="A2:N28"/>
  <sheetViews>
    <sheetView zoomScaleNormal="100" workbookViewId="0"/>
  </sheetViews>
  <sheetFormatPr baseColWidth="10" defaultRowHeight="11.25"/>
  <cols>
    <col min="1" max="1" width="29" style="108" customWidth="1"/>
    <col min="2" max="2" width="16.5703125" style="108" bestFit="1" customWidth="1"/>
    <col min="3" max="14" width="14.7109375" style="108" bestFit="1" customWidth="1"/>
    <col min="15" max="16384" width="11.42578125" style="108"/>
  </cols>
  <sheetData>
    <row r="2" spans="1:14" ht="17.25" customHeight="1">
      <c r="A2" s="125" t="s">
        <v>1295</v>
      </c>
    </row>
    <row r="4" spans="1:14" s="96" customFormat="1" ht="12.75">
      <c r="A4" s="2200" t="s">
        <v>0</v>
      </c>
      <c r="B4" s="2203" t="s">
        <v>3466</v>
      </c>
      <c r="C4" s="2203"/>
      <c r="D4" s="2203"/>
      <c r="E4" s="2203"/>
      <c r="F4" s="2203"/>
      <c r="G4" s="2203"/>
      <c r="H4" s="2203"/>
      <c r="I4" s="2203"/>
      <c r="J4" s="2203"/>
      <c r="K4" s="2203"/>
      <c r="L4" s="2203"/>
      <c r="M4" s="2203"/>
      <c r="N4" s="2203"/>
    </row>
    <row r="5" spans="1:14" s="96" customFormat="1">
      <c r="A5" s="2200"/>
      <c r="B5" s="1461" t="s">
        <v>6</v>
      </c>
      <c r="C5" s="1461" t="s">
        <v>1135</v>
      </c>
      <c r="D5" s="1461" t="s">
        <v>1136</v>
      </c>
      <c r="E5" s="1461" t="s">
        <v>1137</v>
      </c>
      <c r="F5" s="1461" t="s">
        <v>1138</v>
      </c>
      <c r="G5" s="1461" t="s">
        <v>1139</v>
      </c>
      <c r="H5" s="1461" t="s">
        <v>1140</v>
      </c>
      <c r="I5" s="1461" t="s">
        <v>1141</v>
      </c>
      <c r="J5" s="1461" t="s">
        <v>1142</v>
      </c>
      <c r="K5" s="1461" t="s">
        <v>1143</v>
      </c>
      <c r="L5" s="1461" t="s">
        <v>1144</v>
      </c>
      <c r="M5" s="1461" t="s">
        <v>1145</v>
      </c>
      <c r="N5" s="1461" t="s">
        <v>1146</v>
      </c>
    </row>
    <row r="6" spans="1:14" s="96" customFormat="1">
      <c r="A6" s="1462" t="s">
        <v>6</v>
      </c>
      <c r="B6" s="1463">
        <f>SUM(B7:B21)</f>
        <v>3331671</v>
      </c>
      <c r="C6" s="1463">
        <f>SUM(C7:C21)</f>
        <v>315921</v>
      </c>
      <c r="D6" s="1463">
        <f t="shared" ref="D6:N6" si="0">SUM(D7:D21)</f>
        <v>364142</v>
      </c>
      <c r="E6" s="1463">
        <f t="shared" si="0"/>
        <v>283705</v>
      </c>
      <c r="F6" s="1463">
        <f t="shared" si="0"/>
        <v>283431</v>
      </c>
      <c r="G6" s="1463">
        <f t="shared" si="0"/>
        <v>295615</v>
      </c>
      <c r="H6" s="1463">
        <f t="shared" si="0"/>
        <v>136435</v>
      </c>
      <c r="I6" s="1463">
        <f t="shared" si="0"/>
        <v>165233</v>
      </c>
      <c r="J6" s="1463">
        <f t="shared" si="0"/>
        <v>275792</v>
      </c>
      <c r="K6" s="1463">
        <f t="shared" si="0"/>
        <v>265505</v>
      </c>
      <c r="L6" s="1463">
        <f t="shared" si="0"/>
        <v>416192</v>
      </c>
      <c r="M6" s="1463">
        <f t="shared" si="0"/>
        <v>273379</v>
      </c>
      <c r="N6" s="1463">
        <f t="shared" si="0"/>
        <v>256321</v>
      </c>
    </row>
    <row r="7" spans="1:14" s="1466" customFormat="1">
      <c r="A7" s="1464" t="s">
        <v>7</v>
      </c>
      <c r="B7" s="202">
        <f>SUM(C7:N7)</f>
        <v>10800</v>
      </c>
      <c r="C7" s="1465">
        <v>0</v>
      </c>
      <c r="D7" s="1465">
        <v>0</v>
      </c>
      <c r="E7" s="1465">
        <v>1950</v>
      </c>
      <c r="F7" s="1465">
        <v>630</v>
      </c>
      <c r="G7" s="1465">
        <v>1860</v>
      </c>
      <c r="H7" s="1465">
        <v>500</v>
      </c>
      <c r="I7" s="1465">
        <v>2000</v>
      </c>
      <c r="J7" s="1465">
        <v>1200</v>
      </c>
      <c r="K7" s="1465">
        <v>0</v>
      </c>
      <c r="L7" s="1465">
        <v>1630</v>
      </c>
      <c r="M7" s="1465">
        <v>900</v>
      </c>
      <c r="N7" s="1465">
        <v>130</v>
      </c>
    </row>
    <row r="8" spans="1:14">
      <c r="A8" s="108" t="s">
        <v>8</v>
      </c>
      <c r="B8" s="202">
        <f t="shared" ref="B8:B21" si="1">SUM(C8:N8)</f>
        <v>19390</v>
      </c>
      <c r="C8" s="1467">
        <v>3150</v>
      </c>
      <c r="D8" s="1467">
        <v>2730</v>
      </c>
      <c r="E8" s="1467">
        <v>6260</v>
      </c>
      <c r="F8" s="1467">
        <v>0</v>
      </c>
      <c r="G8" s="1467">
        <v>470</v>
      </c>
      <c r="H8" s="1467">
        <v>150</v>
      </c>
      <c r="I8" s="1467">
        <v>0</v>
      </c>
      <c r="J8" s="1467">
        <v>2560</v>
      </c>
      <c r="K8" s="1467">
        <v>0</v>
      </c>
      <c r="L8" s="1467">
        <v>2300</v>
      </c>
      <c r="M8" s="1467">
        <v>1370</v>
      </c>
      <c r="N8" s="1467">
        <v>400</v>
      </c>
    </row>
    <row r="9" spans="1:14">
      <c r="A9" s="108" t="s">
        <v>9</v>
      </c>
      <c r="B9" s="202">
        <f t="shared" si="1"/>
        <v>60445</v>
      </c>
      <c r="C9" s="1467">
        <v>30</v>
      </c>
      <c r="D9" s="1467">
        <v>350</v>
      </c>
      <c r="E9" s="1467">
        <v>2051</v>
      </c>
      <c r="F9" s="1467">
        <v>2570</v>
      </c>
      <c r="G9" s="1467">
        <v>3415</v>
      </c>
      <c r="H9" s="1467">
        <v>3977</v>
      </c>
      <c r="I9" s="1467">
        <v>6127</v>
      </c>
      <c r="J9" s="1467">
        <v>17444</v>
      </c>
      <c r="K9" s="1467">
        <v>9294</v>
      </c>
      <c r="L9" s="1467">
        <v>7843</v>
      </c>
      <c r="M9" s="1467">
        <v>3431</v>
      </c>
      <c r="N9" s="1467">
        <v>3913</v>
      </c>
    </row>
    <row r="10" spans="1:14">
      <c r="A10" s="108" t="s">
        <v>10</v>
      </c>
      <c r="B10" s="202">
        <f t="shared" si="1"/>
        <v>92600</v>
      </c>
      <c r="C10" s="1467">
        <v>36700</v>
      </c>
      <c r="D10" s="1467">
        <v>7910</v>
      </c>
      <c r="E10" s="1467">
        <v>2800</v>
      </c>
      <c r="F10" s="1467">
        <v>6480</v>
      </c>
      <c r="G10" s="1467">
        <v>2200</v>
      </c>
      <c r="H10" s="1467">
        <v>1860</v>
      </c>
      <c r="I10" s="1467">
        <v>4980</v>
      </c>
      <c r="J10" s="1467">
        <v>6050</v>
      </c>
      <c r="K10" s="1467">
        <v>4510</v>
      </c>
      <c r="L10" s="1467">
        <v>3260</v>
      </c>
      <c r="M10" s="1467">
        <v>7900</v>
      </c>
      <c r="N10" s="1467">
        <v>7950</v>
      </c>
    </row>
    <row r="11" spans="1:14">
      <c r="A11" s="108" t="s">
        <v>11</v>
      </c>
      <c r="B11" s="202">
        <f t="shared" si="1"/>
        <v>59832</v>
      </c>
      <c r="C11" s="1467">
        <v>5830</v>
      </c>
      <c r="D11" s="1467">
        <v>2160</v>
      </c>
      <c r="E11" s="1467">
        <v>2470</v>
      </c>
      <c r="F11" s="1467">
        <v>1377</v>
      </c>
      <c r="G11" s="1467">
        <v>1198</v>
      </c>
      <c r="H11" s="1467">
        <v>475</v>
      </c>
      <c r="I11" s="1467">
        <v>2535</v>
      </c>
      <c r="J11" s="1467">
        <v>7230</v>
      </c>
      <c r="K11" s="1467">
        <v>1610</v>
      </c>
      <c r="L11" s="1467">
        <v>13025</v>
      </c>
      <c r="M11" s="1467">
        <v>7272</v>
      </c>
      <c r="N11" s="1467">
        <v>14650</v>
      </c>
    </row>
    <row r="12" spans="1:14">
      <c r="A12" s="108" t="s">
        <v>12</v>
      </c>
      <c r="B12" s="202">
        <f>SUM(C12:N12)</f>
        <v>380516</v>
      </c>
      <c r="C12" s="1467">
        <v>47376</v>
      </c>
      <c r="D12" s="1467">
        <v>109496</v>
      </c>
      <c r="E12" s="1467">
        <v>28751</v>
      </c>
      <c r="F12" s="1467">
        <v>9055</v>
      </c>
      <c r="G12" s="1467">
        <v>27424</v>
      </c>
      <c r="H12" s="1467">
        <v>5260</v>
      </c>
      <c r="I12" s="1467">
        <v>17817</v>
      </c>
      <c r="J12" s="1467">
        <v>32735</v>
      </c>
      <c r="K12" s="1467">
        <v>17360</v>
      </c>
      <c r="L12" s="1467">
        <v>36172</v>
      </c>
      <c r="M12" s="1467">
        <v>35466</v>
      </c>
      <c r="N12" s="1467">
        <v>13604</v>
      </c>
    </row>
    <row r="13" spans="1:14">
      <c r="A13" s="108" t="s">
        <v>13</v>
      </c>
      <c r="B13" s="202">
        <f t="shared" si="1"/>
        <v>1800690</v>
      </c>
      <c r="C13" s="1467">
        <v>75368</v>
      </c>
      <c r="D13" s="1467">
        <v>36635</v>
      </c>
      <c r="E13" s="1467">
        <v>208253</v>
      </c>
      <c r="F13" s="1467">
        <v>212904</v>
      </c>
      <c r="G13" s="1467">
        <v>199928</v>
      </c>
      <c r="H13" s="1467">
        <v>70774</v>
      </c>
      <c r="I13" s="1467">
        <v>98141</v>
      </c>
      <c r="J13" s="1467">
        <v>137474</v>
      </c>
      <c r="K13" s="1467">
        <v>175995</v>
      </c>
      <c r="L13" s="1467">
        <v>288100</v>
      </c>
      <c r="M13" s="1467">
        <v>148877</v>
      </c>
      <c r="N13" s="1467">
        <v>148241</v>
      </c>
    </row>
    <row r="14" spans="1:14">
      <c r="A14" s="108" t="s">
        <v>14</v>
      </c>
      <c r="B14" s="202">
        <f t="shared" si="1"/>
        <v>169333</v>
      </c>
      <c r="C14" s="1467">
        <v>28955</v>
      </c>
      <c r="D14" s="1467">
        <v>31429</v>
      </c>
      <c r="E14" s="1467">
        <v>8551</v>
      </c>
      <c r="F14" s="1467">
        <v>12124</v>
      </c>
      <c r="G14" s="1467">
        <v>9598</v>
      </c>
      <c r="H14" s="1467">
        <v>6219</v>
      </c>
      <c r="I14" s="1467">
        <v>7392</v>
      </c>
      <c r="J14" s="1467">
        <v>13677</v>
      </c>
      <c r="K14" s="1467">
        <v>11494</v>
      </c>
      <c r="L14" s="1467">
        <v>11296</v>
      </c>
      <c r="M14" s="1467">
        <v>18374</v>
      </c>
      <c r="N14" s="1467">
        <v>10224</v>
      </c>
    </row>
    <row r="15" spans="1:14">
      <c r="A15" s="108" t="s">
        <v>15</v>
      </c>
      <c r="B15" s="202">
        <f t="shared" si="1"/>
        <v>123701</v>
      </c>
      <c r="C15" s="1467">
        <v>5465</v>
      </c>
      <c r="D15" s="1467">
        <v>37956</v>
      </c>
      <c r="E15" s="1467">
        <v>8366</v>
      </c>
      <c r="F15" s="1467">
        <v>7259</v>
      </c>
      <c r="G15" s="1467">
        <v>9659</v>
      </c>
      <c r="H15" s="1467">
        <v>6290</v>
      </c>
      <c r="I15" s="1467">
        <v>6775</v>
      </c>
      <c r="J15" s="1467">
        <v>5424</v>
      </c>
      <c r="K15" s="1467">
        <v>12965</v>
      </c>
      <c r="L15" s="1467">
        <v>8317</v>
      </c>
      <c r="M15" s="1467">
        <v>7928</v>
      </c>
      <c r="N15" s="1467">
        <v>7297</v>
      </c>
    </row>
    <row r="16" spans="1:14">
      <c r="A16" s="108" t="s">
        <v>16</v>
      </c>
      <c r="B16" s="202">
        <f t="shared" si="1"/>
        <v>242360</v>
      </c>
      <c r="C16" s="1467">
        <v>43523</v>
      </c>
      <c r="D16" s="1467">
        <v>62754</v>
      </c>
      <c r="E16" s="1467">
        <v>4993</v>
      </c>
      <c r="F16" s="1467">
        <v>15123</v>
      </c>
      <c r="G16" s="1467">
        <v>21097</v>
      </c>
      <c r="H16" s="1467">
        <v>11981</v>
      </c>
      <c r="I16" s="1467">
        <v>6821</v>
      </c>
      <c r="J16" s="1467">
        <v>28293</v>
      </c>
      <c r="K16" s="1467">
        <v>10653</v>
      </c>
      <c r="L16" s="1467">
        <v>14022</v>
      </c>
      <c r="M16" s="1467">
        <v>10169</v>
      </c>
      <c r="N16" s="1467">
        <v>12931</v>
      </c>
    </row>
    <row r="17" spans="1:14">
      <c r="A17" s="108" t="s">
        <v>17</v>
      </c>
      <c r="B17" s="202">
        <f t="shared" si="1"/>
        <v>157899</v>
      </c>
      <c r="C17" s="1467">
        <v>34530</v>
      </c>
      <c r="D17" s="1467">
        <v>38015</v>
      </c>
      <c r="E17" s="1467">
        <v>7031</v>
      </c>
      <c r="F17" s="1467">
        <v>7601</v>
      </c>
      <c r="G17" s="1467">
        <v>7830</v>
      </c>
      <c r="H17" s="1467">
        <v>7228</v>
      </c>
      <c r="I17" s="1467">
        <v>5426</v>
      </c>
      <c r="J17" s="1467">
        <v>5595</v>
      </c>
      <c r="K17" s="1467">
        <v>6660</v>
      </c>
      <c r="L17" s="1467">
        <v>8295</v>
      </c>
      <c r="M17" s="1467">
        <v>7463</v>
      </c>
      <c r="N17" s="1467">
        <v>22225</v>
      </c>
    </row>
    <row r="18" spans="1:14">
      <c r="A18" s="108" t="s">
        <v>18</v>
      </c>
      <c r="B18" s="202">
        <f t="shared" si="1"/>
        <v>81128</v>
      </c>
      <c r="C18" s="1467">
        <v>20053</v>
      </c>
      <c r="D18" s="1467">
        <v>7913</v>
      </c>
      <c r="E18" s="1467">
        <v>660</v>
      </c>
      <c r="F18" s="1467">
        <v>4070</v>
      </c>
      <c r="G18" s="1467">
        <v>6666</v>
      </c>
      <c r="H18" s="1467">
        <v>5557</v>
      </c>
      <c r="I18" s="1467">
        <v>2319</v>
      </c>
      <c r="J18" s="1467">
        <v>6953</v>
      </c>
      <c r="K18" s="1467">
        <v>5814</v>
      </c>
      <c r="L18" s="1467">
        <v>6392</v>
      </c>
      <c r="M18" s="1467">
        <v>10047</v>
      </c>
      <c r="N18" s="1467">
        <v>4684</v>
      </c>
    </row>
    <row r="19" spans="1:14">
      <c r="A19" s="108" t="s">
        <v>19</v>
      </c>
      <c r="B19" s="202">
        <f t="shared" si="1"/>
        <v>104312</v>
      </c>
      <c r="C19" s="1467">
        <v>9711</v>
      </c>
      <c r="D19" s="1467">
        <v>25994</v>
      </c>
      <c r="E19" s="1467">
        <v>1209</v>
      </c>
      <c r="F19" s="1467">
        <v>3398</v>
      </c>
      <c r="G19" s="1467">
        <v>4270</v>
      </c>
      <c r="H19" s="1467">
        <v>15824</v>
      </c>
      <c r="I19" s="1467">
        <v>4900</v>
      </c>
      <c r="J19" s="1467">
        <v>5250</v>
      </c>
      <c r="K19" s="1467">
        <v>6862</v>
      </c>
      <c r="L19" s="1467">
        <v>8110</v>
      </c>
      <c r="M19" s="1467">
        <v>12492</v>
      </c>
      <c r="N19" s="1467">
        <v>6292</v>
      </c>
    </row>
    <row r="20" spans="1:14">
      <c r="A20" s="108" t="s">
        <v>20</v>
      </c>
      <c r="B20" s="202">
        <f t="shared" si="1"/>
        <v>6317</v>
      </c>
      <c r="C20" s="1467">
        <v>5230</v>
      </c>
      <c r="D20" s="1467">
        <v>0</v>
      </c>
      <c r="E20" s="1467">
        <v>0</v>
      </c>
      <c r="F20" s="1467">
        <v>0</v>
      </c>
      <c r="G20" s="1467">
        <v>0</v>
      </c>
      <c r="H20" s="1467">
        <v>0</v>
      </c>
      <c r="I20" s="1467">
        <v>0</v>
      </c>
      <c r="J20" s="1467">
        <v>857</v>
      </c>
      <c r="K20" s="1467">
        <v>0</v>
      </c>
      <c r="L20" s="1467">
        <v>230</v>
      </c>
      <c r="M20" s="1467">
        <v>0</v>
      </c>
      <c r="N20" s="1467">
        <v>0</v>
      </c>
    </row>
    <row r="21" spans="1:14">
      <c r="A21" s="108" t="s">
        <v>21</v>
      </c>
      <c r="B21" s="202">
        <f t="shared" si="1"/>
        <v>22348</v>
      </c>
      <c r="C21" s="1467">
        <v>0</v>
      </c>
      <c r="D21" s="1467">
        <v>800</v>
      </c>
      <c r="E21" s="1467">
        <v>360</v>
      </c>
      <c r="F21" s="1467">
        <v>840</v>
      </c>
      <c r="G21" s="1467">
        <v>0</v>
      </c>
      <c r="H21" s="1467">
        <v>340</v>
      </c>
      <c r="I21" s="1467">
        <v>0</v>
      </c>
      <c r="J21" s="1467">
        <v>5050</v>
      </c>
      <c r="K21" s="1467">
        <v>2288</v>
      </c>
      <c r="L21" s="1467">
        <v>7200</v>
      </c>
      <c r="M21" s="1467">
        <v>1690</v>
      </c>
      <c r="N21" s="1467">
        <v>3780</v>
      </c>
    </row>
    <row r="23" spans="1:14" s="96" customFormat="1" ht="15" customHeight="1">
      <c r="A23" s="2276" t="s">
        <v>3729</v>
      </c>
      <c r="B23" s="2276"/>
      <c r="C23" s="2276"/>
      <c r="D23" s="2276"/>
      <c r="E23" s="2276"/>
      <c r="F23" s="2276"/>
      <c r="G23" s="2276"/>
      <c r="H23" s="2276"/>
      <c r="I23" s="2255"/>
      <c r="J23" s="2255"/>
      <c r="K23" s="2255"/>
      <c r="L23" s="2255"/>
      <c r="M23" s="2255"/>
      <c r="N23" s="2255"/>
    </row>
    <row r="24" spans="1:14" s="96" customFormat="1">
      <c r="A24" s="933" t="s">
        <v>161</v>
      </c>
      <c r="B24" s="1468"/>
      <c r="C24" s="1468"/>
      <c r="D24" s="1468"/>
      <c r="E24" s="1468"/>
      <c r="F24" s="1468"/>
      <c r="G24" s="1468"/>
      <c r="H24" s="1468"/>
      <c r="I24" s="170"/>
      <c r="J24" s="170"/>
      <c r="K24" s="170"/>
      <c r="L24" s="170"/>
      <c r="M24" s="170"/>
      <c r="N24" s="170"/>
    </row>
    <row r="25" spans="1:14" s="96" customFormat="1">
      <c r="A25" s="245" t="s">
        <v>1122</v>
      </c>
      <c r="B25" s="168"/>
      <c r="C25" s="168"/>
      <c r="D25" s="168"/>
      <c r="E25" s="168"/>
      <c r="F25" s="168"/>
      <c r="G25" s="168"/>
      <c r="H25" s="168"/>
      <c r="I25" s="168"/>
      <c r="J25" s="168"/>
      <c r="K25" s="168"/>
      <c r="L25" s="168"/>
      <c r="M25" s="168"/>
      <c r="N25" s="168"/>
    </row>
    <row r="26" spans="1:14" s="96" customFormat="1">
      <c r="A26" s="245"/>
      <c r="B26" s="168"/>
      <c r="C26" s="168"/>
      <c r="D26" s="168"/>
      <c r="E26" s="168"/>
      <c r="F26" s="168"/>
      <c r="G26" s="168"/>
      <c r="H26" s="168"/>
      <c r="I26" s="168"/>
      <c r="J26" s="168"/>
      <c r="K26" s="168"/>
      <c r="L26" s="168"/>
      <c r="M26" s="168"/>
      <c r="N26" s="168"/>
    </row>
    <row r="28" spans="1:14">
      <c r="I28" s="96"/>
      <c r="J28" s="96"/>
      <c r="K28" s="96"/>
    </row>
  </sheetData>
  <mergeCells count="3">
    <mergeCell ref="A4:A5"/>
    <mergeCell ref="B4:N4"/>
    <mergeCell ref="A23:N23"/>
  </mergeCells>
  <pageMargins left="0.7" right="0.7" top="0.75" bottom="0.75" header="0.3" footer="0.3"/>
  <pageSetup paperSize="14" scale="85" orientation="landscape" r:id="rId1"/>
</worksheet>
</file>

<file path=xl/worksheets/sheet13.xml><?xml version="1.0" encoding="utf-8"?>
<worksheet xmlns="http://schemas.openxmlformats.org/spreadsheetml/2006/main" xmlns:r="http://schemas.openxmlformats.org/officeDocument/2006/relationships">
  <dimension ref="A2:B14"/>
  <sheetViews>
    <sheetView zoomScaleNormal="100" workbookViewId="0"/>
  </sheetViews>
  <sheetFormatPr baseColWidth="10" defaultColWidth="11.42578125" defaultRowHeight="11.25"/>
  <cols>
    <col min="1" max="1" width="28.140625" style="117" customWidth="1"/>
    <col min="2" max="2" width="43.28515625" style="117" customWidth="1"/>
    <col min="3" max="16384" width="11.42578125" style="117"/>
  </cols>
  <sheetData>
    <row r="2" spans="1:2" s="152" customFormat="1" ht="48" customHeight="1">
      <c r="A2" s="2033" t="s">
        <v>942</v>
      </c>
      <c r="B2" s="2033"/>
    </row>
    <row r="4" spans="1:2" ht="12.75">
      <c r="A4" s="1806" t="s">
        <v>746</v>
      </c>
      <c r="B4" s="1806" t="s">
        <v>3928</v>
      </c>
    </row>
    <row r="5" spans="1:2">
      <c r="A5" s="115" t="s">
        <v>679</v>
      </c>
      <c r="B5" s="1920">
        <f>SUM(B6:B10)</f>
        <v>6339</v>
      </c>
    </row>
    <row r="6" spans="1:2">
      <c r="A6" s="117" t="s">
        <v>157</v>
      </c>
      <c r="B6" s="1277">
        <v>636</v>
      </c>
    </row>
    <row r="7" spans="1:2">
      <c r="A7" s="117" t="s">
        <v>158</v>
      </c>
      <c r="B7" s="1277">
        <v>2115</v>
      </c>
    </row>
    <row r="8" spans="1:2">
      <c r="A8" s="117" t="s">
        <v>154</v>
      </c>
      <c r="B8" s="1277">
        <v>18</v>
      </c>
    </row>
    <row r="9" spans="1:2">
      <c r="A9" s="117" t="s">
        <v>159</v>
      </c>
      <c r="B9" s="1277">
        <v>137</v>
      </c>
    </row>
    <row r="10" spans="1:2">
      <c r="A10" s="117" t="s">
        <v>156</v>
      </c>
      <c r="B10" s="1277">
        <v>3433</v>
      </c>
    </row>
    <row r="12" spans="1:2" ht="33" customHeight="1">
      <c r="A12" s="2042" t="s">
        <v>3929</v>
      </c>
      <c r="B12" s="2042"/>
    </row>
    <row r="13" spans="1:2">
      <c r="A13" s="2045"/>
      <c r="B13" s="2045"/>
    </row>
    <row r="14" spans="1:2" ht="17.25" customHeight="1">
      <c r="A14" s="2042" t="s">
        <v>680</v>
      </c>
      <c r="B14" s="2042"/>
    </row>
  </sheetData>
  <mergeCells count="4">
    <mergeCell ref="A2:B2"/>
    <mergeCell ref="A12:B12"/>
    <mergeCell ref="A13:B13"/>
    <mergeCell ref="A14:B14"/>
  </mergeCells>
  <pageMargins left="0.7" right="0.7" top="0.75" bottom="0.75" header="0.3" footer="0.3"/>
</worksheet>
</file>

<file path=xl/worksheets/sheet130.xml><?xml version="1.0" encoding="utf-8"?>
<worksheet xmlns="http://schemas.openxmlformats.org/spreadsheetml/2006/main" xmlns:r="http://schemas.openxmlformats.org/officeDocument/2006/relationships">
  <dimension ref="A1:V36"/>
  <sheetViews>
    <sheetView zoomScaleNormal="100" workbookViewId="0"/>
  </sheetViews>
  <sheetFormatPr baseColWidth="10" defaultRowHeight="12"/>
  <cols>
    <col min="1" max="1" width="3.28515625" style="127" bestFit="1" customWidth="1"/>
    <col min="2" max="2" width="11.42578125" style="127"/>
    <col min="3" max="3" width="24.85546875" style="127" customWidth="1"/>
    <col min="4" max="4" width="13.140625" style="127" customWidth="1"/>
    <col min="5" max="5" width="11.140625" style="127" bestFit="1" customWidth="1"/>
    <col min="6" max="6" width="3.28515625" style="127" bestFit="1" customWidth="1"/>
    <col min="7" max="7" width="17.7109375" style="127" customWidth="1"/>
    <col min="8" max="8" width="22.140625" style="127" customWidth="1"/>
    <col min="9" max="9" width="12.85546875" style="127" customWidth="1"/>
    <col min="10" max="10" width="12.5703125" style="127" customWidth="1"/>
    <col min="11" max="16384" width="11.42578125" style="127"/>
  </cols>
  <sheetData>
    <row r="1" spans="1:22">
      <c r="A1" s="1453"/>
    </row>
    <row r="2" spans="1:22" ht="30" customHeight="1">
      <c r="A2" s="2028" t="s">
        <v>1296</v>
      </c>
      <c r="B2" s="2028"/>
      <c r="C2" s="2028"/>
      <c r="D2" s="2028"/>
      <c r="E2" s="2028"/>
      <c r="F2" s="2028"/>
      <c r="G2" s="2028"/>
      <c r="H2" s="2028"/>
      <c r="I2" s="2028"/>
      <c r="J2" s="2028"/>
    </row>
    <row r="3" spans="1:22" s="117" customFormat="1" ht="11.25"/>
    <row r="4" spans="1:22" s="117" customFormat="1" ht="12.75" customHeight="1">
      <c r="A4" s="2277" t="s">
        <v>1297</v>
      </c>
      <c r="B4" s="2277"/>
      <c r="C4" s="2277"/>
      <c r="D4" s="2277"/>
      <c r="E4" s="2277"/>
      <c r="F4" s="2277" t="s">
        <v>1298</v>
      </c>
      <c r="G4" s="2277"/>
      <c r="H4" s="2277"/>
      <c r="I4" s="2277"/>
      <c r="J4" s="2277"/>
      <c r="L4" s="1300"/>
      <c r="M4" s="1300"/>
      <c r="N4" s="1300"/>
      <c r="O4" s="1300"/>
      <c r="P4" s="1300"/>
      <c r="Q4" s="1292"/>
      <c r="R4" s="1292"/>
      <c r="S4" s="1292"/>
      <c r="T4" s="1292"/>
      <c r="U4" s="1292"/>
      <c r="V4" s="157"/>
    </row>
    <row r="5" spans="1:22" s="117" customFormat="1" ht="22.5">
      <c r="A5" s="1454" t="s">
        <v>1299</v>
      </c>
      <c r="B5" s="1454" t="s">
        <v>1300</v>
      </c>
      <c r="C5" s="1454" t="s">
        <v>1301</v>
      </c>
      <c r="D5" s="1454" t="s">
        <v>1302</v>
      </c>
      <c r="E5" s="1454" t="s">
        <v>1303</v>
      </c>
      <c r="F5" s="1454" t="s">
        <v>1299</v>
      </c>
      <c r="G5" s="1454" t="s">
        <v>1300</v>
      </c>
      <c r="H5" s="1454" t="s">
        <v>1301</v>
      </c>
      <c r="I5" s="1454" t="s">
        <v>1302</v>
      </c>
      <c r="J5" s="1454" t="s">
        <v>1303</v>
      </c>
      <c r="L5" s="1455"/>
      <c r="M5" s="1455"/>
      <c r="N5" s="1455"/>
      <c r="O5" s="1455"/>
      <c r="P5" s="1455"/>
      <c r="Q5" s="1455"/>
      <c r="R5" s="1455"/>
      <c r="S5" s="1455"/>
      <c r="T5" s="1455"/>
      <c r="U5" s="1455"/>
      <c r="V5" s="157"/>
    </row>
    <row r="6" spans="1:22" s="1459" customFormat="1" ht="36">
      <c r="A6" s="1456" t="s">
        <v>1304</v>
      </c>
      <c r="B6" s="1457" t="s">
        <v>1305</v>
      </c>
      <c r="C6" s="1457" t="s">
        <v>1306</v>
      </c>
      <c r="D6" s="1457" t="s">
        <v>1307</v>
      </c>
      <c r="E6" s="1457" t="s">
        <v>1308</v>
      </c>
      <c r="F6" s="1458" t="s">
        <v>1304</v>
      </c>
      <c r="G6" s="1457" t="s">
        <v>1309</v>
      </c>
      <c r="H6" s="1457" t="s">
        <v>1310</v>
      </c>
      <c r="I6" s="1457" t="s">
        <v>1311</v>
      </c>
      <c r="J6" s="1457" t="s">
        <v>1312</v>
      </c>
      <c r="L6" s="157"/>
      <c r="M6" s="1292"/>
      <c r="N6" s="1292"/>
      <c r="O6" s="1292"/>
      <c r="P6" s="1292"/>
      <c r="Q6" s="157"/>
      <c r="R6" s="1292"/>
      <c r="S6" s="1292"/>
      <c r="T6" s="1292"/>
      <c r="U6" s="157"/>
      <c r="V6" s="1460"/>
    </row>
    <row r="7" spans="1:22" s="1459" customFormat="1" ht="60">
      <c r="A7" s="1456" t="s">
        <v>1313</v>
      </c>
      <c r="B7" s="1457" t="s">
        <v>1314</v>
      </c>
      <c r="C7" s="1457" t="s">
        <v>1315</v>
      </c>
      <c r="D7" s="1457" t="s">
        <v>1311</v>
      </c>
      <c r="E7" s="1457" t="s">
        <v>1316</v>
      </c>
      <c r="F7" s="1458" t="s">
        <v>1313</v>
      </c>
      <c r="G7" s="1457" t="s">
        <v>1305</v>
      </c>
      <c r="H7" s="1457" t="s">
        <v>1306</v>
      </c>
      <c r="I7" s="1457" t="s">
        <v>1307</v>
      </c>
      <c r="J7" s="1457" t="s">
        <v>1308</v>
      </c>
      <c r="L7" s="157"/>
      <c r="M7" s="1292"/>
      <c r="N7" s="1292"/>
      <c r="O7" s="1292"/>
      <c r="P7" s="1292"/>
      <c r="Q7" s="157"/>
      <c r="R7" s="1292"/>
      <c r="S7" s="1292"/>
      <c r="T7" s="1292"/>
      <c r="U7" s="157"/>
      <c r="V7" s="1460"/>
    </row>
    <row r="8" spans="1:22" s="1459" customFormat="1" ht="36">
      <c r="A8" s="1456" t="s">
        <v>1317</v>
      </c>
      <c r="B8" s="1457" t="s">
        <v>1318</v>
      </c>
      <c r="C8" s="1457" t="s">
        <v>1306</v>
      </c>
      <c r="D8" s="1457" t="s">
        <v>1307</v>
      </c>
      <c r="E8" s="1457" t="s">
        <v>1308</v>
      </c>
      <c r="F8" s="1458" t="s">
        <v>1317</v>
      </c>
      <c r="G8" s="1457" t="s">
        <v>1319</v>
      </c>
      <c r="H8" s="1457" t="s">
        <v>1310</v>
      </c>
      <c r="I8" s="1457" t="s">
        <v>1320</v>
      </c>
      <c r="J8" s="1457" t="s">
        <v>1312</v>
      </c>
      <c r="L8" s="157"/>
      <c r="M8" s="1292"/>
      <c r="N8" s="1292"/>
      <c r="O8" s="1292"/>
      <c r="P8" s="1292"/>
      <c r="Q8" s="157"/>
      <c r="R8" s="1292"/>
      <c r="S8" s="1292"/>
      <c r="T8" s="1292"/>
      <c r="U8" s="157"/>
      <c r="V8" s="1460"/>
    </row>
    <row r="9" spans="1:22" s="1459" customFormat="1" ht="24">
      <c r="A9" s="1456" t="s">
        <v>1321</v>
      </c>
      <c r="B9" s="1457" t="s">
        <v>1322</v>
      </c>
      <c r="C9" s="1457" t="s">
        <v>1323</v>
      </c>
      <c r="D9" s="1457" t="s">
        <v>1324</v>
      </c>
      <c r="E9" s="1457" t="s">
        <v>1325</v>
      </c>
      <c r="F9" s="1458" t="s">
        <v>1321</v>
      </c>
      <c r="G9" s="1457" t="s">
        <v>1326</v>
      </c>
      <c r="H9" s="1457" t="s">
        <v>1327</v>
      </c>
      <c r="I9" s="1457" t="s">
        <v>1328</v>
      </c>
      <c r="J9" s="1457" t="s">
        <v>1329</v>
      </c>
      <c r="L9" s="157"/>
      <c r="M9" s="1292"/>
      <c r="N9" s="1292"/>
      <c r="O9" s="1292"/>
      <c r="P9" s="1292"/>
      <c r="Q9" s="157"/>
      <c r="R9" s="1292"/>
      <c r="S9" s="1292"/>
      <c r="T9" s="1292"/>
      <c r="U9" s="157"/>
      <c r="V9" s="1460"/>
    </row>
    <row r="10" spans="1:22" s="1459" customFormat="1" ht="36">
      <c r="A10" s="1456" t="s">
        <v>1330</v>
      </c>
      <c r="B10" s="1457" t="s">
        <v>1326</v>
      </c>
      <c r="C10" s="1457" t="s">
        <v>1327</v>
      </c>
      <c r="D10" s="1457" t="s">
        <v>1328</v>
      </c>
      <c r="E10" s="1457" t="s">
        <v>1329</v>
      </c>
      <c r="F10" s="1458" t="s">
        <v>1330</v>
      </c>
      <c r="G10" s="1457" t="s">
        <v>1331</v>
      </c>
      <c r="H10" s="1457" t="s">
        <v>1332</v>
      </c>
      <c r="I10" s="1457" t="s">
        <v>1311</v>
      </c>
      <c r="J10" s="1457" t="s">
        <v>1333</v>
      </c>
      <c r="L10" s="157"/>
      <c r="M10" s="1292"/>
      <c r="N10" s="1292"/>
      <c r="O10" s="1292"/>
      <c r="P10" s="1292"/>
      <c r="Q10" s="157"/>
      <c r="R10" s="1292"/>
      <c r="S10" s="1292"/>
      <c r="T10" s="1292"/>
      <c r="U10" s="157"/>
      <c r="V10" s="1460"/>
    </row>
    <row r="11" spans="1:22" s="1459" customFormat="1" ht="36">
      <c r="A11" s="1456" t="s">
        <v>1334</v>
      </c>
      <c r="B11" s="1457" t="s">
        <v>1335</v>
      </c>
      <c r="C11" s="1457" t="s">
        <v>1306</v>
      </c>
      <c r="D11" s="1457" t="s">
        <v>1307</v>
      </c>
      <c r="E11" s="1457" t="s">
        <v>1308</v>
      </c>
      <c r="F11" s="1458" t="s">
        <v>1334</v>
      </c>
      <c r="G11" s="1457" t="s">
        <v>1314</v>
      </c>
      <c r="H11" s="1457" t="s">
        <v>1315</v>
      </c>
      <c r="I11" s="1457" t="s">
        <v>1311</v>
      </c>
      <c r="J11" s="1457" t="s">
        <v>1316</v>
      </c>
      <c r="L11" s="157"/>
      <c r="M11" s="1292"/>
      <c r="N11" s="1292"/>
      <c r="O11" s="1292"/>
      <c r="P11" s="1292"/>
      <c r="Q11" s="157"/>
      <c r="R11" s="1292"/>
      <c r="S11" s="1292"/>
      <c r="T11" s="1292"/>
      <c r="U11" s="157"/>
      <c r="V11" s="1460"/>
    </row>
    <row r="12" spans="1:22" s="1459" customFormat="1" ht="36">
      <c r="A12" s="1456" t="s">
        <v>1336</v>
      </c>
      <c r="B12" s="1457" t="s">
        <v>1337</v>
      </c>
      <c r="C12" s="1457" t="s">
        <v>1310</v>
      </c>
      <c r="D12" s="1457" t="s">
        <v>1338</v>
      </c>
      <c r="E12" s="1457" t="s">
        <v>1312</v>
      </c>
      <c r="F12" s="1458" t="s">
        <v>1336</v>
      </c>
      <c r="G12" s="1457" t="s">
        <v>1339</v>
      </c>
      <c r="H12" s="1457" t="s">
        <v>1340</v>
      </c>
      <c r="I12" s="1457" t="s">
        <v>1307</v>
      </c>
      <c r="J12" s="1457" t="s">
        <v>1341</v>
      </c>
      <c r="L12" s="157"/>
      <c r="M12" s="1292"/>
      <c r="N12" s="1292"/>
      <c r="O12" s="1292"/>
      <c r="P12" s="1292"/>
      <c r="Q12" s="157"/>
      <c r="R12" s="1292"/>
      <c r="S12" s="1292"/>
      <c r="T12" s="1292"/>
      <c r="U12" s="157"/>
      <c r="V12" s="1460"/>
    </row>
    <row r="13" spans="1:22" s="1459" customFormat="1" ht="36">
      <c r="A13" s="1456" t="s">
        <v>1342</v>
      </c>
      <c r="B13" s="1457" t="s">
        <v>1331</v>
      </c>
      <c r="C13" s="1457" t="s">
        <v>1332</v>
      </c>
      <c r="D13" s="1457" t="s">
        <v>1311</v>
      </c>
      <c r="E13" s="1457" t="s">
        <v>1333</v>
      </c>
      <c r="F13" s="1458" t="s">
        <v>1342</v>
      </c>
      <c r="G13" s="1457" t="s">
        <v>1343</v>
      </c>
      <c r="H13" s="1457" t="s">
        <v>1344</v>
      </c>
      <c r="I13" s="1457" t="s">
        <v>1338</v>
      </c>
      <c r="J13" s="1457" t="s">
        <v>1345</v>
      </c>
      <c r="L13" s="157"/>
      <c r="M13" s="1292"/>
      <c r="N13" s="1292"/>
      <c r="O13" s="1292"/>
      <c r="P13" s="1292"/>
      <c r="Q13" s="157"/>
      <c r="R13" s="1292"/>
      <c r="S13" s="1292"/>
      <c r="T13" s="1292"/>
      <c r="U13" s="157"/>
      <c r="V13" s="1460"/>
    </row>
    <row r="14" spans="1:22" s="1459" customFormat="1" ht="36">
      <c r="A14" s="1456" t="s">
        <v>1346</v>
      </c>
      <c r="B14" s="1457" t="s">
        <v>1347</v>
      </c>
      <c r="C14" s="1457" t="s">
        <v>1348</v>
      </c>
      <c r="D14" s="1457" t="s">
        <v>1311</v>
      </c>
      <c r="E14" s="1457" t="s">
        <v>1349</v>
      </c>
      <c r="F14" s="1458" t="s">
        <v>1346</v>
      </c>
      <c r="G14" s="1457" t="s">
        <v>1350</v>
      </c>
      <c r="H14" s="1457" t="s">
        <v>1310</v>
      </c>
      <c r="I14" s="1457" t="s">
        <v>1351</v>
      </c>
      <c r="J14" s="1457" t="s">
        <v>1312</v>
      </c>
      <c r="L14" s="157"/>
      <c r="M14" s="1292"/>
      <c r="N14" s="1292"/>
      <c r="O14" s="1292"/>
      <c r="P14" s="1292"/>
      <c r="Q14" s="157"/>
      <c r="R14" s="1292"/>
      <c r="S14" s="1292"/>
      <c r="T14" s="1292"/>
      <c r="U14" s="157"/>
      <c r="V14" s="1460"/>
    </row>
    <row r="15" spans="1:22" s="1459" customFormat="1" ht="36">
      <c r="A15" s="1456" t="s">
        <v>1352</v>
      </c>
      <c r="B15" s="1457" t="s">
        <v>1353</v>
      </c>
      <c r="C15" s="1457" t="s">
        <v>1354</v>
      </c>
      <c r="D15" s="1457" t="s">
        <v>1320</v>
      </c>
      <c r="E15" s="1457" t="s">
        <v>1355</v>
      </c>
      <c r="F15" s="1458" t="s">
        <v>1352</v>
      </c>
      <c r="G15" s="1457" t="s">
        <v>1356</v>
      </c>
      <c r="H15" s="1457" t="s">
        <v>1332</v>
      </c>
      <c r="I15" s="1457" t="s">
        <v>1311</v>
      </c>
      <c r="J15" s="1457" t="s">
        <v>1333</v>
      </c>
      <c r="L15" s="157"/>
      <c r="M15" s="1292"/>
      <c r="N15" s="1292"/>
      <c r="O15" s="1292"/>
      <c r="P15" s="1292"/>
      <c r="Q15" s="157"/>
      <c r="R15" s="1292"/>
      <c r="S15" s="1292"/>
      <c r="T15" s="1292"/>
      <c r="U15" s="157"/>
      <c r="V15" s="1460"/>
    </row>
    <row r="16" spans="1:22" s="1459" customFormat="1" ht="36">
      <c r="A16" s="1456" t="s">
        <v>1357</v>
      </c>
      <c r="B16" s="1457" t="s">
        <v>1339</v>
      </c>
      <c r="C16" s="1457" t="s">
        <v>1340</v>
      </c>
      <c r="D16" s="1457" t="s">
        <v>1307</v>
      </c>
      <c r="E16" s="1457" t="s">
        <v>1341</v>
      </c>
      <c r="F16" s="1458" t="s">
        <v>1357</v>
      </c>
      <c r="G16" s="1457" t="s">
        <v>1358</v>
      </c>
      <c r="H16" s="1457" t="s">
        <v>1310</v>
      </c>
      <c r="I16" s="1457" t="s">
        <v>1311</v>
      </c>
      <c r="J16" s="1457" t="s">
        <v>1312</v>
      </c>
      <c r="L16" s="157"/>
      <c r="M16" s="1292"/>
      <c r="N16" s="1292"/>
      <c r="O16" s="1292"/>
      <c r="P16" s="1292"/>
      <c r="Q16" s="157"/>
      <c r="R16" s="1292"/>
      <c r="S16" s="1292"/>
      <c r="T16" s="1292"/>
      <c r="U16" s="157"/>
      <c r="V16" s="1460"/>
    </row>
    <row r="17" spans="1:22" s="1459" customFormat="1" ht="36">
      <c r="A17" s="1456" t="s">
        <v>1359</v>
      </c>
      <c r="B17" s="1457" t="s">
        <v>1360</v>
      </c>
      <c r="C17" s="1457" t="s">
        <v>1361</v>
      </c>
      <c r="D17" s="1457" t="s">
        <v>1307</v>
      </c>
      <c r="E17" s="1457" t="s">
        <v>1362</v>
      </c>
      <c r="F17" s="1458" t="s">
        <v>1359</v>
      </c>
      <c r="G17" s="1457" t="s">
        <v>1363</v>
      </c>
      <c r="H17" s="1457" t="s">
        <v>1364</v>
      </c>
      <c r="I17" s="1457" t="s">
        <v>1320</v>
      </c>
      <c r="J17" s="1457" t="s">
        <v>1365</v>
      </c>
      <c r="L17" s="157"/>
      <c r="M17" s="1292"/>
      <c r="N17" s="1292"/>
      <c r="O17" s="1292"/>
      <c r="P17" s="1292"/>
      <c r="Q17" s="157"/>
      <c r="R17" s="1292"/>
      <c r="S17" s="1292"/>
      <c r="T17" s="1292"/>
      <c r="U17" s="157"/>
      <c r="V17" s="1460"/>
    </row>
    <row r="18" spans="1:22" s="1459" customFormat="1" ht="36">
      <c r="A18" s="1456" t="s">
        <v>1366</v>
      </c>
      <c r="B18" s="1457" t="s">
        <v>1367</v>
      </c>
      <c r="C18" s="1457" t="s">
        <v>1368</v>
      </c>
      <c r="D18" s="1457" t="s">
        <v>1338</v>
      </c>
      <c r="E18" s="1457" t="s">
        <v>1345</v>
      </c>
      <c r="F18" s="1458" t="s">
        <v>1366</v>
      </c>
      <c r="G18" s="1457" t="s">
        <v>1337</v>
      </c>
      <c r="H18" s="1457" t="s">
        <v>1310</v>
      </c>
      <c r="I18" s="1457" t="s">
        <v>1338</v>
      </c>
      <c r="J18" s="1457" t="s">
        <v>1312</v>
      </c>
      <c r="L18" s="157"/>
      <c r="M18" s="1292"/>
      <c r="N18" s="1292"/>
      <c r="O18" s="1292"/>
      <c r="P18" s="1292"/>
      <c r="Q18" s="157"/>
      <c r="R18" s="1292"/>
      <c r="S18" s="1292"/>
      <c r="T18" s="1292"/>
      <c r="U18" s="157"/>
      <c r="V18" s="1460"/>
    </row>
    <row r="19" spans="1:22" s="1459" customFormat="1" ht="36">
      <c r="A19" s="1456" t="s">
        <v>1369</v>
      </c>
      <c r="B19" s="1457" t="s">
        <v>1309</v>
      </c>
      <c r="C19" s="1457" t="s">
        <v>1310</v>
      </c>
      <c r="D19" s="1457" t="s">
        <v>1311</v>
      </c>
      <c r="E19" s="1457" t="s">
        <v>1312</v>
      </c>
      <c r="F19" s="1458" t="s">
        <v>1369</v>
      </c>
      <c r="G19" s="1457" t="s">
        <v>1370</v>
      </c>
      <c r="H19" s="1457" t="s">
        <v>1371</v>
      </c>
      <c r="I19" s="1457" t="s">
        <v>1307</v>
      </c>
      <c r="J19" s="1457" t="s">
        <v>1372</v>
      </c>
      <c r="L19" s="157"/>
      <c r="M19" s="1292"/>
      <c r="N19" s="1292"/>
      <c r="O19" s="1292"/>
      <c r="P19" s="1292"/>
      <c r="Q19" s="157"/>
      <c r="R19" s="1292"/>
      <c r="S19" s="1292"/>
      <c r="T19" s="1292"/>
      <c r="U19" s="157"/>
      <c r="V19" s="1460"/>
    </row>
    <row r="20" spans="1:22" s="1459" customFormat="1" ht="24">
      <c r="A20" s="1456" t="s">
        <v>1373</v>
      </c>
      <c r="B20" s="1457" t="s">
        <v>1374</v>
      </c>
      <c r="C20" s="1457" t="s">
        <v>1361</v>
      </c>
      <c r="D20" s="1457" t="s">
        <v>1307</v>
      </c>
      <c r="E20" s="1457" t="s">
        <v>1362</v>
      </c>
      <c r="F20" s="1458" t="s">
        <v>1373</v>
      </c>
      <c r="G20" s="1457" t="s">
        <v>1353</v>
      </c>
      <c r="H20" s="1457" t="s">
        <v>1375</v>
      </c>
      <c r="I20" s="1457" t="s">
        <v>1320</v>
      </c>
      <c r="J20" s="1457" t="s">
        <v>1355</v>
      </c>
      <c r="L20" s="157"/>
      <c r="M20" s="1292"/>
      <c r="N20" s="1292"/>
      <c r="O20" s="1292"/>
      <c r="P20" s="1292"/>
      <c r="Q20" s="157"/>
      <c r="R20" s="1292"/>
      <c r="S20" s="1292"/>
      <c r="T20" s="1292"/>
      <c r="U20" s="157"/>
      <c r="V20" s="1460"/>
    </row>
    <row r="21" spans="1:22" s="1459" customFormat="1" ht="36">
      <c r="A21" s="1456" t="s">
        <v>1376</v>
      </c>
      <c r="B21" s="1457" t="s">
        <v>1377</v>
      </c>
      <c r="C21" s="1457" t="s">
        <v>1310</v>
      </c>
      <c r="D21" s="1457" t="s">
        <v>1320</v>
      </c>
      <c r="E21" s="1457" t="s">
        <v>1312</v>
      </c>
      <c r="F21" s="1458" t="s">
        <v>1376</v>
      </c>
      <c r="G21" s="1457" t="s">
        <v>1378</v>
      </c>
      <c r="H21" s="1457" t="s">
        <v>1379</v>
      </c>
      <c r="I21" s="1457" t="s">
        <v>1320</v>
      </c>
      <c r="J21" s="1457" t="s">
        <v>1380</v>
      </c>
      <c r="L21" s="157"/>
      <c r="M21" s="1292"/>
      <c r="N21" s="1292"/>
      <c r="O21" s="1292"/>
      <c r="P21" s="1292"/>
      <c r="Q21" s="157"/>
      <c r="R21" s="1292"/>
      <c r="S21" s="1292"/>
      <c r="T21" s="1292"/>
      <c r="U21" s="157"/>
      <c r="V21" s="1460"/>
    </row>
    <row r="22" spans="1:22" s="1459" customFormat="1" ht="96">
      <c r="A22" s="1456" t="s">
        <v>1381</v>
      </c>
      <c r="B22" s="1457" t="s">
        <v>1378</v>
      </c>
      <c r="C22" s="1457" t="s">
        <v>1379</v>
      </c>
      <c r="D22" s="1457" t="s">
        <v>1320</v>
      </c>
      <c r="E22" s="1457" t="s">
        <v>1380</v>
      </c>
      <c r="F22" s="1458" t="s">
        <v>1381</v>
      </c>
      <c r="G22" s="1457" t="s">
        <v>1382</v>
      </c>
      <c r="H22" s="1457" t="s">
        <v>1383</v>
      </c>
      <c r="I22" s="1457" t="s">
        <v>1338</v>
      </c>
      <c r="J22" s="1457" t="s">
        <v>1384</v>
      </c>
      <c r="L22" s="157"/>
      <c r="M22" s="1292"/>
      <c r="N22" s="1292"/>
      <c r="O22" s="1292"/>
      <c r="P22" s="1292"/>
      <c r="Q22" s="157"/>
      <c r="R22" s="1292"/>
      <c r="S22" s="1292"/>
      <c r="T22" s="1292"/>
      <c r="U22" s="157"/>
      <c r="V22" s="1460"/>
    </row>
    <row r="23" spans="1:22" s="1459" customFormat="1" ht="48">
      <c r="A23" s="1456" t="s">
        <v>1385</v>
      </c>
      <c r="B23" s="1457" t="s">
        <v>1350</v>
      </c>
      <c r="C23" s="1457" t="s">
        <v>1310</v>
      </c>
      <c r="D23" s="1457" t="s">
        <v>1324</v>
      </c>
      <c r="E23" s="1457" t="s">
        <v>1312</v>
      </c>
      <c r="F23" s="1458" t="s">
        <v>1385</v>
      </c>
      <c r="G23" s="1457" t="s">
        <v>1367</v>
      </c>
      <c r="H23" s="1457" t="s">
        <v>1386</v>
      </c>
      <c r="I23" s="1457" t="s">
        <v>1338</v>
      </c>
      <c r="J23" s="1457" t="s">
        <v>1345</v>
      </c>
      <c r="L23" s="157"/>
      <c r="M23" s="1292"/>
      <c r="N23" s="1292"/>
      <c r="O23" s="1292"/>
      <c r="P23" s="1292"/>
      <c r="Q23" s="157"/>
      <c r="R23" s="1292"/>
      <c r="S23" s="1292"/>
      <c r="T23" s="1292"/>
      <c r="U23" s="157"/>
      <c r="V23" s="1460"/>
    </row>
    <row r="24" spans="1:22" s="1459" customFormat="1" ht="36">
      <c r="A24" s="1456" t="s">
        <v>1387</v>
      </c>
      <c r="B24" s="1457" t="s">
        <v>1388</v>
      </c>
      <c r="C24" s="1457" t="s">
        <v>1389</v>
      </c>
      <c r="D24" s="1457" t="s">
        <v>1311</v>
      </c>
      <c r="E24" s="1457" t="s">
        <v>1390</v>
      </c>
      <c r="F24" s="1458" t="s">
        <v>1387</v>
      </c>
      <c r="G24" s="1457" t="s">
        <v>1391</v>
      </c>
      <c r="H24" s="1457" t="s">
        <v>1323</v>
      </c>
      <c r="I24" s="1457" t="s">
        <v>1324</v>
      </c>
      <c r="J24" s="1457" t="s">
        <v>1325</v>
      </c>
      <c r="L24" s="157"/>
      <c r="M24" s="1292"/>
      <c r="N24" s="1292"/>
      <c r="O24" s="1292"/>
      <c r="P24" s="1292"/>
      <c r="Q24" s="157"/>
      <c r="R24" s="1292"/>
      <c r="S24" s="1292"/>
      <c r="T24" s="1292"/>
      <c r="U24" s="157"/>
      <c r="V24" s="1460"/>
    </row>
    <row r="25" spans="1:22" s="1459" customFormat="1" ht="36">
      <c r="A25" s="1456" t="s">
        <v>1392</v>
      </c>
      <c r="B25" s="1457" t="s">
        <v>1393</v>
      </c>
      <c r="C25" s="1457" t="s">
        <v>1394</v>
      </c>
      <c r="D25" s="1457" t="s">
        <v>1395</v>
      </c>
      <c r="E25" s="1457" t="s">
        <v>1396</v>
      </c>
      <c r="F25" s="1458" t="s">
        <v>1392</v>
      </c>
      <c r="G25" s="1457" t="s">
        <v>1397</v>
      </c>
      <c r="H25" s="1457" t="s">
        <v>1398</v>
      </c>
      <c r="I25" s="1457" t="s">
        <v>1320</v>
      </c>
      <c r="J25" s="1457" t="s">
        <v>1312</v>
      </c>
      <c r="L25" s="157"/>
      <c r="M25" s="1292"/>
      <c r="N25" s="1292"/>
      <c r="O25" s="1292"/>
      <c r="P25" s="1292"/>
      <c r="Q25" s="157"/>
      <c r="R25" s="1292"/>
      <c r="S25" s="1292"/>
      <c r="T25" s="1292"/>
      <c r="U25" s="157"/>
      <c r="V25" s="1460"/>
    </row>
    <row r="26" spans="1:22" s="1459" customFormat="1" ht="36">
      <c r="A26" s="1456" t="s">
        <v>1399</v>
      </c>
      <c r="B26" s="1457" t="s">
        <v>1400</v>
      </c>
      <c r="C26" s="1457" t="s">
        <v>1340</v>
      </c>
      <c r="D26" s="1457" t="s">
        <v>1307</v>
      </c>
      <c r="E26" s="1457" t="s">
        <v>1341</v>
      </c>
      <c r="F26" s="1458" t="s">
        <v>1399</v>
      </c>
      <c r="G26" s="1457" t="s">
        <v>1377</v>
      </c>
      <c r="H26" s="1457" t="s">
        <v>1398</v>
      </c>
      <c r="I26" s="1457" t="s">
        <v>1320</v>
      </c>
      <c r="J26" s="1457" t="s">
        <v>1312</v>
      </c>
      <c r="L26" s="157"/>
      <c r="M26" s="1292"/>
      <c r="N26" s="1292"/>
      <c r="O26" s="1292"/>
      <c r="P26" s="1292"/>
      <c r="Q26" s="157"/>
      <c r="R26" s="1292"/>
      <c r="S26" s="1292"/>
      <c r="T26" s="1292"/>
      <c r="U26" s="157"/>
      <c r="V26" s="1460"/>
    </row>
    <row r="27" spans="1:22" s="1459" customFormat="1" ht="24">
      <c r="A27" s="1456" t="s">
        <v>1401</v>
      </c>
      <c r="B27" s="1457" t="s">
        <v>1402</v>
      </c>
      <c r="C27" s="1457" t="s">
        <v>1403</v>
      </c>
      <c r="D27" s="1457" t="s">
        <v>1311</v>
      </c>
      <c r="E27" s="1457" t="s">
        <v>1316</v>
      </c>
      <c r="F27" s="1458" t="s">
        <v>1401</v>
      </c>
      <c r="G27" s="1457" t="s">
        <v>1404</v>
      </c>
      <c r="H27" s="1457" t="s">
        <v>1405</v>
      </c>
      <c r="I27" s="1457" t="s">
        <v>1307</v>
      </c>
      <c r="J27" s="1457" t="s">
        <v>1406</v>
      </c>
      <c r="L27" s="157"/>
      <c r="M27" s="1292"/>
      <c r="N27" s="1292"/>
      <c r="O27" s="1292"/>
      <c r="P27" s="1292"/>
      <c r="Q27" s="157"/>
      <c r="R27" s="1292"/>
      <c r="S27" s="1292"/>
      <c r="T27" s="1292"/>
      <c r="U27" s="157"/>
      <c r="V27" s="1460"/>
    </row>
    <row r="28" spans="1:22" s="1459" customFormat="1" ht="36">
      <c r="A28" s="1456" t="s">
        <v>1407</v>
      </c>
      <c r="B28" s="1457" t="s">
        <v>1408</v>
      </c>
      <c r="C28" s="1457" t="s">
        <v>1409</v>
      </c>
      <c r="D28" s="1457" t="s">
        <v>1311</v>
      </c>
      <c r="E28" s="1457" t="s">
        <v>1312</v>
      </c>
      <c r="F28" s="1458" t="s">
        <v>1407</v>
      </c>
      <c r="G28" s="1457" t="s">
        <v>1410</v>
      </c>
      <c r="H28" s="1457" t="s">
        <v>1340</v>
      </c>
      <c r="I28" s="1457" t="s">
        <v>1307</v>
      </c>
      <c r="J28" s="1457" t="s">
        <v>1341</v>
      </c>
      <c r="L28" s="157"/>
      <c r="M28" s="1292"/>
      <c r="N28" s="1292"/>
      <c r="O28" s="1292"/>
      <c r="P28" s="1292"/>
      <c r="Q28" s="157"/>
      <c r="R28" s="1292"/>
      <c r="S28" s="1292"/>
      <c r="T28" s="1292"/>
      <c r="U28" s="157"/>
      <c r="V28" s="1460"/>
    </row>
    <row r="29" spans="1:22" s="1459" customFormat="1" ht="60">
      <c r="A29" s="1456" t="s">
        <v>1411</v>
      </c>
      <c r="B29" s="1457" t="s">
        <v>1412</v>
      </c>
      <c r="C29" s="1457" t="s">
        <v>1413</v>
      </c>
      <c r="D29" s="1457" t="s">
        <v>1311</v>
      </c>
      <c r="E29" s="1457" t="s">
        <v>1414</v>
      </c>
      <c r="F29" s="1458" t="s">
        <v>1411</v>
      </c>
      <c r="G29" s="1457" t="s">
        <v>1415</v>
      </c>
      <c r="H29" s="1457" t="s">
        <v>1416</v>
      </c>
      <c r="I29" s="1457" t="s">
        <v>1311</v>
      </c>
      <c r="J29" s="1457" t="s">
        <v>1333</v>
      </c>
      <c r="L29" s="157"/>
      <c r="M29" s="1292"/>
      <c r="N29" s="1292"/>
      <c r="O29" s="1292"/>
      <c r="P29" s="1292"/>
      <c r="Q29" s="157"/>
      <c r="R29" s="1292"/>
      <c r="S29" s="1292"/>
      <c r="T29" s="1292"/>
      <c r="U29" s="157"/>
      <c r="V29" s="1460"/>
    </row>
    <row r="30" spans="1:22" s="1459" customFormat="1" ht="36">
      <c r="A30" s="1456" t="s">
        <v>1417</v>
      </c>
      <c r="B30" s="1457" t="s">
        <v>1356</v>
      </c>
      <c r="C30" s="1457" t="s">
        <v>1332</v>
      </c>
      <c r="D30" s="1457" t="s">
        <v>1311</v>
      </c>
      <c r="E30" s="1457" t="s">
        <v>1333</v>
      </c>
      <c r="F30" s="1458" t="s">
        <v>1417</v>
      </c>
      <c r="G30" s="1457" t="s">
        <v>1374</v>
      </c>
      <c r="H30" s="1457" t="s">
        <v>1361</v>
      </c>
      <c r="I30" s="1457" t="s">
        <v>1307</v>
      </c>
      <c r="J30" s="1457" t="s">
        <v>1362</v>
      </c>
      <c r="L30" s="157"/>
      <c r="M30" s="1292"/>
      <c r="N30" s="1292"/>
      <c r="O30" s="1292"/>
      <c r="P30" s="1292"/>
      <c r="Q30" s="157"/>
      <c r="R30" s="1292"/>
      <c r="S30" s="1292"/>
      <c r="T30" s="1292"/>
      <c r="U30" s="157"/>
      <c r="V30" s="1460"/>
    </row>
    <row r="31" spans="1:22" s="117" customFormat="1">
      <c r="A31" s="127"/>
      <c r="B31" s="127"/>
      <c r="C31" s="127"/>
      <c r="D31" s="127"/>
      <c r="E31" s="127"/>
      <c r="F31" s="127"/>
      <c r="G31" s="127"/>
      <c r="H31" s="127"/>
      <c r="I31" s="127"/>
      <c r="J31" s="127"/>
      <c r="L31" s="157"/>
      <c r="M31" s="157"/>
      <c r="N31" s="157"/>
      <c r="O31" s="157"/>
      <c r="P31" s="157"/>
      <c r="Q31" s="157"/>
      <c r="R31" s="157"/>
      <c r="S31" s="157"/>
      <c r="T31" s="157"/>
      <c r="U31" s="157"/>
      <c r="V31" s="157"/>
    </row>
    <row r="32" spans="1:22" s="117" customFormat="1" ht="11.25">
      <c r="A32" s="2185" t="s">
        <v>1151</v>
      </c>
      <c r="B32" s="2185"/>
      <c r="C32" s="2185"/>
      <c r="D32" s="2185"/>
      <c r="E32" s="2185"/>
      <c r="F32" s="2185"/>
      <c r="G32" s="2185"/>
      <c r="H32" s="2185"/>
      <c r="I32" s="2185"/>
      <c r="J32" s="2185"/>
      <c r="L32" s="157"/>
      <c r="M32" s="157"/>
      <c r="N32" s="157"/>
      <c r="O32" s="157"/>
      <c r="P32" s="157"/>
      <c r="Q32" s="157"/>
      <c r="R32" s="157"/>
      <c r="S32" s="157"/>
      <c r="T32" s="157"/>
      <c r="U32" s="157"/>
      <c r="V32" s="157"/>
    </row>
    <row r="33" s="117" customFormat="1" ht="11.25"/>
    <row r="34" s="117" customFormat="1" ht="11.25"/>
    <row r="35" s="117" customFormat="1" ht="11.25"/>
    <row r="36" s="117" customFormat="1" ht="11.25"/>
  </sheetData>
  <mergeCells count="4">
    <mergeCell ref="A2:J2"/>
    <mergeCell ref="A4:E4"/>
    <mergeCell ref="F4:J4"/>
    <mergeCell ref="A32:J32"/>
  </mergeCells>
  <pageMargins left="0.7" right="0.7" top="0.75" bottom="0.75" header="0.3" footer="0.3"/>
  <pageSetup paperSize="14" scale="70" orientation="portrait" r:id="rId1"/>
</worksheet>
</file>

<file path=xl/worksheets/sheet131.xml><?xml version="1.0" encoding="utf-8"?>
<worksheet xmlns="http://schemas.openxmlformats.org/spreadsheetml/2006/main" xmlns:r="http://schemas.openxmlformats.org/officeDocument/2006/relationships">
  <dimension ref="A1:J21"/>
  <sheetViews>
    <sheetView zoomScaleNormal="100" workbookViewId="0">
      <selection activeCell="B17" sqref="B17"/>
    </sheetView>
  </sheetViews>
  <sheetFormatPr baseColWidth="10" defaultRowHeight="11.25"/>
  <cols>
    <col min="1" max="1" width="19.85546875" style="2" customWidth="1"/>
    <col min="2" max="7" width="9" style="2" customWidth="1"/>
    <col min="8" max="8" width="11.42578125" style="2"/>
    <col min="9" max="9" width="5.85546875" style="2" customWidth="1"/>
    <col min="10" max="16384" width="11.42578125" style="2"/>
  </cols>
  <sheetData>
    <row r="1" spans="1:10">
      <c r="H1" s="370"/>
      <c r="I1" s="370"/>
      <c r="J1" s="370"/>
    </row>
    <row r="2" spans="1:10" ht="24.75" customHeight="1">
      <c r="A2" s="2096" t="s">
        <v>1418</v>
      </c>
      <c r="B2" s="2096"/>
      <c r="C2" s="2096"/>
      <c r="D2" s="2096"/>
      <c r="E2" s="2096"/>
      <c r="F2" s="2096"/>
      <c r="G2" s="2096"/>
      <c r="H2" s="370"/>
      <c r="I2" s="370"/>
      <c r="J2" s="370"/>
    </row>
    <row r="3" spans="1:10">
      <c r="A3" s="1441"/>
      <c r="B3" s="1441"/>
      <c r="C3" s="1441"/>
      <c r="D3" s="1441"/>
      <c r="E3" s="1441"/>
      <c r="F3" s="1441"/>
      <c r="G3" s="1441"/>
      <c r="H3" s="370"/>
      <c r="I3" s="370"/>
    </row>
    <row r="4" spans="1:10">
      <c r="A4" s="2278" t="s">
        <v>1419</v>
      </c>
      <c r="B4" s="2279" t="s">
        <v>671</v>
      </c>
      <c r="C4" s="2279"/>
      <c r="D4" s="2279"/>
      <c r="E4" s="2279"/>
      <c r="F4" s="2279"/>
      <c r="G4" s="2279"/>
      <c r="H4" s="370"/>
      <c r="I4" s="370"/>
    </row>
    <row r="5" spans="1:10">
      <c r="A5" s="2098"/>
      <c r="B5" s="1442">
        <v>2009</v>
      </c>
      <c r="C5" s="1442">
        <v>2010</v>
      </c>
      <c r="D5" s="1442">
        <v>2011</v>
      </c>
      <c r="E5" s="1442">
        <v>2012</v>
      </c>
      <c r="F5" s="1442">
        <v>2013</v>
      </c>
      <c r="G5" s="1442">
        <v>2014</v>
      </c>
      <c r="H5" s="370"/>
      <c r="I5" s="370"/>
    </row>
    <row r="6" spans="1:10">
      <c r="A6" s="1443" t="s">
        <v>6</v>
      </c>
      <c r="B6" s="1451">
        <f t="shared" ref="B6:G6" si="0">SUM(B7:B8)</f>
        <v>1566</v>
      </c>
      <c r="C6" s="1451">
        <f t="shared" si="0"/>
        <v>8164</v>
      </c>
      <c r="D6" s="1451">
        <f t="shared" si="0"/>
        <v>9756</v>
      </c>
      <c r="E6" s="1451">
        <f t="shared" si="0"/>
        <v>16388</v>
      </c>
      <c r="F6" s="1451">
        <f t="shared" si="0"/>
        <v>19563</v>
      </c>
      <c r="G6" s="1451">
        <f t="shared" si="0"/>
        <v>25081</v>
      </c>
      <c r="H6" s="370"/>
      <c r="I6" s="370"/>
    </row>
    <row r="7" spans="1:10">
      <c r="A7" s="2" t="s">
        <v>1420</v>
      </c>
      <c r="B7" s="1452">
        <v>1259</v>
      </c>
      <c r="C7" s="1452">
        <v>7202</v>
      </c>
      <c r="D7" s="1452">
        <v>8389</v>
      </c>
      <c r="E7" s="1452">
        <v>15019</v>
      </c>
      <c r="F7" s="1452">
        <v>17667</v>
      </c>
      <c r="G7" s="1452">
        <v>23167</v>
      </c>
      <c r="H7" s="370"/>
      <c r="I7" s="370"/>
    </row>
    <row r="8" spans="1:10">
      <c r="A8" s="2" t="s">
        <v>1421</v>
      </c>
      <c r="B8" s="1452">
        <v>307</v>
      </c>
      <c r="C8" s="1452">
        <v>962</v>
      </c>
      <c r="D8" s="1452">
        <v>1367</v>
      </c>
      <c r="E8" s="1452">
        <v>1369</v>
      </c>
      <c r="F8" s="1452">
        <v>1896</v>
      </c>
      <c r="G8" s="1452">
        <v>1914</v>
      </c>
      <c r="H8" s="370"/>
      <c r="I8" s="370"/>
    </row>
    <row r="9" spans="1:10">
      <c r="H9" s="370"/>
      <c r="I9" s="370"/>
    </row>
    <row r="10" spans="1:10">
      <c r="A10" s="392" t="s">
        <v>1422</v>
      </c>
      <c r="H10" s="370"/>
      <c r="I10" s="370"/>
    </row>
    <row r="11" spans="1:10">
      <c r="H11" s="370"/>
      <c r="I11" s="370"/>
    </row>
    <row r="12" spans="1:10">
      <c r="H12" s="370"/>
      <c r="I12" s="370"/>
    </row>
    <row r="13" spans="1:10">
      <c r="H13" s="370"/>
      <c r="I13" s="370"/>
    </row>
    <row r="14" spans="1:10">
      <c r="H14" s="370"/>
      <c r="I14" s="370"/>
    </row>
    <row r="15" spans="1:10">
      <c r="H15" s="370"/>
      <c r="I15" s="370"/>
    </row>
    <row r="16" spans="1:10">
      <c r="H16" s="370"/>
      <c r="I16" s="370"/>
    </row>
    <row r="17" spans="8:9">
      <c r="H17" s="370"/>
      <c r="I17" s="370"/>
    </row>
    <row r="18" spans="8:9">
      <c r="H18" s="370"/>
      <c r="I18" s="370"/>
    </row>
    <row r="19" spans="8:9">
      <c r="H19" s="370"/>
      <c r="I19" s="370"/>
    </row>
    <row r="20" spans="8:9">
      <c r="H20" s="370"/>
      <c r="I20" s="370"/>
    </row>
    <row r="21" spans="8:9">
      <c r="H21" s="370"/>
      <c r="I21" s="370"/>
    </row>
  </sheetData>
  <mergeCells count="3">
    <mergeCell ref="A2:G2"/>
    <mergeCell ref="A4:A5"/>
    <mergeCell ref="B4:G4"/>
  </mergeCell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dimension ref="A1:J25"/>
  <sheetViews>
    <sheetView zoomScaleNormal="100" workbookViewId="0">
      <selection activeCell="C28" sqref="C28"/>
    </sheetView>
  </sheetViews>
  <sheetFormatPr baseColWidth="10" defaultRowHeight="11.25"/>
  <cols>
    <col min="1" max="1" width="21.7109375" style="2" customWidth="1"/>
    <col min="2" max="7" width="8" style="2" customWidth="1"/>
    <col min="8" max="8" width="3.7109375" style="2" customWidth="1"/>
    <col min="9" max="16384" width="11.42578125" style="2"/>
  </cols>
  <sheetData>
    <row r="1" spans="1:10">
      <c r="I1" s="370"/>
    </row>
    <row r="2" spans="1:10" ht="27" customHeight="1">
      <c r="A2" s="2096" t="s">
        <v>3291</v>
      </c>
      <c r="B2" s="2096"/>
      <c r="C2" s="2096"/>
      <c r="D2" s="2096"/>
      <c r="E2" s="2096"/>
      <c r="F2" s="2096"/>
      <c r="G2" s="2096"/>
    </row>
    <row r="4" spans="1:10" s="1440" customFormat="1" ht="20.25" customHeight="1">
      <c r="A4" s="1210" t="s">
        <v>0</v>
      </c>
      <c r="B4" s="1210">
        <v>2009</v>
      </c>
      <c r="C4" s="1210">
        <v>2010</v>
      </c>
      <c r="D4" s="1210">
        <v>2011</v>
      </c>
      <c r="E4" s="1210">
        <v>2012</v>
      </c>
      <c r="F4" s="1210">
        <v>2013</v>
      </c>
      <c r="G4" s="1210">
        <v>2014</v>
      </c>
      <c r="I4" s="1448"/>
      <c r="J4" s="1448"/>
    </row>
    <row r="5" spans="1:10">
      <c r="A5" s="405" t="s">
        <v>6</v>
      </c>
      <c r="B5" s="807">
        <f t="shared" ref="B5:G5" si="0">SUM(B6:B21)</f>
        <v>1259</v>
      </c>
      <c r="C5" s="807">
        <f t="shared" si="0"/>
        <v>7202</v>
      </c>
      <c r="D5" s="807">
        <f t="shared" si="0"/>
        <v>8389</v>
      </c>
      <c r="E5" s="807">
        <f t="shared" si="0"/>
        <v>15019</v>
      </c>
      <c r="F5" s="807">
        <f t="shared" si="0"/>
        <v>17667</v>
      </c>
      <c r="G5" s="807">
        <f t="shared" si="0"/>
        <v>23167</v>
      </c>
      <c r="I5" s="1449"/>
      <c r="J5" s="370"/>
    </row>
    <row r="6" spans="1:10" s="1" customFormat="1">
      <c r="A6" s="1450" t="s">
        <v>7</v>
      </c>
      <c r="B6" s="810">
        <v>4</v>
      </c>
      <c r="C6" s="810">
        <v>16</v>
      </c>
      <c r="D6" s="810">
        <v>11</v>
      </c>
      <c r="E6" s="810">
        <v>41</v>
      </c>
      <c r="F6" s="810">
        <v>68</v>
      </c>
      <c r="G6" s="810">
        <v>118</v>
      </c>
      <c r="I6" s="59"/>
      <c r="J6" s="59"/>
    </row>
    <row r="7" spans="1:10" s="1" customFormat="1">
      <c r="A7" s="1450" t="s">
        <v>8</v>
      </c>
      <c r="B7" s="810">
        <v>4</v>
      </c>
      <c r="C7" s="810">
        <v>47</v>
      </c>
      <c r="D7" s="810">
        <v>79</v>
      </c>
      <c r="E7" s="810">
        <v>172</v>
      </c>
      <c r="F7" s="810">
        <v>177</v>
      </c>
      <c r="G7" s="810">
        <v>305</v>
      </c>
      <c r="I7" s="59"/>
      <c r="J7" s="59"/>
    </row>
    <row r="8" spans="1:10" s="1" customFormat="1">
      <c r="A8" s="1450" t="s">
        <v>9</v>
      </c>
      <c r="B8" s="810">
        <v>55</v>
      </c>
      <c r="C8" s="810">
        <v>199</v>
      </c>
      <c r="D8" s="810">
        <v>287</v>
      </c>
      <c r="E8" s="810">
        <v>572</v>
      </c>
      <c r="F8" s="810">
        <v>763</v>
      </c>
      <c r="G8" s="810">
        <v>962</v>
      </c>
      <c r="I8" s="59"/>
      <c r="J8" s="59"/>
    </row>
    <row r="9" spans="1:10" s="1" customFormat="1">
      <c r="A9" s="1450" t="s">
        <v>10</v>
      </c>
      <c r="B9" s="810">
        <v>7</v>
      </c>
      <c r="C9" s="810">
        <v>101</v>
      </c>
      <c r="D9" s="810">
        <v>70</v>
      </c>
      <c r="E9" s="810">
        <v>69</v>
      </c>
      <c r="F9" s="810">
        <v>38</v>
      </c>
      <c r="G9" s="810">
        <v>59</v>
      </c>
      <c r="I9" s="59"/>
      <c r="J9" s="59"/>
    </row>
    <row r="10" spans="1:10" s="1" customFormat="1">
      <c r="A10" s="1450" t="s">
        <v>11</v>
      </c>
      <c r="B10" s="810">
        <v>32</v>
      </c>
      <c r="C10" s="810">
        <v>234</v>
      </c>
      <c r="D10" s="810">
        <v>268</v>
      </c>
      <c r="E10" s="810">
        <v>432</v>
      </c>
      <c r="F10" s="810">
        <v>712</v>
      </c>
      <c r="G10" s="810">
        <v>1033</v>
      </c>
      <c r="I10" s="59"/>
      <c r="J10" s="59"/>
    </row>
    <row r="11" spans="1:10" s="1" customFormat="1">
      <c r="A11" s="1450" t="s">
        <v>12</v>
      </c>
      <c r="B11" s="810">
        <v>114</v>
      </c>
      <c r="C11" s="810">
        <v>497</v>
      </c>
      <c r="D11" s="810">
        <v>547</v>
      </c>
      <c r="E11" s="810">
        <v>1011</v>
      </c>
      <c r="F11" s="810">
        <v>1036</v>
      </c>
      <c r="G11" s="810">
        <v>1632</v>
      </c>
      <c r="I11" s="59"/>
      <c r="J11" s="59"/>
    </row>
    <row r="12" spans="1:10" s="1" customFormat="1">
      <c r="A12" s="1450" t="s">
        <v>13</v>
      </c>
      <c r="B12" s="810">
        <v>810</v>
      </c>
      <c r="C12" s="810">
        <v>4732</v>
      </c>
      <c r="D12" s="810">
        <v>5757</v>
      </c>
      <c r="E12" s="810">
        <v>10637</v>
      </c>
      <c r="F12" s="810">
        <v>12080</v>
      </c>
      <c r="G12" s="810">
        <v>14719</v>
      </c>
      <c r="I12" s="59"/>
      <c r="J12" s="59"/>
    </row>
    <row r="13" spans="1:10" s="1" customFormat="1">
      <c r="A13" s="1450" t="s">
        <v>14</v>
      </c>
      <c r="B13" s="810">
        <v>19</v>
      </c>
      <c r="C13" s="810">
        <v>108</v>
      </c>
      <c r="D13" s="810">
        <v>175</v>
      </c>
      <c r="E13" s="810">
        <v>207</v>
      </c>
      <c r="F13" s="810">
        <v>393</v>
      </c>
      <c r="G13" s="810">
        <v>594</v>
      </c>
      <c r="I13" s="59"/>
      <c r="J13" s="59"/>
    </row>
    <row r="14" spans="1:10" s="1" customFormat="1">
      <c r="A14" s="1450" t="s">
        <v>15</v>
      </c>
      <c r="B14" s="810">
        <v>14</v>
      </c>
      <c r="C14" s="810">
        <v>104</v>
      </c>
      <c r="D14" s="810">
        <v>165</v>
      </c>
      <c r="E14" s="810">
        <v>149</v>
      </c>
      <c r="F14" s="810">
        <v>227</v>
      </c>
      <c r="G14" s="810">
        <v>385</v>
      </c>
      <c r="I14" s="59"/>
      <c r="J14" s="59"/>
    </row>
    <row r="15" spans="1:10" s="1" customFormat="1">
      <c r="A15" s="1450" t="s">
        <v>16</v>
      </c>
      <c r="B15" s="810">
        <v>77</v>
      </c>
      <c r="C15" s="810">
        <v>666</v>
      </c>
      <c r="D15" s="810">
        <v>421</v>
      </c>
      <c r="E15" s="810">
        <v>615</v>
      </c>
      <c r="F15" s="810">
        <v>777</v>
      </c>
      <c r="G15" s="810">
        <v>1153</v>
      </c>
      <c r="I15" s="59"/>
      <c r="J15" s="59"/>
    </row>
    <row r="16" spans="1:10" s="1" customFormat="1">
      <c r="A16" s="1450" t="s">
        <v>17</v>
      </c>
      <c r="B16" s="810">
        <v>21</v>
      </c>
      <c r="C16" s="810">
        <v>82</v>
      </c>
      <c r="D16" s="810">
        <v>114</v>
      </c>
      <c r="E16" s="810">
        <v>271</v>
      </c>
      <c r="F16" s="810">
        <v>356</v>
      </c>
      <c r="G16" s="810">
        <v>522</v>
      </c>
      <c r="I16" s="59"/>
      <c r="J16" s="59"/>
    </row>
    <row r="17" spans="1:10" s="1" customFormat="1">
      <c r="A17" s="1450" t="s">
        <v>18</v>
      </c>
      <c r="B17" s="810">
        <v>15</v>
      </c>
      <c r="C17" s="810">
        <v>41</v>
      </c>
      <c r="D17" s="810">
        <v>59</v>
      </c>
      <c r="E17" s="810">
        <v>148</v>
      </c>
      <c r="F17" s="810">
        <v>231</v>
      </c>
      <c r="G17" s="810">
        <v>379</v>
      </c>
      <c r="I17" s="59"/>
      <c r="J17" s="59"/>
    </row>
    <row r="18" spans="1:10" s="1" customFormat="1">
      <c r="A18" s="1450" t="s">
        <v>19</v>
      </c>
      <c r="B18" s="810">
        <v>42</v>
      </c>
      <c r="C18" s="810">
        <v>166</v>
      </c>
      <c r="D18" s="810">
        <v>212</v>
      </c>
      <c r="E18" s="810">
        <v>255</v>
      </c>
      <c r="F18" s="810">
        <v>360</v>
      </c>
      <c r="G18" s="810">
        <v>630</v>
      </c>
      <c r="I18" s="59"/>
      <c r="J18" s="59"/>
    </row>
    <row r="19" spans="1:10" s="1" customFormat="1">
      <c r="A19" s="1450" t="s">
        <v>20</v>
      </c>
      <c r="B19" s="810">
        <v>13</v>
      </c>
      <c r="C19" s="810">
        <v>62</v>
      </c>
      <c r="D19" s="810">
        <v>75</v>
      </c>
      <c r="E19" s="810">
        <v>130</v>
      </c>
      <c r="F19" s="810">
        <v>112</v>
      </c>
      <c r="G19" s="810">
        <v>232</v>
      </c>
      <c r="I19" s="59"/>
      <c r="J19" s="59"/>
    </row>
    <row r="20" spans="1:10" s="1" customFormat="1">
      <c r="A20" s="1450" t="s">
        <v>21</v>
      </c>
      <c r="B20" s="810">
        <v>15</v>
      </c>
      <c r="C20" s="810">
        <v>63</v>
      </c>
      <c r="D20" s="810">
        <v>96</v>
      </c>
      <c r="E20" s="810">
        <v>141</v>
      </c>
      <c r="F20" s="810">
        <v>199</v>
      </c>
      <c r="G20" s="810">
        <v>281</v>
      </c>
      <c r="I20" s="59"/>
      <c r="J20" s="59"/>
    </row>
    <row r="21" spans="1:10" s="59" customFormat="1" ht="12.75">
      <c r="A21" s="326" t="s">
        <v>3726</v>
      </c>
      <c r="B21" s="382">
        <v>17</v>
      </c>
      <c r="C21" s="382">
        <v>84</v>
      </c>
      <c r="D21" s="382">
        <v>53</v>
      </c>
      <c r="E21" s="382">
        <v>169</v>
      </c>
      <c r="F21" s="382">
        <v>138</v>
      </c>
      <c r="G21" s="382">
        <v>163</v>
      </c>
    </row>
    <row r="22" spans="1:10">
      <c r="I22" s="370"/>
      <c r="J22" s="370"/>
    </row>
    <row r="23" spans="1:10" ht="23.25" customHeight="1">
      <c r="A23" s="2723" t="s">
        <v>3727</v>
      </c>
      <c r="B23" s="2723"/>
      <c r="C23" s="2723"/>
      <c r="D23" s="2723"/>
      <c r="E23" s="2723"/>
      <c r="F23" s="2723"/>
      <c r="G23" s="2723"/>
      <c r="I23" s="370"/>
      <c r="J23" s="370"/>
    </row>
    <row r="24" spans="1:10" ht="12" customHeight="1">
      <c r="A24" s="2280" t="s">
        <v>3728</v>
      </c>
      <c r="B24" s="2280"/>
      <c r="C24" s="2280"/>
      <c r="D24" s="2280"/>
      <c r="E24" s="2280"/>
      <c r="F24" s="2280"/>
      <c r="G24" s="2280"/>
      <c r="I24" s="370"/>
      <c r="J24" s="370"/>
    </row>
    <row r="25" spans="1:10">
      <c r="A25" s="392" t="s">
        <v>1422</v>
      </c>
    </row>
  </sheetData>
  <mergeCells count="3">
    <mergeCell ref="A2:G2"/>
    <mergeCell ref="A23:G23"/>
    <mergeCell ref="A24:G24"/>
  </mergeCell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dimension ref="A2:D37"/>
  <sheetViews>
    <sheetView zoomScaleNormal="100" workbookViewId="0">
      <selection activeCell="B43" sqref="B43"/>
    </sheetView>
  </sheetViews>
  <sheetFormatPr baseColWidth="10" defaultRowHeight="11.25"/>
  <cols>
    <col min="1" max="1" width="21.85546875" style="2" customWidth="1"/>
    <col min="2" max="2" width="11.85546875" style="2" customWidth="1"/>
    <col min="3" max="3" width="15" style="2" customWidth="1"/>
    <col min="4" max="16384" width="11.42578125" style="2"/>
  </cols>
  <sheetData>
    <row r="2" spans="1:4" ht="34.5" customHeight="1">
      <c r="A2" s="2281" t="s">
        <v>3290</v>
      </c>
      <c r="B2" s="2281"/>
      <c r="C2" s="2281"/>
      <c r="D2" s="2281"/>
    </row>
    <row r="3" spans="1:4">
      <c r="A3" s="1441"/>
      <c r="B3" s="1441"/>
      <c r="C3" s="1441"/>
      <c r="D3" s="1441"/>
    </row>
    <row r="4" spans="1:4">
      <c r="A4" s="2282" t="s">
        <v>1423</v>
      </c>
      <c r="B4" s="2282" t="s">
        <v>26</v>
      </c>
      <c r="C4" s="2279" t="s">
        <v>1424</v>
      </c>
      <c r="D4" s="2279"/>
    </row>
    <row r="5" spans="1:4">
      <c r="A5" s="2282"/>
      <c r="B5" s="2282"/>
      <c r="C5" s="1442" t="s">
        <v>1425</v>
      </c>
      <c r="D5" s="1442" t="s">
        <v>1426</v>
      </c>
    </row>
    <row r="6" spans="1:4">
      <c r="A6" s="1443" t="s">
        <v>6</v>
      </c>
      <c r="B6" s="1444">
        <f>SUM(C6:D6)</f>
        <v>6386</v>
      </c>
      <c r="C6" s="1445">
        <f>SUM(C7:C33)</f>
        <v>1207</v>
      </c>
      <c r="D6" s="1445">
        <f>SUM(D7:D33)</f>
        <v>5179</v>
      </c>
    </row>
    <row r="7" spans="1:4">
      <c r="A7" s="1437" t="s">
        <v>1427</v>
      </c>
      <c r="B7" s="1444">
        <f t="shared" ref="B7:B33" si="0">SUM(C7:D7)</f>
        <v>918</v>
      </c>
      <c r="C7" s="1446">
        <v>310</v>
      </c>
      <c r="D7" s="1446">
        <v>608</v>
      </c>
    </row>
    <row r="8" spans="1:4">
      <c r="A8" s="1437" t="s">
        <v>1428</v>
      </c>
      <c r="B8" s="1444">
        <f t="shared" si="0"/>
        <v>854</v>
      </c>
      <c r="C8" s="1446">
        <v>21</v>
      </c>
      <c r="D8" s="1446">
        <v>833</v>
      </c>
    </row>
    <row r="9" spans="1:4">
      <c r="A9" s="392" t="s">
        <v>1429</v>
      </c>
      <c r="B9" s="1444">
        <f t="shared" si="0"/>
        <v>628</v>
      </c>
      <c r="C9" s="368">
        <v>123</v>
      </c>
      <c r="D9" s="368">
        <v>505</v>
      </c>
    </row>
    <row r="10" spans="1:4">
      <c r="A10" s="1437" t="s">
        <v>1430</v>
      </c>
      <c r="B10" s="1444">
        <f t="shared" si="0"/>
        <v>586</v>
      </c>
      <c r="C10" s="1446">
        <v>212</v>
      </c>
      <c r="D10" s="1446">
        <v>374</v>
      </c>
    </row>
    <row r="11" spans="1:4">
      <c r="A11" s="1437" t="s">
        <v>1431</v>
      </c>
      <c r="B11" s="1444">
        <f t="shared" si="0"/>
        <v>470</v>
      </c>
      <c r="C11" s="1446">
        <v>69</v>
      </c>
      <c r="D11" s="1446">
        <v>401</v>
      </c>
    </row>
    <row r="12" spans="1:4">
      <c r="A12" s="1437" t="s">
        <v>1432</v>
      </c>
      <c r="B12" s="1444">
        <f t="shared" si="0"/>
        <v>447</v>
      </c>
      <c r="C12" s="1446">
        <v>63</v>
      </c>
      <c r="D12" s="1446">
        <v>384</v>
      </c>
    </row>
    <row r="13" spans="1:4">
      <c r="A13" s="1437" t="s">
        <v>1433</v>
      </c>
      <c r="B13" s="1444">
        <f t="shared" si="0"/>
        <v>343</v>
      </c>
      <c r="C13" s="1446">
        <v>57</v>
      </c>
      <c r="D13" s="1446">
        <v>286</v>
      </c>
    </row>
    <row r="14" spans="1:4">
      <c r="A14" s="1437" t="s">
        <v>1434</v>
      </c>
      <c r="B14" s="1444">
        <f t="shared" si="0"/>
        <v>312</v>
      </c>
      <c r="C14" s="1446">
        <v>3</v>
      </c>
      <c r="D14" s="1446">
        <v>309</v>
      </c>
    </row>
    <row r="15" spans="1:4">
      <c r="A15" s="1437" t="s">
        <v>1435</v>
      </c>
      <c r="B15" s="1444">
        <f t="shared" si="0"/>
        <v>252</v>
      </c>
      <c r="C15" s="1446">
        <v>4</v>
      </c>
      <c r="D15" s="1446">
        <v>248</v>
      </c>
    </row>
    <row r="16" spans="1:4">
      <c r="A16" s="1437" t="s">
        <v>1031</v>
      </c>
      <c r="B16" s="1444">
        <f t="shared" si="0"/>
        <v>207</v>
      </c>
      <c r="C16" s="1446">
        <v>64</v>
      </c>
      <c r="D16" s="1446">
        <v>143</v>
      </c>
    </row>
    <row r="17" spans="1:4">
      <c r="A17" s="1437" t="s">
        <v>1436</v>
      </c>
      <c r="B17" s="1444">
        <f t="shared" si="0"/>
        <v>161</v>
      </c>
      <c r="C17" s="1446">
        <v>70</v>
      </c>
      <c r="D17" s="1446">
        <v>91</v>
      </c>
    </row>
    <row r="18" spans="1:4">
      <c r="A18" s="1437" t="s">
        <v>1437</v>
      </c>
      <c r="B18" s="1444">
        <f t="shared" si="0"/>
        <v>157</v>
      </c>
      <c r="C18" s="1446">
        <v>49</v>
      </c>
      <c r="D18" s="1446">
        <v>108</v>
      </c>
    </row>
    <row r="19" spans="1:4">
      <c r="A19" s="1437" t="s">
        <v>1438</v>
      </c>
      <c r="B19" s="1444">
        <f t="shared" si="0"/>
        <v>121</v>
      </c>
      <c r="C19" s="1446">
        <v>31</v>
      </c>
      <c r="D19" s="1446">
        <v>90</v>
      </c>
    </row>
    <row r="20" spans="1:4">
      <c r="A20" s="1437" t="s">
        <v>1439</v>
      </c>
      <c r="B20" s="1444">
        <f t="shared" si="0"/>
        <v>112</v>
      </c>
      <c r="C20" s="1446">
        <v>25</v>
      </c>
      <c r="D20" s="1446">
        <v>87</v>
      </c>
    </row>
    <row r="21" spans="1:4">
      <c r="A21" s="1437" t="s">
        <v>1440</v>
      </c>
      <c r="B21" s="1444">
        <f t="shared" si="0"/>
        <v>111</v>
      </c>
      <c r="C21" s="1446">
        <v>40</v>
      </c>
      <c r="D21" s="1446">
        <v>71</v>
      </c>
    </row>
    <row r="22" spans="1:4">
      <c r="A22" s="1437" t="s">
        <v>1441</v>
      </c>
      <c r="B22" s="1444">
        <f t="shared" si="0"/>
        <v>107</v>
      </c>
      <c r="C22" s="1446">
        <v>4</v>
      </c>
      <c r="D22" s="1446">
        <v>103</v>
      </c>
    </row>
    <row r="23" spans="1:4">
      <c r="A23" s="1437" t="s">
        <v>1442</v>
      </c>
      <c r="B23" s="1444">
        <f t="shared" si="0"/>
        <v>97</v>
      </c>
      <c r="C23" s="1446">
        <v>5</v>
      </c>
      <c r="D23" s="1446">
        <v>92</v>
      </c>
    </row>
    <row r="24" spans="1:4">
      <c r="A24" s="1437" t="s">
        <v>1443</v>
      </c>
      <c r="B24" s="1444">
        <f t="shared" si="0"/>
        <v>89</v>
      </c>
      <c r="C24" s="1446">
        <v>1</v>
      </c>
      <c r="D24" s="1446">
        <v>88</v>
      </c>
    </row>
    <row r="25" spans="1:4">
      <c r="A25" s="1437" t="s">
        <v>1444</v>
      </c>
      <c r="B25" s="1444">
        <f t="shared" si="0"/>
        <v>83</v>
      </c>
      <c r="C25" s="1446">
        <v>2</v>
      </c>
      <c r="D25" s="1446">
        <v>81</v>
      </c>
    </row>
    <row r="26" spans="1:4">
      <c r="A26" s="1437" t="s">
        <v>1445</v>
      </c>
      <c r="B26" s="1444">
        <f t="shared" si="0"/>
        <v>73</v>
      </c>
      <c r="C26" s="1446">
        <v>41</v>
      </c>
      <c r="D26" s="1446">
        <v>32</v>
      </c>
    </row>
    <row r="27" spans="1:4">
      <c r="A27" s="1437" t="s">
        <v>1446</v>
      </c>
      <c r="B27" s="1444">
        <f t="shared" si="0"/>
        <v>69</v>
      </c>
      <c r="C27" s="1446">
        <v>3</v>
      </c>
      <c r="D27" s="1446">
        <v>66</v>
      </c>
    </row>
    <row r="28" spans="1:4">
      <c r="A28" s="1437" t="s">
        <v>1447</v>
      </c>
      <c r="B28" s="1444">
        <f t="shared" si="0"/>
        <v>67</v>
      </c>
      <c r="C28" s="1446">
        <v>0</v>
      </c>
      <c r="D28" s="1446">
        <v>67</v>
      </c>
    </row>
    <row r="29" spans="1:4">
      <c r="A29" s="1437" t="s">
        <v>1448</v>
      </c>
      <c r="B29" s="1444">
        <f t="shared" si="0"/>
        <v>51</v>
      </c>
      <c r="C29" s="1446">
        <v>2</v>
      </c>
      <c r="D29" s="1446">
        <v>49</v>
      </c>
    </row>
    <row r="30" spans="1:4">
      <c r="A30" s="1437" t="s">
        <v>1449</v>
      </c>
      <c r="B30" s="1444">
        <f t="shared" si="0"/>
        <v>25</v>
      </c>
      <c r="C30" s="1446">
        <v>8</v>
      </c>
      <c r="D30" s="1446">
        <v>17</v>
      </c>
    </row>
    <row r="31" spans="1:4">
      <c r="A31" s="1437" t="s">
        <v>1450</v>
      </c>
      <c r="B31" s="1444">
        <f t="shared" si="0"/>
        <v>16</v>
      </c>
      <c r="C31" s="1446">
        <v>0</v>
      </c>
      <c r="D31" s="1446">
        <v>16</v>
      </c>
    </row>
    <row r="32" spans="1:4">
      <c r="A32" s="1437" t="s">
        <v>1451</v>
      </c>
      <c r="B32" s="1444">
        <f t="shared" si="0"/>
        <v>15</v>
      </c>
      <c r="C32" s="1446">
        <v>0</v>
      </c>
      <c r="D32" s="1446">
        <v>15</v>
      </c>
    </row>
    <row r="33" spans="1:4">
      <c r="A33" s="1437" t="s">
        <v>1452</v>
      </c>
      <c r="B33" s="1444">
        <f t="shared" si="0"/>
        <v>15</v>
      </c>
      <c r="C33" s="1446">
        <v>0</v>
      </c>
      <c r="D33" s="1446">
        <v>15</v>
      </c>
    </row>
    <row r="35" spans="1:4">
      <c r="A35" s="370" t="s">
        <v>3725</v>
      </c>
    </row>
    <row r="36" spans="1:4">
      <c r="A36" s="1447" t="s">
        <v>161</v>
      </c>
    </row>
    <row r="37" spans="1:4">
      <c r="A37" s="392" t="s">
        <v>1422</v>
      </c>
    </row>
  </sheetData>
  <mergeCells count="4">
    <mergeCell ref="A2:D2"/>
    <mergeCell ref="A4:A5"/>
    <mergeCell ref="B4:B5"/>
    <mergeCell ref="C4:D4"/>
  </mergeCells>
  <pageMargins left="0.7" right="0.7" top="0.75" bottom="0.75" header="0.3" footer="0.3"/>
</worksheet>
</file>

<file path=xl/worksheets/sheet134.xml><?xml version="1.0" encoding="utf-8"?>
<worksheet xmlns="http://schemas.openxmlformats.org/spreadsheetml/2006/main" xmlns:r="http://schemas.openxmlformats.org/officeDocument/2006/relationships">
  <dimension ref="A2:D21"/>
  <sheetViews>
    <sheetView zoomScaleNormal="100" workbookViewId="0">
      <selection activeCell="B29" sqref="B29"/>
    </sheetView>
  </sheetViews>
  <sheetFormatPr baseColWidth="10" defaultRowHeight="11.25"/>
  <cols>
    <col min="1" max="1" width="3.7109375" style="2" customWidth="1"/>
    <col min="2" max="2" width="33.28515625" style="2" customWidth="1"/>
    <col min="3" max="3" width="14.42578125" style="2" customWidth="1"/>
    <col min="4" max="16384" width="11.42578125" style="2"/>
  </cols>
  <sheetData>
    <row r="2" spans="1:4" ht="40.5" customHeight="1">
      <c r="A2" s="2096" t="s">
        <v>3289</v>
      </c>
      <c r="B2" s="2096"/>
      <c r="C2" s="2096"/>
    </row>
    <row r="3" spans="1:4">
      <c r="A3" s="3"/>
      <c r="B3" s="3"/>
      <c r="C3" s="3"/>
    </row>
    <row r="4" spans="1:4" s="1440" customFormat="1" ht="30.75" customHeight="1">
      <c r="A4" s="1211" t="s">
        <v>1453</v>
      </c>
      <c r="B4" s="1211" t="s">
        <v>1454</v>
      </c>
      <c r="C4" s="1211" t="s">
        <v>1455</v>
      </c>
    </row>
    <row r="5" spans="1:4" ht="12">
      <c r="A5" s="1">
        <v>1</v>
      </c>
      <c r="B5" s="1437" t="s">
        <v>1456</v>
      </c>
      <c r="C5" s="810">
        <v>1275</v>
      </c>
      <c r="D5" s="1439"/>
    </row>
    <row r="6" spans="1:4" ht="12">
      <c r="A6" s="1">
        <v>2</v>
      </c>
      <c r="B6" s="1437" t="s">
        <v>1457</v>
      </c>
      <c r="C6" s="810">
        <v>700</v>
      </c>
      <c r="D6" s="50"/>
    </row>
    <row r="7" spans="1:4" ht="12">
      <c r="A7" s="1">
        <v>3</v>
      </c>
      <c r="B7" s="1437" t="s">
        <v>1458</v>
      </c>
      <c r="C7" s="810">
        <v>656</v>
      </c>
      <c r="D7" s="50"/>
    </row>
    <row r="8" spans="1:4" ht="12">
      <c r="A8" s="1">
        <v>4</v>
      </c>
      <c r="B8" s="1437" t="s">
        <v>1459</v>
      </c>
      <c r="C8" s="810">
        <v>596</v>
      </c>
      <c r="D8" s="50"/>
    </row>
    <row r="9" spans="1:4" ht="12">
      <c r="A9" s="1">
        <v>5</v>
      </c>
      <c r="B9" s="1437" t="s">
        <v>1460</v>
      </c>
      <c r="C9" s="810">
        <v>453</v>
      </c>
      <c r="D9" s="50"/>
    </row>
    <row r="10" spans="1:4" ht="12">
      <c r="A10" s="1">
        <v>6</v>
      </c>
      <c r="B10" s="1437" t="s">
        <v>1461</v>
      </c>
      <c r="C10" s="810">
        <v>408</v>
      </c>
      <c r="D10" s="50"/>
    </row>
    <row r="11" spans="1:4" ht="12">
      <c r="A11" s="1">
        <v>7</v>
      </c>
      <c r="B11" s="1437" t="s">
        <v>1462</v>
      </c>
      <c r="C11" s="810">
        <v>398</v>
      </c>
      <c r="D11" s="50"/>
    </row>
    <row r="12" spans="1:4" ht="12">
      <c r="A12" s="1">
        <v>8</v>
      </c>
      <c r="B12" s="1437" t="s">
        <v>1463</v>
      </c>
      <c r="C12" s="810">
        <v>343</v>
      </c>
      <c r="D12" s="50"/>
    </row>
    <row r="13" spans="1:4" ht="12">
      <c r="A13" s="1">
        <v>9</v>
      </c>
      <c r="B13" s="1437" t="s">
        <v>1464</v>
      </c>
      <c r="C13" s="810">
        <v>342</v>
      </c>
      <c r="D13" s="50"/>
    </row>
    <row r="14" spans="1:4" ht="12">
      <c r="A14" s="1">
        <v>10</v>
      </c>
      <c r="B14" s="1437" t="s">
        <v>1465</v>
      </c>
      <c r="C14" s="382">
        <v>277</v>
      </c>
      <c r="D14" s="50"/>
    </row>
    <row r="16" spans="1:4" ht="24" customHeight="1">
      <c r="A16" s="2094" t="s">
        <v>3724</v>
      </c>
      <c r="B16" s="2094"/>
      <c r="C16" s="2094"/>
    </row>
    <row r="17" spans="1:3">
      <c r="A17" s="392" t="s">
        <v>1422</v>
      </c>
    </row>
    <row r="19" spans="1:3" ht="12">
      <c r="B19" s="1438"/>
      <c r="C19" s="1439"/>
    </row>
    <row r="20" spans="1:3" ht="12">
      <c r="B20" s="1438"/>
      <c r="C20" s="1439"/>
    </row>
    <row r="21" spans="1:3" ht="12">
      <c r="B21" s="1438"/>
      <c r="C21" s="1439"/>
    </row>
  </sheetData>
  <mergeCells count="2">
    <mergeCell ref="A2:C2"/>
    <mergeCell ref="A16:C16"/>
  </mergeCell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dimension ref="A2:I38"/>
  <sheetViews>
    <sheetView zoomScaleNormal="100" workbookViewId="0"/>
  </sheetViews>
  <sheetFormatPr baseColWidth="10" defaultRowHeight="11.25"/>
  <cols>
    <col min="1" max="1" width="4.5703125" style="2" customWidth="1"/>
    <col min="2" max="2" width="24.5703125" style="2" customWidth="1"/>
    <col min="3" max="3" width="19.42578125" style="2" customWidth="1"/>
    <col min="4" max="4" width="14" style="2" customWidth="1"/>
    <col min="5" max="5" width="13.85546875" style="1435" customWidth="1"/>
    <col min="6" max="16384" width="11.42578125" style="2"/>
  </cols>
  <sheetData>
    <row r="2" spans="1:5" ht="24.75" customHeight="1">
      <c r="A2" s="2096" t="s">
        <v>3288</v>
      </c>
      <c r="B2" s="2096"/>
      <c r="C2" s="2096"/>
      <c r="D2" s="2096"/>
      <c r="E2" s="2096"/>
    </row>
    <row r="3" spans="1:5">
      <c r="A3" s="814"/>
      <c r="B3" s="803"/>
      <c r="C3" s="803"/>
      <c r="D3" s="803"/>
    </row>
    <row r="4" spans="1:5" s="1436" customFormat="1" ht="27" customHeight="1">
      <c r="A4" s="1210" t="s">
        <v>1453</v>
      </c>
      <c r="B4" s="1210" t="s">
        <v>1466</v>
      </c>
      <c r="C4" s="1210" t="s">
        <v>1303</v>
      </c>
      <c r="D4" s="1210" t="s">
        <v>1467</v>
      </c>
      <c r="E4" s="1211" t="s">
        <v>1468</v>
      </c>
    </row>
    <row r="5" spans="1:5">
      <c r="A5" s="1430">
        <v>1</v>
      </c>
      <c r="B5" s="1437" t="s">
        <v>1469</v>
      </c>
      <c r="C5" s="1437" t="s">
        <v>1456</v>
      </c>
      <c r="D5" s="1437" t="s">
        <v>1431</v>
      </c>
      <c r="E5" s="2">
        <v>467</v>
      </c>
    </row>
    <row r="6" spans="1:5">
      <c r="A6" s="1430">
        <v>2</v>
      </c>
      <c r="B6" s="1437" t="s">
        <v>1470</v>
      </c>
      <c r="C6" s="1437" t="s">
        <v>1457</v>
      </c>
      <c r="D6" s="1437" t="s">
        <v>1436</v>
      </c>
      <c r="E6" s="2">
        <v>419</v>
      </c>
    </row>
    <row r="7" spans="1:5">
      <c r="A7" s="1430">
        <v>3</v>
      </c>
      <c r="B7" s="1437" t="s">
        <v>1471</v>
      </c>
      <c r="C7" s="1437" t="s">
        <v>1456</v>
      </c>
      <c r="D7" s="1437" t="s">
        <v>1431</v>
      </c>
      <c r="E7" s="2">
        <v>353</v>
      </c>
    </row>
    <row r="8" spans="1:5">
      <c r="A8" s="1430">
        <v>4</v>
      </c>
      <c r="B8" s="1437" t="s">
        <v>1472</v>
      </c>
      <c r="C8" s="1437" t="s">
        <v>1460</v>
      </c>
      <c r="D8" s="1437" t="s">
        <v>1429</v>
      </c>
      <c r="E8" s="2">
        <v>299</v>
      </c>
    </row>
    <row r="9" spans="1:5">
      <c r="A9" s="1430">
        <v>5</v>
      </c>
      <c r="B9" s="1437" t="s">
        <v>1473</v>
      </c>
      <c r="C9" s="1437" t="s">
        <v>1462</v>
      </c>
      <c r="D9" s="1437" t="s">
        <v>1428</v>
      </c>
      <c r="E9" s="2">
        <v>269</v>
      </c>
    </row>
    <row r="10" spans="1:5">
      <c r="A10" s="1430">
        <v>6</v>
      </c>
      <c r="B10" s="1437" t="s">
        <v>1474</v>
      </c>
      <c r="C10" s="1437" t="s">
        <v>1475</v>
      </c>
      <c r="D10" s="1437" t="s">
        <v>1429</v>
      </c>
      <c r="E10" s="2">
        <v>190</v>
      </c>
    </row>
    <row r="11" spans="1:5">
      <c r="A11" s="1430">
        <v>7</v>
      </c>
      <c r="B11" s="1437" t="s">
        <v>1476</v>
      </c>
      <c r="C11" s="1437" t="s">
        <v>1461</v>
      </c>
      <c r="D11" s="1437" t="s">
        <v>1429</v>
      </c>
      <c r="E11" s="2">
        <v>180</v>
      </c>
    </row>
    <row r="12" spans="1:5">
      <c r="A12" s="1430">
        <v>8</v>
      </c>
      <c r="B12" s="1437" t="s">
        <v>1477</v>
      </c>
      <c r="C12" s="1437" t="s">
        <v>1459</v>
      </c>
      <c r="D12" s="1437" t="s">
        <v>1431</v>
      </c>
      <c r="E12" s="2">
        <v>180</v>
      </c>
    </row>
    <row r="13" spans="1:5">
      <c r="A13" s="1430">
        <v>9</v>
      </c>
      <c r="B13" s="1437" t="s">
        <v>1478</v>
      </c>
      <c r="C13" s="1437" t="s">
        <v>1479</v>
      </c>
      <c r="D13" s="1437" t="s">
        <v>1429</v>
      </c>
      <c r="E13" s="2">
        <v>154</v>
      </c>
    </row>
    <row r="14" spans="1:5">
      <c r="A14" s="1430">
        <v>10</v>
      </c>
      <c r="B14" s="1" t="s">
        <v>1480</v>
      </c>
      <c r="C14" s="1" t="s">
        <v>1456</v>
      </c>
      <c r="D14" s="1" t="s">
        <v>1431</v>
      </c>
      <c r="E14" s="2">
        <v>153</v>
      </c>
    </row>
    <row r="15" spans="1:5">
      <c r="A15" s="1430"/>
      <c r="B15" s="1"/>
      <c r="C15" s="1"/>
      <c r="D15" s="1"/>
      <c r="E15" s="785"/>
    </row>
    <row r="16" spans="1:5" ht="22.5" customHeight="1">
      <c r="A16" s="2094" t="s">
        <v>3724</v>
      </c>
      <c r="B16" s="2094"/>
      <c r="C16" s="2094"/>
      <c r="D16" s="2094"/>
      <c r="E16" s="2094"/>
    </row>
    <row r="17" spans="1:9">
      <c r="A17" s="392" t="s">
        <v>1422</v>
      </c>
    </row>
    <row r="20" spans="1:9" ht="12">
      <c r="B20" s="1438"/>
      <c r="C20" s="1439"/>
    </row>
    <row r="21" spans="1:9" ht="12">
      <c r="B21" s="1438"/>
      <c r="C21" s="1439"/>
    </row>
    <row r="22" spans="1:9" ht="12">
      <c r="B22" s="1438"/>
      <c r="C22" s="1439"/>
    </row>
    <row r="23" spans="1:9" ht="12">
      <c r="B23" s="1438"/>
      <c r="C23" s="1439"/>
    </row>
    <row r="24" spans="1:9" ht="12">
      <c r="B24" s="1438"/>
      <c r="C24" s="1439"/>
    </row>
    <row r="25" spans="1:9" ht="12">
      <c r="B25" s="1438"/>
      <c r="C25" s="1439"/>
    </row>
    <row r="26" spans="1:9" ht="12">
      <c r="B26" s="1438"/>
      <c r="C26" s="1439"/>
    </row>
    <row r="27" spans="1:9" ht="12">
      <c r="B27" s="1438"/>
      <c r="C27" s="1439"/>
    </row>
    <row r="28" spans="1:9" ht="12">
      <c r="B28" s="1438"/>
      <c r="C28" s="1439"/>
      <c r="E28" s="1381"/>
      <c r="F28" s="1381"/>
      <c r="G28" s="1381"/>
      <c r="H28" s="1381"/>
      <c r="I28" s="1381"/>
    </row>
    <row r="29" spans="1:9" ht="12">
      <c r="B29" s="1438"/>
      <c r="C29" s="1439"/>
    </row>
    <row r="30" spans="1:9" ht="12">
      <c r="B30" s="1438"/>
      <c r="C30" s="1439"/>
    </row>
    <row r="31" spans="1:9" ht="12">
      <c r="B31" s="1438"/>
      <c r="C31" s="1439"/>
    </row>
    <row r="32" spans="1:9" ht="12">
      <c r="B32" s="1438"/>
      <c r="C32" s="1439"/>
    </row>
    <row r="33" spans="2:3" ht="12">
      <c r="B33" s="1438"/>
      <c r="C33" s="1439"/>
    </row>
    <row r="34" spans="2:3" ht="12">
      <c r="B34" s="1438"/>
      <c r="C34" s="1439"/>
    </row>
    <row r="35" spans="2:3" ht="12">
      <c r="B35" s="1438"/>
      <c r="C35" s="1439"/>
    </row>
    <row r="36" spans="2:3" ht="12">
      <c r="B36" s="1438"/>
      <c r="C36" s="1439"/>
    </row>
    <row r="37" spans="2:3" ht="12">
      <c r="B37" s="1438"/>
      <c r="C37" s="1439"/>
    </row>
    <row r="38" spans="2:3" ht="12">
      <c r="B38" s="1438"/>
      <c r="C38" s="1439"/>
    </row>
  </sheetData>
  <mergeCells count="2">
    <mergeCell ref="A2:E2"/>
    <mergeCell ref="A16:E16"/>
  </mergeCells>
  <pageMargins left="0.7" right="0.7" top="0.75" bottom="0.75" header="0.3" footer="0.3"/>
  <pageSetup orientation="portrait" horizontalDpi="300" verticalDpi="300" r:id="rId1"/>
</worksheet>
</file>

<file path=xl/worksheets/sheet136.xml><?xml version="1.0" encoding="utf-8"?>
<worksheet xmlns="http://schemas.openxmlformats.org/spreadsheetml/2006/main" xmlns:r="http://schemas.openxmlformats.org/officeDocument/2006/relationships">
  <dimension ref="A2:B25"/>
  <sheetViews>
    <sheetView zoomScaleNormal="100" workbookViewId="0">
      <selection activeCell="B31" sqref="B31"/>
    </sheetView>
  </sheetViews>
  <sheetFormatPr baseColWidth="10" defaultRowHeight="12"/>
  <cols>
    <col min="1" max="1" width="21.28515625" style="50" customWidth="1"/>
    <col min="2" max="2" width="35.140625" style="50" customWidth="1"/>
    <col min="3" max="16384" width="11.42578125" style="50"/>
  </cols>
  <sheetData>
    <row r="2" spans="1:2" ht="36" customHeight="1">
      <c r="A2" s="2283" t="s">
        <v>3287</v>
      </c>
      <c r="B2" s="2283"/>
    </row>
    <row r="3" spans="1:2" ht="7.5" customHeight="1">
      <c r="A3" s="1431"/>
      <c r="B3" s="1431"/>
    </row>
    <row r="4" spans="1:2" ht="23.25" customHeight="1">
      <c r="A4" s="1211" t="s">
        <v>671</v>
      </c>
      <c r="B4" s="1211" t="s">
        <v>1481</v>
      </c>
    </row>
    <row r="5" spans="1:2">
      <c r="A5" s="1432">
        <v>1994</v>
      </c>
      <c r="B5" s="1433">
        <v>124</v>
      </c>
    </row>
    <row r="6" spans="1:2">
      <c r="A6" s="1432">
        <v>1995</v>
      </c>
      <c r="B6" s="1433">
        <v>1194</v>
      </c>
    </row>
    <row r="7" spans="1:2">
      <c r="A7" s="1432">
        <v>1997</v>
      </c>
      <c r="B7" s="1433">
        <v>1222</v>
      </c>
    </row>
    <row r="8" spans="1:2">
      <c r="A8" s="1432">
        <v>1999</v>
      </c>
      <c r="B8" s="1433">
        <v>1323</v>
      </c>
    </row>
    <row r="9" spans="1:2">
      <c r="A9" s="1432">
        <v>2000</v>
      </c>
      <c r="B9" s="1433">
        <v>1381</v>
      </c>
    </row>
    <row r="10" spans="1:2">
      <c r="A10" s="1432">
        <v>2001</v>
      </c>
      <c r="B10" s="1433">
        <v>1415</v>
      </c>
    </row>
    <row r="11" spans="1:2">
      <c r="A11" s="1432">
        <v>2003</v>
      </c>
      <c r="B11" s="1433">
        <v>1420</v>
      </c>
    </row>
    <row r="12" spans="1:2">
      <c r="A12" s="1432">
        <v>2004</v>
      </c>
      <c r="B12" s="1433">
        <v>1517</v>
      </c>
    </row>
    <row r="13" spans="1:2">
      <c r="A13" s="1432">
        <v>2005</v>
      </c>
      <c r="B13" s="1433">
        <v>1602</v>
      </c>
    </row>
    <row r="14" spans="1:2">
      <c r="A14" s="1432">
        <v>2007</v>
      </c>
      <c r="B14" s="1433">
        <v>1622</v>
      </c>
    </row>
    <row r="15" spans="1:2">
      <c r="A15" s="1432">
        <v>2008</v>
      </c>
      <c r="B15" s="1433">
        <v>1766</v>
      </c>
    </row>
    <row r="16" spans="1:2">
      <c r="A16" s="1432">
        <v>2009</v>
      </c>
      <c r="B16" s="1433">
        <v>1910</v>
      </c>
    </row>
    <row r="17" spans="1:2">
      <c r="A17" s="1432">
        <v>2010</v>
      </c>
      <c r="B17" s="1433">
        <v>2051</v>
      </c>
    </row>
    <row r="18" spans="1:2">
      <c r="A18" s="1432">
        <v>2011</v>
      </c>
      <c r="B18" s="1433">
        <v>2156</v>
      </c>
    </row>
    <row r="19" spans="1:2">
      <c r="A19" s="1432">
        <v>2012</v>
      </c>
      <c r="B19" s="1433">
        <v>2232</v>
      </c>
    </row>
    <row r="20" spans="1:2">
      <c r="A20" s="1432">
        <v>2013</v>
      </c>
      <c r="B20" s="1433">
        <v>2287</v>
      </c>
    </row>
    <row r="21" spans="1:2">
      <c r="A21" s="1432">
        <v>2014</v>
      </c>
      <c r="B21" s="1434">
        <v>2332</v>
      </c>
    </row>
    <row r="22" spans="1:2">
      <c r="A22" s="2284"/>
      <c r="B22" s="2284"/>
    </row>
    <row r="23" spans="1:2">
      <c r="A23" s="2285" t="s">
        <v>3716</v>
      </c>
      <c r="B23" s="2285"/>
    </row>
    <row r="24" spans="1:2" ht="69.75" customHeight="1">
      <c r="A24" s="2285" t="s">
        <v>3723</v>
      </c>
      <c r="B24" s="2285"/>
    </row>
    <row r="25" spans="1:2" ht="30" customHeight="1">
      <c r="A25" s="2285" t="s">
        <v>1482</v>
      </c>
      <c r="B25" s="2285"/>
    </row>
  </sheetData>
  <mergeCells count="5">
    <mergeCell ref="A2:B2"/>
    <mergeCell ref="A22:B22"/>
    <mergeCell ref="A23:B23"/>
    <mergeCell ref="A25:B25"/>
    <mergeCell ref="A24:B24"/>
  </mergeCells>
  <pageMargins left="0.7" right="0.7" top="0.75" bottom="0.75" header="0.3" footer="0.3"/>
</worksheet>
</file>

<file path=xl/worksheets/sheet137.xml><?xml version="1.0" encoding="utf-8"?>
<worksheet xmlns="http://schemas.openxmlformats.org/spreadsheetml/2006/main" xmlns:r="http://schemas.openxmlformats.org/officeDocument/2006/relationships">
  <dimension ref="A1:F19"/>
  <sheetViews>
    <sheetView zoomScaleNormal="100" workbookViewId="0">
      <selection activeCell="B28" sqref="B28"/>
    </sheetView>
  </sheetViews>
  <sheetFormatPr baseColWidth="10" defaultRowHeight="12"/>
  <cols>
    <col min="1" max="1" width="20.140625" style="50" customWidth="1"/>
    <col min="2" max="2" width="30.5703125" style="50" customWidth="1"/>
    <col min="3" max="16384" width="11.42578125" style="50"/>
  </cols>
  <sheetData>
    <row r="1" spans="1:6" ht="7.5" customHeight="1"/>
    <row r="2" spans="1:6" ht="37.5" customHeight="1">
      <c r="A2" s="2286" t="s">
        <v>3286</v>
      </c>
      <c r="B2" s="2286"/>
      <c r="C2" s="124"/>
      <c r="D2" s="124"/>
      <c r="E2" s="124"/>
      <c r="F2" s="124"/>
    </row>
    <row r="3" spans="1:6" ht="6" customHeight="1">
      <c r="A3" s="1429"/>
      <c r="B3" s="1429"/>
    </row>
    <row r="4" spans="1:6" ht="22.5">
      <c r="A4" s="1211" t="s">
        <v>671</v>
      </c>
      <c r="B4" s="1211" t="s">
        <v>1481</v>
      </c>
    </row>
    <row r="5" spans="1:6" ht="13.5">
      <c r="A5" s="1430" t="s">
        <v>3721</v>
      </c>
      <c r="B5" s="409">
        <v>532</v>
      </c>
    </row>
    <row r="6" spans="1:6">
      <c r="A6" s="1430">
        <v>2005</v>
      </c>
      <c r="B6" s="409">
        <v>867</v>
      </c>
    </row>
    <row r="7" spans="1:6">
      <c r="A7" s="1430">
        <v>2006</v>
      </c>
      <c r="B7" s="409">
        <v>1896</v>
      </c>
    </row>
    <row r="8" spans="1:6">
      <c r="A8" s="1430">
        <v>2007</v>
      </c>
      <c r="B8" s="409">
        <v>3003</v>
      </c>
    </row>
    <row r="9" spans="1:6">
      <c r="A9" s="1430">
        <v>2008</v>
      </c>
      <c r="B9" s="409">
        <v>3971</v>
      </c>
    </row>
    <row r="10" spans="1:6">
      <c r="A10" s="1430">
        <v>2009</v>
      </c>
      <c r="B10" s="409">
        <v>6395</v>
      </c>
    </row>
    <row r="11" spans="1:6">
      <c r="A11" s="1430">
        <v>2010</v>
      </c>
      <c r="B11" s="409">
        <v>7368</v>
      </c>
    </row>
    <row r="12" spans="1:6">
      <c r="A12" s="1430">
        <v>2011</v>
      </c>
      <c r="B12" s="409">
        <v>8276</v>
      </c>
    </row>
    <row r="13" spans="1:6">
      <c r="A13" s="1430">
        <v>2012</v>
      </c>
      <c r="B13" s="409">
        <v>8347</v>
      </c>
    </row>
    <row r="14" spans="1:6">
      <c r="A14" s="1430">
        <v>2013</v>
      </c>
      <c r="B14" s="409">
        <v>8413</v>
      </c>
    </row>
    <row r="15" spans="1:6">
      <c r="A15" s="1430">
        <v>2014</v>
      </c>
      <c r="B15" s="401">
        <v>8456</v>
      </c>
    </row>
    <row r="16" spans="1:6">
      <c r="A16" s="2287"/>
      <c r="B16" s="2287"/>
    </row>
    <row r="17" spans="1:2" ht="18" customHeight="1">
      <c r="A17" s="2288" t="s">
        <v>3716</v>
      </c>
      <c r="B17" s="2288"/>
    </row>
    <row r="18" spans="1:2" ht="46.5" customHeight="1">
      <c r="A18" s="2288" t="s">
        <v>3722</v>
      </c>
      <c r="B18" s="2288"/>
    </row>
    <row r="19" spans="1:2" ht="27.75" customHeight="1">
      <c r="A19" s="2285" t="s">
        <v>1483</v>
      </c>
      <c r="B19" s="2285"/>
    </row>
  </sheetData>
  <mergeCells count="5">
    <mergeCell ref="A2:B2"/>
    <mergeCell ref="A16:B16"/>
    <mergeCell ref="A17:B17"/>
    <mergeCell ref="A19:B19"/>
    <mergeCell ref="A18:B18"/>
  </mergeCells>
  <pageMargins left="0.7" right="0.7" top="0.75" bottom="0.75" header="0.3" footer="0.3"/>
</worksheet>
</file>

<file path=xl/worksheets/sheet138.xml><?xml version="1.0" encoding="utf-8"?>
<worksheet xmlns="http://schemas.openxmlformats.org/spreadsheetml/2006/main" xmlns:r="http://schemas.openxmlformats.org/officeDocument/2006/relationships">
  <dimension ref="A1:F27"/>
  <sheetViews>
    <sheetView zoomScaleNormal="100" workbookViewId="0">
      <selection activeCell="F12" sqref="F12"/>
    </sheetView>
  </sheetViews>
  <sheetFormatPr baseColWidth="10" defaultRowHeight="12"/>
  <cols>
    <col min="1" max="1" width="20" style="50" customWidth="1"/>
    <col min="2" max="2" width="13.42578125" style="50" customWidth="1"/>
    <col min="3" max="3" width="14.28515625" style="50" customWidth="1"/>
    <col min="4" max="4" width="16.140625" style="50" customWidth="1"/>
    <col min="5" max="16384" width="11.42578125" style="50"/>
  </cols>
  <sheetData>
    <row r="1" spans="1:6" ht="15" customHeight="1"/>
    <row r="2" spans="1:6" ht="42.75" customHeight="1">
      <c r="A2" s="2291" t="s">
        <v>3285</v>
      </c>
      <c r="B2" s="2291"/>
      <c r="C2" s="2291"/>
      <c r="D2" s="2291"/>
    </row>
    <row r="3" spans="1:6">
      <c r="A3" s="2014"/>
      <c r="B3" s="2014"/>
      <c r="C3" s="2014"/>
      <c r="D3" s="2014"/>
    </row>
    <row r="4" spans="1:6">
      <c r="A4" s="2282" t="s">
        <v>1484</v>
      </c>
      <c r="B4" s="2282" t="s">
        <v>26</v>
      </c>
      <c r="C4" s="2292" t="s">
        <v>1485</v>
      </c>
      <c r="D4" s="2292"/>
    </row>
    <row r="5" spans="1:6" ht="12.75">
      <c r="A5" s="2282"/>
      <c r="B5" s="2282"/>
      <c r="C5" s="1210" t="s">
        <v>1486</v>
      </c>
      <c r="D5" s="1210" t="s">
        <v>3718</v>
      </c>
    </row>
    <row r="6" spans="1:6">
      <c r="A6" s="395" t="s">
        <v>6</v>
      </c>
      <c r="B6" s="1427">
        <f>SUM(B7:B21)</f>
        <v>10788</v>
      </c>
      <c r="C6" s="1427">
        <f>SUM(C7:C21)</f>
        <v>8456</v>
      </c>
      <c r="D6" s="1427">
        <f>SUM(D7:D21)</f>
        <v>2332</v>
      </c>
      <c r="E6" s="296"/>
      <c r="F6" s="296"/>
    </row>
    <row r="7" spans="1:6">
      <c r="A7" s="59" t="s">
        <v>7</v>
      </c>
      <c r="B7" s="1427">
        <v>117</v>
      </c>
      <c r="C7" s="1428">
        <v>88</v>
      </c>
      <c r="D7" s="787">
        <v>29</v>
      </c>
    </row>
    <row r="8" spans="1:6">
      <c r="A8" s="59" t="s">
        <v>8</v>
      </c>
      <c r="B8" s="1427">
        <v>180</v>
      </c>
      <c r="C8" s="1428">
        <v>126</v>
      </c>
      <c r="D8" s="787">
        <v>54</v>
      </c>
    </row>
    <row r="9" spans="1:6">
      <c r="A9" s="59" t="s">
        <v>9</v>
      </c>
      <c r="B9" s="1427">
        <v>181</v>
      </c>
      <c r="C9" s="1428">
        <v>123</v>
      </c>
      <c r="D9" s="787">
        <v>58</v>
      </c>
    </row>
    <row r="10" spans="1:6">
      <c r="A10" s="59" t="s">
        <v>10</v>
      </c>
      <c r="B10" s="1427">
        <v>153</v>
      </c>
      <c r="C10" s="1428">
        <v>117</v>
      </c>
      <c r="D10" s="787">
        <v>36</v>
      </c>
    </row>
    <row r="11" spans="1:6">
      <c r="A11" s="59" t="s">
        <v>11</v>
      </c>
      <c r="B11" s="1427">
        <v>707</v>
      </c>
      <c r="C11" s="1428">
        <v>582</v>
      </c>
      <c r="D11" s="787">
        <v>125</v>
      </c>
    </row>
    <row r="12" spans="1:6">
      <c r="A12" s="59" t="s">
        <v>12</v>
      </c>
      <c r="B12" s="1427">
        <v>1002</v>
      </c>
      <c r="C12" s="1428">
        <v>710</v>
      </c>
      <c r="D12" s="787">
        <v>292</v>
      </c>
    </row>
    <row r="13" spans="1:6">
      <c r="A13" s="59" t="s">
        <v>13</v>
      </c>
      <c r="B13" s="1427">
        <v>2385</v>
      </c>
      <c r="C13" s="1428">
        <v>1600</v>
      </c>
      <c r="D13" s="787">
        <v>785</v>
      </c>
    </row>
    <row r="14" spans="1:6">
      <c r="A14" s="59" t="s">
        <v>14</v>
      </c>
      <c r="B14" s="1427">
        <v>619</v>
      </c>
      <c r="C14" s="1428">
        <v>497</v>
      </c>
      <c r="D14" s="787">
        <v>122</v>
      </c>
    </row>
    <row r="15" spans="1:6">
      <c r="A15" s="59" t="s">
        <v>15</v>
      </c>
      <c r="B15" s="1427">
        <v>847</v>
      </c>
      <c r="C15" s="1428">
        <v>698</v>
      </c>
      <c r="D15" s="787">
        <v>149</v>
      </c>
    </row>
    <row r="16" spans="1:6">
      <c r="A16" s="59" t="s">
        <v>16</v>
      </c>
      <c r="B16" s="1427">
        <v>1457</v>
      </c>
      <c r="C16" s="1428">
        <v>1196</v>
      </c>
      <c r="D16" s="787">
        <v>261</v>
      </c>
    </row>
    <row r="17" spans="1:4">
      <c r="A17" s="59" t="s">
        <v>17</v>
      </c>
      <c r="B17" s="1427">
        <v>1299</v>
      </c>
      <c r="C17" s="1428">
        <v>1144</v>
      </c>
      <c r="D17" s="787">
        <v>155</v>
      </c>
    </row>
    <row r="18" spans="1:4">
      <c r="A18" s="59" t="s">
        <v>276</v>
      </c>
      <c r="B18" s="1427">
        <v>561</v>
      </c>
      <c r="C18" s="1428">
        <v>482</v>
      </c>
      <c r="D18" s="787">
        <v>79</v>
      </c>
    </row>
    <row r="19" spans="1:4">
      <c r="A19" s="59" t="s">
        <v>280</v>
      </c>
      <c r="B19" s="1427">
        <v>1100</v>
      </c>
      <c r="C19" s="1428">
        <v>960</v>
      </c>
      <c r="D19" s="787">
        <v>140</v>
      </c>
    </row>
    <row r="20" spans="1:4">
      <c r="A20" s="59" t="s">
        <v>20</v>
      </c>
      <c r="B20" s="1427">
        <v>93</v>
      </c>
      <c r="C20" s="1428">
        <v>72</v>
      </c>
      <c r="D20" s="787">
        <v>21</v>
      </c>
    </row>
    <row r="21" spans="1:4">
      <c r="A21" s="59" t="s">
        <v>21</v>
      </c>
      <c r="B21" s="1427">
        <v>87</v>
      </c>
      <c r="C21" s="1428">
        <v>61</v>
      </c>
      <c r="D21" s="787">
        <v>26</v>
      </c>
    </row>
    <row r="22" spans="1:4">
      <c r="A22" s="2293"/>
      <c r="B22" s="2293"/>
      <c r="C22" s="2293"/>
      <c r="D22" s="2293"/>
    </row>
    <row r="23" spans="1:4">
      <c r="A23" s="2294" t="s">
        <v>3716</v>
      </c>
      <c r="B23" s="2294"/>
      <c r="C23" s="2294"/>
      <c r="D23" s="2294"/>
    </row>
    <row r="24" spans="1:4" ht="28.5" customHeight="1">
      <c r="A24" s="2289" t="s">
        <v>3719</v>
      </c>
      <c r="B24" s="2289"/>
      <c r="C24" s="2289"/>
      <c r="D24" s="2289"/>
    </row>
    <row r="25" spans="1:4" ht="30.75" customHeight="1">
      <c r="A25" s="2289" t="s">
        <v>3720</v>
      </c>
      <c r="B25" s="2289"/>
      <c r="C25" s="2289"/>
      <c r="D25" s="2289"/>
    </row>
    <row r="26" spans="1:4">
      <c r="A26" s="2290"/>
      <c r="B26" s="2290"/>
      <c r="C26" s="2290"/>
      <c r="D26" s="2290"/>
    </row>
    <row r="27" spans="1:4" ht="27" customHeight="1">
      <c r="A27" s="2289" t="s">
        <v>1487</v>
      </c>
      <c r="B27" s="2289"/>
      <c r="C27" s="2289"/>
      <c r="D27" s="2289"/>
    </row>
  </sheetData>
  <mergeCells count="10">
    <mergeCell ref="A24:D24"/>
    <mergeCell ref="A25:D25"/>
    <mergeCell ref="A26:D26"/>
    <mergeCell ref="A27:D27"/>
    <mergeCell ref="A2:D2"/>
    <mergeCell ref="A4:A5"/>
    <mergeCell ref="B4:B5"/>
    <mergeCell ref="C4:D4"/>
    <mergeCell ref="A22:D22"/>
    <mergeCell ref="A23:D23"/>
  </mergeCells>
  <pageMargins left="0.7" right="0.7" top="0.75" bottom="0.75" header="0.3" footer="0.3"/>
</worksheet>
</file>

<file path=xl/worksheets/sheet139.xml><?xml version="1.0" encoding="utf-8"?>
<worksheet xmlns="http://schemas.openxmlformats.org/spreadsheetml/2006/main" xmlns:r="http://schemas.openxmlformats.org/officeDocument/2006/relationships">
  <dimension ref="A1:C24"/>
  <sheetViews>
    <sheetView zoomScaleNormal="100" workbookViewId="0">
      <selection activeCell="B29" sqref="B29"/>
    </sheetView>
  </sheetViews>
  <sheetFormatPr baseColWidth="10" defaultRowHeight="12"/>
  <cols>
    <col min="1" max="1" width="17.85546875" style="50" customWidth="1"/>
    <col min="2" max="2" width="16.85546875" style="50" customWidth="1"/>
    <col min="3" max="3" width="20.7109375" style="50" customWidth="1"/>
    <col min="4" max="16384" width="11.42578125" style="50"/>
  </cols>
  <sheetData>
    <row r="1" spans="1:3" ht="6.75" customHeight="1"/>
    <row r="2" spans="1:3" ht="48.75" customHeight="1">
      <c r="A2" s="2296" t="s">
        <v>3284</v>
      </c>
      <c r="B2" s="2296"/>
      <c r="C2" s="2296"/>
    </row>
    <row r="3" spans="1:3" ht="4.5" customHeight="1">
      <c r="A3" s="1201"/>
      <c r="B3" s="1201"/>
      <c r="C3" s="1201"/>
    </row>
    <row r="4" spans="1:3">
      <c r="A4" s="2297" t="s">
        <v>190</v>
      </c>
      <c r="B4" s="2298" t="s">
        <v>1488</v>
      </c>
      <c r="C4" s="2298"/>
    </row>
    <row r="5" spans="1:3" ht="22.5">
      <c r="A5" s="2297"/>
      <c r="B5" s="389" t="s">
        <v>1489</v>
      </c>
      <c r="C5" s="1355" t="s">
        <v>1490</v>
      </c>
    </row>
    <row r="6" spans="1:3">
      <c r="A6" s="54" t="s">
        <v>6</v>
      </c>
      <c r="B6" s="386">
        <v>8456</v>
      </c>
      <c r="C6" s="386">
        <v>1951416</v>
      </c>
    </row>
    <row r="7" spans="1:3">
      <c r="A7" s="62" t="s">
        <v>7</v>
      </c>
      <c r="B7" s="349">
        <v>88</v>
      </c>
      <c r="C7" s="349">
        <v>30110</v>
      </c>
    </row>
    <row r="8" spans="1:3">
      <c r="A8" s="62" t="s">
        <v>8</v>
      </c>
      <c r="B8" s="349">
        <v>126</v>
      </c>
      <c r="C8" s="349">
        <v>43691</v>
      </c>
    </row>
    <row r="9" spans="1:3">
      <c r="A9" s="62" t="s">
        <v>9</v>
      </c>
      <c r="B9" s="349">
        <v>123</v>
      </c>
      <c r="C9" s="349">
        <v>72381</v>
      </c>
    </row>
    <row r="10" spans="1:3">
      <c r="A10" s="62" t="s">
        <v>10</v>
      </c>
      <c r="B10" s="349">
        <v>117</v>
      </c>
      <c r="C10" s="349">
        <v>41990</v>
      </c>
    </row>
    <row r="11" spans="1:3">
      <c r="A11" s="62" t="s">
        <v>11</v>
      </c>
      <c r="B11" s="349">
        <v>582</v>
      </c>
      <c r="C11" s="349">
        <v>95539</v>
      </c>
    </row>
    <row r="12" spans="1:3">
      <c r="A12" s="62" t="s">
        <v>12</v>
      </c>
      <c r="B12" s="349">
        <v>710</v>
      </c>
      <c r="C12" s="349">
        <v>181580</v>
      </c>
    </row>
    <row r="13" spans="1:3">
      <c r="A13" s="62" t="s">
        <v>13</v>
      </c>
      <c r="B13" s="349">
        <v>1600</v>
      </c>
      <c r="C13" s="349">
        <v>692135</v>
      </c>
    </row>
    <row r="14" spans="1:3">
      <c r="A14" s="62" t="s">
        <v>14</v>
      </c>
      <c r="B14" s="349">
        <v>497</v>
      </c>
      <c r="C14" s="349">
        <v>112409</v>
      </c>
    </row>
    <row r="15" spans="1:3">
      <c r="A15" s="62" t="s">
        <v>15</v>
      </c>
      <c r="B15" s="349">
        <v>698</v>
      </c>
      <c r="C15" s="349">
        <v>127351</v>
      </c>
    </row>
    <row r="16" spans="1:3">
      <c r="A16" s="62" t="s">
        <v>16</v>
      </c>
      <c r="B16" s="349">
        <v>1196</v>
      </c>
      <c r="C16" s="349">
        <v>243987</v>
      </c>
    </row>
    <row r="17" spans="1:3">
      <c r="A17" s="62" t="s">
        <v>17</v>
      </c>
      <c r="B17" s="349">
        <v>1144</v>
      </c>
      <c r="C17" s="349">
        <v>120904</v>
      </c>
    </row>
    <row r="18" spans="1:3">
      <c r="A18" s="62" t="s">
        <v>276</v>
      </c>
      <c r="B18" s="349">
        <v>482</v>
      </c>
      <c r="C18" s="349">
        <v>46166</v>
      </c>
    </row>
    <row r="19" spans="1:3">
      <c r="A19" s="62" t="s">
        <v>280</v>
      </c>
      <c r="B19" s="349">
        <v>960</v>
      </c>
      <c r="C19" s="349">
        <v>108351</v>
      </c>
    </row>
    <row r="20" spans="1:3">
      <c r="A20" s="62" t="s">
        <v>20</v>
      </c>
      <c r="B20" s="349">
        <v>72</v>
      </c>
      <c r="C20" s="349">
        <v>16024</v>
      </c>
    </row>
    <row r="21" spans="1:3">
      <c r="A21" s="62" t="s">
        <v>21</v>
      </c>
      <c r="B21" s="349">
        <v>61</v>
      </c>
      <c r="C21" s="349">
        <v>18798</v>
      </c>
    </row>
    <row r="22" spans="1:3">
      <c r="A22" s="2299"/>
      <c r="B22" s="2299"/>
      <c r="C22" s="2299"/>
    </row>
    <row r="23" spans="1:3">
      <c r="A23" s="2300" t="s">
        <v>3717</v>
      </c>
      <c r="B23" s="2300"/>
      <c r="C23" s="2300"/>
    </row>
    <row r="24" spans="1:3" ht="28.5" customHeight="1">
      <c r="A24" s="2295" t="s">
        <v>1487</v>
      </c>
      <c r="B24" s="2295"/>
      <c r="C24" s="2295"/>
    </row>
  </sheetData>
  <mergeCells count="6">
    <mergeCell ref="A24:C24"/>
    <mergeCell ref="A2:C2"/>
    <mergeCell ref="A4:A5"/>
    <mergeCell ref="B4:C4"/>
    <mergeCell ref="A22:C22"/>
    <mergeCell ref="A23:C23"/>
  </mergeCell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2:I17"/>
  <sheetViews>
    <sheetView zoomScaleNormal="100" workbookViewId="0"/>
  </sheetViews>
  <sheetFormatPr baseColWidth="10" defaultColWidth="11.42578125" defaultRowHeight="11.25"/>
  <cols>
    <col min="1" max="1" width="32.7109375" style="117" customWidth="1"/>
    <col min="2" max="2" width="11.85546875" style="117" customWidth="1"/>
    <col min="3" max="5" width="11.42578125" style="117"/>
    <col min="6" max="6" width="13.7109375" style="117" customWidth="1"/>
    <col min="7" max="16384" width="11.42578125" style="117"/>
  </cols>
  <sheetData>
    <row r="2" spans="1:9" s="152" customFormat="1" ht="27.75" customHeight="1">
      <c r="A2" s="2033" t="s">
        <v>943</v>
      </c>
      <c r="B2" s="2033"/>
      <c r="C2" s="2033"/>
      <c r="D2" s="2033"/>
      <c r="E2" s="2033"/>
      <c r="F2" s="2033"/>
    </row>
    <row r="4" spans="1:9" ht="57.75">
      <c r="A4" s="1806" t="s">
        <v>748</v>
      </c>
      <c r="B4" s="1806" t="s">
        <v>26</v>
      </c>
      <c r="C4" s="1806" t="s">
        <v>3922</v>
      </c>
      <c r="D4" s="1806" t="s">
        <v>3923</v>
      </c>
      <c r="E4" s="1806" t="s">
        <v>749</v>
      </c>
      <c r="F4" s="1806" t="s">
        <v>3924</v>
      </c>
      <c r="G4" s="1917"/>
      <c r="I4" s="115"/>
    </row>
    <row r="5" spans="1:9">
      <c r="A5" s="115" t="s">
        <v>750</v>
      </c>
      <c r="B5" s="1918">
        <f>SUM(B6:B8)</f>
        <v>276</v>
      </c>
      <c r="C5" s="1918">
        <f>SUM(C6:C8)</f>
        <v>11</v>
      </c>
      <c r="D5" s="1918">
        <f>SUM(D6:D8)</f>
        <v>10</v>
      </c>
      <c r="E5" s="1918">
        <f>SUM(E6:E8)</f>
        <v>20</v>
      </c>
      <c r="F5" s="1918">
        <f>SUM(F6:F8)</f>
        <v>235</v>
      </c>
    </row>
    <row r="6" spans="1:9">
      <c r="A6" s="117" t="s">
        <v>751</v>
      </c>
      <c r="B6" s="126">
        <f>SUM(C6:F6)</f>
        <v>218</v>
      </c>
      <c r="C6" s="161">
        <v>9</v>
      </c>
      <c r="D6" s="161">
        <v>6</v>
      </c>
      <c r="E6" s="161">
        <v>17</v>
      </c>
      <c r="F6" s="161">
        <v>186</v>
      </c>
    </row>
    <row r="7" spans="1:9">
      <c r="A7" s="117" t="s">
        <v>752</v>
      </c>
      <c r="B7" s="126">
        <f>SUM(C7:F7)</f>
        <v>33</v>
      </c>
      <c r="C7" s="161">
        <v>1</v>
      </c>
      <c r="D7" s="161">
        <v>3</v>
      </c>
      <c r="E7" s="161">
        <v>2</v>
      </c>
      <c r="F7" s="161">
        <v>27</v>
      </c>
    </row>
    <row r="8" spans="1:9">
      <c r="A8" s="117" t="s">
        <v>753</v>
      </c>
      <c r="B8" s="126">
        <f>SUM(C8:F8)</f>
        <v>25</v>
      </c>
      <c r="C8" s="161">
        <v>1</v>
      </c>
      <c r="D8" s="161">
        <v>1</v>
      </c>
      <c r="E8" s="161">
        <v>1</v>
      </c>
      <c r="F8" s="161">
        <v>22</v>
      </c>
    </row>
    <row r="9" spans="1:9">
      <c r="A9" s="115" t="s">
        <v>754</v>
      </c>
      <c r="B9" s="1918">
        <f>SUM(B10:B11)</f>
        <v>276</v>
      </c>
      <c r="C9" s="1918">
        <f>SUM(C10:C11)</f>
        <v>11</v>
      </c>
      <c r="D9" s="1918">
        <f>SUM(D10:D11)</f>
        <v>10</v>
      </c>
      <c r="E9" s="1918">
        <f>SUM(E10:E11)</f>
        <v>20</v>
      </c>
      <c r="F9" s="1918">
        <f>SUM(F10:F11)</f>
        <v>235</v>
      </c>
    </row>
    <row r="10" spans="1:9">
      <c r="A10" s="117" t="s">
        <v>755</v>
      </c>
      <c r="B10" s="126">
        <f>SUM(C10:F10)</f>
        <v>243</v>
      </c>
      <c r="C10" s="161">
        <v>11</v>
      </c>
      <c r="D10" s="161">
        <v>10</v>
      </c>
      <c r="E10" s="161">
        <v>14</v>
      </c>
      <c r="F10" s="161">
        <v>208</v>
      </c>
      <c r="G10" s="1919"/>
    </row>
    <row r="11" spans="1:9">
      <c r="A11" s="117" t="s">
        <v>756</v>
      </c>
      <c r="B11" s="126">
        <f>SUM(C11:F11)</f>
        <v>33</v>
      </c>
      <c r="C11" s="161">
        <v>0</v>
      </c>
      <c r="D11" s="161">
        <v>0</v>
      </c>
      <c r="E11" s="161">
        <v>6</v>
      </c>
      <c r="F11" s="161">
        <v>27</v>
      </c>
      <c r="G11" s="1919"/>
    </row>
    <row r="13" spans="1:9" ht="15" customHeight="1">
      <c r="A13" s="2046" t="s">
        <v>3925</v>
      </c>
      <c r="B13" s="2046"/>
      <c r="C13" s="2046"/>
      <c r="D13" s="2046"/>
      <c r="E13" s="2046"/>
      <c r="F13" s="2046"/>
    </row>
    <row r="14" spans="1:9" ht="23.25" customHeight="1">
      <c r="A14" s="2047" t="s">
        <v>3926</v>
      </c>
      <c r="B14" s="2047"/>
      <c r="C14" s="2047"/>
      <c r="D14" s="2047"/>
      <c r="E14" s="2047"/>
      <c r="F14" s="2047"/>
    </row>
    <row r="15" spans="1:9" ht="23.25" customHeight="1">
      <c r="A15" s="2047" t="s">
        <v>3927</v>
      </c>
      <c r="B15" s="2047"/>
      <c r="C15" s="2047"/>
      <c r="D15" s="2047"/>
      <c r="E15" s="2047"/>
      <c r="F15" s="2047"/>
    </row>
    <row r="17" spans="1:6">
      <c r="A17" s="2027" t="s">
        <v>680</v>
      </c>
      <c r="B17" s="2027"/>
      <c r="C17" s="2027"/>
      <c r="D17" s="2027"/>
      <c r="E17" s="2027"/>
      <c r="F17" s="2027"/>
    </row>
  </sheetData>
  <mergeCells count="5">
    <mergeCell ref="A2:F2"/>
    <mergeCell ref="A13:F13"/>
    <mergeCell ref="A14:F14"/>
    <mergeCell ref="A15:F15"/>
    <mergeCell ref="A17:F17"/>
  </mergeCells>
  <pageMargins left="0.7" right="0.7" top="0.75" bottom="0.75" header="0.3" footer="0.3"/>
</worksheet>
</file>

<file path=xl/worksheets/sheet140.xml><?xml version="1.0" encoding="utf-8"?>
<worksheet xmlns="http://schemas.openxmlformats.org/spreadsheetml/2006/main" xmlns:r="http://schemas.openxmlformats.org/officeDocument/2006/relationships">
  <dimension ref="A1:I24"/>
  <sheetViews>
    <sheetView zoomScaleNormal="100" workbookViewId="0">
      <selection activeCell="D29" sqref="D29"/>
    </sheetView>
  </sheetViews>
  <sheetFormatPr baseColWidth="10" defaultRowHeight="12"/>
  <cols>
    <col min="1" max="1" width="14" style="50" customWidth="1"/>
    <col min="2" max="2" width="16.42578125" style="50" customWidth="1"/>
    <col min="3" max="16384" width="11.42578125" style="50"/>
  </cols>
  <sheetData>
    <row r="1" spans="1:9" ht="7.5" customHeight="1"/>
    <row r="2" spans="1:9" ht="31.5" customHeight="1">
      <c r="A2" s="2296" t="s">
        <v>3283</v>
      </c>
      <c r="B2" s="2296"/>
      <c r="C2" s="2296"/>
      <c r="D2" s="2296"/>
      <c r="E2" s="2296"/>
      <c r="F2" s="2296"/>
      <c r="G2" s="2296"/>
      <c r="H2" s="2296"/>
      <c r="I2" s="2296"/>
    </row>
    <row r="3" spans="1:9" ht="12.75" customHeight="1">
      <c r="A3" s="1421"/>
      <c r="B3" s="1421"/>
      <c r="C3" s="1421"/>
      <c r="D3" s="1421"/>
      <c r="E3" s="1421"/>
      <c r="F3" s="1421"/>
      <c r="G3" s="1421"/>
      <c r="H3" s="1421"/>
      <c r="I3" s="1421"/>
    </row>
    <row r="4" spans="1:9" ht="22.5" customHeight="1">
      <c r="A4" s="2297" t="s">
        <v>190</v>
      </c>
      <c r="B4" s="2301" t="s">
        <v>26</v>
      </c>
      <c r="C4" s="2301"/>
      <c r="D4" s="2297" t="s">
        <v>1491</v>
      </c>
      <c r="E4" s="2297"/>
      <c r="F4" s="2297" t="s">
        <v>1492</v>
      </c>
      <c r="G4" s="2297"/>
      <c r="H4" s="2297" t="s">
        <v>1493</v>
      </c>
      <c r="I4" s="2297"/>
    </row>
    <row r="5" spans="1:9" ht="45">
      <c r="A5" s="2297"/>
      <c r="B5" s="389" t="s">
        <v>1489</v>
      </c>
      <c r="C5" s="1355" t="s">
        <v>1490</v>
      </c>
      <c r="D5" s="389" t="s">
        <v>1489</v>
      </c>
      <c r="E5" s="1355" t="s">
        <v>1490</v>
      </c>
      <c r="F5" s="389" t="s">
        <v>1489</v>
      </c>
      <c r="G5" s="1355" t="s">
        <v>1490</v>
      </c>
      <c r="H5" s="389" t="s">
        <v>1489</v>
      </c>
      <c r="I5" s="1355" t="s">
        <v>1490</v>
      </c>
    </row>
    <row r="6" spans="1:9">
      <c r="A6" s="1424" t="s">
        <v>6</v>
      </c>
      <c r="B6" s="1425">
        <v>2332</v>
      </c>
      <c r="C6" s="1425">
        <v>783875</v>
      </c>
      <c r="D6" s="1425">
        <v>1352</v>
      </c>
      <c r="E6" s="1425">
        <v>351802</v>
      </c>
      <c r="F6" s="1425">
        <v>506</v>
      </c>
      <c r="G6" s="1425">
        <v>220370</v>
      </c>
      <c r="H6" s="1425">
        <v>474</v>
      </c>
      <c r="I6" s="1425">
        <v>211703</v>
      </c>
    </row>
    <row r="7" spans="1:9">
      <c r="A7" s="311" t="s">
        <v>7</v>
      </c>
      <c r="B7" s="1422">
        <v>29</v>
      </c>
      <c r="C7" s="1422">
        <v>11977</v>
      </c>
      <c r="D7" s="1426">
        <v>16</v>
      </c>
      <c r="E7" s="1426">
        <v>5454</v>
      </c>
      <c r="F7" s="1426">
        <v>8</v>
      </c>
      <c r="G7" s="1426">
        <v>3324</v>
      </c>
      <c r="H7" s="1426">
        <v>5</v>
      </c>
      <c r="I7" s="1426">
        <v>3199</v>
      </c>
    </row>
    <row r="8" spans="1:9">
      <c r="A8" s="342" t="s">
        <v>8</v>
      </c>
      <c r="B8" s="1422">
        <v>54</v>
      </c>
      <c r="C8" s="1422">
        <v>16299</v>
      </c>
      <c r="D8" s="1426">
        <v>29</v>
      </c>
      <c r="E8" s="1426">
        <v>6430</v>
      </c>
      <c r="F8" s="1426">
        <v>7</v>
      </c>
      <c r="G8" s="1426">
        <v>3045</v>
      </c>
      <c r="H8" s="1426">
        <v>18</v>
      </c>
      <c r="I8" s="1426">
        <v>6824</v>
      </c>
    </row>
    <row r="9" spans="1:9">
      <c r="A9" s="342" t="s">
        <v>9</v>
      </c>
      <c r="B9" s="1422">
        <v>58</v>
      </c>
      <c r="C9" s="1422">
        <v>28412</v>
      </c>
      <c r="D9" s="1426">
        <v>35</v>
      </c>
      <c r="E9" s="1426">
        <v>12042</v>
      </c>
      <c r="F9" s="1426">
        <v>13</v>
      </c>
      <c r="G9" s="1426">
        <v>10337</v>
      </c>
      <c r="H9" s="1426">
        <v>10</v>
      </c>
      <c r="I9" s="1426">
        <v>6033</v>
      </c>
    </row>
    <row r="10" spans="1:9">
      <c r="A10" s="342" t="s">
        <v>10</v>
      </c>
      <c r="B10" s="1422">
        <v>36</v>
      </c>
      <c r="C10" s="1422">
        <v>15192</v>
      </c>
      <c r="D10" s="1426">
        <v>13</v>
      </c>
      <c r="E10" s="1426">
        <v>3954</v>
      </c>
      <c r="F10" s="1426">
        <v>16</v>
      </c>
      <c r="G10" s="1426">
        <v>7065</v>
      </c>
      <c r="H10" s="1426">
        <v>7</v>
      </c>
      <c r="I10" s="1426">
        <v>4173</v>
      </c>
    </row>
    <row r="11" spans="1:9">
      <c r="A11" s="342" t="s">
        <v>11</v>
      </c>
      <c r="B11" s="1422">
        <v>125</v>
      </c>
      <c r="C11" s="1422">
        <v>35932</v>
      </c>
      <c r="D11" s="1426">
        <v>84</v>
      </c>
      <c r="E11" s="1426">
        <v>18165</v>
      </c>
      <c r="F11" s="1426">
        <v>20</v>
      </c>
      <c r="G11" s="1426">
        <v>9557</v>
      </c>
      <c r="H11" s="1426">
        <v>21</v>
      </c>
      <c r="I11" s="1426">
        <v>8210</v>
      </c>
    </row>
    <row r="12" spans="1:9">
      <c r="A12" s="342" t="s">
        <v>12</v>
      </c>
      <c r="B12" s="1422">
        <v>292</v>
      </c>
      <c r="C12" s="1422">
        <v>76686</v>
      </c>
      <c r="D12" s="1426">
        <v>202</v>
      </c>
      <c r="E12" s="1426">
        <v>39579</v>
      </c>
      <c r="F12" s="1426">
        <v>47</v>
      </c>
      <c r="G12" s="1426">
        <v>20315</v>
      </c>
      <c r="H12" s="1426">
        <v>43</v>
      </c>
      <c r="I12" s="1426">
        <v>16792</v>
      </c>
    </row>
    <row r="13" spans="1:9">
      <c r="A13" s="342" t="s">
        <v>13</v>
      </c>
      <c r="B13" s="1422">
        <v>785</v>
      </c>
      <c r="C13" s="1422">
        <v>283493</v>
      </c>
      <c r="D13" s="1426">
        <v>467</v>
      </c>
      <c r="E13" s="1426">
        <v>132899</v>
      </c>
      <c r="F13" s="1426">
        <v>143</v>
      </c>
      <c r="G13" s="1426">
        <v>69000</v>
      </c>
      <c r="H13" s="1426">
        <v>175</v>
      </c>
      <c r="I13" s="1426">
        <v>81594</v>
      </c>
    </row>
    <row r="14" spans="1:9">
      <c r="A14" s="342" t="s">
        <v>14</v>
      </c>
      <c r="B14" s="1422">
        <v>122</v>
      </c>
      <c r="C14" s="1422">
        <v>42627</v>
      </c>
      <c r="D14" s="1426">
        <v>79</v>
      </c>
      <c r="E14" s="1426">
        <v>20639</v>
      </c>
      <c r="F14" s="1426">
        <v>30</v>
      </c>
      <c r="G14" s="1426">
        <v>14432</v>
      </c>
      <c r="H14" s="1426">
        <v>13</v>
      </c>
      <c r="I14" s="1426">
        <v>7556</v>
      </c>
    </row>
    <row r="15" spans="1:9">
      <c r="A15" s="342" t="s">
        <v>15</v>
      </c>
      <c r="B15" s="1422">
        <v>149</v>
      </c>
      <c r="C15" s="1422">
        <v>51779</v>
      </c>
      <c r="D15" s="1426">
        <v>77</v>
      </c>
      <c r="E15" s="1426">
        <v>20881</v>
      </c>
      <c r="F15" s="1426">
        <v>43</v>
      </c>
      <c r="G15" s="1426">
        <v>14193</v>
      </c>
      <c r="H15" s="1426">
        <v>29</v>
      </c>
      <c r="I15" s="1426">
        <v>16705</v>
      </c>
    </row>
    <row r="16" spans="1:9">
      <c r="A16" s="342" t="s">
        <v>16</v>
      </c>
      <c r="B16" s="1422">
        <v>261</v>
      </c>
      <c r="C16" s="1422">
        <v>99619</v>
      </c>
      <c r="D16" s="1426">
        <v>139</v>
      </c>
      <c r="E16" s="1426">
        <v>43316</v>
      </c>
      <c r="F16" s="1426">
        <v>63</v>
      </c>
      <c r="G16" s="1426">
        <v>29844</v>
      </c>
      <c r="H16" s="1426">
        <v>59</v>
      </c>
      <c r="I16" s="1426">
        <v>26459</v>
      </c>
    </row>
    <row r="17" spans="1:9">
      <c r="A17" s="342" t="s">
        <v>17</v>
      </c>
      <c r="B17" s="1422">
        <v>155</v>
      </c>
      <c r="C17" s="1422">
        <v>50190</v>
      </c>
      <c r="D17" s="1426">
        <v>73</v>
      </c>
      <c r="E17" s="1426">
        <v>20689</v>
      </c>
      <c r="F17" s="1426">
        <v>46</v>
      </c>
      <c r="G17" s="1426">
        <v>17176</v>
      </c>
      <c r="H17" s="1426">
        <v>36</v>
      </c>
      <c r="I17" s="1426">
        <v>12325</v>
      </c>
    </row>
    <row r="18" spans="1:9">
      <c r="A18" s="342" t="s">
        <v>276</v>
      </c>
      <c r="B18" s="1422">
        <v>79</v>
      </c>
      <c r="C18" s="1422">
        <v>18327</v>
      </c>
      <c r="D18" s="1426">
        <v>39</v>
      </c>
      <c r="E18" s="1426">
        <v>7553</v>
      </c>
      <c r="F18" s="1426">
        <v>29</v>
      </c>
      <c r="G18" s="1426">
        <v>7124</v>
      </c>
      <c r="H18" s="1426">
        <v>11</v>
      </c>
      <c r="I18" s="1426">
        <v>3650</v>
      </c>
    </row>
    <row r="19" spans="1:9">
      <c r="A19" s="342" t="s">
        <v>280</v>
      </c>
      <c r="B19" s="1422">
        <v>140</v>
      </c>
      <c r="C19" s="1422">
        <v>41025</v>
      </c>
      <c r="D19" s="1426">
        <v>70</v>
      </c>
      <c r="E19" s="1426">
        <v>13862</v>
      </c>
      <c r="F19" s="1426">
        <v>34</v>
      </c>
      <c r="G19" s="1426">
        <v>12714</v>
      </c>
      <c r="H19" s="1426">
        <v>36</v>
      </c>
      <c r="I19" s="1426">
        <v>14449</v>
      </c>
    </row>
    <row r="20" spans="1:9">
      <c r="A20" s="342" t="s">
        <v>20</v>
      </c>
      <c r="B20" s="1422">
        <v>21</v>
      </c>
      <c r="C20" s="1422">
        <v>4676</v>
      </c>
      <c r="D20" s="1426">
        <v>12</v>
      </c>
      <c r="E20" s="1426">
        <v>2305</v>
      </c>
      <c r="F20" s="1426">
        <v>3</v>
      </c>
      <c r="G20" s="1426">
        <v>489</v>
      </c>
      <c r="H20" s="1426">
        <v>6</v>
      </c>
      <c r="I20" s="1426">
        <v>1882</v>
      </c>
    </row>
    <row r="21" spans="1:9">
      <c r="A21" s="342" t="s">
        <v>21</v>
      </c>
      <c r="B21" s="1422">
        <v>26</v>
      </c>
      <c r="C21" s="1422">
        <v>7641</v>
      </c>
      <c r="D21" s="1426">
        <v>17</v>
      </c>
      <c r="E21" s="1426">
        <v>4034</v>
      </c>
      <c r="F21" s="1426">
        <v>4</v>
      </c>
      <c r="G21" s="1426">
        <v>1755</v>
      </c>
      <c r="H21" s="1426">
        <v>5</v>
      </c>
      <c r="I21" s="1426">
        <v>1852</v>
      </c>
    </row>
    <row r="22" spans="1:9">
      <c r="A22" s="2293"/>
      <c r="B22" s="2293"/>
      <c r="C22" s="2293"/>
      <c r="D22" s="2293"/>
      <c r="E22" s="2293"/>
      <c r="F22" s="2293"/>
      <c r="G22" s="2293"/>
      <c r="H22" s="2293"/>
      <c r="I22" s="2293"/>
    </row>
    <row r="23" spans="1:9">
      <c r="A23" s="2294" t="s">
        <v>3716</v>
      </c>
      <c r="B23" s="2294"/>
      <c r="C23" s="2294"/>
      <c r="D23" s="2294"/>
      <c r="E23" s="2294"/>
      <c r="F23" s="2294"/>
      <c r="G23" s="2294"/>
      <c r="H23" s="2294"/>
      <c r="I23" s="2294"/>
    </row>
    <row r="24" spans="1:9">
      <c r="A24" s="2295" t="s">
        <v>1487</v>
      </c>
      <c r="B24" s="2295"/>
      <c r="C24" s="2295"/>
      <c r="D24" s="2295"/>
      <c r="E24" s="2295"/>
      <c r="F24" s="2295"/>
      <c r="G24" s="2295"/>
      <c r="H24" s="2295"/>
      <c r="I24" s="2295"/>
    </row>
  </sheetData>
  <mergeCells count="9">
    <mergeCell ref="A22:I22"/>
    <mergeCell ref="A23:I23"/>
    <mergeCell ref="A24:I24"/>
    <mergeCell ref="A2:I2"/>
    <mergeCell ref="A4:A5"/>
    <mergeCell ref="B4:C4"/>
    <mergeCell ref="D4:E4"/>
    <mergeCell ref="F4:G4"/>
    <mergeCell ref="H4:I4"/>
  </mergeCells>
  <pageMargins left="0.7" right="0.7" top="0.75" bottom="0.75" header="0.3" footer="0.3"/>
</worksheet>
</file>

<file path=xl/worksheets/sheet141.xml><?xml version="1.0" encoding="utf-8"?>
<worksheet xmlns="http://schemas.openxmlformats.org/spreadsheetml/2006/main" xmlns:r="http://schemas.openxmlformats.org/officeDocument/2006/relationships">
  <dimension ref="A2:D12"/>
  <sheetViews>
    <sheetView zoomScaleNormal="100" workbookViewId="0">
      <selection activeCell="B21" sqref="B21"/>
    </sheetView>
  </sheetViews>
  <sheetFormatPr baseColWidth="10" defaultRowHeight="12"/>
  <cols>
    <col min="1" max="1" width="11.42578125" style="50"/>
    <col min="2" max="2" width="16" style="50" customWidth="1"/>
    <col min="3" max="3" width="14.42578125" style="50" customWidth="1"/>
    <col min="4" max="4" width="14.7109375" style="50" customWidth="1"/>
    <col min="5" max="16384" width="11.42578125" style="50"/>
  </cols>
  <sheetData>
    <row r="2" spans="1:4" ht="24.75" customHeight="1">
      <c r="A2" s="2296" t="s">
        <v>1494</v>
      </c>
      <c r="B2" s="2296"/>
      <c r="C2" s="2296"/>
      <c r="D2" s="2296"/>
    </row>
    <row r="3" spans="1:4" ht="8.25" customHeight="1">
      <c r="A3" s="1201"/>
      <c r="B3" s="1201"/>
      <c r="C3" s="1201"/>
      <c r="D3" s="1201"/>
    </row>
    <row r="4" spans="1:4" ht="22.5">
      <c r="A4" s="389" t="s">
        <v>671</v>
      </c>
      <c r="B4" s="389" t="s">
        <v>26</v>
      </c>
      <c r="C4" s="389" t="s">
        <v>1495</v>
      </c>
      <c r="D4" s="389" t="s">
        <v>1496</v>
      </c>
    </row>
    <row r="5" spans="1:4">
      <c r="A5" s="1421" t="s">
        <v>6</v>
      </c>
      <c r="B5" s="1422">
        <v>47710</v>
      </c>
      <c r="C5" s="1423">
        <v>30970</v>
      </c>
      <c r="D5" s="1423">
        <v>16740</v>
      </c>
    </row>
    <row r="6" spans="1:4">
      <c r="A6" s="350">
        <v>2010</v>
      </c>
      <c r="B6" s="1422">
        <v>14698</v>
      </c>
      <c r="C6" s="491">
        <v>11572</v>
      </c>
      <c r="D6" s="491">
        <v>3126</v>
      </c>
    </row>
    <row r="7" spans="1:4">
      <c r="A7" s="350">
        <v>2011</v>
      </c>
      <c r="B7" s="1422">
        <v>11418</v>
      </c>
      <c r="C7" s="491">
        <v>8412</v>
      </c>
      <c r="D7" s="491">
        <v>3006</v>
      </c>
    </row>
    <row r="8" spans="1:4">
      <c r="A8" s="350">
        <v>2012</v>
      </c>
      <c r="B8" s="1422">
        <v>8739</v>
      </c>
      <c r="C8" s="491">
        <v>2502</v>
      </c>
      <c r="D8" s="491">
        <v>6237</v>
      </c>
    </row>
    <row r="9" spans="1:4">
      <c r="A9" s="350">
        <v>2013</v>
      </c>
      <c r="B9" s="1422">
        <v>6275</v>
      </c>
      <c r="C9" s="491">
        <v>3384</v>
      </c>
      <c r="D9" s="491">
        <v>2891</v>
      </c>
    </row>
    <row r="10" spans="1:4">
      <c r="A10" s="350">
        <v>2014</v>
      </c>
      <c r="B10" s="1422">
        <v>6580</v>
      </c>
      <c r="C10" s="491">
        <v>5100</v>
      </c>
      <c r="D10" s="491">
        <v>1480</v>
      </c>
    </row>
    <row r="11" spans="1:4">
      <c r="A11" s="2302"/>
      <c r="B11" s="2302"/>
      <c r="C11" s="2302"/>
      <c r="D11" s="2302"/>
    </row>
    <row r="12" spans="1:4" ht="37.5" customHeight="1">
      <c r="A12" s="2289" t="s">
        <v>4643</v>
      </c>
      <c r="B12" s="2289"/>
      <c r="C12" s="2289"/>
      <c r="D12" s="2289"/>
    </row>
  </sheetData>
  <mergeCells count="3">
    <mergeCell ref="A2:D2"/>
    <mergeCell ref="A11:D11"/>
    <mergeCell ref="A12:D12"/>
  </mergeCells>
  <pageMargins left="0.7" right="0.7" top="0.75" bottom="0.75" header="0.3" footer="0.3"/>
</worksheet>
</file>

<file path=xl/worksheets/sheet142.xml><?xml version="1.0" encoding="utf-8"?>
<worksheet xmlns="http://schemas.openxmlformats.org/spreadsheetml/2006/main" xmlns:r="http://schemas.openxmlformats.org/officeDocument/2006/relationships">
  <dimension ref="A1:N23"/>
  <sheetViews>
    <sheetView zoomScaleNormal="100" workbookViewId="0">
      <selection activeCell="D14" sqref="D14"/>
    </sheetView>
  </sheetViews>
  <sheetFormatPr baseColWidth="10" defaultRowHeight="12"/>
  <cols>
    <col min="1" max="1" width="16.28515625" style="50" customWidth="1"/>
    <col min="2" max="16384" width="11.42578125" style="50"/>
  </cols>
  <sheetData>
    <row r="1" spans="1:14" ht="7.5" customHeight="1"/>
    <row r="2" spans="1:14" ht="21.75" customHeight="1">
      <c r="A2" s="2304" t="s">
        <v>1497</v>
      </c>
      <c r="B2" s="2304"/>
      <c r="C2" s="2304"/>
      <c r="D2" s="2304"/>
      <c r="E2" s="2304"/>
      <c r="F2" s="2304"/>
      <c r="G2" s="2304"/>
      <c r="H2" s="2304"/>
      <c r="I2" s="2304"/>
      <c r="J2" s="2304"/>
      <c r="K2" s="2304"/>
      <c r="L2" s="2304"/>
      <c r="M2" s="2304"/>
      <c r="N2" s="956"/>
    </row>
    <row r="3" spans="1:14" ht="6.75" customHeight="1">
      <c r="A3" s="130"/>
      <c r="B3" s="100"/>
      <c r="C3" s="100"/>
      <c r="D3" s="100"/>
      <c r="E3" s="100"/>
      <c r="F3" s="100"/>
      <c r="G3" s="100"/>
      <c r="H3" s="100"/>
      <c r="I3" s="100"/>
      <c r="J3" s="100"/>
      <c r="K3" s="100"/>
      <c r="L3" s="100"/>
      <c r="M3" s="100"/>
      <c r="N3" s="100"/>
    </row>
    <row r="4" spans="1:14">
      <c r="A4" s="2154" t="s">
        <v>0</v>
      </c>
      <c r="B4" s="2154">
        <v>2009</v>
      </c>
      <c r="C4" s="2154"/>
      <c r="D4" s="2154">
        <v>2010</v>
      </c>
      <c r="E4" s="2154"/>
      <c r="F4" s="2154">
        <v>2011</v>
      </c>
      <c r="G4" s="2154"/>
      <c r="H4" s="2154">
        <v>2012</v>
      </c>
      <c r="I4" s="2154"/>
      <c r="J4" s="2154">
        <v>2013</v>
      </c>
      <c r="K4" s="2154"/>
      <c r="L4" s="2154">
        <v>2014</v>
      </c>
      <c r="M4" s="2154"/>
      <c r="N4" s="777"/>
    </row>
    <row r="5" spans="1:14">
      <c r="A5" s="2154"/>
      <c r="B5" s="1367" t="s">
        <v>1498</v>
      </c>
      <c r="C5" s="1367" t="s">
        <v>1149</v>
      </c>
      <c r="D5" s="1367" t="s">
        <v>1498</v>
      </c>
      <c r="E5" s="1367" t="s">
        <v>1149</v>
      </c>
      <c r="F5" s="1367" t="s">
        <v>1498</v>
      </c>
      <c r="G5" s="1367" t="s">
        <v>1149</v>
      </c>
      <c r="H5" s="1367" t="s">
        <v>1498</v>
      </c>
      <c r="I5" s="1367" t="s">
        <v>1149</v>
      </c>
      <c r="J5" s="1367" t="s">
        <v>1498</v>
      </c>
      <c r="K5" s="1367" t="s">
        <v>1149</v>
      </c>
      <c r="L5" s="1367" t="s">
        <v>1498</v>
      </c>
      <c r="M5" s="1367" t="s">
        <v>1149</v>
      </c>
      <c r="N5" s="777"/>
    </row>
    <row r="6" spans="1:14">
      <c r="A6" s="130" t="s">
        <v>6</v>
      </c>
      <c r="B6" s="759">
        <v>4462</v>
      </c>
      <c r="C6" s="1414">
        <v>1</v>
      </c>
      <c r="D6" s="759">
        <v>5107</v>
      </c>
      <c r="E6" s="1415">
        <v>1</v>
      </c>
      <c r="F6" s="759">
        <v>5720</v>
      </c>
      <c r="G6" s="1415">
        <v>0.99999999999999989</v>
      </c>
      <c r="H6" s="759">
        <v>6045</v>
      </c>
      <c r="I6" s="1415">
        <v>1</v>
      </c>
      <c r="J6" s="759">
        <v>5952</v>
      </c>
      <c r="K6" s="1415">
        <v>0.99999999999999989</v>
      </c>
      <c r="L6" s="759">
        <v>5702</v>
      </c>
      <c r="M6" s="1415">
        <v>0.99999999999999989</v>
      </c>
      <c r="N6" s="100"/>
    </row>
    <row r="7" spans="1:14">
      <c r="A7" s="1416" t="s">
        <v>7</v>
      </c>
      <c r="B7" s="741">
        <v>8</v>
      </c>
      <c r="C7" s="1384">
        <v>1.7929179740026895E-3</v>
      </c>
      <c r="D7" s="741">
        <v>14</v>
      </c>
      <c r="E7" s="1384">
        <v>2.7413354219698455E-3</v>
      </c>
      <c r="F7" s="1417">
        <v>25</v>
      </c>
      <c r="G7" s="1384">
        <v>4.370629370629371E-3</v>
      </c>
      <c r="H7" s="1417">
        <v>20</v>
      </c>
      <c r="I7" s="1384">
        <v>3.3085194375516956E-3</v>
      </c>
      <c r="J7" s="1418">
        <v>37</v>
      </c>
      <c r="K7" s="1384">
        <v>6.2163978494623653E-3</v>
      </c>
      <c r="L7" s="1418">
        <v>41</v>
      </c>
      <c r="M7" s="1384">
        <v>7.1904594878989831E-3</v>
      </c>
      <c r="N7" s="100"/>
    </row>
    <row r="8" spans="1:14">
      <c r="A8" s="1416" t="s">
        <v>8</v>
      </c>
      <c r="B8" s="129">
        <v>20</v>
      </c>
      <c r="C8" s="1384">
        <v>4.4822949350067235E-3</v>
      </c>
      <c r="D8" s="129">
        <v>27</v>
      </c>
      <c r="E8" s="1384">
        <v>5.2868611709418444E-3</v>
      </c>
      <c r="F8" s="1417">
        <v>26</v>
      </c>
      <c r="G8" s="1384">
        <v>4.5454545454545452E-3</v>
      </c>
      <c r="H8" s="1417">
        <v>22</v>
      </c>
      <c r="I8" s="1384">
        <v>3.6393713813068652E-3</v>
      </c>
      <c r="J8" s="1418">
        <v>22</v>
      </c>
      <c r="K8" s="1384">
        <v>3.6962365591397851E-3</v>
      </c>
      <c r="L8" s="1418">
        <v>28</v>
      </c>
      <c r="M8" s="1384">
        <v>4.9105576990529642E-3</v>
      </c>
      <c r="N8" s="100"/>
    </row>
    <row r="9" spans="1:14">
      <c r="A9" s="1416" t="s">
        <v>9</v>
      </c>
      <c r="B9" s="129">
        <v>38</v>
      </c>
      <c r="C9" s="1384">
        <v>8.5163603765127747E-3</v>
      </c>
      <c r="D9" s="129">
        <v>52</v>
      </c>
      <c r="E9" s="1384">
        <v>1.0182102995887997E-2</v>
      </c>
      <c r="F9" s="1417">
        <v>34</v>
      </c>
      <c r="G9" s="1384">
        <v>5.9440559440559438E-3</v>
      </c>
      <c r="H9" s="1417">
        <v>23</v>
      </c>
      <c r="I9" s="1384">
        <v>3.80479735318445E-3</v>
      </c>
      <c r="J9" s="1418">
        <v>36</v>
      </c>
      <c r="K9" s="1384">
        <v>6.0483870967741934E-3</v>
      </c>
      <c r="L9" s="1418">
        <v>32</v>
      </c>
      <c r="M9" s="1384">
        <v>5.6120659417748155E-3</v>
      </c>
      <c r="N9" s="100"/>
    </row>
    <row r="10" spans="1:14">
      <c r="A10" s="1416" t="s">
        <v>10</v>
      </c>
      <c r="B10" s="129">
        <v>11</v>
      </c>
      <c r="C10" s="1384">
        <v>2.4652622142536979E-3</v>
      </c>
      <c r="D10" s="129">
        <v>12</v>
      </c>
      <c r="E10" s="1384">
        <v>2.3497160759741531E-3</v>
      </c>
      <c r="F10" s="1417">
        <v>14</v>
      </c>
      <c r="G10" s="1384">
        <v>2.4475524475524478E-3</v>
      </c>
      <c r="H10" s="1417">
        <v>13</v>
      </c>
      <c r="I10" s="1384">
        <v>2.1505376344086021E-3</v>
      </c>
      <c r="J10" s="1418">
        <v>13</v>
      </c>
      <c r="K10" s="1384">
        <v>2.1841397849462364E-3</v>
      </c>
      <c r="L10" s="1418">
        <v>22</v>
      </c>
      <c r="M10" s="1384">
        <v>3.858295334970186E-3</v>
      </c>
      <c r="N10" s="100"/>
    </row>
    <row r="11" spans="1:14">
      <c r="A11" s="1416" t="s">
        <v>11</v>
      </c>
      <c r="B11" s="129">
        <v>22</v>
      </c>
      <c r="C11" s="1384">
        <v>4.9305244285073957E-3</v>
      </c>
      <c r="D11" s="129">
        <v>33</v>
      </c>
      <c r="E11" s="1384">
        <v>6.4617192089289214E-3</v>
      </c>
      <c r="F11" s="1417">
        <v>35</v>
      </c>
      <c r="G11" s="1384">
        <v>6.118881118881119E-3</v>
      </c>
      <c r="H11" s="1417">
        <v>59</v>
      </c>
      <c r="I11" s="1384">
        <v>9.7601323407775029E-3</v>
      </c>
      <c r="J11" s="1418">
        <v>51</v>
      </c>
      <c r="K11" s="1384">
        <v>8.5685483870967735E-3</v>
      </c>
      <c r="L11" s="1418">
        <v>49</v>
      </c>
      <c r="M11" s="1384">
        <v>8.5934759733426874E-3</v>
      </c>
      <c r="N11" s="100"/>
    </row>
    <row r="12" spans="1:14">
      <c r="A12" s="1416" t="s">
        <v>12</v>
      </c>
      <c r="B12" s="129">
        <v>167</v>
      </c>
      <c r="C12" s="1384">
        <v>3.7427162707306144E-2</v>
      </c>
      <c r="D12" s="129">
        <v>224</v>
      </c>
      <c r="E12" s="1384">
        <v>4.3861366751517528E-2</v>
      </c>
      <c r="F12" s="1417">
        <v>203</v>
      </c>
      <c r="G12" s="1384">
        <v>3.548951048951049E-2</v>
      </c>
      <c r="H12" s="1417">
        <v>263</v>
      </c>
      <c r="I12" s="1384">
        <v>4.35070306038048E-2</v>
      </c>
      <c r="J12" s="1418">
        <v>317</v>
      </c>
      <c r="K12" s="1384">
        <v>5.3259408602150539E-2</v>
      </c>
      <c r="L12" s="1418">
        <v>348</v>
      </c>
      <c r="M12" s="1384">
        <v>6.1031217116801123E-2</v>
      </c>
      <c r="N12" s="100"/>
    </row>
    <row r="13" spans="1:14">
      <c r="A13" s="1416" t="s">
        <v>13</v>
      </c>
      <c r="B13" s="741">
        <v>3854</v>
      </c>
      <c r="C13" s="1384">
        <v>0.86373823397579563</v>
      </c>
      <c r="D13" s="741">
        <v>4418</v>
      </c>
      <c r="E13" s="1384">
        <v>0.865087135304484</v>
      </c>
      <c r="F13" s="1419">
        <v>5005</v>
      </c>
      <c r="G13" s="1384">
        <v>0.875</v>
      </c>
      <c r="H13" s="1419">
        <v>5249</v>
      </c>
      <c r="I13" s="1384">
        <v>0.86832092638544256</v>
      </c>
      <c r="J13" s="1420">
        <v>5046</v>
      </c>
      <c r="K13" s="1384">
        <v>0.84778225806451613</v>
      </c>
      <c r="L13" s="1420">
        <v>4802</v>
      </c>
      <c r="M13" s="1384">
        <v>0.84216064538758328</v>
      </c>
      <c r="N13" s="100"/>
    </row>
    <row r="14" spans="1:14">
      <c r="A14" s="1416" t="s">
        <v>14</v>
      </c>
      <c r="B14" s="129">
        <v>31</v>
      </c>
      <c r="C14" s="1384">
        <v>6.9475571492604218E-3</v>
      </c>
      <c r="D14" s="129">
        <v>14</v>
      </c>
      <c r="E14" s="1384">
        <v>2.7413354219698455E-3</v>
      </c>
      <c r="F14" s="1417">
        <v>30</v>
      </c>
      <c r="G14" s="1384">
        <v>5.244755244755245E-3</v>
      </c>
      <c r="H14" s="1417">
        <v>22</v>
      </c>
      <c r="I14" s="1364">
        <v>3.6393713813068652E-3</v>
      </c>
      <c r="J14" s="1418">
        <v>38</v>
      </c>
      <c r="K14" s="1384">
        <v>6.384408602150538E-3</v>
      </c>
      <c r="L14" s="1418">
        <v>30</v>
      </c>
      <c r="M14" s="1384">
        <v>5.2613118204138899E-3</v>
      </c>
      <c r="N14" s="100"/>
    </row>
    <row r="15" spans="1:14">
      <c r="A15" s="1416" t="s">
        <v>15</v>
      </c>
      <c r="B15" s="129">
        <v>79</v>
      </c>
      <c r="C15" s="1384">
        <v>1.7705064993276558E-2</v>
      </c>
      <c r="D15" s="129">
        <v>55</v>
      </c>
      <c r="E15" s="1384">
        <v>1.0769532014881535E-2</v>
      </c>
      <c r="F15" s="1417">
        <v>66</v>
      </c>
      <c r="G15" s="1384">
        <v>1.1538461538461539E-2</v>
      </c>
      <c r="H15" s="1417">
        <v>57</v>
      </c>
      <c r="I15" s="1384">
        <v>9.4292803970223334E-3</v>
      </c>
      <c r="J15" s="1418">
        <v>70</v>
      </c>
      <c r="K15" s="1384">
        <v>1.1760752688172043E-2</v>
      </c>
      <c r="L15" s="1418">
        <v>37</v>
      </c>
      <c r="M15" s="1384">
        <v>6.4889512451771309E-3</v>
      </c>
      <c r="N15" s="100"/>
    </row>
    <row r="16" spans="1:14">
      <c r="A16" s="1416" t="s">
        <v>16</v>
      </c>
      <c r="B16" s="129">
        <v>110</v>
      </c>
      <c r="C16" s="1384">
        <v>2.4652622142536978E-2</v>
      </c>
      <c r="D16" s="129">
        <v>104</v>
      </c>
      <c r="E16" s="1384">
        <v>2.0364205991775994E-2</v>
      </c>
      <c r="F16" s="1417">
        <v>134</v>
      </c>
      <c r="G16" s="1384">
        <v>2.3426573426573425E-2</v>
      </c>
      <c r="H16" s="1417">
        <v>117</v>
      </c>
      <c r="I16" s="1384">
        <v>1.935483870967742E-2</v>
      </c>
      <c r="J16" s="1418">
        <v>161</v>
      </c>
      <c r="K16" s="1384">
        <v>2.7049731182795699E-2</v>
      </c>
      <c r="L16" s="1418">
        <v>118</v>
      </c>
      <c r="M16" s="1384">
        <v>2.0694493160294633E-2</v>
      </c>
      <c r="N16" s="100"/>
    </row>
    <row r="17" spans="1:14">
      <c r="A17" s="1416" t="s">
        <v>17</v>
      </c>
      <c r="B17" s="129">
        <v>32</v>
      </c>
      <c r="C17" s="1384">
        <v>7.1716718960107579E-3</v>
      </c>
      <c r="D17" s="129">
        <v>43</v>
      </c>
      <c r="E17" s="1384">
        <v>8.4198159389073813E-3</v>
      </c>
      <c r="F17" s="1417">
        <v>54</v>
      </c>
      <c r="G17" s="1384">
        <v>9.4405594405594408E-3</v>
      </c>
      <c r="H17" s="1417">
        <v>49</v>
      </c>
      <c r="I17" s="1384">
        <v>8.1058726220016551E-3</v>
      </c>
      <c r="J17" s="1418">
        <v>46</v>
      </c>
      <c r="K17" s="1384">
        <v>7.7284946236559141E-3</v>
      </c>
      <c r="L17" s="1418">
        <v>85</v>
      </c>
      <c r="M17" s="1384">
        <v>1.4907050157839354E-2</v>
      </c>
      <c r="N17" s="100"/>
    </row>
    <row r="18" spans="1:14">
      <c r="A18" s="1416" t="s">
        <v>18</v>
      </c>
      <c r="B18" s="741">
        <v>32</v>
      </c>
      <c r="C18" s="1384">
        <v>7.1716718960107579E-3</v>
      </c>
      <c r="D18" s="741">
        <v>49</v>
      </c>
      <c r="E18" s="1384">
        <v>9.5946739768944592E-3</v>
      </c>
      <c r="F18" s="1417">
        <v>51</v>
      </c>
      <c r="G18" s="1384">
        <v>8.9160839160839153E-3</v>
      </c>
      <c r="H18" s="1417">
        <v>53</v>
      </c>
      <c r="I18" s="1384">
        <v>8.7675765095119942E-3</v>
      </c>
      <c r="J18" s="1418">
        <v>54</v>
      </c>
      <c r="K18" s="1384">
        <v>9.0725806451612909E-3</v>
      </c>
      <c r="L18" s="1418">
        <v>51</v>
      </c>
      <c r="M18" s="1384">
        <v>8.9442300947036122E-3</v>
      </c>
      <c r="N18" s="100"/>
    </row>
    <row r="19" spans="1:14">
      <c r="A19" s="1416" t="s">
        <v>19</v>
      </c>
      <c r="B19" s="129">
        <v>36</v>
      </c>
      <c r="C19" s="1384">
        <v>8.0681308830121024E-3</v>
      </c>
      <c r="D19" s="129">
        <v>30</v>
      </c>
      <c r="E19" s="1384">
        <v>5.8742901899353824E-3</v>
      </c>
      <c r="F19" s="1417">
        <v>31</v>
      </c>
      <c r="G19" s="1384">
        <v>5.4195804195804193E-3</v>
      </c>
      <c r="H19" s="1417">
        <v>45</v>
      </c>
      <c r="I19" s="1384">
        <v>7.4441687344913151E-3</v>
      </c>
      <c r="J19" s="1418">
        <v>24</v>
      </c>
      <c r="K19" s="1384">
        <v>4.0322580645161289E-3</v>
      </c>
      <c r="L19" s="1418">
        <v>29</v>
      </c>
      <c r="M19" s="1384">
        <v>5.0859347597334266E-3</v>
      </c>
      <c r="N19" s="100"/>
    </row>
    <row r="20" spans="1:14">
      <c r="A20" s="1416" t="s">
        <v>20</v>
      </c>
      <c r="B20" s="129">
        <v>6</v>
      </c>
      <c r="C20" s="1384">
        <v>1.344688480502017E-3</v>
      </c>
      <c r="D20" s="129">
        <v>17</v>
      </c>
      <c r="E20" s="1384">
        <v>3.3287644409633835E-3</v>
      </c>
      <c r="F20" s="1417">
        <v>1</v>
      </c>
      <c r="G20" s="1384">
        <v>1.7482517482517483E-4</v>
      </c>
      <c r="H20" s="1417">
        <v>2</v>
      </c>
      <c r="I20" s="1384">
        <v>3.3085194375516956E-4</v>
      </c>
      <c r="J20" s="1418">
        <v>8</v>
      </c>
      <c r="K20" s="1384">
        <v>1.3440860215053765E-3</v>
      </c>
      <c r="L20" s="1418">
        <v>10</v>
      </c>
      <c r="M20" s="1384">
        <v>1.75377060680463E-3</v>
      </c>
      <c r="N20" s="100"/>
    </row>
    <row r="21" spans="1:14">
      <c r="A21" s="1416" t="s">
        <v>21</v>
      </c>
      <c r="B21" s="129">
        <v>16</v>
      </c>
      <c r="C21" s="1384">
        <v>3.5858359480053789E-3</v>
      </c>
      <c r="D21" s="129">
        <v>15</v>
      </c>
      <c r="E21" s="1384">
        <v>2.9371450949676912E-3</v>
      </c>
      <c r="F21" s="1417">
        <v>11</v>
      </c>
      <c r="G21" s="1384">
        <v>1.9230769230769232E-3</v>
      </c>
      <c r="H21" s="1417">
        <v>51</v>
      </c>
      <c r="I21" s="1364">
        <v>8.4367245657568247E-3</v>
      </c>
      <c r="J21" s="1418">
        <v>29</v>
      </c>
      <c r="K21" s="1384">
        <v>4.8723118279569893E-3</v>
      </c>
      <c r="L21" s="1418">
        <v>20</v>
      </c>
      <c r="M21" s="1384">
        <v>3.5075412136092599E-3</v>
      </c>
      <c r="N21" s="100"/>
    </row>
    <row r="22" spans="1:14">
      <c r="A22" s="875"/>
      <c r="B22" s="741"/>
      <c r="C22" s="1382"/>
      <c r="D22" s="741"/>
      <c r="E22" s="1382"/>
      <c r="F22" s="1382"/>
      <c r="G22" s="1382"/>
      <c r="H22" s="1419"/>
      <c r="I22" s="1419"/>
      <c r="J22" s="1382"/>
      <c r="K22" s="1382"/>
      <c r="L22" s="1382"/>
      <c r="M22" s="1382"/>
      <c r="N22" s="1419"/>
    </row>
    <row r="23" spans="1:14">
      <c r="A23" s="2303" t="s">
        <v>1499</v>
      </c>
      <c r="B23" s="2303"/>
      <c r="C23" s="2303"/>
      <c r="D23" s="2303"/>
      <c r="E23" s="2303"/>
      <c r="F23" s="2303"/>
      <c r="G23" s="2303"/>
      <c r="H23" s="2303"/>
      <c r="I23" s="2303"/>
      <c r="J23" s="2303"/>
      <c r="K23" s="2303"/>
      <c r="L23" s="2303"/>
      <c r="M23" s="2303"/>
      <c r="N23" s="2303"/>
    </row>
  </sheetData>
  <mergeCells count="9">
    <mergeCell ref="A23:N23"/>
    <mergeCell ref="A2:M2"/>
    <mergeCell ref="A4:A5"/>
    <mergeCell ref="B4:C4"/>
    <mergeCell ref="D4:E4"/>
    <mergeCell ref="F4:G4"/>
    <mergeCell ref="H4:I4"/>
    <mergeCell ref="J4:K4"/>
    <mergeCell ref="L4:M4"/>
  </mergeCells>
  <pageMargins left="0.7" right="0.7" top="0.75" bottom="0.75" header="0.3" footer="0.3"/>
</worksheet>
</file>

<file path=xl/worksheets/sheet143.xml><?xml version="1.0" encoding="utf-8"?>
<worksheet xmlns="http://schemas.openxmlformats.org/spreadsheetml/2006/main" xmlns:r="http://schemas.openxmlformats.org/officeDocument/2006/relationships">
  <dimension ref="A2:Q30"/>
  <sheetViews>
    <sheetView zoomScaleNormal="100" workbookViewId="0">
      <selection activeCell="A34" sqref="A34"/>
    </sheetView>
  </sheetViews>
  <sheetFormatPr baseColWidth="10" defaultRowHeight="11.25"/>
  <cols>
    <col min="1" max="1" width="23.28515625" style="2" customWidth="1"/>
    <col min="2" max="2" width="11.42578125" style="2"/>
    <col min="3" max="3" width="15.7109375" style="2" customWidth="1"/>
    <col min="4" max="4" width="11.42578125" style="2"/>
    <col min="5" max="5" width="14.85546875" style="2" customWidth="1"/>
    <col min="6" max="6" width="11.42578125" style="2"/>
    <col min="7" max="7" width="14.140625" style="2" customWidth="1"/>
    <col min="8" max="8" width="11.42578125" style="2"/>
    <col min="9" max="9" width="14" style="2" customWidth="1"/>
    <col min="10" max="10" width="11.42578125" style="2"/>
    <col min="11" max="11" width="14.28515625" style="2" customWidth="1"/>
    <col min="12" max="12" width="11.42578125" style="2"/>
    <col min="13" max="13" width="15.85546875" style="2" bestFit="1" customWidth="1"/>
    <col min="14" max="14" width="11.42578125" style="2"/>
    <col min="15" max="15" width="12.7109375" style="2" bestFit="1" customWidth="1"/>
    <col min="16" max="16" width="11.42578125" style="2"/>
    <col min="17" max="17" width="12.7109375" style="2" bestFit="1" customWidth="1"/>
    <col min="18" max="16384" width="11.42578125" style="2"/>
  </cols>
  <sheetData>
    <row r="2" spans="1:17" ht="12.75">
      <c r="A2" s="69" t="s">
        <v>3282</v>
      </c>
      <c r="B2" s="69"/>
      <c r="C2" s="69"/>
      <c r="D2" s="69"/>
      <c r="E2" s="69"/>
      <c r="F2" s="69"/>
      <c r="G2" s="69"/>
      <c r="H2" s="69"/>
      <c r="I2" s="69"/>
      <c r="J2" s="69"/>
      <c r="K2" s="69"/>
      <c r="L2" s="69"/>
      <c r="M2" s="461"/>
      <c r="N2" s="453"/>
      <c r="O2" s="453"/>
      <c r="P2" s="37"/>
      <c r="Q2" s="37"/>
    </row>
    <row r="3" spans="1:17">
      <c r="A3" s="461"/>
      <c r="B3" s="461"/>
      <c r="C3" s="461"/>
      <c r="D3" s="461"/>
      <c r="E3" s="461"/>
      <c r="F3" s="461"/>
      <c r="G3" s="461"/>
      <c r="H3" s="461"/>
      <c r="I3" s="461"/>
      <c r="J3" s="461"/>
      <c r="K3" s="461"/>
      <c r="L3" s="461"/>
      <c r="M3" s="461"/>
      <c r="N3" s="453"/>
      <c r="O3" s="453"/>
      <c r="P3" s="37"/>
      <c r="Q3" s="37"/>
    </row>
    <row r="4" spans="1:17" ht="54" customHeight="1">
      <c r="A4" s="2724" t="s">
        <v>1207</v>
      </c>
      <c r="B4" s="2725" t="s">
        <v>26</v>
      </c>
      <c r="C4" s="2725"/>
      <c r="D4" s="2724" t="s">
        <v>1208</v>
      </c>
      <c r="E4" s="2724"/>
      <c r="F4" s="2724" t="s">
        <v>1209</v>
      </c>
      <c r="G4" s="2724"/>
      <c r="H4" s="2724" t="s">
        <v>1500</v>
      </c>
      <c r="I4" s="2724"/>
      <c r="J4" s="2724" t="s">
        <v>4644</v>
      </c>
      <c r="K4" s="2724"/>
      <c r="L4" s="2724" t="s">
        <v>1501</v>
      </c>
      <c r="M4" s="2724"/>
      <c r="N4" s="2724" t="s">
        <v>4645</v>
      </c>
      <c r="O4" s="2724"/>
      <c r="P4" s="2724" t="s">
        <v>1502</v>
      </c>
      <c r="Q4" s="2724"/>
    </row>
    <row r="5" spans="1:17" ht="33.75">
      <c r="A5" s="2724"/>
      <c r="B5" s="2726" t="s">
        <v>1216</v>
      </c>
      <c r="C5" s="2726" t="s">
        <v>1217</v>
      </c>
      <c r="D5" s="2726" t="s">
        <v>1216</v>
      </c>
      <c r="E5" s="2726" t="s">
        <v>1217</v>
      </c>
      <c r="F5" s="2726" t="s">
        <v>1216</v>
      </c>
      <c r="G5" s="2726" t="s">
        <v>1217</v>
      </c>
      <c r="H5" s="2726" t="s">
        <v>1216</v>
      </c>
      <c r="I5" s="2726" t="s">
        <v>1217</v>
      </c>
      <c r="J5" s="2726" t="s">
        <v>1216</v>
      </c>
      <c r="K5" s="2726" t="s">
        <v>1217</v>
      </c>
      <c r="L5" s="2726" t="s">
        <v>1216</v>
      </c>
      <c r="M5" s="2726" t="s">
        <v>1217</v>
      </c>
      <c r="N5" s="2726" t="s">
        <v>1216</v>
      </c>
      <c r="O5" s="2726" t="s">
        <v>1217</v>
      </c>
      <c r="P5" s="2726" t="s">
        <v>1216</v>
      </c>
      <c r="Q5" s="2726" t="s">
        <v>1217</v>
      </c>
    </row>
    <row r="6" spans="1:17">
      <c r="A6" s="2727" t="s">
        <v>6</v>
      </c>
      <c r="B6" s="2727">
        <f>SUM(D6+F6+H6+J6+L6+N6+P6)</f>
        <v>505</v>
      </c>
      <c r="C6" s="2727">
        <f>SUM(E6+G6+I6+K6+M6+O6+Q6)</f>
        <v>2741841291</v>
      </c>
      <c r="D6" s="2727">
        <f t="shared" ref="D6:Q6" si="0">SUM(D7:D22)</f>
        <v>66</v>
      </c>
      <c r="E6" s="2727">
        <f t="shared" si="0"/>
        <v>237957095</v>
      </c>
      <c r="F6" s="2727">
        <f t="shared" si="0"/>
        <v>13</v>
      </c>
      <c r="G6" s="2727">
        <f t="shared" si="0"/>
        <v>139337561</v>
      </c>
      <c r="H6" s="2727">
        <f t="shared" si="0"/>
        <v>157</v>
      </c>
      <c r="I6" s="2727">
        <f t="shared" si="0"/>
        <v>450184008</v>
      </c>
      <c r="J6" s="2727">
        <f t="shared" si="0"/>
        <v>94</v>
      </c>
      <c r="K6" s="2727">
        <f t="shared" si="0"/>
        <v>512578341</v>
      </c>
      <c r="L6" s="2727">
        <f t="shared" si="0"/>
        <v>124</v>
      </c>
      <c r="M6" s="2727">
        <f t="shared" si="0"/>
        <v>1296273916</v>
      </c>
      <c r="N6" s="2727">
        <f t="shared" si="0"/>
        <v>43</v>
      </c>
      <c r="O6" s="2727">
        <f t="shared" si="0"/>
        <v>76898937</v>
      </c>
      <c r="P6" s="2727">
        <f t="shared" si="0"/>
        <v>8</v>
      </c>
      <c r="Q6" s="2727">
        <f t="shared" si="0"/>
        <v>28611433</v>
      </c>
    </row>
    <row r="7" spans="1:17">
      <c r="A7" s="2676" t="s">
        <v>7</v>
      </c>
      <c r="B7" s="2727">
        <f t="shared" ref="B7:C22" si="1">SUM(D7+F7+H7+J7+L7+N7+P7)</f>
        <v>6</v>
      </c>
      <c r="C7" s="2727">
        <f t="shared" si="1"/>
        <v>14465483</v>
      </c>
      <c r="D7" s="2728">
        <v>0</v>
      </c>
      <c r="E7" s="2728">
        <v>0</v>
      </c>
      <c r="F7" s="2728">
        <v>0</v>
      </c>
      <c r="G7" s="2728">
        <v>0</v>
      </c>
      <c r="H7" s="2729">
        <v>2</v>
      </c>
      <c r="I7" s="2729">
        <v>4160000</v>
      </c>
      <c r="J7" s="2729">
        <v>0</v>
      </c>
      <c r="K7" s="2729">
        <v>0</v>
      </c>
      <c r="L7" s="2729">
        <v>3</v>
      </c>
      <c r="M7" s="2729">
        <v>9385483</v>
      </c>
      <c r="N7" s="2729">
        <v>1</v>
      </c>
      <c r="O7" s="2729">
        <v>920000</v>
      </c>
      <c r="P7" s="2729">
        <v>0</v>
      </c>
      <c r="Q7" s="2729">
        <v>0</v>
      </c>
    </row>
    <row r="8" spans="1:17">
      <c r="A8" s="2676" t="s">
        <v>8</v>
      </c>
      <c r="B8" s="2727">
        <f t="shared" si="1"/>
        <v>4</v>
      </c>
      <c r="C8" s="2727">
        <f t="shared" si="1"/>
        <v>37378154</v>
      </c>
      <c r="D8" s="2728">
        <v>1</v>
      </c>
      <c r="E8" s="2728">
        <v>700000</v>
      </c>
      <c r="F8" s="2728">
        <v>0</v>
      </c>
      <c r="G8" s="2728">
        <v>0</v>
      </c>
      <c r="H8" s="2729">
        <v>1</v>
      </c>
      <c r="I8" s="2729">
        <v>4000000</v>
      </c>
      <c r="J8" s="2729">
        <v>0</v>
      </c>
      <c r="K8" s="2729">
        <v>0</v>
      </c>
      <c r="L8" s="2729">
        <v>2</v>
      </c>
      <c r="M8" s="2729">
        <v>32678154</v>
      </c>
      <c r="N8" s="2729">
        <v>0</v>
      </c>
      <c r="O8" s="2729">
        <v>0</v>
      </c>
      <c r="P8" s="2729">
        <v>0</v>
      </c>
      <c r="Q8" s="2729">
        <v>0</v>
      </c>
    </row>
    <row r="9" spans="1:17">
      <c r="A9" s="2676" t="s">
        <v>9</v>
      </c>
      <c r="B9" s="2727">
        <f t="shared" si="1"/>
        <v>5</v>
      </c>
      <c r="C9" s="2727">
        <f t="shared" si="1"/>
        <v>51947035</v>
      </c>
      <c r="D9" s="2728">
        <v>0</v>
      </c>
      <c r="E9" s="2728">
        <v>0</v>
      </c>
      <c r="F9" s="2728">
        <v>0</v>
      </c>
      <c r="G9" s="2728">
        <v>0</v>
      </c>
      <c r="H9" s="2729">
        <v>1</v>
      </c>
      <c r="I9" s="2729">
        <v>800000</v>
      </c>
      <c r="J9" s="2729">
        <v>1</v>
      </c>
      <c r="K9" s="2729">
        <v>8281082</v>
      </c>
      <c r="L9" s="2729">
        <v>3</v>
      </c>
      <c r="M9" s="2729">
        <v>42865953</v>
      </c>
      <c r="N9" s="2729">
        <v>0</v>
      </c>
      <c r="O9" s="2729">
        <v>0</v>
      </c>
      <c r="P9" s="2729">
        <v>0</v>
      </c>
      <c r="Q9" s="2729">
        <v>0</v>
      </c>
    </row>
    <row r="10" spans="1:17">
      <c r="A10" s="2676" t="s">
        <v>10</v>
      </c>
      <c r="B10" s="2727">
        <f t="shared" si="1"/>
        <v>0</v>
      </c>
      <c r="C10" s="2727">
        <f t="shared" si="1"/>
        <v>0</v>
      </c>
      <c r="D10" s="2728">
        <v>0</v>
      </c>
      <c r="E10" s="2728">
        <v>0</v>
      </c>
      <c r="F10" s="2728">
        <v>0</v>
      </c>
      <c r="G10" s="2728">
        <v>0</v>
      </c>
      <c r="H10" s="2729">
        <v>0</v>
      </c>
      <c r="I10" s="2729">
        <v>0</v>
      </c>
      <c r="J10" s="2729">
        <v>0</v>
      </c>
      <c r="K10" s="2729">
        <v>0</v>
      </c>
      <c r="L10" s="2729">
        <v>0</v>
      </c>
      <c r="M10" s="2729">
        <v>0</v>
      </c>
      <c r="N10" s="2729">
        <v>0</v>
      </c>
      <c r="O10" s="2729">
        <v>0</v>
      </c>
      <c r="P10" s="2729">
        <v>0</v>
      </c>
      <c r="Q10" s="2729">
        <v>0</v>
      </c>
    </row>
    <row r="11" spans="1:17">
      <c r="A11" s="2676" t="s">
        <v>11</v>
      </c>
      <c r="B11" s="2727">
        <f t="shared" si="1"/>
        <v>16</v>
      </c>
      <c r="C11" s="2727">
        <f t="shared" si="1"/>
        <v>107372685</v>
      </c>
      <c r="D11" s="2728">
        <v>3</v>
      </c>
      <c r="E11" s="2728">
        <v>7130000</v>
      </c>
      <c r="F11" s="2728">
        <v>0</v>
      </c>
      <c r="G11" s="2728">
        <v>0</v>
      </c>
      <c r="H11" s="2729">
        <v>3</v>
      </c>
      <c r="I11" s="2729">
        <v>10512000</v>
      </c>
      <c r="J11" s="2729">
        <v>1</v>
      </c>
      <c r="K11" s="2729">
        <v>8094600</v>
      </c>
      <c r="L11" s="2729">
        <v>8</v>
      </c>
      <c r="M11" s="2729">
        <v>79731268</v>
      </c>
      <c r="N11" s="2729">
        <v>1</v>
      </c>
      <c r="O11" s="2729">
        <v>1904817</v>
      </c>
      <c r="P11" s="2729">
        <v>0</v>
      </c>
      <c r="Q11" s="2729">
        <v>0</v>
      </c>
    </row>
    <row r="12" spans="1:17">
      <c r="A12" s="2676" t="s">
        <v>12</v>
      </c>
      <c r="B12" s="2727">
        <f t="shared" si="1"/>
        <v>99</v>
      </c>
      <c r="C12" s="2727">
        <f t="shared" si="1"/>
        <v>538106789</v>
      </c>
      <c r="D12" s="2728">
        <v>9</v>
      </c>
      <c r="E12" s="2728">
        <v>38023998</v>
      </c>
      <c r="F12" s="2729">
        <v>3</v>
      </c>
      <c r="G12" s="2729">
        <v>32182974</v>
      </c>
      <c r="H12" s="2729">
        <v>36</v>
      </c>
      <c r="I12" s="2729">
        <v>106956843</v>
      </c>
      <c r="J12" s="2729">
        <v>24</v>
      </c>
      <c r="K12" s="2729">
        <v>120328428</v>
      </c>
      <c r="L12" s="2729">
        <v>23</v>
      </c>
      <c r="M12" s="2729">
        <v>236411132</v>
      </c>
      <c r="N12" s="2729">
        <v>4</v>
      </c>
      <c r="O12" s="2729">
        <v>4203414</v>
      </c>
      <c r="P12" s="2729">
        <v>0</v>
      </c>
      <c r="Q12" s="2729">
        <v>0</v>
      </c>
    </row>
    <row r="13" spans="1:17">
      <c r="A13" s="2676" t="s">
        <v>13</v>
      </c>
      <c r="B13" s="2727">
        <f t="shared" si="1"/>
        <v>220</v>
      </c>
      <c r="C13" s="2727">
        <f t="shared" si="1"/>
        <v>1065750471</v>
      </c>
      <c r="D13" s="2728">
        <v>27</v>
      </c>
      <c r="E13" s="2728">
        <v>88041836</v>
      </c>
      <c r="F13" s="2729">
        <v>5</v>
      </c>
      <c r="G13" s="2729">
        <v>65999987</v>
      </c>
      <c r="H13" s="2729">
        <v>72</v>
      </c>
      <c r="I13" s="2729">
        <v>206580615</v>
      </c>
      <c r="J13" s="2729">
        <v>54</v>
      </c>
      <c r="K13" s="2729">
        <v>304785861</v>
      </c>
      <c r="L13" s="2729">
        <v>27</v>
      </c>
      <c r="M13" s="2729">
        <v>327577693</v>
      </c>
      <c r="N13" s="2729">
        <v>30</v>
      </c>
      <c r="O13" s="2729">
        <v>55442264</v>
      </c>
      <c r="P13" s="2729">
        <v>5</v>
      </c>
      <c r="Q13" s="2729">
        <v>17322215</v>
      </c>
    </row>
    <row r="14" spans="1:17">
      <c r="A14" s="2676" t="s">
        <v>14</v>
      </c>
      <c r="B14" s="2727">
        <f t="shared" si="1"/>
        <v>10</v>
      </c>
      <c r="C14" s="2727">
        <f t="shared" si="1"/>
        <v>66005853</v>
      </c>
      <c r="D14" s="2728">
        <v>1</v>
      </c>
      <c r="E14" s="2728">
        <v>650000</v>
      </c>
      <c r="F14" s="2728">
        <v>0</v>
      </c>
      <c r="G14" s="2728">
        <v>0</v>
      </c>
      <c r="H14" s="2729">
        <v>4</v>
      </c>
      <c r="I14" s="2729">
        <v>9435920</v>
      </c>
      <c r="J14" s="2729">
        <v>0</v>
      </c>
      <c r="K14" s="2729">
        <v>0</v>
      </c>
      <c r="L14" s="2729">
        <v>5</v>
      </c>
      <c r="M14" s="2729">
        <v>55919933</v>
      </c>
      <c r="N14" s="2729">
        <v>0</v>
      </c>
      <c r="O14" s="2729">
        <v>0</v>
      </c>
      <c r="P14" s="2729">
        <v>0</v>
      </c>
      <c r="Q14" s="2729">
        <v>0</v>
      </c>
    </row>
    <row r="15" spans="1:17">
      <c r="A15" s="2676" t="s">
        <v>15</v>
      </c>
      <c r="B15" s="2727">
        <f t="shared" si="1"/>
        <v>15</v>
      </c>
      <c r="C15" s="2727">
        <f t="shared" si="1"/>
        <v>100638010</v>
      </c>
      <c r="D15" s="2728">
        <v>3</v>
      </c>
      <c r="E15" s="2728">
        <v>14812964</v>
      </c>
      <c r="F15" s="2728">
        <v>0</v>
      </c>
      <c r="G15" s="2728">
        <v>0</v>
      </c>
      <c r="H15" s="2729">
        <v>4</v>
      </c>
      <c r="I15" s="2729">
        <v>10835630</v>
      </c>
      <c r="J15" s="2729">
        <v>0</v>
      </c>
      <c r="K15" s="2729">
        <v>0</v>
      </c>
      <c r="L15" s="2729">
        <v>8</v>
      </c>
      <c r="M15" s="2729">
        <v>74989416</v>
      </c>
      <c r="N15" s="2729">
        <v>0</v>
      </c>
      <c r="O15" s="2729">
        <v>0</v>
      </c>
      <c r="P15" s="2729">
        <v>0</v>
      </c>
      <c r="Q15" s="2729">
        <v>0</v>
      </c>
    </row>
    <row r="16" spans="1:17">
      <c r="A16" s="2676" t="s">
        <v>16</v>
      </c>
      <c r="B16" s="2727">
        <f t="shared" si="1"/>
        <v>27</v>
      </c>
      <c r="C16" s="2727">
        <f t="shared" si="1"/>
        <v>196926052</v>
      </c>
      <c r="D16" s="2728">
        <v>6</v>
      </c>
      <c r="E16" s="2728">
        <v>42442122</v>
      </c>
      <c r="F16" s="2729">
        <v>2</v>
      </c>
      <c r="G16" s="2729">
        <v>15904600</v>
      </c>
      <c r="H16" s="2729">
        <v>6</v>
      </c>
      <c r="I16" s="2729">
        <v>14625000</v>
      </c>
      <c r="J16" s="2729">
        <v>0</v>
      </c>
      <c r="K16" s="2729">
        <v>0</v>
      </c>
      <c r="L16" s="2729">
        <v>12</v>
      </c>
      <c r="M16" s="2729">
        <v>121178612</v>
      </c>
      <c r="N16" s="2729">
        <v>1</v>
      </c>
      <c r="O16" s="2729">
        <v>2775718</v>
      </c>
      <c r="P16" s="2729">
        <v>0</v>
      </c>
      <c r="Q16" s="2729">
        <v>0</v>
      </c>
    </row>
    <row r="17" spans="1:17">
      <c r="A17" s="2676" t="s">
        <v>17</v>
      </c>
      <c r="B17" s="2727">
        <f t="shared" si="1"/>
        <v>25</v>
      </c>
      <c r="C17" s="2727">
        <f t="shared" si="1"/>
        <v>209813581</v>
      </c>
      <c r="D17" s="2728">
        <v>2</v>
      </c>
      <c r="E17" s="2728">
        <v>1412400</v>
      </c>
      <c r="F17" s="2729">
        <v>2</v>
      </c>
      <c r="G17" s="2729">
        <v>15800000</v>
      </c>
      <c r="H17" s="2729">
        <v>7</v>
      </c>
      <c r="I17" s="2729">
        <v>22483000</v>
      </c>
      <c r="J17" s="2729">
        <v>4</v>
      </c>
      <c r="K17" s="2729">
        <v>31459960</v>
      </c>
      <c r="L17" s="2729">
        <v>10</v>
      </c>
      <c r="M17" s="2729">
        <v>138658221</v>
      </c>
      <c r="N17" s="2729">
        <v>0</v>
      </c>
      <c r="O17" s="2729">
        <v>0</v>
      </c>
      <c r="P17" s="2729">
        <v>0</v>
      </c>
      <c r="Q17" s="2729">
        <v>0</v>
      </c>
    </row>
    <row r="18" spans="1:17">
      <c r="A18" s="2676" t="s">
        <v>18</v>
      </c>
      <c r="B18" s="2727">
        <f t="shared" si="1"/>
        <v>30</v>
      </c>
      <c r="C18" s="2727">
        <f t="shared" si="1"/>
        <v>111959173</v>
      </c>
      <c r="D18" s="2728">
        <v>5</v>
      </c>
      <c r="E18" s="2728">
        <v>12597433</v>
      </c>
      <c r="F18" s="2729">
        <v>1</v>
      </c>
      <c r="G18" s="2729">
        <v>9450000</v>
      </c>
      <c r="H18" s="2729">
        <v>6</v>
      </c>
      <c r="I18" s="2729">
        <v>17710000</v>
      </c>
      <c r="J18" s="2729">
        <v>5</v>
      </c>
      <c r="K18" s="2729">
        <v>17943300</v>
      </c>
      <c r="L18" s="2729">
        <v>10</v>
      </c>
      <c r="M18" s="2729">
        <v>45947709</v>
      </c>
      <c r="N18" s="2729">
        <v>2</v>
      </c>
      <c r="O18" s="2729">
        <v>4410731</v>
      </c>
      <c r="P18" s="2729">
        <v>1</v>
      </c>
      <c r="Q18" s="2729">
        <v>3900000</v>
      </c>
    </row>
    <row r="19" spans="1:17">
      <c r="A19" s="2676" t="s">
        <v>19</v>
      </c>
      <c r="B19" s="2727">
        <f t="shared" si="1"/>
        <v>16</v>
      </c>
      <c r="C19" s="2727">
        <f t="shared" si="1"/>
        <v>96289204</v>
      </c>
      <c r="D19" s="2728">
        <v>2</v>
      </c>
      <c r="E19" s="2728">
        <v>14886188</v>
      </c>
      <c r="F19" s="2728">
        <v>0</v>
      </c>
      <c r="G19" s="2728">
        <v>0</v>
      </c>
      <c r="H19" s="2729">
        <v>5</v>
      </c>
      <c r="I19" s="2729">
        <v>15440000</v>
      </c>
      <c r="J19" s="2729">
        <v>3</v>
      </c>
      <c r="K19" s="2729">
        <v>14905180</v>
      </c>
      <c r="L19" s="2729">
        <v>6</v>
      </c>
      <c r="M19" s="2729">
        <v>51057836</v>
      </c>
      <c r="N19" s="2729">
        <v>0</v>
      </c>
      <c r="O19" s="2729">
        <v>0</v>
      </c>
      <c r="P19" s="2729">
        <v>0</v>
      </c>
      <c r="Q19" s="2729">
        <v>0</v>
      </c>
    </row>
    <row r="20" spans="1:17">
      <c r="A20" s="2676" t="s">
        <v>20</v>
      </c>
      <c r="B20" s="2727">
        <f t="shared" si="1"/>
        <v>6</v>
      </c>
      <c r="C20" s="2727">
        <f t="shared" si="1"/>
        <v>29012674</v>
      </c>
      <c r="D20" s="2728">
        <v>2</v>
      </c>
      <c r="E20" s="2728">
        <v>2329000</v>
      </c>
      <c r="F20" s="2728">
        <v>0</v>
      </c>
      <c r="G20" s="2728">
        <v>0</v>
      </c>
      <c r="H20" s="2729">
        <v>1</v>
      </c>
      <c r="I20" s="2729">
        <v>3600000</v>
      </c>
      <c r="J20" s="2729"/>
      <c r="K20" s="2729"/>
      <c r="L20" s="2729">
        <v>3</v>
      </c>
      <c r="M20" s="2729">
        <v>23083674</v>
      </c>
      <c r="N20" s="2729">
        <v>0</v>
      </c>
      <c r="O20" s="2729">
        <v>0</v>
      </c>
      <c r="P20" s="2729">
        <v>0</v>
      </c>
      <c r="Q20" s="2729">
        <v>0</v>
      </c>
    </row>
    <row r="21" spans="1:17">
      <c r="A21" s="2729" t="s">
        <v>21</v>
      </c>
      <c r="B21" s="2727">
        <f t="shared" si="1"/>
        <v>12</v>
      </c>
      <c r="C21" s="2727">
        <f t="shared" si="1"/>
        <v>78952362</v>
      </c>
      <c r="D21" s="2728">
        <v>3</v>
      </c>
      <c r="E21" s="2728">
        <v>7383600</v>
      </c>
      <c r="F21" s="2728">
        <v>0</v>
      </c>
      <c r="G21" s="2728">
        <v>0</v>
      </c>
      <c r="H21" s="2729">
        <v>3</v>
      </c>
      <c r="I21" s="2729">
        <v>8000000</v>
      </c>
      <c r="J21" s="2729">
        <v>2</v>
      </c>
      <c r="K21" s="2729">
        <v>6779930</v>
      </c>
      <c r="L21" s="2729">
        <v>4</v>
      </c>
      <c r="M21" s="2729">
        <v>56788832</v>
      </c>
      <c r="N21" s="2729">
        <v>0</v>
      </c>
      <c r="O21" s="2729">
        <v>0</v>
      </c>
      <c r="P21" s="2729">
        <v>0</v>
      </c>
      <c r="Q21" s="2729">
        <v>0</v>
      </c>
    </row>
    <row r="22" spans="1:17" ht="12.75">
      <c r="A22" s="2730" t="s">
        <v>4646</v>
      </c>
      <c r="B22" s="2727">
        <f t="shared" si="1"/>
        <v>14</v>
      </c>
      <c r="C22" s="2727">
        <f t="shared" si="1"/>
        <v>37223765</v>
      </c>
      <c r="D22" s="2728">
        <v>2</v>
      </c>
      <c r="E22" s="2728">
        <v>7547554</v>
      </c>
      <c r="F22" s="2728">
        <v>0</v>
      </c>
      <c r="G22" s="2728">
        <v>0</v>
      </c>
      <c r="H22" s="2729">
        <v>6</v>
      </c>
      <c r="I22" s="2729">
        <v>15045000</v>
      </c>
      <c r="J22" s="2729">
        <v>0</v>
      </c>
      <c r="K22" s="2729">
        <v>0</v>
      </c>
      <c r="L22" s="2729">
        <v>0</v>
      </c>
      <c r="M22" s="2729">
        <v>0</v>
      </c>
      <c r="N22" s="2729">
        <v>4</v>
      </c>
      <c r="O22" s="2729">
        <v>7241993</v>
      </c>
      <c r="P22" s="2729">
        <v>2</v>
      </c>
      <c r="Q22" s="2729">
        <v>7389218</v>
      </c>
    </row>
    <row r="23" spans="1:17">
      <c r="A23" s="37"/>
      <c r="B23" s="37"/>
      <c r="C23" s="37"/>
      <c r="D23" s="37"/>
      <c r="E23" s="37"/>
      <c r="F23" s="37"/>
      <c r="G23" s="37"/>
      <c r="H23" s="37"/>
      <c r="I23" s="37"/>
      <c r="J23" s="37"/>
      <c r="K23" s="37"/>
      <c r="L23" s="37"/>
      <c r="M23" s="37"/>
      <c r="N23" s="37"/>
      <c r="O23" s="37"/>
      <c r="P23" s="37"/>
      <c r="Q23" s="37"/>
    </row>
    <row r="24" spans="1:17" s="370" customFormat="1">
      <c r="A24" s="2305" t="s">
        <v>3711</v>
      </c>
      <c r="B24" s="2305"/>
      <c r="C24" s="2305"/>
      <c r="D24" s="2305"/>
      <c r="E24" s="2305"/>
      <c r="F24" s="2305"/>
      <c r="G24" s="2305"/>
      <c r="H24" s="2305"/>
      <c r="I24" s="2305"/>
      <c r="J24" s="2305"/>
      <c r="K24" s="2305"/>
      <c r="L24" s="2305"/>
      <c r="M24" s="2305"/>
      <c r="N24" s="2305"/>
      <c r="O24" s="2305"/>
      <c r="P24" s="453"/>
      <c r="Q24" s="453"/>
    </row>
    <row r="25" spans="1:17" s="370" customFormat="1">
      <c r="A25" s="2306" t="s">
        <v>3712</v>
      </c>
      <c r="B25" s="2306"/>
      <c r="C25" s="2306"/>
      <c r="D25" s="2306"/>
      <c r="E25" s="2306"/>
      <c r="F25" s="2306"/>
      <c r="G25" s="2306"/>
      <c r="H25" s="2306"/>
      <c r="I25" s="2306"/>
      <c r="J25" s="2306"/>
      <c r="K25" s="2306"/>
      <c r="L25" s="2306"/>
      <c r="M25" s="2306"/>
      <c r="N25" s="2306"/>
      <c r="O25" s="2306"/>
      <c r="P25" s="453"/>
      <c r="Q25" s="453"/>
    </row>
    <row r="26" spans="1:17" s="370" customFormat="1">
      <c r="A26" s="2000" t="s">
        <v>3713</v>
      </c>
      <c r="B26" s="2000"/>
      <c r="C26" s="2000"/>
      <c r="D26" s="2000"/>
      <c r="E26" s="2000"/>
      <c r="F26" s="2000"/>
      <c r="G26" s="2000"/>
      <c r="H26" s="2000"/>
      <c r="I26" s="2000"/>
      <c r="J26" s="2000"/>
      <c r="K26" s="2000"/>
      <c r="L26" s="2000"/>
      <c r="M26" s="2000"/>
      <c r="N26" s="453"/>
      <c r="O26" s="453"/>
      <c r="P26" s="453"/>
      <c r="Q26" s="453"/>
    </row>
    <row r="27" spans="1:17" s="370" customFormat="1">
      <c r="A27" s="1413" t="s">
        <v>3714</v>
      </c>
      <c r="B27" s="2000"/>
      <c r="C27" s="2000"/>
      <c r="D27" s="2000"/>
      <c r="E27" s="2000"/>
      <c r="F27" s="2000"/>
      <c r="G27" s="2000"/>
      <c r="H27" s="2000"/>
      <c r="I27" s="2000"/>
      <c r="J27" s="2000"/>
      <c r="K27" s="2000"/>
      <c r="L27" s="2000"/>
      <c r="M27" s="2000"/>
      <c r="N27" s="453"/>
      <c r="O27" s="453"/>
      <c r="P27" s="453"/>
      <c r="Q27" s="453"/>
    </row>
    <row r="28" spans="1:17" s="370" customFormat="1">
      <c r="A28" s="453" t="s">
        <v>3715</v>
      </c>
      <c r="B28" s="453"/>
      <c r="C28" s="453"/>
      <c r="D28" s="453"/>
      <c r="E28" s="453"/>
      <c r="F28" s="453"/>
      <c r="G28" s="453"/>
      <c r="H28" s="453"/>
      <c r="I28" s="453"/>
      <c r="J28" s="453"/>
      <c r="K28" s="453"/>
      <c r="L28" s="453"/>
      <c r="M28" s="453"/>
      <c r="N28" s="453"/>
      <c r="O28" s="453"/>
      <c r="P28" s="453"/>
      <c r="Q28" s="453"/>
    </row>
    <row r="29" spans="1:17">
      <c r="A29" s="2235" t="s">
        <v>22</v>
      </c>
      <c r="B29" s="2235"/>
      <c r="C29" s="458"/>
      <c r="D29" s="458"/>
      <c r="E29" s="458"/>
      <c r="F29" s="458"/>
      <c r="G29" s="458"/>
      <c r="H29" s="458"/>
      <c r="I29" s="458"/>
      <c r="J29" s="458"/>
      <c r="K29" s="458"/>
      <c r="L29" s="458"/>
      <c r="M29" s="458"/>
      <c r="N29" s="458"/>
      <c r="O29" s="458"/>
      <c r="P29" s="37"/>
      <c r="Q29" s="37"/>
    </row>
    <row r="30" spans="1:17">
      <c r="A30" s="428" t="s">
        <v>1218</v>
      </c>
      <c r="B30" s="428"/>
      <c r="C30" s="428"/>
      <c r="D30" s="428"/>
      <c r="E30" s="428"/>
      <c r="F30" s="428"/>
      <c r="G30" s="428"/>
      <c r="H30" s="428"/>
      <c r="I30" s="428"/>
      <c r="J30" s="2000"/>
      <c r="K30" s="2000"/>
      <c r="L30" s="2000"/>
      <c r="M30" s="2000"/>
      <c r="N30" s="453"/>
      <c r="O30" s="453"/>
      <c r="P30" s="37"/>
      <c r="Q30" s="37"/>
    </row>
  </sheetData>
  <mergeCells count="12">
    <mergeCell ref="L4:M4"/>
    <mergeCell ref="N4:O4"/>
    <mergeCell ref="P4:Q4"/>
    <mergeCell ref="A24:O24"/>
    <mergeCell ref="A25:O25"/>
    <mergeCell ref="H4:I4"/>
    <mergeCell ref="J4:K4"/>
    <mergeCell ref="A29:B29"/>
    <mergeCell ref="A4:A5"/>
    <mergeCell ref="B4:C4"/>
    <mergeCell ref="D4:E4"/>
    <mergeCell ref="F4:G4"/>
  </mergeCells>
  <pageMargins left="0.7" right="0.7" top="0.75" bottom="0.75" header="0.3" footer="0.3"/>
</worksheet>
</file>

<file path=xl/worksheets/sheet144.xml><?xml version="1.0" encoding="utf-8"?>
<worksheet xmlns="http://schemas.openxmlformats.org/spreadsheetml/2006/main" xmlns:r="http://schemas.openxmlformats.org/officeDocument/2006/relationships">
  <dimension ref="A2:G13"/>
  <sheetViews>
    <sheetView zoomScaleNormal="100" workbookViewId="0">
      <selection activeCell="B23" sqref="B23"/>
    </sheetView>
  </sheetViews>
  <sheetFormatPr baseColWidth="10" defaultRowHeight="12"/>
  <cols>
    <col min="1" max="1" width="20.140625" style="50" customWidth="1"/>
    <col min="2" max="16384" width="11.42578125" style="50"/>
  </cols>
  <sheetData>
    <row r="2" spans="1:7" ht="26.25" customHeight="1">
      <c r="A2" s="2209" t="s">
        <v>1503</v>
      </c>
      <c r="B2" s="2209"/>
      <c r="C2" s="2209"/>
      <c r="D2" s="2209"/>
      <c r="E2" s="2209"/>
      <c r="F2" s="2209"/>
      <c r="G2" s="2209"/>
    </row>
    <row r="3" spans="1:7" ht="9" customHeight="1">
      <c r="A3" s="1327"/>
      <c r="B3" s="135"/>
      <c r="C3" s="135"/>
      <c r="D3" s="135"/>
      <c r="E3" s="135"/>
      <c r="F3" s="135"/>
      <c r="G3" s="135"/>
    </row>
    <row r="4" spans="1:7">
      <c r="A4" s="2246" t="s">
        <v>1504</v>
      </c>
      <c r="B4" s="2187" t="s">
        <v>1505</v>
      </c>
      <c r="C4" s="2187"/>
      <c r="D4" s="2187"/>
      <c r="E4" s="2187"/>
      <c r="F4" s="2187"/>
      <c r="G4" s="2187"/>
    </row>
    <row r="5" spans="1:7" ht="12.75">
      <c r="A5" s="2247"/>
      <c r="B5" s="1326">
        <v>2009</v>
      </c>
      <c r="C5" s="1326">
        <v>2010</v>
      </c>
      <c r="D5" s="1326">
        <v>2011</v>
      </c>
      <c r="E5" s="1326">
        <v>2012</v>
      </c>
      <c r="F5" s="1326" t="s">
        <v>3564</v>
      </c>
      <c r="G5" s="1326">
        <v>2014</v>
      </c>
    </row>
    <row r="6" spans="1:7">
      <c r="A6" s="1327" t="s">
        <v>6</v>
      </c>
      <c r="B6" s="1327">
        <f t="shared" ref="B6:G6" si="0">SUM(B7+B10)</f>
        <v>160</v>
      </c>
      <c r="C6" s="1327">
        <f t="shared" si="0"/>
        <v>180</v>
      </c>
      <c r="D6" s="1327">
        <f t="shared" si="0"/>
        <v>181</v>
      </c>
      <c r="E6" s="1327">
        <f t="shared" si="0"/>
        <v>187</v>
      </c>
      <c r="F6" s="1327">
        <f t="shared" si="0"/>
        <v>259</v>
      </c>
      <c r="G6" s="1327">
        <f t="shared" si="0"/>
        <v>285</v>
      </c>
    </row>
    <row r="7" spans="1:7">
      <c r="A7" s="130" t="s">
        <v>1506</v>
      </c>
      <c r="B7" s="130">
        <f t="shared" ref="B7:G7" si="1">SUM(B8:B9)</f>
        <v>129</v>
      </c>
      <c r="C7" s="130">
        <f t="shared" si="1"/>
        <v>146</v>
      </c>
      <c r="D7" s="130">
        <f t="shared" si="1"/>
        <v>149</v>
      </c>
      <c r="E7" s="130">
        <f t="shared" si="1"/>
        <v>154</v>
      </c>
      <c r="F7" s="130">
        <f t="shared" si="1"/>
        <v>211</v>
      </c>
      <c r="G7" s="130">
        <f t="shared" si="1"/>
        <v>234</v>
      </c>
    </row>
    <row r="8" spans="1:7">
      <c r="A8" s="129" t="s">
        <v>163</v>
      </c>
      <c r="B8" s="129">
        <v>88</v>
      </c>
      <c r="C8" s="129">
        <v>101</v>
      </c>
      <c r="D8" s="129">
        <v>103</v>
      </c>
      <c r="E8" s="129">
        <v>107</v>
      </c>
      <c r="F8" s="62">
        <v>142</v>
      </c>
      <c r="G8" s="135">
        <v>158</v>
      </c>
    </row>
    <row r="9" spans="1:7">
      <c r="A9" s="129" t="s">
        <v>164</v>
      </c>
      <c r="B9" s="129">
        <v>41</v>
      </c>
      <c r="C9" s="129">
        <v>45</v>
      </c>
      <c r="D9" s="129">
        <v>46</v>
      </c>
      <c r="E9" s="129">
        <v>47</v>
      </c>
      <c r="F9" s="62">
        <v>69</v>
      </c>
      <c r="G9" s="135">
        <v>76</v>
      </c>
    </row>
    <row r="10" spans="1:7">
      <c r="A10" s="1410" t="s">
        <v>1507</v>
      </c>
      <c r="B10" s="1411">
        <v>31</v>
      </c>
      <c r="C10" s="1411">
        <v>34</v>
      </c>
      <c r="D10" s="1411">
        <v>32</v>
      </c>
      <c r="E10" s="1411">
        <v>33</v>
      </c>
      <c r="F10" s="91">
        <v>48</v>
      </c>
      <c r="G10" s="1412">
        <v>51</v>
      </c>
    </row>
    <row r="11" spans="1:7">
      <c r="A11" s="1410"/>
      <c r="B11" s="1411"/>
      <c r="C11" s="1411"/>
      <c r="D11" s="1411"/>
      <c r="E11" s="1411"/>
      <c r="F11" s="91"/>
      <c r="G11" s="1412"/>
    </row>
    <row r="12" spans="1:7">
      <c r="A12" s="88" t="s">
        <v>3710</v>
      </c>
      <c r="B12" s="135"/>
      <c r="C12" s="135"/>
      <c r="D12" s="135"/>
      <c r="E12" s="135"/>
      <c r="F12" s="135"/>
      <c r="G12" s="135"/>
    </row>
    <row r="13" spans="1:7">
      <c r="A13" s="2185" t="s">
        <v>1508</v>
      </c>
      <c r="B13" s="2185"/>
      <c r="C13" s="2185"/>
      <c r="D13" s="2185"/>
      <c r="E13" s="2185"/>
      <c r="F13" s="2185"/>
      <c r="G13" s="135"/>
    </row>
  </sheetData>
  <mergeCells count="4">
    <mergeCell ref="A2:G2"/>
    <mergeCell ref="A4:A5"/>
    <mergeCell ref="B4:G4"/>
    <mergeCell ref="A13:F13"/>
  </mergeCells>
  <pageMargins left="0.7" right="0.7" top="0.75" bottom="0.75" header="0.3" footer="0.3"/>
</worksheet>
</file>

<file path=xl/worksheets/sheet145.xml><?xml version="1.0" encoding="utf-8"?>
<worksheet xmlns="http://schemas.openxmlformats.org/spreadsheetml/2006/main" xmlns:r="http://schemas.openxmlformats.org/officeDocument/2006/relationships">
  <dimension ref="A2:G13"/>
  <sheetViews>
    <sheetView zoomScaleNormal="100" workbookViewId="0"/>
  </sheetViews>
  <sheetFormatPr baseColWidth="10" defaultRowHeight="12"/>
  <cols>
    <col min="1" max="1" width="23.42578125" style="50" customWidth="1"/>
    <col min="2" max="16384" width="11.42578125" style="50"/>
  </cols>
  <sheetData>
    <row r="2" spans="1:7" ht="30.75" customHeight="1">
      <c r="A2" s="2194" t="s">
        <v>1509</v>
      </c>
      <c r="B2" s="2194"/>
      <c r="C2" s="2194"/>
      <c r="D2" s="2194"/>
      <c r="E2" s="2194"/>
      <c r="F2" s="2194"/>
      <c r="G2" s="2194"/>
    </row>
    <row r="3" spans="1:7">
      <c r="A3" s="1327"/>
      <c r="B3" s="135"/>
      <c r="C3" s="135"/>
      <c r="D3" s="135"/>
      <c r="E3" s="135"/>
      <c r="F3" s="135"/>
      <c r="G3" s="135"/>
    </row>
    <row r="4" spans="1:7">
      <c r="A4" s="2246" t="s">
        <v>1504</v>
      </c>
      <c r="B4" s="2189" t="s">
        <v>1505</v>
      </c>
      <c r="C4" s="2189"/>
      <c r="D4" s="2189"/>
      <c r="E4" s="2189"/>
      <c r="F4" s="2189"/>
      <c r="G4" s="2189"/>
    </row>
    <row r="5" spans="1:7" ht="13.5">
      <c r="A5" s="2247"/>
      <c r="B5" s="1409">
        <v>2009</v>
      </c>
      <c r="C5" s="1409">
        <v>2010</v>
      </c>
      <c r="D5" s="1409">
        <v>2011</v>
      </c>
      <c r="E5" s="1409">
        <v>2012</v>
      </c>
      <c r="F5" s="1409" t="s">
        <v>3564</v>
      </c>
      <c r="G5" s="1409">
        <v>2014</v>
      </c>
    </row>
    <row r="6" spans="1:7">
      <c r="A6" s="1327" t="s">
        <v>6</v>
      </c>
      <c r="B6" s="1327">
        <f t="shared" ref="B6:G6" si="0">SUM(B7+B10)</f>
        <v>34</v>
      </c>
      <c r="C6" s="1327">
        <f t="shared" si="0"/>
        <v>20</v>
      </c>
      <c r="D6" s="1327">
        <f t="shared" si="0"/>
        <v>5</v>
      </c>
      <c r="E6" s="1327">
        <f t="shared" si="0"/>
        <v>6</v>
      </c>
      <c r="F6" s="1327">
        <f t="shared" si="0"/>
        <v>30</v>
      </c>
      <c r="G6" s="1327">
        <f t="shared" si="0"/>
        <v>26</v>
      </c>
    </row>
    <row r="7" spans="1:7">
      <c r="A7" s="130" t="s">
        <v>1506</v>
      </c>
      <c r="B7" s="130">
        <f t="shared" ref="B7:G7" si="1">SUM(B8:B9)</f>
        <v>25</v>
      </c>
      <c r="C7" s="130">
        <f t="shared" si="1"/>
        <v>17</v>
      </c>
      <c r="D7" s="130">
        <f t="shared" si="1"/>
        <v>4</v>
      </c>
      <c r="E7" s="130">
        <f t="shared" si="1"/>
        <v>5</v>
      </c>
      <c r="F7" s="130">
        <f t="shared" si="1"/>
        <v>19</v>
      </c>
      <c r="G7" s="130">
        <f t="shared" si="1"/>
        <v>23</v>
      </c>
    </row>
    <row r="8" spans="1:7">
      <c r="A8" s="129" t="s">
        <v>163</v>
      </c>
      <c r="B8" s="129">
        <v>19</v>
      </c>
      <c r="C8" s="129">
        <v>13</v>
      </c>
      <c r="D8" s="129">
        <v>2</v>
      </c>
      <c r="E8" s="129">
        <v>4</v>
      </c>
      <c r="F8" s="129">
        <v>15</v>
      </c>
      <c r="G8" s="88">
        <v>16</v>
      </c>
    </row>
    <row r="9" spans="1:7">
      <c r="A9" s="129" t="s">
        <v>164</v>
      </c>
      <c r="B9" s="129">
        <v>6</v>
      </c>
      <c r="C9" s="129">
        <v>4</v>
      </c>
      <c r="D9" s="129">
        <v>2</v>
      </c>
      <c r="E9" s="129">
        <v>1</v>
      </c>
      <c r="F9" s="129">
        <v>4</v>
      </c>
      <c r="G9" s="88">
        <v>7</v>
      </c>
    </row>
    <row r="10" spans="1:7">
      <c r="A10" s="130" t="s">
        <v>1507</v>
      </c>
      <c r="B10" s="130">
        <v>9</v>
      </c>
      <c r="C10" s="130">
        <v>3</v>
      </c>
      <c r="D10" s="130">
        <v>1</v>
      </c>
      <c r="E10" s="130">
        <v>1</v>
      </c>
      <c r="F10" s="130">
        <v>11</v>
      </c>
      <c r="G10" s="770">
        <v>3</v>
      </c>
    </row>
    <row r="11" spans="1:7">
      <c r="A11" s="129"/>
      <c r="B11" s="129"/>
      <c r="C11" s="129"/>
      <c r="D11" s="129"/>
      <c r="E11" s="129"/>
      <c r="F11" s="129"/>
      <c r="G11" s="129"/>
    </row>
    <row r="12" spans="1:7">
      <c r="A12" s="88" t="s">
        <v>3710</v>
      </c>
      <c r="B12" s="1381"/>
      <c r="C12" s="1381"/>
      <c r="D12" s="1381"/>
      <c r="E12" s="1381"/>
      <c r="F12" s="1381"/>
      <c r="G12" s="129"/>
    </row>
    <row r="13" spans="1:7">
      <c r="A13" s="1381" t="s">
        <v>1508</v>
      </c>
      <c r="B13" s="135"/>
      <c r="C13" s="135"/>
      <c r="D13" s="135"/>
      <c r="E13" s="135"/>
      <c r="F13" s="135"/>
      <c r="G13" s="135"/>
    </row>
  </sheetData>
  <mergeCells count="3">
    <mergeCell ref="A2:G2"/>
    <mergeCell ref="A4:A5"/>
    <mergeCell ref="B4:G4"/>
  </mergeCells>
  <pageMargins left="0.7" right="0.7" top="0.75" bottom="0.75" header="0.3" footer="0.3"/>
</worksheet>
</file>

<file path=xl/worksheets/sheet146.xml><?xml version="1.0" encoding="utf-8"?>
<worksheet xmlns="http://schemas.openxmlformats.org/spreadsheetml/2006/main" xmlns:r="http://schemas.openxmlformats.org/officeDocument/2006/relationships">
  <dimension ref="A2:M11"/>
  <sheetViews>
    <sheetView zoomScaleNormal="100" workbookViewId="0"/>
  </sheetViews>
  <sheetFormatPr baseColWidth="10" defaultRowHeight="12"/>
  <cols>
    <col min="1" max="1" width="21.7109375" style="51" customWidth="1"/>
    <col min="2" max="16384" width="11.42578125" style="51"/>
  </cols>
  <sheetData>
    <row r="2" spans="1:13" ht="25.5" customHeight="1">
      <c r="A2" s="2195" t="s">
        <v>1510</v>
      </c>
      <c r="B2" s="2195"/>
      <c r="C2" s="2195"/>
      <c r="D2" s="2195"/>
      <c r="E2" s="2195"/>
      <c r="F2" s="2195"/>
      <c r="G2" s="2195"/>
      <c r="H2" s="2195"/>
      <c r="I2" s="2195"/>
      <c r="J2" s="2195"/>
      <c r="K2" s="2195"/>
      <c r="L2" s="2195"/>
      <c r="M2" s="2195"/>
    </row>
    <row r="3" spans="1:13" ht="4.5" customHeight="1">
      <c r="A3" s="130"/>
      <c r="B3" s="129"/>
      <c r="C3" s="129"/>
      <c r="D3" s="129"/>
      <c r="E3" s="129"/>
      <c r="F3" s="129"/>
      <c r="G3" s="129"/>
      <c r="H3" s="129"/>
      <c r="I3" s="129"/>
      <c r="J3" s="129"/>
      <c r="K3" s="129"/>
      <c r="L3" s="129"/>
      <c r="M3" s="129"/>
    </row>
    <row r="4" spans="1:13">
      <c r="A4" s="2307" t="s">
        <v>1511</v>
      </c>
      <c r="B4" s="2309">
        <v>2009</v>
      </c>
      <c r="C4" s="2310"/>
      <c r="D4" s="2309">
        <v>2010</v>
      </c>
      <c r="E4" s="2310"/>
      <c r="F4" s="2309">
        <v>2011</v>
      </c>
      <c r="G4" s="2310"/>
      <c r="H4" s="2309">
        <v>2012</v>
      </c>
      <c r="I4" s="2310"/>
      <c r="J4" s="2309">
        <v>2013</v>
      </c>
      <c r="K4" s="2310"/>
      <c r="L4" s="2309">
        <v>2014</v>
      </c>
      <c r="M4" s="2310"/>
    </row>
    <row r="5" spans="1:13">
      <c r="A5" s="2308"/>
      <c r="B5" s="1367" t="s">
        <v>1498</v>
      </c>
      <c r="C5" s="1367" t="s">
        <v>1149</v>
      </c>
      <c r="D5" s="1367" t="s">
        <v>1498</v>
      </c>
      <c r="E5" s="1367" t="s">
        <v>1149</v>
      </c>
      <c r="F5" s="1367" t="s">
        <v>1498</v>
      </c>
      <c r="G5" s="1367" t="s">
        <v>1149</v>
      </c>
      <c r="H5" s="1367" t="s">
        <v>1498</v>
      </c>
      <c r="I5" s="1367" t="s">
        <v>1149</v>
      </c>
      <c r="J5" s="1367" t="s">
        <v>1498</v>
      </c>
      <c r="K5" s="1367" t="s">
        <v>1149</v>
      </c>
      <c r="L5" s="1367" t="s">
        <v>1498</v>
      </c>
      <c r="M5" s="1367" t="s">
        <v>1149</v>
      </c>
    </row>
    <row r="6" spans="1:13">
      <c r="A6" s="763" t="s">
        <v>6</v>
      </c>
      <c r="B6" s="759">
        <f>SUM(B7:B9)</f>
        <v>4462</v>
      </c>
      <c r="C6" s="1385">
        <f>SUM(C7:C9)</f>
        <v>1</v>
      </c>
      <c r="D6" s="759">
        <f>SUM(D7:D9)</f>
        <v>5107</v>
      </c>
      <c r="E6" s="1385">
        <v>1</v>
      </c>
      <c r="F6" s="759">
        <f>SUM(F7:F9)</f>
        <v>5720</v>
      </c>
      <c r="G6" s="1385">
        <v>1</v>
      </c>
      <c r="H6" s="759">
        <f t="shared" ref="H6:M6" si="0">SUM(H7:H9)</f>
        <v>6045</v>
      </c>
      <c r="I6" s="1385">
        <f t="shared" si="0"/>
        <v>1</v>
      </c>
      <c r="J6" s="759">
        <f t="shared" si="0"/>
        <v>5952</v>
      </c>
      <c r="K6" s="1385">
        <f t="shared" si="0"/>
        <v>1</v>
      </c>
      <c r="L6" s="759">
        <f t="shared" si="0"/>
        <v>5702</v>
      </c>
      <c r="M6" s="1407">
        <f t="shared" si="0"/>
        <v>1</v>
      </c>
    </row>
    <row r="7" spans="1:13">
      <c r="A7" s="129" t="s">
        <v>1512</v>
      </c>
      <c r="B7" s="741">
        <v>4087</v>
      </c>
      <c r="C7" s="1384">
        <f>+B7/$B$6</f>
        <v>0.91595696996862397</v>
      </c>
      <c r="D7" s="741">
        <v>4729</v>
      </c>
      <c r="E7" s="1384">
        <f>+D7/$D$6</f>
        <v>0.92598394360681413</v>
      </c>
      <c r="F7" s="741">
        <v>5326</v>
      </c>
      <c r="G7" s="1384">
        <f>+F7/$F$6</f>
        <v>0.93111888111888108</v>
      </c>
      <c r="H7" s="741">
        <v>5641</v>
      </c>
      <c r="I7" s="1384">
        <f>+H7/$H$6</f>
        <v>0.93316790736145572</v>
      </c>
      <c r="J7" s="1387">
        <v>5450</v>
      </c>
      <c r="K7" s="1384">
        <f>+J7/$J$6</f>
        <v>0.91565860215053763</v>
      </c>
      <c r="L7" s="1387">
        <v>5236</v>
      </c>
      <c r="M7" s="1384">
        <f>+L7/$L$6</f>
        <v>0.91827428972290426</v>
      </c>
    </row>
    <row r="8" spans="1:13">
      <c r="A8" s="129" t="s">
        <v>1513</v>
      </c>
      <c r="B8" s="741">
        <v>154</v>
      </c>
      <c r="C8" s="1384">
        <f t="shared" ref="C8:C9" si="1">+B8/$B$6</f>
        <v>3.4513670999551771E-2</v>
      </c>
      <c r="D8" s="741">
        <v>171</v>
      </c>
      <c r="E8" s="1384">
        <f t="shared" ref="E8:E9" si="2">+D8/$D$6</f>
        <v>3.3483454082631682E-2</v>
      </c>
      <c r="F8" s="741">
        <v>176</v>
      </c>
      <c r="G8" s="1384">
        <f t="shared" ref="G8:G9" si="3">+F8/$F$6</f>
        <v>3.0769230769230771E-2</v>
      </c>
      <c r="H8" s="741">
        <v>182</v>
      </c>
      <c r="I8" s="1384">
        <f t="shared" ref="I8:I9" si="4">+H8/$H$6</f>
        <v>3.0107526881720432E-2</v>
      </c>
      <c r="J8" s="1365">
        <v>269</v>
      </c>
      <c r="K8" s="1384">
        <f>+J8/$J$6</f>
        <v>4.5194892473118281E-2</v>
      </c>
      <c r="L8" s="1365">
        <v>271</v>
      </c>
      <c r="M8" s="1384">
        <f t="shared" ref="M8:M9" si="5">+L8/$L$6</f>
        <v>4.7527183444405471E-2</v>
      </c>
    </row>
    <row r="9" spans="1:13">
      <c r="A9" s="129" t="s">
        <v>1514</v>
      </c>
      <c r="B9" s="741">
        <v>221</v>
      </c>
      <c r="C9" s="1384">
        <f t="shared" si="1"/>
        <v>4.9529359031824295E-2</v>
      </c>
      <c r="D9" s="741">
        <v>207</v>
      </c>
      <c r="E9" s="1384">
        <f t="shared" si="2"/>
        <v>4.0532602310554139E-2</v>
      </c>
      <c r="F9" s="741">
        <v>218</v>
      </c>
      <c r="G9" s="1384">
        <f t="shared" si="3"/>
        <v>3.8111888111888113E-2</v>
      </c>
      <c r="H9" s="741">
        <v>222</v>
      </c>
      <c r="I9" s="1384">
        <f t="shared" si="4"/>
        <v>3.672456575682382E-2</v>
      </c>
      <c r="J9" s="1365">
        <v>233</v>
      </c>
      <c r="K9" s="1384">
        <f>+J9/$J$6</f>
        <v>3.9146505376344086E-2</v>
      </c>
      <c r="L9" s="1365">
        <v>195</v>
      </c>
      <c r="M9" s="1384">
        <f t="shared" si="5"/>
        <v>3.4198526832690285E-2</v>
      </c>
    </row>
    <row r="10" spans="1:13">
      <c r="A10" s="129"/>
      <c r="B10" s="741"/>
      <c r="C10" s="1384"/>
      <c r="D10" s="741"/>
      <c r="E10" s="1384"/>
      <c r="F10" s="1384"/>
      <c r="G10" s="741"/>
      <c r="H10" s="741"/>
      <c r="I10" s="1384"/>
      <c r="J10" s="1384"/>
      <c r="K10" s="741"/>
      <c r="L10" s="1384"/>
      <c r="M10" s="1365"/>
    </row>
    <row r="11" spans="1:13">
      <c r="A11" s="1408" t="s">
        <v>1499</v>
      </c>
      <c r="B11" s="1408"/>
      <c r="C11" s="1408"/>
      <c r="D11" s="1408"/>
      <c r="E11" s="1408"/>
      <c r="F11" s="1408"/>
      <c r="G11" s="1408"/>
      <c r="H11" s="1408"/>
      <c r="I11" s="1408"/>
      <c r="J11" s="1408"/>
      <c r="K11" s="1408"/>
      <c r="L11" s="346"/>
      <c r="M11" s="346"/>
    </row>
  </sheetData>
  <mergeCells count="8">
    <mergeCell ref="A2:M2"/>
    <mergeCell ref="A4:A5"/>
    <mergeCell ref="B4:C4"/>
    <mergeCell ref="D4:E4"/>
    <mergeCell ref="F4:G4"/>
    <mergeCell ref="H4:I4"/>
    <mergeCell ref="J4:K4"/>
    <mergeCell ref="L4:M4"/>
  </mergeCell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dimension ref="A1:M24"/>
  <sheetViews>
    <sheetView zoomScaleNormal="100" workbookViewId="0"/>
  </sheetViews>
  <sheetFormatPr baseColWidth="10" defaultRowHeight="12"/>
  <cols>
    <col min="1" max="1" width="24" style="50" customWidth="1"/>
    <col min="2" max="11" width="11.42578125" style="50"/>
    <col min="12" max="13" width="11.42578125" style="1402"/>
    <col min="14" max="16384" width="11.42578125" style="50"/>
  </cols>
  <sheetData>
    <row r="1" spans="1:13" ht="8.25" customHeight="1"/>
    <row r="2" spans="1:13">
      <c r="A2" s="2176" t="s">
        <v>3184</v>
      </c>
      <c r="B2" s="2176"/>
      <c r="C2" s="2176"/>
      <c r="D2" s="2176"/>
      <c r="E2" s="2176"/>
      <c r="F2" s="2176"/>
      <c r="G2" s="2176"/>
      <c r="H2" s="2176"/>
      <c r="I2" s="2176"/>
      <c r="J2" s="2176"/>
      <c r="K2" s="2176"/>
      <c r="L2" s="2176"/>
      <c r="M2" s="2176"/>
    </row>
    <row r="3" spans="1:13" ht="4.5" customHeight="1">
      <c r="A3" s="130"/>
      <c r="B3" s="1403"/>
      <c r="C3" s="1403"/>
      <c r="D3" s="1403"/>
      <c r="E3" s="1403"/>
      <c r="F3" s="1403"/>
      <c r="G3" s="1403"/>
      <c r="H3" s="1403"/>
      <c r="I3" s="1403"/>
      <c r="J3" s="1403"/>
      <c r="K3" s="1403"/>
      <c r="L3" s="1403"/>
      <c r="M3" s="1403"/>
    </row>
    <row r="4" spans="1:13">
      <c r="A4" s="2154" t="s">
        <v>1515</v>
      </c>
      <c r="B4" s="2309">
        <v>2009</v>
      </c>
      <c r="C4" s="2310"/>
      <c r="D4" s="2309">
        <v>2010</v>
      </c>
      <c r="E4" s="2310"/>
      <c r="F4" s="2309">
        <v>2011</v>
      </c>
      <c r="G4" s="2310"/>
      <c r="H4" s="2309">
        <v>2012</v>
      </c>
      <c r="I4" s="2310"/>
      <c r="J4" s="2309">
        <v>2013</v>
      </c>
      <c r="K4" s="2310"/>
      <c r="L4" s="2309">
        <v>2014</v>
      </c>
      <c r="M4" s="2310"/>
    </row>
    <row r="5" spans="1:13">
      <c r="A5" s="2154"/>
      <c r="B5" s="1367" t="s">
        <v>1498</v>
      </c>
      <c r="C5" s="1367" t="s">
        <v>1149</v>
      </c>
      <c r="D5" s="1367" t="s">
        <v>1498</v>
      </c>
      <c r="E5" s="1367" t="s">
        <v>1149</v>
      </c>
      <c r="F5" s="1367" t="s">
        <v>1498</v>
      </c>
      <c r="G5" s="1367" t="s">
        <v>1149</v>
      </c>
      <c r="H5" s="1367" t="s">
        <v>1498</v>
      </c>
      <c r="I5" s="1367" t="s">
        <v>1149</v>
      </c>
      <c r="J5" s="1367" t="s">
        <v>1498</v>
      </c>
      <c r="K5" s="1367" t="s">
        <v>1149</v>
      </c>
      <c r="L5" s="1367" t="s">
        <v>1498</v>
      </c>
      <c r="M5" s="1367" t="s">
        <v>1149</v>
      </c>
    </row>
    <row r="6" spans="1:13">
      <c r="A6" s="16" t="s">
        <v>6</v>
      </c>
      <c r="B6" s="759">
        <v>4462</v>
      </c>
      <c r="C6" s="1385">
        <v>1</v>
      </c>
      <c r="D6" s="759">
        <v>5107</v>
      </c>
      <c r="E6" s="1385">
        <v>0.99999999999999989</v>
      </c>
      <c r="F6" s="759">
        <v>5720</v>
      </c>
      <c r="G6" s="1385">
        <v>1</v>
      </c>
      <c r="H6" s="759">
        <v>6045</v>
      </c>
      <c r="I6" s="1385">
        <v>1.0000000000000002</v>
      </c>
      <c r="J6" s="759">
        <v>5952</v>
      </c>
      <c r="K6" s="1385">
        <v>1</v>
      </c>
      <c r="L6" s="759">
        <v>5702</v>
      </c>
      <c r="M6" s="1385">
        <v>1</v>
      </c>
    </row>
    <row r="7" spans="1:13">
      <c r="A7" s="129" t="s">
        <v>1516</v>
      </c>
      <c r="B7" s="775">
        <v>248</v>
      </c>
      <c r="C7" s="1384">
        <v>5.5580457194083374E-2</v>
      </c>
      <c r="D7" s="775">
        <v>254</v>
      </c>
      <c r="E7" s="1384">
        <v>4.9735656941452905E-2</v>
      </c>
      <c r="F7" s="1404">
        <v>261</v>
      </c>
      <c r="G7" s="1384">
        <v>4.5629370629370627E-2</v>
      </c>
      <c r="H7" s="1404">
        <v>254</v>
      </c>
      <c r="I7" s="1384">
        <v>4.2018196856906533E-2</v>
      </c>
      <c r="J7" s="1405">
        <v>301</v>
      </c>
      <c r="K7" s="1384">
        <v>5.0571236559139782E-2</v>
      </c>
      <c r="L7" s="1405">
        <v>233</v>
      </c>
      <c r="M7" s="1384">
        <v>4.0862855138547878E-2</v>
      </c>
    </row>
    <row r="8" spans="1:13">
      <c r="A8" s="129" t="s">
        <v>1517</v>
      </c>
      <c r="B8" s="775">
        <v>103</v>
      </c>
      <c r="C8" s="1384">
        <v>2.3083818915284625E-2</v>
      </c>
      <c r="D8" s="775">
        <v>165</v>
      </c>
      <c r="E8" s="1384">
        <v>3.2308596044644602E-2</v>
      </c>
      <c r="F8" s="1404">
        <v>157</v>
      </c>
      <c r="G8" s="1384">
        <v>2.7447552447552447E-2</v>
      </c>
      <c r="H8" s="1404">
        <v>219</v>
      </c>
      <c r="I8" s="1384">
        <v>3.6228287841191066E-2</v>
      </c>
      <c r="J8" s="1405">
        <v>233</v>
      </c>
      <c r="K8" s="1384">
        <v>3.9146505376344086E-2</v>
      </c>
      <c r="L8" s="1405">
        <v>230</v>
      </c>
      <c r="M8" s="1384">
        <v>4.033672395650649E-2</v>
      </c>
    </row>
    <row r="9" spans="1:13">
      <c r="A9" s="129" t="s">
        <v>1518</v>
      </c>
      <c r="B9" s="775">
        <v>166</v>
      </c>
      <c r="C9" s="1384">
        <v>3.7203047960555805E-2</v>
      </c>
      <c r="D9" s="775">
        <v>108</v>
      </c>
      <c r="E9" s="1384">
        <v>2.1147444683767377E-2</v>
      </c>
      <c r="F9" s="1404">
        <v>204</v>
      </c>
      <c r="G9" s="1384">
        <v>3.5664335664335661E-2</v>
      </c>
      <c r="H9" s="1404">
        <v>89</v>
      </c>
      <c r="I9" s="1384">
        <v>1.4722911497105046E-2</v>
      </c>
      <c r="J9" s="1405">
        <v>121</v>
      </c>
      <c r="K9" s="1384">
        <v>2.0329301075268816E-2</v>
      </c>
      <c r="L9" s="1405">
        <v>186</v>
      </c>
      <c r="M9" s="1384">
        <v>3.2620133286566121E-2</v>
      </c>
    </row>
    <row r="10" spans="1:13" s="51" customFormat="1">
      <c r="A10" s="129" t="s">
        <v>1519</v>
      </c>
      <c r="B10" s="775">
        <v>341</v>
      </c>
      <c r="C10" s="1384">
        <v>7.6423128641864638E-2</v>
      </c>
      <c r="D10" s="775">
        <v>359</v>
      </c>
      <c r="E10" s="1384">
        <v>7.0295672606226753E-2</v>
      </c>
      <c r="F10" s="1404">
        <v>393</v>
      </c>
      <c r="G10" s="1384">
        <v>6.8706293706293706E-2</v>
      </c>
      <c r="H10" s="1404">
        <v>465</v>
      </c>
      <c r="I10" s="1384">
        <v>7.6923076923076927E-2</v>
      </c>
      <c r="J10" s="1404">
        <v>545</v>
      </c>
      <c r="K10" s="1384">
        <v>9.1565860215053765E-2</v>
      </c>
      <c r="L10" s="1404">
        <v>601</v>
      </c>
      <c r="M10" s="1384">
        <v>0.10540161346895827</v>
      </c>
    </row>
    <row r="11" spans="1:13" s="51" customFormat="1">
      <c r="A11" s="129" t="s">
        <v>1520</v>
      </c>
      <c r="B11" s="775">
        <v>85</v>
      </c>
      <c r="C11" s="1384">
        <v>1.9049753473778575E-2</v>
      </c>
      <c r="D11" s="775">
        <v>90</v>
      </c>
      <c r="E11" s="1384">
        <v>1.7622870569806149E-2</v>
      </c>
      <c r="F11" s="1404">
        <v>90</v>
      </c>
      <c r="G11" s="1384">
        <v>1.5734265734265736E-2</v>
      </c>
      <c r="H11" s="1404">
        <v>88</v>
      </c>
      <c r="I11" s="1384">
        <v>1.4557485525227461E-2</v>
      </c>
      <c r="J11" s="1404">
        <v>106</v>
      </c>
      <c r="K11" s="1384">
        <v>1.7809139784946238E-2</v>
      </c>
      <c r="L11" s="1404">
        <v>102</v>
      </c>
      <c r="M11" s="1384">
        <v>1.7888460189407224E-2</v>
      </c>
    </row>
    <row r="12" spans="1:13" s="51" customFormat="1">
      <c r="A12" s="129" t="s">
        <v>1521</v>
      </c>
      <c r="B12" s="775">
        <v>322</v>
      </c>
      <c r="C12" s="1384">
        <v>7.2164948453608241E-2</v>
      </c>
      <c r="D12" s="775">
        <v>341</v>
      </c>
      <c r="E12" s="1384">
        <v>6.6771098492265521E-2</v>
      </c>
      <c r="F12" s="1404">
        <v>466</v>
      </c>
      <c r="G12" s="1384">
        <v>8.1468531468531474E-2</v>
      </c>
      <c r="H12" s="1404">
        <v>371</v>
      </c>
      <c r="I12" s="1384">
        <v>6.1373035566583953E-2</v>
      </c>
      <c r="J12" s="1404">
        <v>366</v>
      </c>
      <c r="K12" s="1384">
        <v>6.1491935483870969E-2</v>
      </c>
      <c r="L12" s="1404">
        <v>379</v>
      </c>
      <c r="M12" s="1384">
        <v>6.6467905997895468E-2</v>
      </c>
    </row>
    <row r="13" spans="1:13" s="51" customFormat="1">
      <c r="A13" s="129" t="s">
        <v>1522</v>
      </c>
      <c r="B13" s="775">
        <v>40</v>
      </c>
      <c r="C13" s="1384">
        <v>8.9645898700134469E-3</v>
      </c>
      <c r="D13" s="775">
        <v>60</v>
      </c>
      <c r="E13" s="1384">
        <v>1.1748580379870765E-2</v>
      </c>
      <c r="F13" s="1404">
        <v>40</v>
      </c>
      <c r="G13" s="1384">
        <v>6.993006993006993E-3</v>
      </c>
      <c r="H13" s="1404">
        <v>33</v>
      </c>
      <c r="I13" s="1384">
        <v>5.4590570719602978E-3</v>
      </c>
      <c r="J13" s="1404">
        <v>42</v>
      </c>
      <c r="K13" s="1384">
        <v>7.0564516129032256E-3</v>
      </c>
      <c r="L13" s="1404">
        <v>27</v>
      </c>
      <c r="M13" s="1384">
        <v>4.735180638372501E-3</v>
      </c>
    </row>
    <row r="14" spans="1:13" s="51" customFormat="1">
      <c r="A14" s="129" t="s">
        <v>1523</v>
      </c>
      <c r="B14" s="775">
        <v>579</v>
      </c>
      <c r="C14" s="1384">
        <v>0.12976243836844464</v>
      </c>
      <c r="D14" s="775">
        <v>755</v>
      </c>
      <c r="E14" s="1384">
        <v>0.14783630311337381</v>
      </c>
      <c r="F14" s="1404">
        <v>816</v>
      </c>
      <c r="G14" s="1384">
        <v>0.14265734265734265</v>
      </c>
      <c r="H14" s="1404">
        <v>1420</v>
      </c>
      <c r="I14" s="1384">
        <v>0.23490488006617039</v>
      </c>
      <c r="J14" s="1406">
        <v>940</v>
      </c>
      <c r="K14" s="1384">
        <v>0.15793010752688172</v>
      </c>
      <c r="L14" s="1406">
        <v>592</v>
      </c>
      <c r="M14" s="1384">
        <v>0.1038232199228341</v>
      </c>
    </row>
    <row r="15" spans="1:13" s="51" customFormat="1">
      <c r="A15" s="129" t="s">
        <v>1524</v>
      </c>
      <c r="B15" s="775">
        <v>27</v>
      </c>
      <c r="C15" s="1384">
        <v>6.0510981622590764E-3</v>
      </c>
      <c r="D15" s="775">
        <v>5</v>
      </c>
      <c r="E15" s="1384">
        <v>9.790483649892304E-4</v>
      </c>
      <c r="F15" s="1404">
        <v>9</v>
      </c>
      <c r="G15" s="1384">
        <v>1.5734265734265735E-3</v>
      </c>
      <c r="H15" s="1404">
        <v>19</v>
      </c>
      <c r="I15" s="1384">
        <v>3.1430934656741108E-3</v>
      </c>
      <c r="J15" s="1404">
        <v>6</v>
      </c>
      <c r="K15" s="1384">
        <v>1.0080645161290322E-3</v>
      </c>
      <c r="L15" s="1404">
        <v>6</v>
      </c>
      <c r="M15" s="1384">
        <v>1.052262364082778E-3</v>
      </c>
    </row>
    <row r="16" spans="1:13" s="51" customFormat="1">
      <c r="A16" s="129" t="s">
        <v>1525</v>
      </c>
      <c r="B16" s="775">
        <v>75</v>
      </c>
      <c r="C16" s="1384">
        <v>1.6808606006275213E-2</v>
      </c>
      <c r="D16" s="775">
        <v>76</v>
      </c>
      <c r="E16" s="1384">
        <v>1.4881535147836304E-2</v>
      </c>
      <c r="F16" s="1404">
        <v>63</v>
      </c>
      <c r="G16" s="1384">
        <v>1.1013986013986014E-2</v>
      </c>
      <c r="H16" s="1404">
        <v>100</v>
      </c>
      <c r="I16" s="1384">
        <v>1.6542597187758478E-2</v>
      </c>
      <c r="J16" s="1404">
        <v>78</v>
      </c>
      <c r="K16" s="1384">
        <v>1.310483870967742E-2</v>
      </c>
      <c r="L16" s="1404">
        <v>35</v>
      </c>
      <c r="M16" s="1384">
        <v>6.1381971238162044E-3</v>
      </c>
    </row>
    <row r="17" spans="1:13" s="51" customFormat="1">
      <c r="A17" s="129" t="s">
        <v>1526</v>
      </c>
      <c r="B17" s="775">
        <v>127</v>
      </c>
      <c r="C17" s="1384">
        <v>2.8462572837292695E-2</v>
      </c>
      <c r="D17" s="775">
        <v>141</v>
      </c>
      <c r="E17" s="1384">
        <v>2.7609163892696298E-2</v>
      </c>
      <c r="F17" s="1404">
        <v>163</v>
      </c>
      <c r="G17" s="1384">
        <v>2.8496503496503497E-2</v>
      </c>
      <c r="H17" s="1404">
        <v>189</v>
      </c>
      <c r="I17" s="1384">
        <v>3.1265508684863524E-2</v>
      </c>
      <c r="J17" s="1404">
        <v>84</v>
      </c>
      <c r="K17" s="1384">
        <v>1.4112903225806451E-2</v>
      </c>
      <c r="L17" s="1404">
        <v>122</v>
      </c>
      <c r="M17" s="1384">
        <v>2.1396001403016486E-2</v>
      </c>
    </row>
    <row r="18" spans="1:13" s="51" customFormat="1">
      <c r="A18" s="129" t="s">
        <v>1527</v>
      </c>
      <c r="B18" s="775">
        <v>339</v>
      </c>
      <c r="C18" s="1384">
        <v>7.5974899148363959E-2</v>
      </c>
      <c r="D18" s="775">
        <v>465</v>
      </c>
      <c r="E18" s="1384">
        <v>9.105149794399843E-2</v>
      </c>
      <c r="F18" s="1404">
        <v>333</v>
      </c>
      <c r="G18" s="1384">
        <v>5.8216783216783217E-2</v>
      </c>
      <c r="H18" s="1404">
        <v>317</v>
      </c>
      <c r="I18" s="1384">
        <v>5.2440033085194376E-2</v>
      </c>
      <c r="J18" s="1404">
        <v>274</v>
      </c>
      <c r="K18" s="1384">
        <v>4.6034946236559141E-2</v>
      </c>
      <c r="L18" s="1404">
        <v>310</v>
      </c>
      <c r="M18" s="1384">
        <v>5.436688881094353E-2</v>
      </c>
    </row>
    <row r="19" spans="1:13" s="51" customFormat="1">
      <c r="A19" s="129" t="s">
        <v>1528</v>
      </c>
      <c r="B19" s="775">
        <v>346</v>
      </c>
      <c r="C19" s="1384">
        <v>7.7543702375616322E-2</v>
      </c>
      <c r="D19" s="775">
        <v>330</v>
      </c>
      <c r="E19" s="1384">
        <v>6.4617192089289205E-2</v>
      </c>
      <c r="F19" s="1404">
        <v>326</v>
      </c>
      <c r="G19" s="1384">
        <v>5.6993006993006995E-2</v>
      </c>
      <c r="H19" s="1404">
        <v>352</v>
      </c>
      <c r="I19" s="1384">
        <v>5.8229942100909843E-2</v>
      </c>
      <c r="J19" s="1404">
        <v>352</v>
      </c>
      <c r="K19" s="1384">
        <v>5.9139784946236562E-2</v>
      </c>
      <c r="L19" s="1404">
        <v>413</v>
      </c>
      <c r="M19" s="1384">
        <v>7.2430726061031223E-2</v>
      </c>
    </row>
    <row r="20" spans="1:13" s="51" customFormat="1">
      <c r="A20" s="129" t="s">
        <v>1529</v>
      </c>
      <c r="B20" s="1005">
        <v>1369</v>
      </c>
      <c r="C20" s="1384">
        <v>0.30681308830121024</v>
      </c>
      <c r="D20" s="1005">
        <v>1625</v>
      </c>
      <c r="E20" s="1384">
        <v>0.31819071862149989</v>
      </c>
      <c r="F20" s="1406">
        <v>2088</v>
      </c>
      <c r="G20" s="1384">
        <v>0.36503496503496502</v>
      </c>
      <c r="H20" s="1406">
        <v>1878</v>
      </c>
      <c r="I20" s="1384">
        <v>0.31066997518610423</v>
      </c>
      <c r="J20" s="1406">
        <v>2142</v>
      </c>
      <c r="K20" s="1384">
        <v>0.3598790322580645</v>
      </c>
      <c r="L20" s="1406">
        <v>2163</v>
      </c>
      <c r="M20" s="1384">
        <v>0.37934058225184147</v>
      </c>
    </row>
    <row r="21" spans="1:13">
      <c r="A21" s="129" t="s">
        <v>1530</v>
      </c>
      <c r="B21" s="775">
        <v>295</v>
      </c>
      <c r="C21" s="1384">
        <v>6.6113850291349169E-2</v>
      </c>
      <c r="D21" s="775">
        <v>333</v>
      </c>
      <c r="E21" s="1384">
        <v>6.5204621108282748E-2</v>
      </c>
      <c r="F21" s="1404">
        <v>311</v>
      </c>
      <c r="G21" s="1384">
        <v>5.4370629370629371E-2</v>
      </c>
      <c r="H21" s="1404">
        <v>251</v>
      </c>
      <c r="I21" s="1384">
        <v>4.1521918941273779E-2</v>
      </c>
      <c r="J21" s="1405">
        <v>362</v>
      </c>
      <c r="K21" s="1384">
        <v>6.0819892473118281E-2</v>
      </c>
      <c r="L21" s="1405">
        <v>303</v>
      </c>
      <c r="M21" s="1384">
        <v>5.3139249386180289E-2</v>
      </c>
    </row>
    <row r="22" spans="1:13">
      <c r="A22" s="1403"/>
      <c r="B22" s="775"/>
      <c r="C22" s="1384"/>
      <c r="D22" s="775"/>
      <c r="E22" s="1384"/>
      <c r="F22" s="1384"/>
      <c r="G22" s="1404"/>
      <c r="H22" s="1404"/>
      <c r="I22" s="1384"/>
      <c r="J22" s="1384"/>
      <c r="K22" s="1404"/>
      <c r="L22" s="1384"/>
      <c r="M22" s="1405"/>
    </row>
    <row r="23" spans="1:13">
      <c r="A23" s="2311" t="s">
        <v>1499</v>
      </c>
      <c r="B23" s="2311"/>
      <c r="C23" s="2311"/>
      <c r="D23" s="2311"/>
      <c r="E23" s="2311"/>
      <c r="F23" s="2311"/>
      <c r="G23" s="2311"/>
      <c r="H23" s="2311"/>
      <c r="I23" s="2311"/>
      <c r="J23" s="2311"/>
      <c r="K23" s="2311"/>
      <c r="L23" s="1403"/>
      <c r="M23" s="1403"/>
    </row>
    <row r="24" spans="1:13">
      <c r="A24" s="1373"/>
      <c r="B24" s="1373"/>
      <c r="C24" s="1373"/>
      <c r="D24" s="1373"/>
      <c r="E24" s="1373"/>
      <c r="F24" s="1373"/>
      <c r="G24" s="1373"/>
      <c r="H24" s="1373"/>
      <c r="I24" s="1373"/>
      <c r="J24" s="1373"/>
      <c r="K24" s="1373"/>
      <c r="L24" s="1373"/>
      <c r="M24" s="1373"/>
    </row>
  </sheetData>
  <mergeCells count="9">
    <mergeCell ref="A4:A5"/>
    <mergeCell ref="A23:K23"/>
    <mergeCell ref="A2:M2"/>
    <mergeCell ref="B4:C4"/>
    <mergeCell ref="D4:E4"/>
    <mergeCell ref="F4:G4"/>
    <mergeCell ref="H4:I4"/>
    <mergeCell ref="J4:K4"/>
    <mergeCell ref="L4:M4"/>
  </mergeCells>
  <pageMargins left="0.7" right="0.7" top="0.75" bottom="0.75" header="0.3" footer="0.3"/>
</worksheet>
</file>

<file path=xl/worksheets/sheet148.xml><?xml version="1.0" encoding="utf-8"?>
<worksheet xmlns="http://schemas.openxmlformats.org/spreadsheetml/2006/main" xmlns:r="http://schemas.openxmlformats.org/officeDocument/2006/relationships">
  <dimension ref="A2:M12"/>
  <sheetViews>
    <sheetView zoomScaleNormal="100" workbookViewId="0"/>
  </sheetViews>
  <sheetFormatPr baseColWidth="10" defaultRowHeight="12"/>
  <cols>
    <col min="1" max="16384" width="11.42578125" style="50"/>
  </cols>
  <sheetData>
    <row r="2" spans="1:13" ht="37.5" customHeight="1">
      <c r="A2" s="2313" t="s">
        <v>1531</v>
      </c>
      <c r="B2" s="2313"/>
      <c r="C2" s="2313"/>
      <c r="D2" s="2313"/>
      <c r="E2" s="2313"/>
      <c r="F2" s="2313"/>
      <c r="G2" s="2313"/>
      <c r="H2" s="2313"/>
      <c r="I2" s="2313"/>
      <c r="J2" s="2313"/>
      <c r="K2" s="2313"/>
      <c r="L2" s="2313"/>
      <c r="M2" s="2313"/>
    </row>
    <row r="3" spans="1:13">
      <c r="A3" s="1399"/>
      <c r="B3" s="1399"/>
      <c r="C3" s="1399"/>
      <c r="D3" s="1399"/>
      <c r="E3" s="1399"/>
      <c r="F3" s="1399"/>
      <c r="G3" s="1399"/>
      <c r="H3" s="1399"/>
      <c r="I3" s="1399"/>
      <c r="J3" s="1399"/>
      <c r="K3" s="1399"/>
      <c r="L3" s="1399"/>
      <c r="M3" s="1399"/>
    </row>
    <row r="4" spans="1:13">
      <c r="A4" s="2154" t="s">
        <v>1532</v>
      </c>
      <c r="B4" s="2154">
        <v>2009</v>
      </c>
      <c r="C4" s="2154"/>
      <c r="D4" s="2154">
        <v>2010</v>
      </c>
      <c r="E4" s="2154"/>
      <c r="F4" s="2309">
        <v>2011</v>
      </c>
      <c r="G4" s="2310"/>
      <c r="H4" s="2314">
        <v>2012</v>
      </c>
      <c r="I4" s="2314"/>
      <c r="J4" s="2315">
        <v>2013</v>
      </c>
      <c r="K4" s="2315"/>
      <c r="L4" s="2315">
        <v>2014</v>
      </c>
      <c r="M4" s="2315"/>
    </row>
    <row r="5" spans="1:13">
      <c r="A5" s="2154"/>
      <c r="B5" s="1367" t="s">
        <v>1498</v>
      </c>
      <c r="C5" s="1367" t="s">
        <v>1149</v>
      </c>
      <c r="D5" s="1367" t="s">
        <v>1498</v>
      </c>
      <c r="E5" s="1367" t="s">
        <v>1149</v>
      </c>
      <c r="F5" s="1367" t="s">
        <v>1498</v>
      </c>
      <c r="G5" s="1367" t="s">
        <v>1149</v>
      </c>
      <c r="H5" s="1367" t="s">
        <v>1498</v>
      </c>
      <c r="I5" s="1367" t="s">
        <v>1149</v>
      </c>
      <c r="J5" s="1367" t="s">
        <v>1498</v>
      </c>
      <c r="K5" s="1367" t="s">
        <v>1149</v>
      </c>
      <c r="L5" s="1367" t="s">
        <v>1498</v>
      </c>
      <c r="M5" s="1367" t="s">
        <v>1149</v>
      </c>
    </row>
    <row r="6" spans="1:13">
      <c r="A6" s="763" t="s">
        <v>6</v>
      </c>
      <c r="B6" s="759">
        <v>1026</v>
      </c>
      <c r="C6" s="1385">
        <v>1</v>
      </c>
      <c r="D6" s="759">
        <v>998</v>
      </c>
      <c r="E6" s="1385">
        <v>1</v>
      </c>
      <c r="F6" s="759">
        <v>1340</v>
      </c>
      <c r="G6" s="1385">
        <v>1</v>
      </c>
      <c r="H6" s="759">
        <v>1184</v>
      </c>
      <c r="I6" s="1385">
        <v>1</v>
      </c>
      <c r="J6" s="759">
        <v>1450</v>
      </c>
      <c r="K6" s="1385">
        <v>1</v>
      </c>
      <c r="L6" s="759">
        <v>1455</v>
      </c>
      <c r="M6" s="1385">
        <v>1</v>
      </c>
    </row>
    <row r="7" spans="1:13">
      <c r="A7" s="129" t="s">
        <v>1448</v>
      </c>
      <c r="B7" s="129">
        <v>297</v>
      </c>
      <c r="C7" s="1384">
        <v>0.28947368421052633</v>
      </c>
      <c r="D7" s="129">
        <v>303</v>
      </c>
      <c r="E7" s="1384">
        <v>0.30360721442885774</v>
      </c>
      <c r="F7" s="1400">
        <v>290</v>
      </c>
      <c r="G7" s="1384">
        <v>0.21641791044776118</v>
      </c>
      <c r="H7" s="1400">
        <v>279</v>
      </c>
      <c r="I7" s="1384">
        <v>0.23564189189189189</v>
      </c>
      <c r="J7" s="1401">
        <v>326</v>
      </c>
      <c r="K7" s="1384">
        <v>0.22482758620689655</v>
      </c>
      <c r="L7" s="1401">
        <v>354</v>
      </c>
      <c r="M7" s="1384">
        <v>0.24329896907216494</v>
      </c>
    </row>
    <row r="8" spans="1:13">
      <c r="A8" s="129" t="s">
        <v>1533</v>
      </c>
      <c r="B8" s="129">
        <v>263</v>
      </c>
      <c r="C8" s="1384">
        <v>0.25633528265107214</v>
      </c>
      <c r="D8" s="129">
        <v>268</v>
      </c>
      <c r="E8" s="1384">
        <v>0.26853707414829658</v>
      </c>
      <c r="F8" s="1400">
        <v>378</v>
      </c>
      <c r="G8" s="1384">
        <v>0.282089552238806</v>
      </c>
      <c r="H8" s="1400">
        <v>373</v>
      </c>
      <c r="I8" s="1384">
        <v>0.31503378378378377</v>
      </c>
      <c r="J8" s="1401">
        <v>480</v>
      </c>
      <c r="K8" s="1384">
        <v>0.33103448275862069</v>
      </c>
      <c r="L8" s="1401">
        <v>470</v>
      </c>
      <c r="M8" s="1384">
        <v>0.32302405498281789</v>
      </c>
    </row>
    <row r="9" spans="1:13">
      <c r="A9" s="129" t="s">
        <v>1534</v>
      </c>
      <c r="B9" s="129">
        <v>344</v>
      </c>
      <c r="C9" s="1384">
        <v>0.33528265107212474</v>
      </c>
      <c r="D9" s="129">
        <v>332</v>
      </c>
      <c r="E9" s="1384">
        <v>0.33266533066132264</v>
      </c>
      <c r="F9" s="1400">
        <v>542</v>
      </c>
      <c r="G9" s="1384">
        <v>0.40447761194029852</v>
      </c>
      <c r="H9" s="1400">
        <v>382</v>
      </c>
      <c r="I9" s="1384">
        <v>0.32263513513513514</v>
      </c>
      <c r="J9" s="1401">
        <v>458</v>
      </c>
      <c r="K9" s="1384">
        <v>0.31586206896551722</v>
      </c>
      <c r="L9" s="1401">
        <v>504</v>
      </c>
      <c r="M9" s="1384">
        <v>0.34639175257731958</v>
      </c>
    </row>
    <row r="10" spans="1:13">
      <c r="A10" s="129" t="s">
        <v>1535</v>
      </c>
      <c r="B10" s="129">
        <v>122</v>
      </c>
      <c r="C10" s="1384">
        <v>0.1189083820662768</v>
      </c>
      <c r="D10" s="129">
        <v>95</v>
      </c>
      <c r="E10" s="1384">
        <v>9.5190380761523044E-2</v>
      </c>
      <c r="F10" s="1400">
        <v>130</v>
      </c>
      <c r="G10" s="1384">
        <v>9.7014925373134331E-2</v>
      </c>
      <c r="H10" s="1400">
        <v>150</v>
      </c>
      <c r="I10" s="1384">
        <v>0.1266891891891892</v>
      </c>
      <c r="J10" s="1401">
        <v>186</v>
      </c>
      <c r="K10" s="1384">
        <v>0.12827586206896552</v>
      </c>
      <c r="L10" s="1401">
        <v>127</v>
      </c>
      <c r="M10" s="1384">
        <v>8.728522336769759E-2</v>
      </c>
    </row>
    <row r="11" spans="1:13">
      <c r="A11" s="129"/>
      <c r="B11" s="129"/>
      <c r="C11" s="1384"/>
      <c r="D11" s="129"/>
      <c r="E11" s="1384"/>
      <c r="F11" s="1384"/>
      <c r="G11" s="1384"/>
      <c r="H11" s="1400"/>
      <c r="I11" s="1400"/>
      <c r="J11" s="1384"/>
      <c r="K11" s="1384"/>
      <c r="L11" s="1384"/>
      <c r="M11" s="1384"/>
    </row>
    <row r="12" spans="1:13">
      <c r="A12" s="2312" t="s">
        <v>1499</v>
      </c>
      <c r="B12" s="2312"/>
      <c r="C12" s="2312"/>
      <c r="D12" s="2312"/>
      <c r="E12" s="2312"/>
      <c r="F12" s="2312"/>
      <c r="G12" s="2312"/>
      <c r="H12" s="2312"/>
      <c r="I12" s="2312"/>
      <c r="J12" s="2312"/>
      <c r="K12" s="2312"/>
      <c r="L12" s="2312"/>
      <c r="M12" s="2312"/>
    </row>
  </sheetData>
  <mergeCells count="9">
    <mergeCell ref="A12:M12"/>
    <mergeCell ref="A2:M2"/>
    <mergeCell ref="A4:A5"/>
    <mergeCell ref="B4:C4"/>
    <mergeCell ref="D4:E4"/>
    <mergeCell ref="F4:G4"/>
    <mergeCell ref="H4:I4"/>
    <mergeCell ref="J4:K4"/>
    <mergeCell ref="L4:M4"/>
  </mergeCell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dimension ref="A2:M16"/>
  <sheetViews>
    <sheetView zoomScaleNormal="100" workbookViewId="0"/>
  </sheetViews>
  <sheetFormatPr baseColWidth="10" defaultRowHeight="12"/>
  <cols>
    <col min="1" max="16384" width="11.42578125" style="50"/>
  </cols>
  <sheetData>
    <row r="2" spans="1:13" ht="27.75" customHeight="1">
      <c r="A2" s="2195" t="s">
        <v>1536</v>
      </c>
      <c r="B2" s="2195"/>
      <c r="C2" s="2195"/>
      <c r="D2" s="2195"/>
      <c r="E2" s="2195"/>
      <c r="F2" s="2195"/>
      <c r="G2" s="2195"/>
      <c r="H2" s="2195"/>
      <c r="I2" s="2195"/>
      <c r="J2" s="2195"/>
      <c r="K2" s="2195"/>
      <c r="L2" s="2195"/>
      <c r="M2" s="2195"/>
    </row>
    <row r="3" spans="1:13">
      <c r="A3" s="129"/>
      <c r="B3" s="129"/>
      <c r="C3" s="129"/>
      <c r="D3" s="129"/>
      <c r="E3" s="129"/>
      <c r="F3" s="129"/>
      <c r="G3" s="129"/>
      <c r="H3" s="129"/>
      <c r="I3" s="129"/>
      <c r="J3" s="129"/>
      <c r="K3" s="129"/>
      <c r="L3" s="129"/>
      <c r="M3" s="129"/>
    </row>
    <row r="4" spans="1:13">
      <c r="A4" s="2154" t="s">
        <v>1537</v>
      </c>
      <c r="B4" s="2155">
        <v>2009</v>
      </c>
      <c r="C4" s="2155"/>
      <c r="D4" s="2155">
        <v>2010</v>
      </c>
      <c r="E4" s="2155"/>
      <c r="F4" s="2316">
        <v>2011</v>
      </c>
      <c r="G4" s="2317"/>
      <c r="H4" s="2316">
        <v>2012</v>
      </c>
      <c r="I4" s="2317"/>
      <c r="J4" s="2316">
        <v>2013</v>
      </c>
      <c r="K4" s="2317"/>
      <c r="L4" s="2316">
        <v>2014</v>
      </c>
      <c r="M4" s="2317"/>
    </row>
    <row r="5" spans="1:13">
      <c r="A5" s="2154"/>
      <c r="B5" s="1367" t="s">
        <v>1498</v>
      </c>
      <c r="C5" s="1367" t="s">
        <v>1149</v>
      </c>
      <c r="D5" s="1367" t="s">
        <v>1498</v>
      </c>
      <c r="E5" s="1367" t="s">
        <v>1149</v>
      </c>
      <c r="F5" s="1367" t="s">
        <v>1498</v>
      </c>
      <c r="G5" s="1393" t="s">
        <v>1149</v>
      </c>
      <c r="H5" s="1367" t="s">
        <v>1498</v>
      </c>
      <c r="I5" s="1367" t="s">
        <v>1149</v>
      </c>
      <c r="J5" s="1367" t="s">
        <v>1498</v>
      </c>
      <c r="K5" s="1367" t="s">
        <v>1149</v>
      </c>
      <c r="L5" s="1367" t="s">
        <v>1498</v>
      </c>
      <c r="M5" s="1367" t="s">
        <v>1149</v>
      </c>
    </row>
    <row r="6" spans="1:13">
      <c r="A6" s="763" t="s">
        <v>6</v>
      </c>
      <c r="B6" s="1394">
        <f>SUM(B7:B13)</f>
        <v>332</v>
      </c>
      <c r="C6" s="1395">
        <v>1</v>
      </c>
      <c r="D6" s="1394">
        <f>SUM(D7:D13)</f>
        <v>441</v>
      </c>
      <c r="E6" s="1395">
        <f>SUM(E7:E13)</f>
        <v>1</v>
      </c>
      <c r="F6" s="1394">
        <f>SUM(F7:F13)</f>
        <v>921</v>
      </c>
      <c r="G6" s="1395">
        <v>1</v>
      </c>
      <c r="H6" s="1394">
        <f t="shared" ref="H6:M6" si="0">SUM(H7:H13)</f>
        <v>607</v>
      </c>
      <c r="I6" s="1395">
        <f t="shared" si="0"/>
        <v>0.99999999999999989</v>
      </c>
      <c r="J6" s="1394">
        <f t="shared" si="0"/>
        <v>900</v>
      </c>
      <c r="K6" s="1396">
        <f t="shared" si="0"/>
        <v>1</v>
      </c>
      <c r="L6" s="1394">
        <f t="shared" si="0"/>
        <v>742</v>
      </c>
      <c r="M6" s="1396">
        <f t="shared" si="0"/>
        <v>1</v>
      </c>
    </row>
    <row r="7" spans="1:13">
      <c r="A7" s="129" t="s">
        <v>1538</v>
      </c>
      <c r="B7" s="1397">
        <v>34</v>
      </c>
      <c r="C7" s="1398">
        <v>0.1024</v>
      </c>
      <c r="D7" s="775">
        <v>55</v>
      </c>
      <c r="E7" s="1364">
        <f>D7/$D$6</f>
        <v>0.12471655328798185</v>
      </c>
      <c r="F7" s="775">
        <v>54</v>
      </c>
      <c r="G7" s="1398">
        <f>+F7/F$6</f>
        <v>5.8631921824104233E-2</v>
      </c>
      <c r="H7" s="775">
        <v>48</v>
      </c>
      <c r="I7" s="1376">
        <f>H7/$H$6</f>
        <v>7.907742998352553E-2</v>
      </c>
      <c r="J7" s="1397">
        <v>17</v>
      </c>
      <c r="K7" s="1376">
        <f t="shared" ref="K7:K13" si="1">J7/$J$6</f>
        <v>1.8888888888888889E-2</v>
      </c>
      <c r="L7" s="1397">
        <v>31</v>
      </c>
      <c r="M7" s="1376">
        <f>L7/$L$6</f>
        <v>4.1778975741239892E-2</v>
      </c>
    </row>
    <row r="8" spans="1:13">
      <c r="A8" s="129" t="s">
        <v>1539</v>
      </c>
      <c r="B8" s="1397">
        <v>11</v>
      </c>
      <c r="C8" s="1398">
        <v>3.3099999999999997E-2</v>
      </c>
      <c r="D8" s="775">
        <v>25</v>
      </c>
      <c r="E8" s="1364">
        <f>D8/$D$6</f>
        <v>5.6689342403628121E-2</v>
      </c>
      <c r="F8" s="775">
        <v>12</v>
      </c>
      <c r="G8" s="1398">
        <f>+F8/F$6</f>
        <v>1.3029315960912053E-2</v>
      </c>
      <c r="H8" s="775">
        <v>34</v>
      </c>
      <c r="I8" s="1376">
        <f>H8/$H$6</f>
        <v>5.6013179571663921E-2</v>
      </c>
      <c r="J8" s="1397">
        <v>1</v>
      </c>
      <c r="K8" s="1376">
        <f t="shared" si="1"/>
        <v>1.1111111111111111E-3</v>
      </c>
      <c r="L8" s="1397">
        <v>6</v>
      </c>
      <c r="M8" s="1376">
        <f t="shared" ref="M8:M13" si="2">L8/$L$6</f>
        <v>8.0862533692722376E-3</v>
      </c>
    </row>
    <row r="9" spans="1:13">
      <c r="A9" s="129" t="s">
        <v>1540</v>
      </c>
      <c r="B9" s="1397">
        <v>25</v>
      </c>
      <c r="C9" s="1398">
        <v>7.5300000000000006E-2</v>
      </c>
      <c r="D9" s="775">
        <v>12</v>
      </c>
      <c r="E9" s="1364">
        <f>D9/$D$6</f>
        <v>2.7210884353741496E-2</v>
      </c>
      <c r="F9" s="775">
        <v>5</v>
      </c>
      <c r="G9" s="1398">
        <f>+F9/F$6</f>
        <v>5.4288816503800215E-3</v>
      </c>
      <c r="H9" s="775">
        <v>19</v>
      </c>
      <c r="I9" s="1376">
        <f>H9/$H$6</f>
        <v>3.130148270181219E-2</v>
      </c>
      <c r="J9" s="1397">
        <v>2</v>
      </c>
      <c r="K9" s="1376">
        <f t="shared" si="1"/>
        <v>2.2222222222222222E-3</v>
      </c>
      <c r="L9" s="1397">
        <v>4</v>
      </c>
      <c r="M9" s="1376">
        <f t="shared" si="2"/>
        <v>5.3908355795148251E-3</v>
      </c>
    </row>
    <row r="10" spans="1:13">
      <c r="A10" s="129" t="s">
        <v>1541</v>
      </c>
      <c r="B10" s="1397">
        <v>145</v>
      </c>
      <c r="C10" s="1398">
        <v>0.43669999999999998</v>
      </c>
      <c r="D10" s="775">
        <v>288</v>
      </c>
      <c r="E10" s="1364">
        <f>D10/$D$6</f>
        <v>0.65306122448979587</v>
      </c>
      <c r="F10" s="775">
        <v>747</v>
      </c>
      <c r="G10" s="1398">
        <f>+F10/F$6</f>
        <v>0.81107491856677527</v>
      </c>
      <c r="H10" s="775">
        <v>327</v>
      </c>
      <c r="I10" s="1376">
        <f>H10/$H$6</f>
        <v>0.53871499176276771</v>
      </c>
      <c r="J10" s="1397">
        <v>523</v>
      </c>
      <c r="K10" s="1376">
        <f t="shared" si="1"/>
        <v>0.58111111111111113</v>
      </c>
      <c r="L10" s="1397">
        <v>502</v>
      </c>
      <c r="M10" s="1376">
        <f t="shared" si="2"/>
        <v>0.67654986522911054</v>
      </c>
    </row>
    <row r="11" spans="1:13">
      <c r="A11" s="129" t="s">
        <v>1229</v>
      </c>
      <c r="B11" s="1397">
        <v>117</v>
      </c>
      <c r="C11" s="1398">
        <v>0.35239999999999999</v>
      </c>
      <c r="D11" s="775">
        <v>54</v>
      </c>
      <c r="E11" s="1364">
        <f>D11/$D$6</f>
        <v>0.12244897959183673</v>
      </c>
      <c r="F11" s="775">
        <v>96</v>
      </c>
      <c r="G11" s="1398">
        <f>+F11/F$6</f>
        <v>0.10423452768729642</v>
      </c>
      <c r="H11" s="775">
        <v>128</v>
      </c>
      <c r="I11" s="1376">
        <f>H11/$H$6</f>
        <v>0.21087314662273476</v>
      </c>
      <c r="J11" s="1397">
        <v>246</v>
      </c>
      <c r="K11" s="1376">
        <f t="shared" si="1"/>
        <v>0.27333333333333332</v>
      </c>
      <c r="L11" s="1397">
        <v>143</v>
      </c>
      <c r="M11" s="1376">
        <f t="shared" si="2"/>
        <v>0.19272237196765499</v>
      </c>
    </row>
    <row r="12" spans="1:13">
      <c r="A12" s="129" t="s">
        <v>1542</v>
      </c>
      <c r="B12" s="775" t="s">
        <v>55</v>
      </c>
      <c r="C12" s="775" t="s">
        <v>55</v>
      </c>
      <c r="D12" s="775" t="s">
        <v>55</v>
      </c>
      <c r="E12" s="775" t="s">
        <v>55</v>
      </c>
      <c r="F12" s="775" t="s">
        <v>55</v>
      </c>
      <c r="G12" s="1398" t="s">
        <v>55</v>
      </c>
      <c r="H12" s="775" t="s">
        <v>55</v>
      </c>
      <c r="I12" s="775" t="s">
        <v>55</v>
      </c>
      <c r="J12" s="1397">
        <v>79</v>
      </c>
      <c r="K12" s="1376">
        <f t="shared" si="1"/>
        <v>8.7777777777777774E-2</v>
      </c>
      <c r="L12" s="1397">
        <v>31</v>
      </c>
      <c r="M12" s="1376">
        <f t="shared" si="2"/>
        <v>4.1778975741239892E-2</v>
      </c>
    </row>
    <row r="13" spans="1:13">
      <c r="A13" s="129" t="s">
        <v>1031</v>
      </c>
      <c r="B13" s="775" t="s">
        <v>55</v>
      </c>
      <c r="C13" s="775" t="s">
        <v>55</v>
      </c>
      <c r="D13" s="775">
        <v>7</v>
      </c>
      <c r="E13" s="1364">
        <f>D13/$D$6</f>
        <v>1.5873015873015872E-2</v>
      </c>
      <c r="F13" s="775">
        <v>7</v>
      </c>
      <c r="G13" s="1398">
        <f>+F13/F$6</f>
        <v>7.6004343105320303E-3</v>
      </c>
      <c r="H13" s="775">
        <v>51</v>
      </c>
      <c r="I13" s="1376">
        <f>H13/$H$6</f>
        <v>8.4019769357495888E-2</v>
      </c>
      <c r="J13" s="1397">
        <v>32</v>
      </c>
      <c r="K13" s="1376">
        <f t="shared" si="1"/>
        <v>3.5555555555555556E-2</v>
      </c>
      <c r="L13" s="1397">
        <v>25</v>
      </c>
      <c r="M13" s="1376">
        <f t="shared" si="2"/>
        <v>3.3692722371967652E-2</v>
      </c>
    </row>
    <row r="14" spans="1:13">
      <c r="A14" s="129"/>
      <c r="B14" s="129"/>
      <c r="C14" s="129"/>
      <c r="D14" s="129"/>
      <c r="E14" s="129"/>
      <c r="F14" s="129"/>
      <c r="G14" s="129"/>
      <c r="H14" s="129"/>
      <c r="I14" s="129"/>
      <c r="J14" s="129"/>
      <c r="K14" s="129"/>
      <c r="L14" s="129"/>
      <c r="M14" s="129"/>
    </row>
    <row r="15" spans="1:13">
      <c r="A15" s="2152" t="s">
        <v>160</v>
      </c>
      <c r="B15" s="2152"/>
      <c r="C15" s="2152"/>
      <c r="D15" s="2152"/>
      <c r="E15" s="2152"/>
      <c r="F15" s="2152"/>
      <c r="G15" s="2152"/>
      <c r="H15" s="2152"/>
      <c r="I15" s="2152"/>
      <c r="J15" s="2152"/>
      <c r="K15" s="2152"/>
      <c r="L15" s="129"/>
      <c r="M15" s="129"/>
    </row>
    <row r="16" spans="1:13">
      <c r="A16" s="2064" t="s">
        <v>1543</v>
      </c>
      <c r="B16" s="2064"/>
      <c r="C16" s="2064"/>
      <c r="D16" s="2064"/>
      <c r="E16" s="2064"/>
      <c r="F16" s="2064"/>
      <c r="G16" s="2064"/>
      <c r="H16" s="2064"/>
      <c r="I16" s="2064"/>
      <c r="J16" s="2064"/>
      <c r="K16" s="2064"/>
      <c r="L16" s="129"/>
      <c r="M16" s="129"/>
    </row>
  </sheetData>
  <mergeCells count="10">
    <mergeCell ref="A15:K15"/>
    <mergeCell ref="A16:K16"/>
    <mergeCell ref="A2:M2"/>
    <mergeCell ref="A4:A5"/>
    <mergeCell ref="B4:C4"/>
    <mergeCell ref="D4:E4"/>
    <mergeCell ref="F4:G4"/>
    <mergeCell ref="H4:I4"/>
    <mergeCell ref="J4:K4"/>
    <mergeCell ref="L4:M4"/>
  </mergeCell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2:J38"/>
  <sheetViews>
    <sheetView topLeftCell="A7" zoomScaleNormal="100" workbookViewId="0">
      <selection activeCell="A4" sqref="A4:A6"/>
    </sheetView>
  </sheetViews>
  <sheetFormatPr baseColWidth="10" defaultColWidth="11.42578125" defaultRowHeight="11.25"/>
  <cols>
    <col min="1" max="1" width="33.7109375" style="117" customWidth="1"/>
    <col min="2" max="2" width="11.42578125" style="117"/>
    <col min="3" max="8" width="9.5703125" style="117" customWidth="1"/>
    <col min="9" max="9" width="11" style="117" customWidth="1"/>
    <col min="10" max="10" width="9.7109375" style="117" customWidth="1"/>
    <col min="11" max="16384" width="11.42578125" style="117"/>
  </cols>
  <sheetData>
    <row r="2" spans="1:10" ht="24.75" customHeight="1">
      <c r="A2" s="2048" t="s">
        <v>944</v>
      </c>
      <c r="B2" s="2048"/>
      <c r="C2" s="2048"/>
      <c r="D2" s="2048"/>
      <c r="E2" s="2048"/>
      <c r="F2" s="2048"/>
      <c r="G2" s="2048"/>
      <c r="H2" s="2048"/>
      <c r="I2" s="2048"/>
      <c r="J2" s="2048"/>
    </row>
    <row r="3" spans="1:10">
      <c r="A3" s="1240"/>
      <c r="B3" s="1240"/>
      <c r="C3" s="1240"/>
      <c r="D3" s="1240"/>
      <c r="E3" s="1240"/>
      <c r="F3" s="1240"/>
      <c r="G3" s="1240"/>
      <c r="H3" s="1240"/>
      <c r="I3" s="1240"/>
      <c r="J3" s="1240"/>
    </row>
    <row r="4" spans="1:10">
      <c r="A4" s="2029" t="s">
        <v>757</v>
      </c>
      <c r="B4" s="2029" t="s">
        <v>758</v>
      </c>
      <c r="C4" s="2029"/>
      <c r="D4" s="2029"/>
      <c r="E4" s="2029"/>
      <c r="F4" s="2029"/>
      <c r="G4" s="2029"/>
      <c r="H4" s="2029"/>
      <c r="I4" s="2029"/>
      <c r="J4" s="2029"/>
    </row>
    <row r="5" spans="1:10" ht="38.25" customHeight="1">
      <c r="A5" s="2029"/>
      <c r="B5" s="2029" t="s">
        <v>26</v>
      </c>
      <c r="C5" s="2049" t="s">
        <v>759</v>
      </c>
      <c r="D5" s="2049"/>
      <c r="E5" s="2049" t="s">
        <v>760</v>
      </c>
      <c r="F5" s="2049"/>
      <c r="G5" s="2049" t="s">
        <v>761</v>
      </c>
      <c r="H5" s="2049"/>
      <c r="I5" s="2050" t="s">
        <v>762</v>
      </c>
      <c r="J5" s="2051"/>
    </row>
    <row r="6" spans="1:10" ht="30.75" customHeight="1">
      <c r="A6" s="2029"/>
      <c r="B6" s="2029"/>
      <c r="C6" s="1906" t="s">
        <v>763</v>
      </c>
      <c r="D6" s="1906" t="s">
        <v>764</v>
      </c>
      <c r="E6" s="1906" t="s">
        <v>763</v>
      </c>
      <c r="F6" s="1906" t="s">
        <v>764</v>
      </c>
      <c r="G6" s="1906" t="s">
        <v>763</v>
      </c>
      <c r="H6" s="1906" t="s">
        <v>764</v>
      </c>
      <c r="I6" s="1914" t="s">
        <v>3906</v>
      </c>
      <c r="J6" s="1906" t="s">
        <v>764</v>
      </c>
    </row>
    <row r="7" spans="1:10">
      <c r="A7" s="1260" t="s">
        <v>6</v>
      </c>
      <c r="B7" s="1915">
        <f>SUM(C7:J7)</f>
        <v>796</v>
      </c>
      <c r="C7" s="1915">
        <f t="shared" ref="C7:J7" si="0">SUM(C8:C27)</f>
        <v>23</v>
      </c>
      <c r="D7" s="1915">
        <f t="shared" si="0"/>
        <v>0</v>
      </c>
      <c r="E7" s="1915">
        <f t="shared" si="0"/>
        <v>53</v>
      </c>
      <c r="F7" s="1915">
        <f t="shared" si="0"/>
        <v>0</v>
      </c>
      <c r="G7" s="1915">
        <f t="shared" si="0"/>
        <v>12</v>
      </c>
      <c r="H7" s="1915">
        <f t="shared" si="0"/>
        <v>0</v>
      </c>
      <c r="I7" s="1916">
        <f t="shared" si="0"/>
        <v>0</v>
      </c>
      <c r="J7" s="1915">
        <f t="shared" si="0"/>
        <v>708</v>
      </c>
    </row>
    <row r="8" spans="1:10" ht="12.75">
      <c r="A8" s="1240" t="s">
        <v>3907</v>
      </c>
      <c r="B8" s="1915">
        <f>SUM(C8:J8)</f>
        <v>1</v>
      </c>
      <c r="C8" s="1277">
        <v>1</v>
      </c>
      <c r="D8" s="1277">
        <v>0</v>
      </c>
      <c r="E8" s="1277">
        <v>0</v>
      </c>
      <c r="F8" s="1277">
        <v>0</v>
      </c>
      <c r="G8" s="1277">
        <v>0</v>
      </c>
      <c r="H8" s="1277">
        <v>0</v>
      </c>
      <c r="I8" s="1277">
        <v>0</v>
      </c>
      <c r="J8" s="1277">
        <v>0</v>
      </c>
    </row>
    <row r="9" spans="1:10">
      <c r="A9" s="1240" t="s">
        <v>765</v>
      </c>
      <c r="B9" s="1915">
        <f t="shared" ref="B9:B27" si="1">SUM(C9:J9)</f>
        <v>0</v>
      </c>
      <c r="C9" s="1277">
        <v>0</v>
      </c>
      <c r="D9" s="1277">
        <v>0</v>
      </c>
      <c r="E9" s="1277">
        <v>0</v>
      </c>
      <c r="F9" s="1277">
        <v>0</v>
      </c>
      <c r="G9" s="1277">
        <v>0</v>
      </c>
      <c r="H9" s="1277">
        <v>0</v>
      </c>
      <c r="I9" s="1277">
        <v>0</v>
      </c>
      <c r="J9" s="1277">
        <v>0</v>
      </c>
    </row>
    <row r="10" spans="1:10">
      <c r="A10" s="1240" t="s">
        <v>766</v>
      </c>
      <c r="B10" s="1915">
        <f t="shared" si="1"/>
        <v>0</v>
      </c>
      <c r="C10" s="1277">
        <v>0</v>
      </c>
      <c r="D10" s="1277">
        <v>0</v>
      </c>
      <c r="E10" s="1277">
        <v>0</v>
      </c>
      <c r="F10" s="1277">
        <v>0</v>
      </c>
      <c r="G10" s="1277">
        <v>0</v>
      </c>
      <c r="H10" s="1277">
        <v>0</v>
      </c>
      <c r="I10" s="1277">
        <v>0</v>
      </c>
      <c r="J10" s="1277">
        <v>0</v>
      </c>
    </row>
    <row r="11" spans="1:10">
      <c r="A11" s="1240" t="s">
        <v>767</v>
      </c>
      <c r="B11" s="1915">
        <f t="shared" si="1"/>
        <v>0</v>
      </c>
      <c r="C11" s="1277">
        <v>0</v>
      </c>
      <c r="D11" s="1277">
        <v>0</v>
      </c>
      <c r="E11" s="1277">
        <v>0</v>
      </c>
      <c r="F11" s="1277">
        <v>0</v>
      </c>
      <c r="G11" s="1277">
        <v>0</v>
      </c>
      <c r="H11" s="1277">
        <v>0</v>
      </c>
      <c r="I11" s="1277">
        <v>0</v>
      </c>
      <c r="J11" s="1277">
        <v>0</v>
      </c>
    </row>
    <row r="12" spans="1:10">
      <c r="A12" s="1240" t="s">
        <v>768</v>
      </c>
      <c r="B12" s="1915">
        <f t="shared" si="1"/>
        <v>0</v>
      </c>
      <c r="C12" s="1277">
        <v>0</v>
      </c>
      <c r="D12" s="1277">
        <v>0</v>
      </c>
      <c r="E12" s="1277">
        <v>0</v>
      </c>
      <c r="F12" s="1277">
        <v>0</v>
      </c>
      <c r="G12" s="1277">
        <v>0</v>
      </c>
      <c r="H12" s="1277">
        <v>0</v>
      </c>
      <c r="I12" s="1277">
        <v>0</v>
      </c>
      <c r="J12" s="1277">
        <v>0</v>
      </c>
    </row>
    <row r="13" spans="1:10">
      <c r="A13" s="1240" t="s">
        <v>769</v>
      </c>
      <c r="B13" s="1915">
        <f t="shared" si="1"/>
        <v>0</v>
      </c>
      <c r="C13" s="1277">
        <v>0</v>
      </c>
      <c r="D13" s="1277">
        <v>0</v>
      </c>
      <c r="E13" s="1277">
        <v>0</v>
      </c>
      <c r="F13" s="1277">
        <v>0</v>
      </c>
      <c r="G13" s="1277">
        <v>0</v>
      </c>
      <c r="H13" s="1277">
        <v>0</v>
      </c>
      <c r="I13" s="1277">
        <v>0</v>
      </c>
      <c r="J13" s="1277">
        <v>0</v>
      </c>
    </row>
    <row r="14" spans="1:10">
      <c r="A14" s="1240" t="s">
        <v>770</v>
      </c>
      <c r="B14" s="1915">
        <f t="shared" si="1"/>
        <v>0</v>
      </c>
      <c r="C14" s="1277">
        <v>0</v>
      </c>
      <c r="D14" s="1277">
        <v>0</v>
      </c>
      <c r="E14" s="1277">
        <v>0</v>
      </c>
      <c r="F14" s="1277">
        <v>0</v>
      </c>
      <c r="G14" s="1277">
        <v>0</v>
      </c>
      <c r="H14" s="1277">
        <v>0</v>
      </c>
      <c r="I14" s="1277">
        <v>0</v>
      </c>
      <c r="J14" s="1277">
        <v>0</v>
      </c>
    </row>
    <row r="15" spans="1:10">
      <c r="A15" s="1240" t="s">
        <v>771</v>
      </c>
      <c r="B15" s="1915">
        <f t="shared" si="1"/>
        <v>0</v>
      </c>
      <c r="C15" s="1277">
        <v>0</v>
      </c>
      <c r="D15" s="1277">
        <v>0</v>
      </c>
      <c r="E15" s="1277">
        <v>0</v>
      </c>
      <c r="F15" s="1277">
        <v>0</v>
      </c>
      <c r="G15" s="1277">
        <v>0</v>
      </c>
      <c r="H15" s="1277">
        <v>0</v>
      </c>
      <c r="I15" s="1277">
        <v>0</v>
      </c>
      <c r="J15" s="1277">
        <v>0</v>
      </c>
    </row>
    <row r="16" spans="1:10">
      <c r="A16" s="1240" t="s">
        <v>772</v>
      </c>
      <c r="B16" s="1915">
        <f t="shared" si="1"/>
        <v>0</v>
      </c>
      <c r="C16" s="1277">
        <v>0</v>
      </c>
      <c r="D16" s="1277">
        <v>0</v>
      </c>
      <c r="E16" s="1277">
        <v>0</v>
      </c>
      <c r="F16" s="1277">
        <v>0</v>
      </c>
      <c r="G16" s="1277">
        <v>0</v>
      </c>
      <c r="H16" s="1277">
        <v>0</v>
      </c>
      <c r="I16" s="1277">
        <v>0</v>
      </c>
      <c r="J16" s="1277">
        <v>0</v>
      </c>
    </row>
    <row r="17" spans="1:10">
      <c r="A17" s="1240" t="s">
        <v>773</v>
      </c>
      <c r="B17" s="1915">
        <f t="shared" si="1"/>
        <v>0</v>
      </c>
      <c r="C17" s="1277">
        <v>0</v>
      </c>
      <c r="D17" s="1277">
        <v>0</v>
      </c>
      <c r="E17" s="1277">
        <v>0</v>
      </c>
      <c r="F17" s="1277">
        <v>0</v>
      </c>
      <c r="G17" s="1277">
        <v>0</v>
      </c>
      <c r="H17" s="1277">
        <v>0</v>
      </c>
      <c r="I17" s="1277">
        <v>0</v>
      </c>
      <c r="J17" s="1277">
        <v>0</v>
      </c>
    </row>
    <row r="18" spans="1:10">
      <c r="A18" s="1240" t="s">
        <v>774</v>
      </c>
      <c r="B18" s="1915">
        <f t="shared" si="1"/>
        <v>0</v>
      </c>
      <c r="C18" s="1277">
        <v>0</v>
      </c>
      <c r="D18" s="1277">
        <v>0</v>
      </c>
      <c r="E18" s="1277">
        <v>0</v>
      </c>
      <c r="F18" s="1277">
        <v>0</v>
      </c>
      <c r="G18" s="1277">
        <v>0</v>
      </c>
      <c r="H18" s="1277">
        <v>0</v>
      </c>
      <c r="I18" s="1277">
        <v>0</v>
      </c>
      <c r="J18" s="1277">
        <v>0</v>
      </c>
    </row>
    <row r="19" spans="1:10" ht="12.75">
      <c r="A19" s="1240" t="s">
        <v>3908</v>
      </c>
      <c r="B19" s="1915">
        <f t="shared" si="1"/>
        <v>650</v>
      </c>
      <c r="C19" s="1277">
        <v>0</v>
      </c>
      <c r="D19" s="1277">
        <v>0</v>
      </c>
      <c r="E19" s="1277">
        <v>0</v>
      </c>
      <c r="F19" s="1277">
        <v>0</v>
      </c>
      <c r="G19" s="1277">
        <v>0</v>
      </c>
      <c r="H19" s="1277">
        <v>0</v>
      </c>
      <c r="I19" s="1277">
        <v>0</v>
      </c>
      <c r="J19" s="1277">
        <v>650</v>
      </c>
    </row>
    <row r="20" spans="1:10" ht="12.75">
      <c r="A20" s="1240" t="s">
        <v>3909</v>
      </c>
      <c r="B20" s="1915">
        <f t="shared" si="1"/>
        <v>12</v>
      </c>
      <c r="C20" s="1277">
        <v>0</v>
      </c>
      <c r="D20" s="1277">
        <v>0</v>
      </c>
      <c r="E20" s="1277">
        <v>0</v>
      </c>
      <c r="F20" s="1277">
        <v>0</v>
      </c>
      <c r="G20" s="1277">
        <v>12</v>
      </c>
      <c r="H20" s="1277">
        <v>0</v>
      </c>
      <c r="I20" s="1277">
        <v>0</v>
      </c>
      <c r="J20" s="1277">
        <v>0</v>
      </c>
    </row>
    <row r="21" spans="1:10">
      <c r="A21" s="1240" t="s">
        <v>775</v>
      </c>
      <c r="B21" s="1915">
        <f t="shared" si="1"/>
        <v>0</v>
      </c>
      <c r="C21" s="1277">
        <v>0</v>
      </c>
      <c r="D21" s="1277">
        <v>0</v>
      </c>
      <c r="E21" s="1277">
        <v>0</v>
      </c>
      <c r="F21" s="1277">
        <v>0</v>
      </c>
      <c r="G21" s="1277"/>
      <c r="H21" s="1277">
        <v>0</v>
      </c>
      <c r="I21" s="1277">
        <v>0</v>
      </c>
      <c r="J21" s="1277">
        <v>0</v>
      </c>
    </row>
    <row r="22" spans="1:10" ht="12.75">
      <c r="A22" s="1240" t="s">
        <v>3910</v>
      </c>
      <c r="B22" s="1915">
        <f t="shared" si="1"/>
        <v>3</v>
      </c>
      <c r="C22" s="1277">
        <v>3</v>
      </c>
      <c r="D22" s="1277">
        <v>0</v>
      </c>
      <c r="E22" s="1277">
        <v>0</v>
      </c>
      <c r="F22" s="1277">
        <v>0</v>
      </c>
      <c r="G22" s="1277">
        <v>0</v>
      </c>
      <c r="H22" s="1277">
        <v>0</v>
      </c>
      <c r="I22" s="1277">
        <v>0</v>
      </c>
      <c r="J22" s="1277">
        <v>0</v>
      </c>
    </row>
    <row r="23" spans="1:10" ht="12.75">
      <c r="A23" s="1240" t="s">
        <v>3911</v>
      </c>
      <c r="B23" s="1915">
        <f t="shared" si="1"/>
        <v>53</v>
      </c>
      <c r="C23" s="1277">
        <v>0</v>
      </c>
      <c r="D23" s="1277">
        <v>0</v>
      </c>
      <c r="E23" s="1277">
        <v>53</v>
      </c>
      <c r="F23" s="1277">
        <v>0</v>
      </c>
      <c r="G23" s="1277">
        <v>0</v>
      </c>
      <c r="H23" s="1277">
        <v>0</v>
      </c>
      <c r="I23" s="1277">
        <v>0</v>
      </c>
      <c r="J23" s="1277">
        <v>0</v>
      </c>
    </row>
    <row r="24" spans="1:10">
      <c r="A24" s="1240" t="s">
        <v>776</v>
      </c>
      <c r="B24" s="1915">
        <f t="shared" si="1"/>
        <v>10</v>
      </c>
      <c r="C24" s="1277">
        <v>0</v>
      </c>
      <c r="D24" s="1277">
        <v>0</v>
      </c>
      <c r="E24" s="1277">
        <v>0</v>
      </c>
      <c r="F24" s="1277">
        <v>0</v>
      </c>
      <c r="G24" s="1277">
        <v>0</v>
      </c>
      <c r="H24" s="1277">
        <v>0</v>
      </c>
      <c r="I24" s="1277">
        <v>0</v>
      </c>
      <c r="J24" s="1277">
        <v>10</v>
      </c>
    </row>
    <row r="25" spans="1:10" ht="12.75">
      <c r="A25" s="1240" t="s">
        <v>3912</v>
      </c>
      <c r="B25" s="1915">
        <f t="shared" si="1"/>
        <v>11</v>
      </c>
      <c r="C25" s="1277">
        <v>2</v>
      </c>
      <c r="D25" s="1277">
        <v>0</v>
      </c>
      <c r="E25" s="1277">
        <v>0</v>
      </c>
      <c r="F25" s="1277">
        <v>0</v>
      </c>
      <c r="G25" s="1277">
        <v>0</v>
      </c>
      <c r="H25" s="1277">
        <v>0</v>
      </c>
      <c r="I25" s="1277">
        <v>0</v>
      </c>
      <c r="J25" s="1277">
        <v>9</v>
      </c>
    </row>
    <row r="26" spans="1:10">
      <c r="A26" s="1240" t="s">
        <v>777</v>
      </c>
      <c r="B26" s="1915">
        <f t="shared" si="1"/>
        <v>25</v>
      </c>
      <c r="C26" s="1277"/>
      <c r="D26" s="1277">
        <v>0</v>
      </c>
      <c r="E26" s="1277">
        <v>0</v>
      </c>
      <c r="F26" s="1277">
        <v>0</v>
      </c>
      <c r="G26" s="1277">
        <v>0</v>
      </c>
      <c r="H26" s="1277">
        <v>0</v>
      </c>
      <c r="I26" s="1277">
        <v>0</v>
      </c>
      <c r="J26" s="1277">
        <v>25</v>
      </c>
    </row>
    <row r="27" spans="1:10" ht="12.75">
      <c r="A27" s="1240" t="s">
        <v>3913</v>
      </c>
      <c r="B27" s="1915">
        <f t="shared" si="1"/>
        <v>31</v>
      </c>
      <c r="C27" s="1277">
        <v>17</v>
      </c>
      <c r="D27" s="1277">
        <v>0</v>
      </c>
      <c r="E27" s="1277">
        <v>0</v>
      </c>
      <c r="F27" s="1277">
        <v>0</v>
      </c>
      <c r="G27" s="1277">
        <v>0</v>
      </c>
      <c r="H27" s="1277">
        <v>0</v>
      </c>
      <c r="I27" s="1277">
        <v>0</v>
      </c>
      <c r="J27" s="1277">
        <v>14</v>
      </c>
    </row>
    <row r="28" spans="1:10">
      <c r="A28" s="1240"/>
      <c r="B28" s="1277"/>
      <c r="C28" s="1240"/>
      <c r="D28" s="1240"/>
      <c r="E28" s="1240"/>
      <c r="F28" s="1240"/>
      <c r="G28" s="1240"/>
      <c r="H28" s="1240"/>
      <c r="I28" s="1240"/>
      <c r="J28" s="1240"/>
    </row>
    <row r="29" spans="1:10">
      <c r="A29" s="2053" t="s">
        <v>3914</v>
      </c>
      <c r="B29" s="2053"/>
      <c r="C29" s="2053"/>
      <c r="D29" s="2053"/>
      <c r="E29" s="2053"/>
      <c r="F29" s="2053"/>
      <c r="G29" s="2053"/>
      <c r="H29" s="2053"/>
      <c r="I29" s="2053"/>
      <c r="J29" s="2053"/>
    </row>
    <row r="30" spans="1:10">
      <c r="A30" s="2054" t="s">
        <v>3915</v>
      </c>
      <c r="B30" s="2054"/>
      <c r="C30" s="2054"/>
      <c r="D30" s="2054"/>
      <c r="E30" s="2054"/>
      <c r="F30" s="2054"/>
      <c r="G30" s="2054"/>
      <c r="H30" s="2054"/>
      <c r="I30" s="2054"/>
      <c r="J30" s="2054"/>
    </row>
    <row r="31" spans="1:10" ht="48.75" customHeight="1">
      <c r="A31" s="2052" t="s">
        <v>3916</v>
      </c>
      <c r="B31" s="2052"/>
      <c r="C31" s="2052"/>
      <c r="D31" s="2052"/>
      <c r="E31" s="2052"/>
      <c r="F31" s="2052"/>
      <c r="G31" s="2052"/>
      <c r="H31" s="2052"/>
      <c r="I31" s="2052"/>
      <c r="J31" s="2052"/>
    </row>
    <row r="32" spans="1:10">
      <c r="A32" s="2052" t="s">
        <v>3917</v>
      </c>
      <c r="B32" s="2052"/>
      <c r="C32" s="2052"/>
      <c r="D32" s="2052"/>
      <c r="E32" s="2052"/>
      <c r="F32" s="2052"/>
      <c r="G32" s="2052"/>
      <c r="H32" s="2052"/>
      <c r="I32" s="2052"/>
      <c r="J32" s="2052"/>
    </row>
    <row r="33" spans="1:10" ht="48.75" customHeight="1">
      <c r="A33" s="2052" t="s">
        <v>3918</v>
      </c>
      <c r="B33" s="2052"/>
      <c r="C33" s="2052"/>
      <c r="D33" s="2052"/>
      <c r="E33" s="2052"/>
      <c r="F33" s="2052"/>
      <c r="G33" s="2052"/>
      <c r="H33" s="2052"/>
      <c r="I33" s="2052"/>
      <c r="J33" s="2052"/>
    </row>
    <row r="34" spans="1:10">
      <c r="A34" s="2052" t="s">
        <v>3919</v>
      </c>
      <c r="B34" s="2052"/>
      <c r="C34" s="2052"/>
      <c r="D34" s="2052"/>
      <c r="E34" s="2052"/>
      <c r="F34" s="2052"/>
      <c r="G34" s="2052"/>
      <c r="H34" s="2052"/>
      <c r="I34" s="2052"/>
      <c r="J34" s="2052"/>
    </row>
    <row r="35" spans="1:10" ht="62.25" customHeight="1">
      <c r="A35" s="2052" t="s">
        <v>3920</v>
      </c>
      <c r="B35" s="2052"/>
      <c r="C35" s="2052"/>
      <c r="D35" s="2052"/>
      <c r="E35" s="2052"/>
      <c r="F35" s="2052"/>
      <c r="G35" s="2052"/>
      <c r="H35" s="2052"/>
      <c r="I35" s="2052"/>
      <c r="J35" s="2052"/>
    </row>
    <row r="36" spans="1:10" ht="21" customHeight="1">
      <c r="A36" s="2043" t="s">
        <v>3921</v>
      </c>
      <c r="B36" s="2043"/>
      <c r="C36" s="2043"/>
      <c r="D36" s="2043"/>
      <c r="E36" s="2043"/>
      <c r="F36" s="2043"/>
      <c r="G36" s="2043"/>
      <c r="H36" s="2043"/>
      <c r="I36" s="2043"/>
      <c r="J36" s="2043"/>
    </row>
    <row r="37" spans="1:10">
      <c r="A37" s="1276" t="s">
        <v>22</v>
      </c>
      <c r="B37" s="1276"/>
      <c r="C37" s="1276"/>
      <c r="D37" s="1276"/>
      <c r="E37" s="1276"/>
      <c r="F37" s="1276"/>
      <c r="G37" s="1276"/>
      <c r="H37" s="1276"/>
      <c r="I37" s="1276"/>
      <c r="J37" s="1276"/>
    </row>
    <row r="38" spans="1:10">
      <c r="A38" s="2030" t="s">
        <v>680</v>
      </c>
      <c r="B38" s="2030"/>
      <c r="C38" s="2030"/>
      <c r="D38" s="2030"/>
      <c r="E38" s="2030"/>
      <c r="F38" s="2030"/>
      <c r="G38" s="1240"/>
      <c r="H38" s="1240"/>
      <c r="I38" s="1240"/>
      <c r="J38" s="1240"/>
    </row>
  </sheetData>
  <mergeCells count="17">
    <mergeCell ref="A35:J35"/>
    <mergeCell ref="A36:J36"/>
    <mergeCell ref="A38:F38"/>
    <mergeCell ref="A29:J29"/>
    <mergeCell ref="A30:J30"/>
    <mergeCell ref="A31:J31"/>
    <mergeCell ref="A32:J32"/>
    <mergeCell ref="A33:J33"/>
    <mergeCell ref="A34:J34"/>
    <mergeCell ref="A2:J2"/>
    <mergeCell ref="A4:A6"/>
    <mergeCell ref="B4:J4"/>
    <mergeCell ref="B5:B6"/>
    <mergeCell ref="C5:D5"/>
    <mergeCell ref="E5:F5"/>
    <mergeCell ref="G5:H5"/>
    <mergeCell ref="I5:J5"/>
  </mergeCells>
  <pageMargins left="0.7" right="0.7" top="0.75" bottom="0.75" header="0.3" footer="0.3"/>
</worksheet>
</file>

<file path=xl/worksheets/sheet150.xml><?xml version="1.0" encoding="utf-8"?>
<worksheet xmlns="http://schemas.openxmlformats.org/spreadsheetml/2006/main" xmlns:r="http://schemas.openxmlformats.org/officeDocument/2006/relationships">
  <dimension ref="A2:C30"/>
  <sheetViews>
    <sheetView zoomScaleNormal="100" workbookViewId="0">
      <selection activeCell="A34" sqref="A34"/>
    </sheetView>
  </sheetViews>
  <sheetFormatPr baseColWidth="10" defaultRowHeight="12"/>
  <cols>
    <col min="1" max="1" width="16.140625" style="118" customWidth="1"/>
    <col min="2" max="2" width="16" style="118" customWidth="1"/>
    <col min="3" max="3" width="18.5703125" style="118" customWidth="1"/>
    <col min="4" max="16384" width="11.42578125" style="118"/>
  </cols>
  <sheetData>
    <row r="2" spans="1:3" ht="49.5" customHeight="1">
      <c r="A2" s="2281" t="s">
        <v>3281</v>
      </c>
      <c r="B2" s="2281"/>
      <c r="C2" s="2281"/>
    </row>
    <row r="3" spans="1:3">
      <c r="A3" s="129"/>
      <c r="B3" s="129"/>
      <c r="C3" s="129"/>
    </row>
    <row r="4" spans="1:3" ht="12.75">
      <c r="A4" s="1367" t="s">
        <v>1092</v>
      </c>
      <c r="B4" s="1390" t="s">
        <v>1544</v>
      </c>
      <c r="C4" s="1367" t="s">
        <v>3707</v>
      </c>
    </row>
    <row r="5" spans="1:3">
      <c r="A5" s="777">
        <v>1993</v>
      </c>
      <c r="B5" s="129">
        <v>23</v>
      </c>
      <c r="C5" s="1384">
        <v>1.7600000000000001E-2</v>
      </c>
    </row>
    <row r="6" spans="1:3">
      <c r="A6" s="777">
        <v>1994</v>
      </c>
      <c r="B6" s="129">
        <v>91</v>
      </c>
      <c r="C6" s="1384">
        <v>5.8000000000000003E-2</v>
      </c>
    </row>
    <row r="7" spans="1:3">
      <c r="A7" s="777">
        <v>1995</v>
      </c>
      <c r="B7" s="129">
        <v>188</v>
      </c>
      <c r="C7" s="1384">
        <v>0.1208</v>
      </c>
    </row>
    <row r="8" spans="1:3">
      <c r="A8" s="777">
        <v>1996</v>
      </c>
      <c r="B8" s="129">
        <v>279</v>
      </c>
      <c r="C8" s="1364">
        <v>0.1419</v>
      </c>
    </row>
    <row r="9" spans="1:3">
      <c r="A9" s="777">
        <v>1997</v>
      </c>
      <c r="B9" s="129">
        <v>263</v>
      </c>
      <c r="C9" s="1364">
        <v>0.12570000000000001</v>
      </c>
    </row>
    <row r="10" spans="1:3">
      <c r="A10" s="777">
        <v>1998</v>
      </c>
      <c r="B10" s="129">
        <v>289</v>
      </c>
      <c r="C10" s="1364">
        <v>0.12139999999999999</v>
      </c>
    </row>
    <row r="11" spans="1:3">
      <c r="A11" s="777">
        <v>1999</v>
      </c>
      <c r="B11" s="129">
        <v>345</v>
      </c>
      <c r="C11" s="1364">
        <v>0.13500000000000001</v>
      </c>
    </row>
    <row r="12" spans="1:3">
      <c r="A12" s="777">
        <v>2000</v>
      </c>
      <c r="B12" s="129">
        <v>363</v>
      </c>
      <c r="C12" s="1364">
        <v>0.15</v>
      </c>
    </row>
    <row r="13" spans="1:3">
      <c r="A13" s="777">
        <v>2001</v>
      </c>
      <c r="B13" s="129">
        <v>376</v>
      </c>
      <c r="C13" s="1364">
        <v>0.14560000000000001</v>
      </c>
    </row>
    <row r="14" spans="1:3">
      <c r="A14" s="777">
        <v>2002</v>
      </c>
      <c r="B14" s="129">
        <v>377</v>
      </c>
      <c r="C14" s="1364">
        <v>0.13300000000000001</v>
      </c>
    </row>
    <row r="15" spans="1:3">
      <c r="A15" s="777">
        <v>2003</v>
      </c>
      <c r="B15" s="129">
        <v>438</v>
      </c>
      <c r="C15" s="1364">
        <v>0.12809999999999999</v>
      </c>
    </row>
    <row r="16" spans="1:3">
      <c r="A16" s="777">
        <v>2004</v>
      </c>
      <c r="B16" s="129">
        <v>435</v>
      </c>
      <c r="C16" s="1364">
        <v>0.13800000000000001</v>
      </c>
    </row>
    <row r="17" spans="1:3">
      <c r="A17" s="777">
        <v>2005</v>
      </c>
      <c r="B17" s="129">
        <v>510</v>
      </c>
      <c r="C17" s="1364">
        <v>0.14299999999999999</v>
      </c>
    </row>
    <row r="18" spans="1:3">
      <c r="A18" s="777">
        <v>2006</v>
      </c>
      <c r="B18" s="129">
        <v>484</v>
      </c>
      <c r="C18" s="1364">
        <v>0.13669999999999999</v>
      </c>
    </row>
    <row r="19" spans="1:3">
      <c r="A19" s="777">
        <v>2007</v>
      </c>
      <c r="B19" s="129">
        <v>565</v>
      </c>
      <c r="C19" s="1364">
        <v>0.15179999999999999</v>
      </c>
    </row>
    <row r="20" spans="1:3">
      <c r="A20" s="777">
        <v>2008</v>
      </c>
      <c r="B20" s="129">
        <v>653</v>
      </c>
      <c r="C20" s="1364">
        <v>0.1671</v>
      </c>
    </row>
    <row r="21" spans="1:3">
      <c r="A21" s="777">
        <v>2009</v>
      </c>
      <c r="B21" s="129">
        <v>664</v>
      </c>
      <c r="C21" s="1364">
        <v>0.14879999999999999</v>
      </c>
    </row>
    <row r="22" spans="1:3">
      <c r="A22" s="777">
        <v>2010</v>
      </c>
      <c r="B22" s="129">
        <v>702</v>
      </c>
      <c r="C22" s="1364">
        <v>0.13750000000000001</v>
      </c>
    </row>
    <row r="23" spans="1:3">
      <c r="A23" s="777">
        <v>2011</v>
      </c>
      <c r="B23" s="1365">
        <v>776</v>
      </c>
      <c r="C23" s="1391">
        <v>0.13569999999999999</v>
      </c>
    </row>
    <row r="24" spans="1:3">
      <c r="A24" s="777">
        <v>2012</v>
      </c>
      <c r="B24" s="1365">
        <v>814</v>
      </c>
      <c r="C24" s="1391">
        <v>0.13469999999999999</v>
      </c>
    </row>
    <row r="25" spans="1:3">
      <c r="A25" s="777">
        <v>2013</v>
      </c>
      <c r="B25" s="1365">
        <v>881</v>
      </c>
      <c r="C25" s="1391">
        <v>0.14799999999999999</v>
      </c>
    </row>
    <row r="26" spans="1:3">
      <c r="A26" s="777">
        <v>2014</v>
      </c>
      <c r="B26" s="1365">
        <v>818</v>
      </c>
      <c r="C26" s="1391">
        <v>0.14299999999999999</v>
      </c>
    </row>
    <row r="27" spans="1:3">
      <c r="A27" s="129"/>
      <c r="B27" s="1365"/>
      <c r="C27" s="1392"/>
    </row>
    <row r="28" spans="1:3" ht="30" customHeight="1">
      <c r="A28" s="2213" t="s">
        <v>3708</v>
      </c>
      <c r="B28" s="2213"/>
      <c r="C28" s="2213"/>
    </row>
    <row r="29" spans="1:3" ht="26.25" customHeight="1">
      <c r="A29" s="2295" t="s">
        <v>3709</v>
      </c>
      <c r="B29" s="2295"/>
      <c r="C29" s="2295"/>
    </row>
    <row r="30" spans="1:3" ht="27" customHeight="1">
      <c r="A30" s="2105" t="s">
        <v>1499</v>
      </c>
      <c r="B30" s="2105"/>
      <c r="C30" s="2105"/>
    </row>
  </sheetData>
  <mergeCells count="4">
    <mergeCell ref="A2:C2"/>
    <mergeCell ref="A28:C28"/>
    <mergeCell ref="A29:C29"/>
    <mergeCell ref="A30:C30"/>
  </mergeCells>
  <pageMargins left="0.7" right="0.7" top="0.75" bottom="0.75" header="0.3" footer="0.3"/>
</worksheet>
</file>

<file path=xl/worksheets/sheet151.xml><?xml version="1.0" encoding="utf-8"?>
<worksheet xmlns="http://schemas.openxmlformats.org/spreadsheetml/2006/main" xmlns:r="http://schemas.openxmlformats.org/officeDocument/2006/relationships">
  <dimension ref="A2:M19"/>
  <sheetViews>
    <sheetView zoomScaleNormal="100" workbookViewId="0"/>
  </sheetViews>
  <sheetFormatPr baseColWidth="10" defaultRowHeight="12"/>
  <cols>
    <col min="1" max="1" width="16.28515625" style="50" customWidth="1"/>
    <col min="2" max="16384" width="11.42578125" style="50"/>
  </cols>
  <sheetData>
    <row r="2" spans="1:13">
      <c r="A2" s="2055" t="s">
        <v>1545</v>
      </c>
      <c r="B2" s="2055"/>
      <c r="C2" s="2055"/>
      <c r="D2" s="2055"/>
      <c r="E2" s="2055"/>
      <c r="F2" s="2055"/>
      <c r="G2" s="2055"/>
      <c r="H2" s="2055"/>
      <c r="I2" s="2055"/>
      <c r="J2" s="2055"/>
      <c r="K2" s="2055"/>
      <c r="L2" s="2055"/>
      <c r="M2" s="2055"/>
    </row>
    <row r="3" spans="1:13">
      <c r="A3" s="129"/>
      <c r="B3" s="129"/>
      <c r="C3" s="129"/>
      <c r="D3" s="129"/>
      <c r="E3" s="129"/>
      <c r="F3" s="129"/>
      <c r="G3" s="129"/>
      <c r="H3" s="129"/>
      <c r="I3" s="129"/>
      <c r="J3" s="129"/>
      <c r="K3" s="129"/>
      <c r="L3" s="129"/>
      <c r="M3" s="129"/>
    </row>
    <row r="4" spans="1:13">
      <c r="A4" s="2307" t="s">
        <v>1546</v>
      </c>
      <c r="B4" s="2154">
        <v>2009</v>
      </c>
      <c r="C4" s="2154"/>
      <c r="D4" s="2154">
        <v>2010</v>
      </c>
      <c r="E4" s="2154"/>
      <c r="F4" s="2309">
        <v>2011</v>
      </c>
      <c r="G4" s="2314"/>
      <c r="H4" s="2309">
        <v>2012</v>
      </c>
      <c r="I4" s="2310"/>
      <c r="J4" s="2309">
        <v>2013</v>
      </c>
      <c r="K4" s="2310"/>
      <c r="L4" s="2309">
        <v>2014</v>
      </c>
      <c r="M4" s="2310"/>
    </row>
    <row r="5" spans="1:13">
      <c r="A5" s="2308"/>
      <c r="B5" s="1367" t="s">
        <v>1498</v>
      </c>
      <c r="C5" s="1367" t="s">
        <v>1149</v>
      </c>
      <c r="D5" s="1367" t="s">
        <v>1498</v>
      </c>
      <c r="E5" s="1367" t="s">
        <v>1149</v>
      </c>
      <c r="F5" s="1367" t="s">
        <v>1498</v>
      </c>
      <c r="G5" s="1367" t="s">
        <v>1149</v>
      </c>
      <c r="H5" s="1367" t="s">
        <v>1498</v>
      </c>
      <c r="I5" s="1367" t="s">
        <v>1149</v>
      </c>
      <c r="J5" s="1367" t="s">
        <v>1498</v>
      </c>
      <c r="K5" s="1367" t="s">
        <v>1149</v>
      </c>
      <c r="L5" s="1367" t="s">
        <v>1498</v>
      </c>
      <c r="M5" s="1367" t="s">
        <v>1149</v>
      </c>
    </row>
    <row r="6" spans="1:13">
      <c r="A6" s="763" t="s">
        <v>6</v>
      </c>
      <c r="B6" s="759">
        <f>SUM(B7:B17)</f>
        <v>4462</v>
      </c>
      <c r="C6" s="1385">
        <f>SUM(C7:C17)</f>
        <v>1</v>
      </c>
      <c r="D6" s="759">
        <f>SUM(D7:D17)</f>
        <v>5107</v>
      </c>
      <c r="E6" s="1385">
        <v>1</v>
      </c>
      <c r="F6" s="759">
        <f>SUM(F7:F17)</f>
        <v>5720</v>
      </c>
      <c r="G6" s="1385">
        <v>1</v>
      </c>
      <c r="H6" s="759">
        <f>SUM(H7:H17)</f>
        <v>6045</v>
      </c>
      <c r="I6" s="1385">
        <v>1</v>
      </c>
      <c r="J6" s="759">
        <f>SUM(J7:J17)</f>
        <v>5952</v>
      </c>
      <c r="K6" s="1385">
        <f>SUM(K7:K17)</f>
        <v>1</v>
      </c>
      <c r="L6" s="759">
        <f>SUM(L7:L17)</f>
        <v>5702</v>
      </c>
      <c r="M6" s="1385">
        <f>SUM(M7:M17)</f>
        <v>1.0000000000000002</v>
      </c>
    </row>
    <row r="7" spans="1:13">
      <c r="A7" s="1386" t="s">
        <v>1547</v>
      </c>
      <c r="B7" s="1005">
        <v>1863</v>
      </c>
      <c r="C7" s="1364">
        <f t="shared" ref="C7:C17" si="0">+B7/$B$6</f>
        <v>0.4175257731958763</v>
      </c>
      <c r="D7" s="1005">
        <v>2736</v>
      </c>
      <c r="E7" s="1364">
        <v>0.53573526532210691</v>
      </c>
      <c r="F7" s="1005">
        <v>2388</v>
      </c>
      <c r="G7" s="1364">
        <f t="shared" ref="G7:G17" si="1">+F7/$F$6</f>
        <v>0.41748251748251747</v>
      </c>
      <c r="H7" s="1387">
        <v>2645</v>
      </c>
      <c r="I7" s="1364">
        <f t="shared" ref="I7:I17" si="2">+H7/$H$6</f>
        <v>0.43755169561621177</v>
      </c>
      <c r="J7" s="1388">
        <v>3042</v>
      </c>
      <c r="K7" s="1364">
        <f t="shared" ref="K7:K17" si="3">+J7/$J$6</f>
        <v>0.51108870967741937</v>
      </c>
      <c r="L7" s="1388">
        <v>3031</v>
      </c>
      <c r="M7" s="1364">
        <f>+L7/$L$6</f>
        <v>0.53156787092248337</v>
      </c>
    </row>
    <row r="8" spans="1:13">
      <c r="A8" s="1386" t="s">
        <v>1548</v>
      </c>
      <c r="B8" s="1005">
        <v>1104</v>
      </c>
      <c r="C8" s="1364">
        <f t="shared" si="0"/>
        <v>0.24742268041237114</v>
      </c>
      <c r="D8" s="1005">
        <v>962</v>
      </c>
      <c r="E8" s="1364">
        <v>0.18836890542392795</v>
      </c>
      <c r="F8" s="1005">
        <v>1497</v>
      </c>
      <c r="G8" s="1364">
        <f t="shared" si="1"/>
        <v>0.2617132867132867</v>
      </c>
      <c r="H8" s="1365">
        <v>1121</v>
      </c>
      <c r="I8" s="1364">
        <f t="shared" si="2"/>
        <v>0.18544251447477253</v>
      </c>
      <c r="J8" s="1388">
        <v>1290</v>
      </c>
      <c r="K8" s="1364">
        <f t="shared" si="3"/>
        <v>0.21673387096774194</v>
      </c>
      <c r="L8" s="1388">
        <v>1248</v>
      </c>
      <c r="M8" s="1364">
        <f t="shared" ref="M8:M17" si="4">+L8/$L$6</f>
        <v>0.21887057172921781</v>
      </c>
    </row>
    <row r="9" spans="1:13">
      <c r="A9" s="1386" t="s">
        <v>1549</v>
      </c>
      <c r="B9" s="1005">
        <v>212</v>
      </c>
      <c r="C9" s="1364">
        <f t="shared" si="0"/>
        <v>4.7512326311071267E-2</v>
      </c>
      <c r="D9" s="1005">
        <v>227</v>
      </c>
      <c r="E9" s="1364">
        <v>4.4448795770511064E-2</v>
      </c>
      <c r="F9" s="1005">
        <v>254</v>
      </c>
      <c r="G9" s="1364">
        <f t="shared" si="1"/>
        <v>4.4405594405594405E-2</v>
      </c>
      <c r="H9" s="1365">
        <v>344</v>
      </c>
      <c r="I9" s="1364">
        <f t="shared" si="2"/>
        <v>5.6906534325889165E-2</v>
      </c>
      <c r="J9" s="1389">
        <v>223</v>
      </c>
      <c r="K9" s="1364">
        <f t="shared" si="3"/>
        <v>3.7466397849462367E-2</v>
      </c>
      <c r="L9" s="1389">
        <v>263</v>
      </c>
      <c r="M9" s="1364">
        <f t="shared" si="4"/>
        <v>4.6124166958961765E-2</v>
      </c>
    </row>
    <row r="10" spans="1:13">
      <c r="A10" s="1386" t="s">
        <v>1550</v>
      </c>
      <c r="B10" s="1005">
        <v>461</v>
      </c>
      <c r="C10" s="1364">
        <f t="shared" si="0"/>
        <v>0.10331689825190497</v>
      </c>
      <c r="D10" s="1005">
        <v>437</v>
      </c>
      <c r="E10" s="1364">
        <v>8.5568827100058739E-2</v>
      </c>
      <c r="F10" s="1005">
        <v>623</v>
      </c>
      <c r="G10" s="1364">
        <f t="shared" si="1"/>
        <v>0.10891608391608391</v>
      </c>
      <c r="H10" s="1365">
        <v>511</v>
      </c>
      <c r="I10" s="1364">
        <f t="shared" si="2"/>
        <v>8.4532671629445819E-2</v>
      </c>
      <c r="J10" s="1389">
        <v>386</v>
      </c>
      <c r="K10" s="1364">
        <f t="shared" si="3"/>
        <v>6.4852150537634407E-2</v>
      </c>
      <c r="L10" s="1389">
        <v>407</v>
      </c>
      <c r="M10" s="1364">
        <f t="shared" si="4"/>
        <v>7.1378463696948433E-2</v>
      </c>
    </row>
    <row r="11" spans="1:13">
      <c r="A11" s="1386" t="s">
        <v>1551</v>
      </c>
      <c r="B11" s="1005">
        <v>21</v>
      </c>
      <c r="C11" s="1364">
        <f t="shared" si="0"/>
        <v>4.7064096817570596E-3</v>
      </c>
      <c r="D11" s="1005">
        <v>27</v>
      </c>
      <c r="E11" s="1364">
        <v>5.2868611709418444E-3</v>
      </c>
      <c r="F11" s="1005">
        <v>36</v>
      </c>
      <c r="G11" s="1364">
        <f t="shared" si="1"/>
        <v>6.2937062937062941E-3</v>
      </c>
      <c r="H11" s="1365">
        <v>54</v>
      </c>
      <c r="I11" s="1364">
        <f t="shared" si="2"/>
        <v>8.9330024813895782E-3</v>
      </c>
      <c r="J11" s="1389">
        <v>53</v>
      </c>
      <c r="K11" s="1364">
        <f t="shared" si="3"/>
        <v>8.904569892473119E-3</v>
      </c>
      <c r="L11" s="1389">
        <v>55</v>
      </c>
      <c r="M11" s="1364">
        <f t="shared" si="4"/>
        <v>9.6457383374254652E-3</v>
      </c>
    </row>
    <row r="12" spans="1:13">
      <c r="A12" s="1386" t="s">
        <v>1552</v>
      </c>
      <c r="B12" s="1005">
        <v>135</v>
      </c>
      <c r="C12" s="1364">
        <f t="shared" si="0"/>
        <v>3.0255490811295385E-2</v>
      </c>
      <c r="D12" s="1005">
        <v>124</v>
      </c>
      <c r="E12" s="1364">
        <v>2.4280399451732916E-2</v>
      </c>
      <c r="F12" s="1005">
        <v>150</v>
      </c>
      <c r="G12" s="1364">
        <f t="shared" si="1"/>
        <v>2.6223776223776224E-2</v>
      </c>
      <c r="H12" s="1365">
        <v>174</v>
      </c>
      <c r="I12" s="1364">
        <f t="shared" si="2"/>
        <v>2.8784119106699754E-2</v>
      </c>
      <c r="J12" s="1389">
        <v>177</v>
      </c>
      <c r="K12" s="1364">
        <f t="shared" si="3"/>
        <v>2.9737903225806453E-2</v>
      </c>
      <c r="L12" s="1389">
        <v>157</v>
      </c>
      <c r="M12" s="1364">
        <f t="shared" si="4"/>
        <v>2.7534198526832691E-2</v>
      </c>
    </row>
    <row r="13" spans="1:13">
      <c r="A13" s="1386" t="s">
        <v>1553</v>
      </c>
      <c r="B13" s="1005">
        <v>21</v>
      </c>
      <c r="C13" s="1364">
        <f t="shared" si="0"/>
        <v>4.7064096817570596E-3</v>
      </c>
      <c r="D13" s="1005">
        <v>13</v>
      </c>
      <c r="E13" s="1364">
        <v>2.5455257489719993E-3</v>
      </c>
      <c r="F13" s="1005">
        <v>14</v>
      </c>
      <c r="G13" s="1364">
        <f t="shared" si="1"/>
        <v>2.4475524475524478E-3</v>
      </c>
      <c r="H13" s="1365">
        <v>17</v>
      </c>
      <c r="I13" s="1364">
        <f t="shared" si="2"/>
        <v>2.8122415219189413E-3</v>
      </c>
      <c r="J13" s="1389">
        <v>21</v>
      </c>
      <c r="K13" s="1364">
        <f t="shared" si="3"/>
        <v>3.5282258064516128E-3</v>
      </c>
      <c r="L13" s="1389">
        <v>12</v>
      </c>
      <c r="M13" s="1364">
        <f t="shared" si="4"/>
        <v>2.104524728165556E-3</v>
      </c>
    </row>
    <row r="14" spans="1:13">
      <c r="A14" s="1386" t="s">
        <v>1554</v>
      </c>
      <c r="B14" s="1005">
        <v>50</v>
      </c>
      <c r="C14" s="1364">
        <f t="shared" si="0"/>
        <v>1.1205737337516808E-2</v>
      </c>
      <c r="D14" s="1005">
        <v>26</v>
      </c>
      <c r="E14" s="1364">
        <v>5.0910514979439986E-3</v>
      </c>
      <c r="F14" s="1005">
        <v>155</v>
      </c>
      <c r="G14" s="1364">
        <f t="shared" si="1"/>
        <v>2.7097902097902096E-2</v>
      </c>
      <c r="H14" s="1365">
        <v>93</v>
      </c>
      <c r="I14" s="1364">
        <f t="shared" si="2"/>
        <v>1.5384615384615385E-2</v>
      </c>
      <c r="J14" s="1389">
        <v>75</v>
      </c>
      <c r="K14" s="1364">
        <f t="shared" si="3"/>
        <v>1.2600806451612902E-2</v>
      </c>
      <c r="L14" s="1389">
        <v>86</v>
      </c>
      <c r="M14" s="1364">
        <f t="shared" si="4"/>
        <v>1.5082427218519818E-2</v>
      </c>
    </row>
    <row r="15" spans="1:13">
      <c r="A15" s="1386" t="s">
        <v>1555</v>
      </c>
      <c r="B15" s="1005">
        <v>7</v>
      </c>
      <c r="C15" s="1364">
        <f t="shared" si="0"/>
        <v>1.5688032272523531E-3</v>
      </c>
      <c r="D15" s="1005">
        <v>20</v>
      </c>
      <c r="E15" s="1364">
        <v>3.9161934599569216E-3</v>
      </c>
      <c r="F15" s="1005">
        <v>4</v>
      </c>
      <c r="G15" s="1364">
        <f t="shared" si="1"/>
        <v>6.993006993006993E-4</v>
      </c>
      <c r="H15" s="1365">
        <v>11</v>
      </c>
      <c r="I15" s="1364">
        <f t="shared" si="2"/>
        <v>1.8196856906534326E-3</v>
      </c>
      <c r="J15" s="1389">
        <v>18</v>
      </c>
      <c r="K15" s="1364">
        <f t="shared" si="3"/>
        <v>3.0241935483870967E-3</v>
      </c>
      <c r="L15" s="1389">
        <v>19</v>
      </c>
      <c r="M15" s="1364">
        <f t="shared" si="4"/>
        <v>3.3321641529287971E-3</v>
      </c>
    </row>
    <row r="16" spans="1:13">
      <c r="A16" s="1386" t="s">
        <v>1556</v>
      </c>
      <c r="B16" s="1005">
        <v>122</v>
      </c>
      <c r="C16" s="1364">
        <f t="shared" si="0"/>
        <v>2.7341999103541011E-2</v>
      </c>
      <c r="D16" s="1005">
        <v>85</v>
      </c>
      <c r="E16" s="1364">
        <v>1.6643822204816919E-2</v>
      </c>
      <c r="F16" s="1005">
        <v>75</v>
      </c>
      <c r="G16" s="1364">
        <f t="shared" si="1"/>
        <v>1.3111888111888112E-2</v>
      </c>
      <c r="H16" s="1365">
        <v>207</v>
      </c>
      <c r="I16" s="1364">
        <f t="shared" si="2"/>
        <v>3.4243176178660052E-2</v>
      </c>
      <c r="J16" s="1389">
        <v>113</v>
      </c>
      <c r="K16" s="1364">
        <f t="shared" si="3"/>
        <v>1.8985215053763441E-2</v>
      </c>
      <c r="L16" s="1389">
        <v>141</v>
      </c>
      <c r="M16" s="1364">
        <f t="shared" si="4"/>
        <v>2.4728165555945283E-2</v>
      </c>
    </row>
    <row r="17" spans="1:13">
      <c r="A17" s="1386" t="s">
        <v>1557</v>
      </c>
      <c r="B17" s="1005">
        <v>466</v>
      </c>
      <c r="C17" s="1364">
        <f t="shared" si="0"/>
        <v>0.10443747198565666</v>
      </c>
      <c r="D17" s="1005">
        <v>450</v>
      </c>
      <c r="E17" s="1364">
        <v>8.8114352849030741E-2</v>
      </c>
      <c r="F17" s="1005">
        <v>524</v>
      </c>
      <c r="G17" s="1364">
        <f t="shared" si="1"/>
        <v>9.1608391608391612E-2</v>
      </c>
      <c r="H17" s="1365">
        <v>868</v>
      </c>
      <c r="I17" s="1364">
        <f t="shared" si="2"/>
        <v>0.14358974358974358</v>
      </c>
      <c r="J17" s="1389">
        <v>554</v>
      </c>
      <c r="K17" s="1364">
        <f t="shared" si="3"/>
        <v>9.3077956989247312E-2</v>
      </c>
      <c r="L17" s="1389">
        <v>283</v>
      </c>
      <c r="M17" s="1364">
        <f t="shared" si="4"/>
        <v>4.963170817257103E-2</v>
      </c>
    </row>
    <row r="18" spans="1:13">
      <c r="A18" s="129"/>
      <c r="B18" s="1005"/>
      <c r="C18" s="1364"/>
      <c r="D18" s="1005"/>
      <c r="E18" s="1364"/>
      <c r="F18" s="1364"/>
      <c r="G18" s="1005"/>
      <c r="H18" s="1005"/>
      <c r="I18" s="1364"/>
      <c r="J18" s="1364"/>
      <c r="K18" s="1365"/>
      <c r="L18" s="1364"/>
      <c r="M18" s="1365"/>
    </row>
    <row r="19" spans="1:13">
      <c r="A19" s="61" t="s">
        <v>1499</v>
      </c>
      <c r="B19" s="61"/>
      <c r="C19" s="61"/>
      <c r="D19" s="741"/>
      <c r="E19" s="1382"/>
      <c r="F19" s="1382"/>
      <c r="G19" s="1383"/>
      <c r="H19" s="1383"/>
      <c r="I19" s="1382"/>
      <c r="J19" s="1382"/>
      <c r="K19" s="1384"/>
      <c r="L19" s="129"/>
      <c r="M19" s="129"/>
    </row>
  </sheetData>
  <mergeCells count="8">
    <mergeCell ref="A2:M2"/>
    <mergeCell ref="A4:A5"/>
    <mergeCell ref="B4:C4"/>
    <mergeCell ref="D4:E4"/>
    <mergeCell ref="F4:G4"/>
    <mergeCell ref="H4:I4"/>
    <mergeCell ref="J4:K4"/>
    <mergeCell ref="L4:M4"/>
  </mergeCells>
  <pageMargins left="0.7" right="0.7" top="0.75" bottom="0.75" header="0.3" footer="0.3"/>
</worksheet>
</file>

<file path=xl/worksheets/sheet152.xml><?xml version="1.0" encoding="utf-8"?>
<worksheet xmlns="http://schemas.openxmlformats.org/spreadsheetml/2006/main" xmlns:r="http://schemas.openxmlformats.org/officeDocument/2006/relationships">
  <dimension ref="A2:P56"/>
  <sheetViews>
    <sheetView zoomScaleNormal="100" workbookViewId="0"/>
  </sheetViews>
  <sheetFormatPr baseColWidth="10" defaultRowHeight="12"/>
  <cols>
    <col min="1" max="2" width="13" style="50" customWidth="1"/>
    <col min="3" max="16384" width="11.42578125" style="50"/>
  </cols>
  <sheetData>
    <row r="2" spans="1:16" ht="26.25" customHeight="1">
      <c r="A2" s="2195" t="s">
        <v>1558</v>
      </c>
      <c r="B2" s="2195"/>
      <c r="C2" s="2195"/>
      <c r="D2" s="2195"/>
      <c r="E2" s="2195"/>
      <c r="F2" s="2195"/>
      <c r="G2" s="2195"/>
      <c r="H2" s="2195"/>
      <c r="I2" s="2195"/>
      <c r="J2" s="2195"/>
      <c r="K2" s="2195"/>
      <c r="L2" s="2195"/>
      <c r="M2" s="2195"/>
      <c r="N2" s="2195"/>
      <c r="O2" s="129"/>
      <c r="P2" s="63"/>
    </row>
    <row r="3" spans="1:16">
      <c r="A3" s="1366"/>
      <c r="B3" s="1366"/>
      <c r="C3" s="1366"/>
      <c r="D3" s="1366"/>
      <c r="E3" s="1366"/>
      <c r="F3" s="1366"/>
      <c r="G3" s="1366"/>
      <c r="H3" s="1366"/>
      <c r="I3" s="346"/>
      <c r="J3" s="346"/>
      <c r="K3" s="129"/>
      <c r="L3" s="129"/>
      <c r="M3" s="129"/>
      <c r="N3" s="129"/>
      <c r="O3" s="129"/>
      <c r="P3" s="63"/>
    </row>
    <row r="4" spans="1:16">
      <c r="A4" s="2307" t="s">
        <v>1559</v>
      </c>
      <c r="B4" s="2307" t="s">
        <v>1560</v>
      </c>
      <c r="C4" s="2309">
        <v>2009</v>
      </c>
      <c r="D4" s="2310"/>
      <c r="E4" s="2309">
        <v>2010</v>
      </c>
      <c r="F4" s="2310"/>
      <c r="G4" s="2309">
        <v>2011</v>
      </c>
      <c r="H4" s="2310"/>
      <c r="I4" s="2309">
        <v>2012</v>
      </c>
      <c r="J4" s="2310"/>
      <c r="K4" s="2154">
        <v>2013</v>
      </c>
      <c r="L4" s="2154"/>
      <c r="M4" s="2154">
        <v>2014</v>
      </c>
      <c r="N4" s="2154"/>
      <c r="O4" s="129"/>
      <c r="P4" s="62"/>
    </row>
    <row r="5" spans="1:16">
      <c r="A5" s="2308"/>
      <c r="B5" s="2308"/>
      <c r="C5" s="1367" t="s">
        <v>1498</v>
      </c>
      <c r="D5" s="1367" t="s">
        <v>1149</v>
      </c>
      <c r="E5" s="1367" t="s">
        <v>1498</v>
      </c>
      <c r="F5" s="1367" t="s">
        <v>1149</v>
      </c>
      <c r="G5" s="1367" t="s">
        <v>1498</v>
      </c>
      <c r="H5" s="1367" t="s">
        <v>1149</v>
      </c>
      <c r="I5" s="1367" t="s">
        <v>1498</v>
      </c>
      <c r="J5" s="1367" t="s">
        <v>1149</v>
      </c>
      <c r="K5" s="1367" t="s">
        <v>1498</v>
      </c>
      <c r="L5" s="1367" t="s">
        <v>1149</v>
      </c>
      <c r="M5" s="1367" t="s">
        <v>1498</v>
      </c>
      <c r="N5" s="1367" t="s">
        <v>1149</v>
      </c>
      <c r="O5" s="28"/>
      <c r="P5" s="747"/>
    </row>
    <row r="6" spans="1:16">
      <c r="A6" s="1368" t="s">
        <v>6</v>
      </c>
      <c r="B6" s="1368"/>
      <c r="C6" s="1369">
        <f>SUM(C7:C53)</f>
        <v>300</v>
      </c>
      <c r="D6" s="1370">
        <f>SUM(D7:D53)</f>
        <v>1</v>
      </c>
      <c r="E6" s="763">
        <f>SUM(E7:E52)</f>
        <v>403</v>
      </c>
      <c r="F6" s="1371">
        <f>SUM(F7:F53)</f>
        <v>1.0000000000000002</v>
      </c>
      <c r="G6" s="763">
        <f>SUM(G7:G52)</f>
        <v>309</v>
      </c>
      <c r="H6" s="1371">
        <f>SUM(H7:H53)</f>
        <v>0.99999999999999967</v>
      </c>
      <c r="I6" s="763">
        <f>SUM(I7:I52)</f>
        <v>255</v>
      </c>
      <c r="J6" s="1371">
        <f>SUM(J7:J53)</f>
        <v>1</v>
      </c>
      <c r="K6" s="763">
        <f>SUM(K7:K52)</f>
        <v>270</v>
      </c>
      <c r="L6" s="1372">
        <f>SUM(L7:L53)</f>
        <v>1</v>
      </c>
      <c r="M6" s="763">
        <f>SUM(M7:M52)</f>
        <v>231</v>
      </c>
      <c r="N6" s="1372">
        <f>SUM(N7:N53)</f>
        <v>0.99999999999999978</v>
      </c>
      <c r="O6" s="1373"/>
      <c r="P6" s="1374"/>
    </row>
    <row r="7" spans="1:16">
      <c r="A7" s="129" t="s">
        <v>1561</v>
      </c>
      <c r="B7" s="129" t="s">
        <v>1562</v>
      </c>
      <c r="C7" s="1375">
        <v>12</v>
      </c>
      <c r="D7" s="1376">
        <f t="shared" ref="D7:D53" si="0">C7/$C$6</f>
        <v>0.04</v>
      </c>
      <c r="E7" s="1375">
        <v>14</v>
      </c>
      <c r="F7" s="1376">
        <f t="shared" ref="F7:F53" si="1">E7/$E$6</f>
        <v>3.4739454094292806E-2</v>
      </c>
      <c r="G7" s="1375">
        <v>56</v>
      </c>
      <c r="H7" s="1376">
        <f t="shared" ref="H7:H53" si="2">G7/$G$6</f>
        <v>0.18122977346278318</v>
      </c>
      <c r="I7" s="1375">
        <v>18</v>
      </c>
      <c r="J7" s="1376">
        <f t="shared" ref="J7:J53" si="3">I7/$I$6</f>
        <v>7.0588235294117646E-2</v>
      </c>
      <c r="K7" s="1377">
        <v>18</v>
      </c>
      <c r="L7" s="1378">
        <f t="shared" ref="L7:L53" si="4">K7/$K$6</f>
        <v>6.6666666666666666E-2</v>
      </c>
      <c r="M7" s="1379">
        <v>22</v>
      </c>
      <c r="N7" s="1378">
        <f>M7/$M$6</f>
        <v>9.5238095238095233E-2</v>
      </c>
      <c r="O7" s="1123"/>
      <c r="P7" s="1123"/>
    </row>
    <row r="8" spans="1:16">
      <c r="A8" s="129" t="s">
        <v>1563</v>
      </c>
      <c r="B8" s="129" t="s">
        <v>1564</v>
      </c>
      <c r="C8" s="1375">
        <v>1</v>
      </c>
      <c r="D8" s="1376">
        <f t="shared" si="0"/>
        <v>3.3333333333333335E-3</v>
      </c>
      <c r="E8" s="1375">
        <v>0</v>
      </c>
      <c r="F8" s="1376">
        <f t="shared" si="1"/>
        <v>0</v>
      </c>
      <c r="G8" s="1375">
        <v>1</v>
      </c>
      <c r="H8" s="1376">
        <f t="shared" si="2"/>
        <v>3.2362459546925568E-3</v>
      </c>
      <c r="I8" s="1375">
        <v>0</v>
      </c>
      <c r="J8" s="1376">
        <f t="shared" si="3"/>
        <v>0</v>
      </c>
      <c r="K8" s="747">
        <v>0</v>
      </c>
      <c r="L8" s="1378">
        <f t="shared" si="4"/>
        <v>0</v>
      </c>
      <c r="M8" s="1375">
        <v>4</v>
      </c>
      <c r="N8" s="1378">
        <f t="shared" ref="N8:N53" si="5">M8/$M$6</f>
        <v>1.7316017316017316E-2</v>
      </c>
      <c r="O8" s="1123"/>
      <c r="P8" s="1123"/>
    </row>
    <row r="9" spans="1:16">
      <c r="A9" s="129" t="s">
        <v>1561</v>
      </c>
      <c r="B9" s="129" t="s">
        <v>1565</v>
      </c>
      <c r="C9" s="1375">
        <v>0</v>
      </c>
      <c r="D9" s="1376">
        <v>0</v>
      </c>
      <c r="E9" s="1375">
        <v>0</v>
      </c>
      <c r="F9" s="1376">
        <v>0</v>
      </c>
      <c r="G9" s="1375">
        <v>0</v>
      </c>
      <c r="H9" s="1376">
        <v>0</v>
      </c>
      <c r="I9" s="1375">
        <v>0</v>
      </c>
      <c r="J9" s="1376">
        <v>0</v>
      </c>
      <c r="K9" s="1375">
        <v>0</v>
      </c>
      <c r="L9" s="1378">
        <v>0</v>
      </c>
      <c r="M9" s="1375">
        <v>1</v>
      </c>
      <c r="N9" s="1378">
        <f t="shared" si="5"/>
        <v>4.329004329004329E-3</v>
      </c>
      <c r="O9" s="1123"/>
      <c r="P9" s="1123"/>
    </row>
    <row r="10" spans="1:16">
      <c r="A10" s="129" t="s">
        <v>1566</v>
      </c>
      <c r="B10" s="129" t="s">
        <v>1567</v>
      </c>
      <c r="C10" s="1375">
        <v>0</v>
      </c>
      <c r="D10" s="1376">
        <f t="shared" si="0"/>
        <v>0</v>
      </c>
      <c r="E10" s="1375">
        <v>4</v>
      </c>
      <c r="F10" s="1376">
        <f t="shared" si="1"/>
        <v>9.9255583126550868E-3</v>
      </c>
      <c r="G10" s="1375">
        <v>4</v>
      </c>
      <c r="H10" s="1376">
        <f t="shared" si="2"/>
        <v>1.2944983818770227E-2</v>
      </c>
      <c r="I10" s="1375">
        <v>3</v>
      </c>
      <c r="J10" s="1376">
        <f t="shared" si="3"/>
        <v>1.1764705882352941E-2</v>
      </c>
      <c r="K10" s="747">
        <v>0</v>
      </c>
      <c r="L10" s="1378">
        <f t="shared" si="4"/>
        <v>0</v>
      </c>
      <c r="M10" s="1375">
        <v>3</v>
      </c>
      <c r="N10" s="1378">
        <f t="shared" si="5"/>
        <v>1.2987012987012988E-2</v>
      </c>
      <c r="O10" s="1123"/>
      <c r="P10" s="1123"/>
    </row>
    <row r="11" spans="1:16">
      <c r="A11" s="129" t="s">
        <v>1566</v>
      </c>
      <c r="B11" s="129" t="s">
        <v>1568</v>
      </c>
      <c r="C11" s="1375">
        <v>0</v>
      </c>
      <c r="D11" s="1376">
        <f t="shared" si="0"/>
        <v>0</v>
      </c>
      <c r="E11" s="1375">
        <v>1</v>
      </c>
      <c r="F11" s="1376">
        <f t="shared" si="1"/>
        <v>2.4813895781637717E-3</v>
      </c>
      <c r="G11" s="1375">
        <v>0</v>
      </c>
      <c r="H11" s="1376">
        <f t="shared" si="2"/>
        <v>0</v>
      </c>
      <c r="I11" s="1375">
        <v>0</v>
      </c>
      <c r="J11" s="1376">
        <f t="shared" si="3"/>
        <v>0</v>
      </c>
      <c r="K11" s="747">
        <v>0</v>
      </c>
      <c r="L11" s="1378">
        <f t="shared" si="4"/>
        <v>0</v>
      </c>
      <c r="M11" s="1379">
        <v>0</v>
      </c>
      <c r="N11" s="1378">
        <f t="shared" si="5"/>
        <v>0</v>
      </c>
      <c r="O11" s="1123"/>
      <c r="P11" s="1123"/>
    </row>
    <row r="12" spans="1:16">
      <c r="A12" s="129" t="s">
        <v>1569</v>
      </c>
      <c r="B12" s="129" t="s">
        <v>1567</v>
      </c>
      <c r="C12" s="1375">
        <v>0</v>
      </c>
      <c r="D12" s="1376">
        <f t="shared" si="0"/>
        <v>0</v>
      </c>
      <c r="E12" s="1375">
        <v>0</v>
      </c>
      <c r="F12" s="1376">
        <f t="shared" si="1"/>
        <v>0</v>
      </c>
      <c r="G12" s="1375">
        <v>0</v>
      </c>
      <c r="H12" s="1376">
        <f t="shared" si="2"/>
        <v>0</v>
      </c>
      <c r="I12" s="1375">
        <v>0</v>
      </c>
      <c r="J12" s="1376">
        <f t="shared" si="3"/>
        <v>0</v>
      </c>
      <c r="K12" s="1377">
        <v>1</v>
      </c>
      <c r="L12" s="1378">
        <f t="shared" si="4"/>
        <v>3.7037037037037038E-3</v>
      </c>
      <c r="M12" s="1379">
        <v>0</v>
      </c>
      <c r="N12" s="1378">
        <f t="shared" si="5"/>
        <v>0</v>
      </c>
      <c r="O12" s="1123"/>
      <c r="P12" s="1123"/>
    </row>
    <row r="13" spans="1:16">
      <c r="A13" s="129" t="s">
        <v>1570</v>
      </c>
      <c r="B13" s="129" t="s">
        <v>1567</v>
      </c>
      <c r="C13" s="1375">
        <v>0</v>
      </c>
      <c r="D13" s="1376">
        <f t="shared" si="0"/>
        <v>0</v>
      </c>
      <c r="E13" s="1375">
        <v>0</v>
      </c>
      <c r="F13" s="1376">
        <f t="shared" si="1"/>
        <v>0</v>
      </c>
      <c r="G13" s="1375">
        <v>0</v>
      </c>
      <c r="H13" s="1376">
        <f t="shared" si="2"/>
        <v>0</v>
      </c>
      <c r="I13" s="1375">
        <v>0</v>
      </c>
      <c r="J13" s="1376">
        <f t="shared" si="3"/>
        <v>0</v>
      </c>
      <c r="K13" s="1377">
        <v>2</v>
      </c>
      <c r="L13" s="1378">
        <f t="shared" si="4"/>
        <v>7.4074074074074077E-3</v>
      </c>
      <c r="M13" s="1379">
        <v>0</v>
      </c>
      <c r="N13" s="1378">
        <f t="shared" si="5"/>
        <v>0</v>
      </c>
      <c r="O13" s="1123"/>
      <c r="P13" s="1123"/>
    </row>
    <row r="14" spans="1:16">
      <c r="A14" s="129" t="s">
        <v>1571</v>
      </c>
      <c r="B14" s="129" t="s">
        <v>1567</v>
      </c>
      <c r="C14" s="1375">
        <v>0</v>
      </c>
      <c r="D14" s="1376">
        <f t="shared" si="0"/>
        <v>0</v>
      </c>
      <c r="E14" s="1375">
        <v>1</v>
      </c>
      <c r="F14" s="1376">
        <f t="shared" si="1"/>
        <v>2.4813895781637717E-3</v>
      </c>
      <c r="G14" s="1375">
        <v>0</v>
      </c>
      <c r="H14" s="1376">
        <f t="shared" si="2"/>
        <v>0</v>
      </c>
      <c r="I14" s="1375">
        <v>0</v>
      </c>
      <c r="J14" s="1376">
        <f t="shared" si="3"/>
        <v>0</v>
      </c>
      <c r="K14" s="1377">
        <v>0</v>
      </c>
      <c r="L14" s="1378">
        <f t="shared" si="4"/>
        <v>0</v>
      </c>
      <c r="M14" s="1379">
        <v>0</v>
      </c>
      <c r="N14" s="1378">
        <f t="shared" si="5"/>
        <v>0</v>
      </c>
      <c r="O14" s="1123"/>
      <c r="P14" s="1123"/>
    </row>
    <row r="15" spans="1:16">
      <c r="A15" s="129" t="s">
        <v>1572</v>
      </c>
      <c r="B15" s="129" t="s">
        <v>1567</v>
      </c>
      <c r="C15" s="1375">
        <v>4</v>
      </c>
      <c r="D15" s="1376">
        <f t="shared" si="0"/>
        <v>1.3333333333333334E-2</v>
      </c>
      <c r="E15" s="1375">
        <v>0</v>
      </c>
      <c r="F15" s="1376">
        <f t="shared" si="1"/>
        <v>0</v>
      </c>
      <c r="G15" s="1375">
        <v>0</v>
      </c>
      <c r="H15" s="1376">
        <f t="shared" si="2"/>
        <v>0</v>
      </c>
      <c r="I15" s="1375">
        <v>2</v>
      </c>
      <c r="J15" s="1376">
        <f t="shared" si="3"/>
        <v>7.8431372549019607E-3</v>
      </c>
      <c r="K15" s="747">
        <v>3</v>
      </c>
      <c r="L15" s="1378">
        <f t="shared" si="4"/>
        <v>1.1111111111111112E-2</v>
      </c>
      <c r="M15" s="1375">
        <v>1</v>
      </c>
      <c r="N15" s="1378">
        <f t="shared" si="5"/>
        <v>4.329004329004329E-3</v>
      </c>
      <c r="O15" s="1123"/>
      <c r="P15" s="1123"/>
    </row>
    <row r="16" spans="1:16">
      <c r="A16" s="129" t="s">
        <v>1573</v>
      </c>
      <c r="B16" s="129" t="s">
        <v>1574</v>
      </c>
      <c r="C16" s="1375">
        <v>0</v>
      </c>
      <c r="D16" s="1376">
        <f t="shared" si="0"/>
        <v>0</v>
      </c>
      <c r="E16" s="1375">
        <v>1</v>
      </c>
      <c r="F16" s="1376">
        <f t="shared" si="1"/>
        <v>2.4813895781637717E-3</v>
      </c>
      <c r="G16" s="1375">
        <v>0</v>
      </c>
      <c r="H16" s="1376">
        <f t="shared" si="2"/>
        <v>0</v>
      </c>
      <c r="I16" s="1375">
        <v>0</v>
      </c>
      <c r="J16" s="1376">
        <f t="shared" si="3"/>
        <v>0</v>
      </c>
      <c r="K16" s="1377">
        <v>0</v>
      </c>
      <c r="L16" s="1378">
        <f t="shared" si="4"/>
        <v>0</v>
      </c>
      <c r="M16" s="1379">
        <v>0</v>
      </c>
      <c r="N16" s="1378">
        <f t="shared" si="5"/>
        <v>0</v>
      </c>
      <c r="O16" s="1123"/>
      <c r="P16" s="1123"/>
    </row>
    <row r="17" spans="1:16">
      <c r="A17" s="129" t="s">
        <v>1567</v>
      </c>
      <c r="B17" s="129" t="s">
        <v>1561</v>
      </c>
      <c r="C17" s="1375">
        <v>1</v>
      </c>
      <c r="D17" s="1376">
        <f t="shared" si="0"/>
        <v>3.3333333333333335E-3</v>
      </c>
      <c r="E17" s="1375">
        <v>1</v>
      </c>
      <c r="F17" s="1376">
        <f t="shared" si="1"/>
        <v>2.4813895781637717E-3</v>
      </c>
      <c r="G17" s="1375">
        <v>4</v>
      </c>
      <c r="H17" s="1376">
        <f t="shared" si="2"/>
        <v>1.2944983818770227E-2</v>
      </c>
      <c r="I17" s="1375">
        <v>1</v>
      </c>
      <c r="J17" s="1376">
        <f t="shared" si="3"/>
        <v>3.9215686274509803E-3</v>
      </c>
      <c r="K17" s="1377">
        <v>4</v>
      </c>
      <c r="L17" s="1378">
        <f t="shared" si="4"/>
        <v>1.4814814814814815E-2</v>
      </c>
      <c r="M17" s="1379">
        <v>5</v>
      </c>
      <c r="N17" s="1378">
        <f t="shared" si="5"/>
        <v>2.1645021645021644E-2</v>
      </c>
      <c r="O17" s="1123"/>
      <c r="P17" s="1123"/>
    </row>
    <row r="18" spans="1:16">
      <c r="A18" s="129" t="s">
        <v>1567</v>
      </c>
      <c r="B18" s="129" t="s">
        <v>1575</v>
      </c>
      <c r="C18" s="1375">
        <v>4</v>
      </c>
      <c r="D18" s="1376">
        <f t="shared" si="0"/>
        <v>1.3333333333333334E-2</v>
      </c>
      <c r="E18" s="1375">
        <v>1</v>
      </c>
      <c r="F18" s="1376">
        <f t="shared" si="1"/>
        <v>2.4813895781637717E-3</v>
      </c>
      <c r="G18" s="1375">
        <v>0</v>
      </c>
      <c r="H18" s="1376">
        <f t="shared" si="2"/>
        <v>0</v>
      </c>
      <c r="I18" s="1375">
        <v>0</v>
      </c>
      <c r="J18" s="1376">
        <f t="shared" si="3"/>
        <v>0</v>
      </c>
      <c r="K18" s="1377">
        <v>0</v>
      </c>
      <c r="L18" s="1378">
        <f t="shared" si="4"/>
        <v>0</v>
      </c>
      <c r="M18" s="1379">
        <v>1</v>
      </c>
      <c r="N18" s="1378">
        <f t="shared" si="5"/>
        <v>4.329004329004329E-3</v>
      </c>
      <c r="O18" s="1123"/>
      <c r="P18" s="1123"/>
    </row>
    <row r="19" spans="1:16">
      <c r="A19" s="129" t="s">
        <v>1567</v>
      </c>
      <c r="B19" s="129" t="s">
        <v>1569</v>
      </c>
      <c r="C19" s="1375">
        <v>0</v>
      </c>
      <c r="D19" s="1376">
        <f t="shared" si="0"/>
        <v>0</v>
      </c>
      <c r="E19" s="1375">
        <v>0</v>
      </c>
      <c r="F19" s="1376">
        <f t="shared" si="1"/>
        <v>0</v>
      </c>
      <c r="G19" s="1375">
        <v>0</v>
      </c>
      <c r="H19" s="1376">
        <f t="shared" si="2"/>
        <v>0</v>
      </c>
      <c r="I19" s="1375">
        <v>0</v>
      </c>
      <c r="J19" s="1376">
        <f t="shared" si="3"/>
        <v>0</v>
      </c>
      <c r="K19" s="1377">
        <v>1</v>
      </c>
      <c r="L19" s="1378">
        <f t="shared" si="4"/>
        <v>3.7037037037037038E-3</v>
      </c>
      <c r="M19" s="1379">
        <v>0</v>
      </c>
      <c r="N19" s="1378">
        <f t="shared" si="5"/>
        <v>0</v>
      </c>
      <c r="O19" s="1123"/>
      <c r="P19" s="1123"/>
    </row>
    <row r="20" spans="1:16">
      <c r="A20" s="129" t="s">
        <v>1567</v>
      </c>
      <c r="B20" s="129" t="s">
        <v>1570</v>
      </c>
      <c r="C20" s="1375">
        <v>1</v>
      </c>
      <c r="D20" s="1376">
        <f t="shared" si="0"/>
        <v>3.3333333333333335E-3</v>
      </c>
      <c r="E20" s="1375">
        <v>1</v>
      </c>
      <c r="F20" s="1376">
        <f t="shared" si="1"/>
        <v>2.4813895781637717E-3</v>
      </c>
      <c r="G20" s="1375">
        <v>1</v>
      </c>
      <c r="H20" s="1376">
        <f t="shared" si="2"/>
        <v>3.2362459546925568E-3</v>
      </c>
      <c r="I20" s="1375">
        <v>0</v>
      </c>
      <c r="J20" s="1376">
        <f t="shared" si="3"/>
        <v>0</v>
      </c>
      <c r="K20" s="1377">
        <v>0</v>
      </c>
      <c r="L20" s="1378">
        <f t="shared" si="4"/>
        <v>0</v>
      </c>
      <c r="M20" s="1379">
        <v>0</v>
      </c>
      <c r="N20" s="1378">
        <f t="shared" si="5"/>
        <v>0</v>
      </c>
      <c r="O20" s="1123"/>
      <c r="P20" s="1123"/>
    </row>
    <row r="21" spans="1:16">
      <c r="A21" s="129" t="s">
        <v>1567</v>
      </c>
      <c r="B21" s="129" t="s">
        <v>1568</v>
      </c>
      <c r="C21" s="1375">
        <v>0</v>
      </c>
      <c r="D21" s="1376">
        <f t="shared" si="0"/>
        <v>0</v>
      </c>
      <c r="E21" s="1375">
        <v>8</v>
      </c>
      <c r="F21" s="1376">
        <f t="shared" si="1"/>
        <v>1.9851116625310174E-2</v>
      </c>
      <c r="G21" s="1375">
        <v>2</v>
      </c>
      <c r="H21" s="1376">
        <f t="shared" si="2"/>
        <v>6.4724919093851136E-3</v>
      </c>
      <c r="I21" s="1375">
        <v>6</v>
      </c>
      <c r="J21" s="1376">
        <f t="shared" si="3"/>
        <v>2.3529411764705882E-2</v>
      </c>
      <c r="K21" s="1377">
        <v>2</v>
      </c>
      <c r="L21" s="1378">
        <f t="shared" si="4"/>
        <v>7.4074074074074077E-3</v>
      </c>
      <c r="M21" s="1379">
        <v>2</v>
      </c>
      <c r="N21" s="1378">
        <f t="shared" si="5"/>
        <v>8.658008658008658E-3</v>
      </c>
      <c r="O21" s="1123"/>
      <c r="P21" s="1123"/>
    </row>
    <row r="22" spans="1:16">
      <c r="A22" s="129" t="s">
        <v>1567</v>
      </c>
      <c r="B22" s="129" t="s">
        <v>1574</v>
      </c>
      <c r="C22" s="1375">
        <v>38</v>
      </c>
      <c r="D22" s="1376">
        <f t="shared" si="0"/>
        <v>0.12666666666666668</v>
      </c>
      <c r="E22" s="1375">
        <v>80</v>
      </c>
      <c r="F22" s="1376">
        <f t="shared" si="1"/>
        <v>0.19851116625310175</v>
      </c>
      <c r="G22" s="1375">
        <v>94</v>
      </c>
      <c r="H22" s="1376">
        <f t="shared" si="2"/>
        <v>0.30420711974110032</v>
      </c>
      <c r="I22" s="1375">
        <v>97</v>
      </c>
      <c r="J22" s="1376">
        <f t="shared" si="3"/>
        <v>0.38039215686274508</v>
      </c>
      <c r="K22" s="1377">
        <v>79</v>
      </c>
      <c r="L22" s="1378">
        <f t="shared" si="4"/>
        <v>0.29259259259259257</v>
      </c>
      <c r="M22" s="1379">
        <v>52</v>
      </c>
      <c r="N22" s="1378">
        <f t="shared" si="5"/>
        <v>0.22510822510822512</v>
      </c>
      <c r="O22" s="1123"/>
      <c r="P22" s="1123"/>
    </row>
    <row r="23" spans="1:16">
      <c r="A23" s="129" t="s">
        <v>1567</v>
      </c>
      <c r="B23" s="129" t="s">
        <v>1565</v>
      </c>
      <c r="C23" s="1375">
        <v>0</v>
      </c>
      <c r="D23" s="1376">
        <f t="shared" si="0"/>
        <v>0</v>
      </c>
      <c r="E23" s="1375">
        <v>0</v>
      </c>
      <c r="F23" s="1376">
        <f t="shared" si="1"/>
        <v>0</v>
      </c>
      <c r="G23" s="1375">
        <v>2</v>
      </c>
      <c r="H23" s="1376">
        <f t="shared" si="2"/>
        <v>6.4724919093851136E-3</v>
      </c>
      <c r="I23" s="1375">
        <v>3</v>
      </c>
      <c r="J23" s="1376">
        <f t="shared" si="3"/>
        <v>1.1764705882352941E-2</v>
      </c>
      <c r="K23" s="1377">
        <v>6</v>
      </c>
      <c r="L23" s="1378">
        <f t="shared" si="4"/>
        <v>2.2222222222222223E-2</v>
      </c>
      <c r="M23" s="1379">
        <v>4</v>
      </c>
      <c r="N23" s="1378">
        <f t="shared" si="5"/>
        <v>1.7316017316017316E-2</v>
      </c>
      <c r="O23" s="1123"/>
      <c r="P23" s="1123"/>
    </row>
    <row r="24" spans="1:16">
      <c r="A24" s="129" t="s">
        <v>1567</v>
      </c>
      <c r="B24" s="129" t="s">
        <v>1576</v>
      </c>
      <c r="C24" s="1375">
        <v>0</v>
      </c>
      <c r="D24" s="1376">
        <f t="shared" si="0"/>
        <v>0</v>
      </c>
      <c r="E24" s="1375">
        <v>0</v>
      </c>
      <c r="F24" s="1376">
        <f t="shared" si="1"/>
        <v>0</v>
      </c>
      <c r="G24" s="1375">
        <v>1</v>
      </c>
      <c r="H24" s="1376">
        <f t="shared" si="2"/>
        <v>3.2362459546925568E-3</v>
      </c>
      <c r="I24" s="1375">
        <v>0</v>
      </c>
      <c r="J24" s="1376">
        <f t="shared" si="3"/>
        <v>0</v>
      </c>
      <c r="K24" s="1377">
        <v>0</v>
      </c>
      <c r="L24" s="1378">
        <f t="shared" si="4"/>
        <v>0</v>
      </c>
      <c r="M24" s="1379">
        <v>0</v>
      </c>
      <c r="N24" s="1378">
        <f t="shared" si="5"/>
        <v>0</v>
      </c>
      <c r="O24" s="1123"/>
      <c r="P24" s="1123"/>
    </row>
    <row r="25" spans="1:16">
      <c r="A25" s="129" t="s">
        <v>1567</v>
      </c>
      <c r="B25" s="129" t="s">
        <v>1577</v>
      </c>
      <c r="C25" s="1375">
        <v>4</v>
      </c>
      <c r="D25" s="1376">
        <f t="shared" si="0"/>
        <v>1.3333333333333334E-2</v>
      </c>
      <c r="E25" s="1375">
        <v>3</v>
      </c>
      <c r="F25" s="1376">
        <f t="shared" si="1"/>
        <v>7.4441687344913151E-3</v>
      </c>
      <c r="G25" s="1375">
        <v>6</v>
      </c>
      <c r="H25" s="1376">
        <f t="shared" si="2"/>
        <v>1.9417475728155338E-2</v>
      </c>
      <c r="I25" s="1375">
        <v>3</v>
      </c>
      <c r="J25" s="1376">
        <f t="shared" si="3"/>
        <v>1.1764705882352941E-2</v>
      </c>
      <c r="K25" s="1377">
        <v>1</v>
      </c>
      <c r="L25" s="1378">
        <f t="shared" si="4"/>
        <v>3.7037037037037038E-3</v>
      </c>
      <c r="M25" s="1379">
        <v>0</v>
      </c>
      <c r="N25" s="1378">
        <f t="shared" si="5"/>
        <v>0</v>
      </c>
      <c r="O25" s="1123"/>
      <c r="P25" s="1123"/>
    </row>
    <row r="26" spans="1:16">
      <c r="A26" s="129" t="s">
        <v>1567</v>
      </c>
      <c r="B26" s="129" t="s">
        <v>1578</v>
      </c>
      <c r="C26" s="1375">
        <v>1</v>
      </c>
      <c r="D26" s="1376">
        <f t="shared" si="0"/>
        <v>3.3333333333333335E-3</v>
      </c>
      <c r="E26" s="1375">
        <v>0</v>
      </c>
      <c r="F26" s="1376">
        <f t="shared" si="1"/>
        <v>0</v>
      </c>
      <c r="G26" s="1375">
        <v>0</v>
      </c>
      <c r="H26" s="1376">
        <f t="shared" si="2"/>
        <v>0</v>
      </c>
      <c r="I26" s="1375">
        <v>0</v>
      </c>
      <c r="J26" s="1376">
        <f t="shared" si="3"/>
        <v>0</v>
      </c>
      <c r="K26" s="1377">
        <v>0</v>
      </c>
      <c r="L26" s="1378">
        <f t="shared" si="4"/>
        <v>0</v>
      </c>
      <c r="M26" s="1379">
        <v>0</v>
      </c>
      <c r="N26" s="1378">
        <f t="shared" si="5"/>
        <v>0</v>
      </c>
      <c r="O26" s="1123"/>
      <c r="P26" s="1123"/>
    </row>
    <row r="27" spans="1:16">
      <c r="A27" s="129" t="s">
        <v>1567</v>
      </c>
      <c r="B27" s="129" t="s">
        <v>1579</v>
      </c>
      <c r="C27" s="1375">
        <v>2</v>
      </c>
      <c r="D27" s="1376">
        <f t="shared" si="0"/>
        <v>6.6666666666666671E-3</v>
      </c>
      <c r="E27" s="1375">
        <v>0</v>
      </c>
      <c r="F27" s="1376">
        <f t="shared" si="1"/>
        <v>0</v>
      </c>
      <c r="G27" s="1375">
        <v>0</v>
      </c>
      <c r="H27" s="1376">
        <f t="shared" si="2"/>
        <v>0</v>
      </c>
      <c r="I27" s="1375">
        <v>0</v>
      </c>
      <c r="J27" s="1376">
        <f t="shared" si="3"/>
        <v>0</v>
      </c>
      <c r="K27" s="1377">
        <v>0</v>
      </c>
      <c r="L27" s="1378">
        <f t="shared" si="4"/>
        <v>0</v>
      </c>
      <c r="M27" s="1379">
        <v>0</v>
      </c>
      <c r="N27" s="1378">
        <f t="shared" si="5"/>
        <v>0</v>
      </c>
      <c r="O27" s="129"/>
      <c r="P27" s="129"/>
    </row>
    <row r="28" spans="1:16">
      <c r="A28" s="129" t="s">
        <v>1567</v>
      </c>
      <c r="B28" s="129" t="s">
        <v>1580</v>
      </c>
      <c r="C28" s="1375">
        <v>0</v>
      </c>
      <c r="D28" s="1376">
        <f t="shared" si="0"/>
        <v>0</v>
      </c>
      <c r="E28" s="1375">
        <v>3</v>
      </c>
      <c r="F28" s="1376">
        <f t="shared" si="1"/>
        <v>7.4441687344913151E-3</v>
      </c>
      <c r="G28" s="1375">
        <v>1</v>
      </c>
      <c r="H28" s="1376">
        <f t="shared" si="2"/>
        <v>3.2362459546925568E-3</v>
      </c>
      <c r="I28" s="1375">
        <v>13</v>
      </c>
      <c r="J28" s="1376">
        <f t="shared" si="3"/>
        <v>5.0980392156862744E-2</v>
      </c>
      <c r="K28" s="1377">
        <v>6</v>
      </c>
      <c r="L28" s="1378">
        <f t="shared" si="4"/>
        <v>2.2222222222222223E-2</v>
      </c>
      <c r="M28" s="1379">
        <v>6</v>
      </c>
      <c r="N28" s="1378">
        <f t="shared" si="5"/>
        <v>2.5974025974025976E-2</v>
      </c>
      <c r="O28" s="129"/>
      <c r="P28" s="129"/>
    </row>
    <row r="29" spans="1:16">
      <c r="A29" s="129" t="s">
        <v>1567</v>
      </c>
      <c r="B29" s="129" t="s">
        <v>1581</v>
      </c>
      <c r="C29" s="1375">
        <v>0</v>
      </c>
      <c r="D29" s="1376">
        <v>0</v>
      </c>
      <c r="E29" s="1375">
        <v>0</v>
      </c>
      <c r="F29" s="1376">
        <v>0</v>
      </c>
      <c r="G29" s="1375">
        <v>0</v>
      </c>
      <c r="H29" s="1376">
        <v>0</v>
      </c>
      <c r="I29" s="1375">
        <v>0</v>
      </c>
      <c r="J29" s="1376">
        <v>0</v>
      </c>
      <c r="K29" s="1375">
        <v>0</v>
      </c>
      <c r="L29" s="1378">
        <v>0</v>
      </c>
      <c r="M29" s="1379">
        <v>1</v>
      </c>
      <c r="N29" s="1378">
        <f t="shared" si="5"/>
        <v>4.329004329004329E-3</v>
      </c>
      <c r="O29" s="129"/>
      <c r="P29" s="129"/>
    </row>
    <row r="30" spans="1:16">
      <c r="A30" s="129" t="s">
        <v>1567</v>
      </c>
      <c r="B30" s="129" t="s">
        <v>1582</v>
      </c>
      <c r="C30" s="1375">
        <v>1</v>
      </c>
      <c r="D30" s="1376">
        <f t="shared" si="0"/>
        <v>3.3333333333333335E-3</v>
      </c>
      <c r="E30" s="1375">
        <v>0</v>
      </c>
      <c r="F30" s="1376">
        <f t="shared" si="1"/>
        <v>0</v>
      </c>
      <c r="G30" s="1375">
        <v>0</v>
      </c>
      <c r="H30" s="1376">
        <f t="shared" si="2"/>
        <v>0</v>
      </c>
      <c r="I30" s="1375">
        <v>0</v>
      </c>
      <c r="J30" s="1376">
        <f t="shared" si="3"/>
        <v>0</v>
      </c>
      <c r="K30" s="1377">
        <v>0</v>
      </c>
      <c r="L30" s="1378">
        <f t="shared" si="4"/>
        <v>0</v>
      </c>
      <c r="M30" s="1379">
        <v>0</v>
      </c>
      <c r="N30" s="1378">
        <f t="shared" si="5"/>
        <v>0</v>
      </c>
      <c r="O30" s="129"/>
      <c r="P30" s="129"/>
    </row>
    <row r="31" spans="1:16">
      <c r="A31" s="129" t="s">
        <v>1567</v>
      </c>
      <c r="B31" s="129" t="s">
        <v>1583</v>
      </c>
      <c r="C31" s="1375">
        <v>0</v>
      </c>
      <c r="D31" s="1376">
        <f t="shared" si="0"/>
        <v>0</v>
      </c>
      <c r="E31" s="1375">
        <v>0</v>
      </c>
      <c r="F31" s="1376">
        <f t="shared" si="1"/>
        <v>0</v>
      </c>
      <c r="G31" s="1375">
        <v>1</v>
      </c>
      <c r="H31" s="1376">
        <f t="shared" si="2"/>
        <v>3.2362459546925568E-3</v>
      </c>
      <c r="I31" s="1375">
        <v>0</v>
      </c>
      <c r="J31" s="1376">
        <f t="shared" si="3"/>
        <v>0</v>
      </c>
      <c r="K31" s="747">
        <v>0</v>
      </c>
      <c r="L31" s="1378">
        <f t="shared" si="4"/>
        <v>0</v>
      </c>
      <c r="M31" s="1379">
        <v>0</v>
      </c>
      <c r="N31" s="1378">
        <f t="shared" si="5"/>
        <v>0</v>
      </c>
      <c r="O31" s="129"/>
      <c r="P31" s="129"/>
    </row>
    <row r="32" spans="1:16">
      <c r="A32" s="129" t="s">
        <v>1568</v>
      </c>
      <c r="B32" s="129" t="s">
        <v>1567</v>
      </c>
      <c r="C32" s="1375">
        <v>23</v>
      </c>
      <c r="D32" s="1376">
        <f t="shared" si="0"/>
        <v>7.6666666666666661E-2</v>
      </c>
      <c r="E32" s="1375">
        <v>16</v>
      </c>
      <c r="F32" s="1376">
        <f t="shared" si="1"/>
        <v>3.9702233250620347E-2</v>
      </c>
      <c r="G32" s="1375">
        <v>17</v>
      </c>
      <c r="H32" s="1376">
        <f t="shared" si="2"/>
        <v>5.5016181229773461E-2</v>
      </c>
      <c r="I32" s="1375">
        <v>21</v>
      </c>
      <c r="J32" s="1376">
        <f t="shared" si="3"/>
        <v>8.2352941176470587E-2</v>
      </c>
      <c r="K32" s="1377">
        <v>23</v>
      </c>
      <c r="L32" s="1378">
        <f t="shared" si="4"/>
        <v>8.5185185185185183E-2</v>
      </c>
      <c r="M32" s="1379">
        <v>27</v>
      </c>
      <c r="N32" s="1378">
        <f t="shared" si="5"/>
        <v>0.11688311688311688</v>
      </c>
      <c r="O32" s="129"/>
      <c r="P32" s="129"/>
    </row>
    <row r="33" spans="1:16">
      <c r="A33" s="129" t="s">
        <v>1568</v>
      </c>
      <c r="B33" s="129" t="s">
        <v>1574</v>
      </c>
      <c r="C33" s="1375">
        <v>0</v>
      </c>
      <c r="D33" s="1376">
        <f t="shared" si="0"/>
        <v>0</v>
      </c>
      <c r="E33" s="1375">
        <v>0</v>
      </c>
      <c r="F33" s="1376">
        <f t="shared" si="1"/>
        <v>0</v>
      </c>
      <c r="G33" s="1375">
        <v>0</v>
      </c>
      <c r="H33" s="1376">
        <f t="shared" si="2"/>
        <v>0</v>
      </c>
      <c r="I33" s="1375">
        <v>0</v>
      </c>
      <c r="J33" s="1376">
        <f t="shared" si="3"/>
        <v>0</v>
      </c>
      <c r="K33" s="1377">
        <v>1</v>
      </c>
      <c r="L33" s="1378">
        <f t="shared" si="4"/>
        <v>3.7037037037037038E-3</v>
      </c>
      <c r="M33" s="1379">
        <v>0</v>
      </c>
      <c r="N33" s="1378">
        <f t="shared" si="5"/>
        <v>0</v>
      </c>
      <c r="O33" s="129"/>
      <c r="P33" s="129"/>
    </row>
    <row r="34" spans="1:16">
      <c r="A34" s="129" t="s">
        <v>1584</v>
      </c>
      <c r="B34" s="129" t="s">
        <v>1567</v>
      </c>
      <c r="C34" s="1375">
        <v>1</v>
      </c>
      <c r="D34" s="1376">
        <f t="shared" si="0"/>
        <v>3.3333333333333335E-3</v>
      </c>
      <c r="E34" s="1375">
        <v>4</v>
      </c>
      <c r="F34" s="1376">
        <f t="shared" si="1"/>
        <v>9.9255583126550868E-3</v>
      </c>
      <c r="G34" s="1375">
        <v>4</v>
      </c>
      <c r="H34" s="1376">
        <f t="shared" si="2"/>
        <v>1.2944983818770227E-2</v>
      </c>
      <c r="I34" s="1375">
        <v>1</v>
      </c>
      <c r="J34" s="1376">
        <f t="shared" si="3"/>
        <v>3.9215686274509803E-3</v>
      </c>
      <c r="K34" s="1377">
        <v>2</v>
      </c>
      <c r="L34" s="1378">
        <f t="shared" si="4"/>
        <v>7.4074074074074077E-3</v>
      </c>
      <c r="M34" s="1379">
        <v>1</v>
      </c>
      <c r="N34" s="1378">
        <f t="shared" si="5"/>
        <v>4.329004329004329E-3</v>
      </c>
      <c r="O34" s="129"/>
      <c r="P34" s="129"/>
    </row>
    <row r="35" spans="1:16">
      <c r="A35" s="129" t="s">
        <v>1585</v>
      </c>
      <c r="B35" s="129" t="s">
        <v>1567</v>
      </c>
      <c r="C35" s="1375">
        <v>0</v>
      </c>
      <c r="D35" s="1376">
        <f t="shared" si="0"/>
        <v>0</v>
      </c>
      <c r="E35" s="1375">
        <v>0</v>
      </c>
      <c r="F35" s="1376">
        <f t="shared" si="1"/>
        <v>0</v>
      </c>
      <c r="G35" s="1375">
        <v>0</v>
      </c>
      <c r="H35" s="1376">
        <f t="shared" si="2"/>
        <v>0</v>
      </c>
      <c r="I35" s="1375">
        <v>0</v>
      </c>
      <c r="J35" s="1376">
        <f t="shared" si="3"/>
        <v>0</v>
      </c>
      <c r="K35" s="1377">
        <v>1</v>
      </c>
      <c r="L35" s="1378">
        <f t="shared" si="4"/>
        <v>3.7037037037037038E-3</v>
      </c>
      <c r="M35" s="1379">
        <v>0</v>
      </c>
      <c r="N35" s="1378">
        <f t="shared" si="5"/>
        <v>0</v>
      </c>
      <c r="O35" s="129"/>
      <c r="P35" s="129"/>
    </row>
    <row r="36" spans="1:16">
      <c r="A36" s="129" t="s">
        <v>1586</v>
      </c>
      <c r="B36" s="129" t="s">
        <v>1567</v>
      </c>
      <c r="C36" s="1375">
        <v>1</v>
      </c>
      <c r="D36" s="1376">
        <f t="shared" si="0"/>
        <v>3.3333333333333335E-3</v>
      </c>
      <c r="E36" s="1375">
        <v>0</v>
      </c>
      <c r="F36" s="1376">
        <f t="shared" si="1"/>
        <v>0</v>
      </c>
      <c r="G36" s="1375">
        <v>0</v>
      </c>
      <c r="H36" s="1376">
        <f t="shared" si="2"/>
        <v>0</v>
      </c>
      <c r="I36" s="1375">
        <v>0</v>
      </c>
      <c r="J36" s="1376">
        <f t="shared" si="3"/>
        <v>0</v>
      </c>
      <c r="K36" s="1375">
        <v>0</v>
      </c>
      <c r="L36" s="1378">
        <f t="shared" si="4"/>
        <v>0</v>
      </c>
      <c r="M36" s="1379">
        <v>0</v>
      </c>
      <c r="N36" s="1378">
        <f t="shared" si="5"/>
        <v>0</v>
      </c>
      <c r="O36" s="129"/>
      <c r="P36" s="129"/>
    </row>
    <row r="37" spans="1:16">
      <c r="A37" s="129" t="s">
        <v>1574</v>
      </c>
      <c r="B37" s="129" t="s">
        <v>1561</v>
      </c>
      <c r="C37" s="1375">
        <v>0</v>
      </c>
      <c r="D37" s="1376">
        <f t="shared" si="0"/>
        <v>0</v>
      </c>
      <c r="E37" s="1375">
        <v>0</v>
      </c>
      <c r="F37" s="1376">
        <f t="shared" si="1"/>
        <v>0</v>
      </c>
      <c r="G37" s="1375">
        <v>0</v>
      </c>
      <c r="H37" s="1376">
        <f t="shared" si="2"/>
        <v>0</v>
      </c>
      <c r="I37" s="1375">
        <v>1</v>
      </c>
      <c r="J37" s="1376">
        <f t="shared" si="3"/>
        <v>3.9215686274509803E-3</v>
      </c>
      <c r="K37" s="747">
        <v>0</v>
      </c>
      <c r="L37" s="1378">
        <f t="shared" si="4"/>
        <v>0</v>
      </c>
      <c r="M37" s="1379">
        <v>0</v>
      </c>
      <c r="N37" s="1378">
        <f t="shared" si="5"/>
        <v>0</v>
      </c>
      <c r="O37" s="129"/>
      <c r="P37" s="129"/>
    </row>
    <row r="38" spans="1:16">
      <c r="A38" s="129" t="s">
        <v>1574</v>
      </c>
      <c r="B38" s="129" t="s">
        <v>1567</v>
      </c>
      <c r="C38" s="1375">
        <v>157</v>
      </c>
      <c r="D38" s="1376">
        <f t="shared" si="0"/>
        <v>0.52333333333333332</v>
      </c>
      <c r="E38" s="1375">
        <v>234</v>
      </c>
      <c r="F38" s="1376">
        <f t="shared" si="1"/>
        <v>0.58064516129032262</v>
      </c>
      <c r="G38" s="1375">
        <v>106</v>
      </c>
      <c r="H38" s="1376">
        <f t="shared" si="2"/>
        <v>0.34304207119741098</v>
      </c>
      <c r="I38" s="1375">
        <v>67</v>
      </c>
      <c r="J38" s="1376">
        <f t="shared" si="3"/>
        <v>0.2627450980392157</v>
      </c>
      <c r="K38" s="1377">
        <v>96</v>
      </c>
      <c r="L38" s="1378">
        <f t="shared" si="4"/>
        <v>0.35555555555555557</v>
      </c>
      <c r="M38" s="1379">
        <v>71</v>
      </c>
      <c r="N38" s="1378">
        <f t="shared" si="5"/>
        <v>0.30735930735930733</v>
      </c>
      <c r="O38" s="129"/>
      <c r="P38" s="129"/>
    </row>
    <row r="39" spans="1:16">
      <c r="A39" s="129" t="s">
        <v>1574</v>
      </c>
      <c r="B39" s="129" t="s">
        <v>1587</v>
      </c>
      <c r="C39" s="1375">
        <v>0</v>
      </c>
      <c r="D39" s="1376">
        <f t="shared" si="0"/>
        <v>0</v>
      </c>
      <c r="E39" s="1375">
        <v>1</v>
      </c>
      <c r="F39" s="1376">
        <f t="shared" si="1"/>
        <v>2.4813895781637717E-3</v>
      </c>
      <c r="G39" s="1375">
        <v>0</v>
      </c>
      <c r="H39" s="1376">
        <f t="shared" si="2"/>
        <v>0</v>
      </c>
      <c r="I39" s="1375">
        <v>0</v>
      </c>
      <c r="J39" s="1376">
        <f t="shared" si="3"/>
        <v>0</v>
      </c>
      <c r="K39" s="1377">
        <v>0</v>
      </c>
      <c r="L39" s="1378">
        <f t="shared" si="4"/>
        <v>0</v>
      </c>
      <c r="M39" s="1379">
        <v>0</v>
      </c>
      <c r="N39" s="1378">
        <f t="shared" si="5"/>
        <v>0</v>
      </c>
      <c r="O39" s="129"/>
      <c r="P39" s="129"/>
    </row>
    <row r="40" spans="1:16">
      <c r="A40" s="129" t="s">
        <v>1574</v>
      </c>
      <c r="B40" s="129" t="s">
        <v>1568</v>
      </c>
      <c r="C40" s="1375">
        <v>1</v>
      </c>
      <c r="D40" s="1376">
        <f t="shared" si="0"/>
        <v>3.3333333333333335E-3</v>
      </c>
      <c r="E40" s="1375">
        <v>1</v>
      </c>
      <c r="F40" s="1376">
        <f t="shared" si="1"/>
        <v>2.4813895781637717E-3</v>
      </c>
      <c r="G40" s="1375">
        <v>1</v>
      </c>
      <c r="H40" s="1376">
        <f t="shared" si="2"/>
        <v>3.2362459546925568E-3</v>
      </c>
      <c r="I40" s="1375">
        <v>0</v>
      </c>
      <c r="J40" s="1376">
        <f t="shared" si="3"/>
        <v>0</v>
      </c>
      <c r="K40" s="1377">
        <v>0</v>
      </c>
      <c r="L40" s="1378">
        <f t="shared" si="4"/>
        <v>0</v>
      </c>
      <c r="M40" s="1379">
        <v>0</v>
      </c>
      <c r="N40" s="1378">
        <f t="shared" si="5"/>
        <v>0</v>
      </c>
      <c r="O40" s="129"/>
      <c r="P40" s="129"/>
    </row>
    <row r="41" spans="1:16">
      <c r="A41" s="129" t="s">
        <v>1574</v>
      </c>
      <c r="B41" s="129" t="s">
        <v>1588</v>
      </c>
      <c r="C41" s="1375">
        <v>2</v>
      </c>
      <c r="D41" s="1376">
        <f t="shared" si="0"/>
        <v>6.6666666666666671E-3</v>
      </c>
      <c r="E41" s="1375">
        <v>0</v>
      </c>
      <c r="F41" s="1376">
        <f t="shared" si="1"/>
        <v>0</v>
      </c>
      <c r="G41" s="1375">
        <v>0</v>
      </c>
      <c r="H41" s="1376">
        <f t="shared" si="2"/>
        <v>0</v>
      </c>
      <c r="I41" s="1375">
        <v>0</v>
      </c>
      <c r="J41" s="1376">
        <f t="shared" si="3"/>
        <v>0</v>
      </c>
      <c r="K41" s="1377">
        <v>0</v>
      </c>
      <c r="L41" s="1378">
        <f t="shared" si="4"/>
        <v>0</v>
      </c>
      <c r="M41" s="1379">
        <v>0</v>
      </c>
      <c r="N41" s="1378">
        <f t="shared" si="5"/>
        <v>0</v>
      </c>
      <c r="O41" s="129"/>
      <c r="P41" s="129"/>
    </row>
    <row r="42" spans="1:16">
      <c r="A42" s="129" t="s">
        <v>1565</v>
      </c>
      <c r="B42" s="129" t="s">
        <v>1567</v>
      </c>
      <c r="C42" s="1375">
        <v>7</v>
      </c>
      <c r="D42" s="1376">
        <f t="shared" si="0"/>
        <v>2.3333333333333334E-2</v>
      </c>
      <c r="E42" s="1375">
        <v>10</v>
      </c>
      <c r="F42" s="1376">
        <f t="shared" si="1"/>
        <v>2.4813895781637719E-2</v>
      </c>
      <c r="G42" s="1375">
        <v>3</v>
      </c>
      <c r="H42" s="1376">
        <f t="shared" si="2"/>
        <v>9.7087378640776691E-3</v>
      </c>
      <c r="I42" s="1375">
        <v>8</v>
      </c>
      <c r="J42" s="1376">
        <f t="shared" si="3"/>
        <v>3.1372549019607843E-2</v>
      </c>
      <c r="K42" s="1377">
        <v>8</v>
      </c>
      <c r="L42" s="1378">
        <f t="shared" si="4"/>
        <v>2.9629629629629631E-2</v>
      </c>
      <c r="M42" s="1379">
        <v>4</v>
      </c>
      <c r="N42" s="1378">
        <f t="shared" si="5"/>
        <v>1.7316017316017316E-2</v>
      </c>
      <c r="O42" s="129"/>
      <c r="P42" s="129"/>
    </row>
    <row r="43" spans="1:16">
      <c r="A43" s="129" t="s">
        <v>1565</v>
      </c>
      <c r="B43" s="129" t="s">
        <v>1574</v>
      </c>
      <c r="C43" s="1375">
        <v>0</v>
      </c>
      <c r="D43" s="1376">
        <f t="shared" si="0"/>
        <v>0</v>
      </c>
      <c r="E43" s="1375">
        <v>0</v>
      </c>
      <c r="F43" s="1376">
        <f t="shared" si="1"/>
        <v>0</v>
      </c>
      <c r="G43" s="1375">
        <v>0</v>
      </c>
      <c r="H43" s="1376">
        <f t="shared" si="2"/>
        <v>0</v>
      </c>
      <c r="I43" s="1375">
        <v>0</v>
      </c>
      <c r="J43" s="1376">
        <f t="shared" si="3"/>
        <v>0</v>
      </c>
      <c r="K43" s="1377">
        <v>2</v>
      </c>
      <c r="L43" s="1378">
        <f t="shared" si="4"/>
        <v>7.4074074074074077E-3</v>
      </c>
      <c r="M43" s="1379">
        <v>0</v>
      </c>
      <c r="N43" s="1378">
        <f t="shared" si="5"/>
        <v>0</v>
      </c>
      <c r="O43" s="129"/>
      <c r="P43" s="129"/>
    </row>
    <row r="44" spans="1:16">
      <c r="A44" s="129" t="s">
        <v>1576</v>
      </c>
      <c r="B44" s="129" t="s">
        <v>1567</v>
      </c>
      <c r="C44" s="1375">
        <v>0</v>
      </c>
      <c r="D44" s="1376">
        <f t="shared" si="0"/>
        <v>0</v>
      </c>
      <c r="E44" s="1375">
        <v>1</v>
      </c>
      <c r="F44" s="1376">
        <f t="shared" si="1"/>
        <v>2.4813895781637717E-3</v>
      </c>
      <c r="G44" s="1375">
        <v>0</v>
      </c>
      <c r="H44" s="1376">
        <f t="shared" si="2"/>
        <v>0</v>
      </c>
      <c r="I44" s="1375">
        <v>0</v>
      </c>
      <c r="J44" s="1376">
        <f t="shared" si="3"/>
        <v>0</v>
      </c>
      <c r="K44" s="1377">
        <v>0</v>
      </c>
      <c r="L44" s="1378">
        <f t="shared" si="4"/>
        <v>0</v>
      </c>
      <c r="M44" s="1379">
        <v>0</v>
      </c>
      <c r="N44" s="1378">
        <f t="shared" si="5"/>
        <v>0</v>
      </c>
      <c r="O44" s="129"/>
      <c r="P44" s="129"/>
    </row>
    <row r="45" spans="1:16">
      <c r="A45" s="129" t="s">
        <v>1589</v>
      </c>
      <c r="B45" s="129" t="s">
        <v>1567</v>
      </c>
      <c r="C45" s="1375">
        <v>2</v>
      </c>
      <c r="D45" s="1376">
        <f t="shared" si="0"/>
        <v>6.6666666666666671E-3</v>
      </c>
      <c r="E45" s="1375">
        <v>5</v>
      </c>
      <c r="F45" s="1376">
        <f t="shared" si="1"/>
        <v>1.2406947890818859E-2</v>
      </c>
      <c r="G45" s="1375">
        <v>1</v>
      </c>
      <c r="H45" s="1376">
        <f t="shared" si="2"/>
        <v>3.2362459546925568E-3</v>
      </c>
      <c r="I45" s="1375">
        <v>0</v>
      </c>
      <c r="J45" s="1376">
        <f t="shared" si="3"/>
        <v>0</v>
      </c>
      <c r="K45" s="1377">
        <v>0</v>
      </c>
      <c r="L45" s="1378">
        <f t="shared" si="4"/>
        <v>0</v>
      </c>
      <c r="M45" s="1379">
        <v>3</v>
      </c>
      <c r="N45" s="1378">
        <f t="shared" si="5"/>
        <v>1.2987012987012988E-2</v>
      </c>
      <c r="O45" s="129"/>
      <c r="P45" s="129"/>
    </row>
    <row r="46" spans="1:16">
      <c r="A46" s="129" t="s">
        <v>1577</v>
      </c>
      <c r="B46" s="129" t="s">
        <v>1567</v>
      </c>
      <c r="C46" s="1375">
        <v>0</v>
      </c>
      <c r="D46" s="1376">
        <f t="shared" si="0"/>
        <v>0</v>
      </c>
      <c r="E46" s="1375">
        <v>4</v>
      </c>
      <c r="F46" s="1376">
        <f t="shared" si="1"/>
        <v>9.9255583126550868E-3</v>
      </c>
      <c r="G46" s="1375">
        <v>0</v>
      </c>
      <c r="H46" s="1376">
        <f t="shared" si="2"/>
        <v>0</v>
      </c>
      <c r="I46" s="1375">
        <v>0</v>
      </c>
      <c r="J46" s="1376">
        <f t="shared" si="3"/>
        <v>0</v>
      </c>
      <c r="K46" s="1377">
        <v>0</v>
      </c>
      <c r="L46" s="1378">
        <f t="shared" si="4"/>
        <v>0</v>
      </c>
      <c r="M46" s="1379">
        <v>1</v>
      </c>
      <c r="N46" s="1378">
        <f t="shared" si="5"/>
        <v>4.329004329004329E-3</v>
      </c>
      <c r="O46" s="129"/>
      <c r="P46" s="129"/>
    </row>
    <row r="47" spans="1:16">
      <c r="A47" s="129" t="s">
        <v>1590</v>
      </c>
      <c r="B47" s="129" t="s">
        <v>1567</v>
      </c>
      <c r="C47" s="1375">
        <v>1</v>
      </c>
      <c r="D47" s="1376">
        <f t="shared" si="0"/>
        <v>3.3333333333333335E-3</v>
      </c>
      <c r="E47" s="1375">
        <v>0</v>
      </c>
      <c r="F47" s="1376">
        <f t="shared" si="1"/>
        <v>0</v>
      </c>
      <c r="G47" s="1375">
        <v>0</v>
      </c>
      <c r="H47" s="1376">
        <f t="shared" si="2"/>
        <v>0</v>
      </c>
      <c r="I47" s="1375">
        <v>0</v>
      </c>
      <c r="J47" s="1376">
        <f t="shared" si="3"/>
        <v>0</v>
      </c>
      <c r="K47" s="1377">
        <v>0</v>
      </c>
      <c r="L47" s="1378">
        <f t="shared" si="4"/>
        <v>0</v>
      </c>
      <c r="M47" s="1379">
        <v>0</v>
      </c>
      <c r="N47" s="1378">
        <f t="shared" si="5"/>
        <v>0</v>
      </c>
      <c r="O47" s="129"/>
      <c r="P47" s="129"/>
    </row>
    <row r="48" spans="1:16">
      <c r="A48" s="129" t="s">
        <v>1579</v>
      </c>
      <c r="B48" s="129" t="s">
        <v>1567</v>
      </c>
      <c r="C48" s="1375">
        <v>0</v>
      </c>
      <c r="D48" s="1376">
        <f t="shared" si="0"/>
        <v>0</v>
      </c>
      <c r="E48" s="1375">
        <v>0</v>
      </c>
      <c r="F48" s="1376">
        <f t="shared" si="1"/>
        <v>0</v>
      </c>
      <c r="G48" s="1375">
        <v>0</v>
      </c>
      <c r="H48" s="1376">
        <f t="shared" si="2"/>
        <v>0</v>
      </c>
      <c r="I48" s="1375">
        <v>1</v>
      </c>
      <c r="J48" s="1376">
        <f t="shared" si="3"/>
        <v>3.9215686274509803E-3</v>
      </c>
      <c r="K48" s="1377">
        <v>0</v>
      </c>
      <c r="L48" s="1378">
        <f t="shared" si="4"/>
        <v>0</v>
      </c>
      <c r="M48" s="1379">
        <v>0</v>
      </c>
      <c r="N48" s="1378">
        <f t="shared" si="5"/>
        <v>0</v>
      </c>
      <c r="O48" s="129"/>
      <c r="P48" s="129"/>
    </row>
    <row r="49" spans="1:16">
      <c r="A49" s="129" t="s">
        <v>1580</v>
      </c>
      <c r="B49" s="129" t="s">
        <v>1567</v>
      </c>
      <c r="C49" s="1375">
        <v>32</v>
      </c>
      <c r="D49" s="1376">
        <f t="shared" si="0"/>
        <v>0.10666666666666667</v>
      </c>
      <c r="E49" s="1375">
        <v>7</v>
      </c>
      <c r="F49" s="1376">
        <f t="shared" si="1"/>
        <v>1.7369727047146403E-2</v>
      </c>
      <c r="G49" s="1375">
        <v>2</v>
      </c>
      <c r="H49" s="1376">
        <f t="shared" si="2"/>
        <v>6.4724919093851136E-3</v>
      </c>
      <c r="I49" s="1375">
        <v>8</v>
      </c>
      <c r="J49" s="1376">
        <f t="shared" si="3"/>
        <v>3.1372549019607843E-2</v>
      </c>
      <c r="K49" s="1377">
        <v>8</v>
      </c>
      <c r="L49" s="1378">
        <f t="shared" si="4"/>
        <v>2.9629629629629631E-2</v>
      </c>
      <c r="M49" s="1379">
        <v>7</v>
      </c>
      <c r="N49" s="1378">
        <f t="shared" si="5"/>
        <v>3.0303030303030304E-2</v>
      </c>
      <c r="O49" s="129"/>
      <c r="P49" s="129"/>
    </row>
    <row r="50" spans="1:16">
      <c r="A50" s="129" t="s">
        <v>1582</v>
      </c>
      <c r="B50" s="129" t="s">
        <v>1567</v>
      </c>
      <c r="C50" s="1375">
        <v>1</v>
      </c>
      <c r="D50" s="1376">
        <f t="shared" si="0"/>
        <v>3.3333333333333335E-3</v>
      </c>
      <c r="E50" s="1375">
        <v>0</v>
      </c>
      <c r="F50" s="1376">
        <f t="shared" si="1"/>
        <v>0</v>
      </c>
      <c r="G50" s="1375">
        <v>0</v>
      </c>
      <c r="H50" s="1376">
        <f t="shared" si="2"/>
        <v>0</v>
      </c>
      <c r="I50" s="1375">
        <v>0</v>
      </c>
      <c r="J50" s="1376">
        <f t="shared" si="3"/>
        <v>0</v>
      </c>
      <c r="K50" s="1375">
        <v>0</v>
      </c>
      <c r="L50" s="1378">
        <f t="shared" si="4"/>
        <v>0</v>
      </c>
      <c r="M50" s="1379">
        <v>0</v>
      </c>
      <c r="N50" s="1378">
        <f t="shared" si="5"/>
        <v>0</v>
      </c>
      <c r="O50" s="129"/>
      <c r="P50" s="129"/>
    </row>
    <row r="51" spans="1:16">
      <c r="A51" s="129" t="s">
        <v>1591</v>
      </c>
      <c r="B51" s="129" t="s">
        <v>1567</v>
      </c>
      <c r="C51" s="1375">
        <v>2</v>
      </c>
      <c r="D51" s="1376">
        <f t="shared" si="0"/>
        <v>6.6666666666666671E-3</v>
      </c>
      <c r="E51" s="1375">
        <v>2</v>
      </c>
      <c r="F51" s="1376">
        <f t="shared" si="1"/>
        <v>4.9627791563275434E-3</v>
      </c>
      <c r="G51" s="1375">
        <v>1</v>
      </c>
      <c r="H51" s="1376">
        <f t="shared" si="2"/>
        <v>3.2362459546925568E-3</v>
      </c>
      <c r="I51" s="1375">
        <v>0</v>
      </c>
      <c r="J51" s="1376">
        <f t="shared" si="3"/>
        <v>0</v>
      </c>
      <c r="K51" s="1377">
        <v>6</v>
      </c>
      <c r="L51" s="1378">
        <f t="shared" si="4"/>
        <v>2.2222222222222223E-2</v>
      </c>
      <c r="M51" s="1379">
        <v>14</v>
      </c>
      <c r="N51" s="1378">
        <f t="shared" si="5"/>
        <v>6.0606060606060608E-2</v>
      </c>
      <c r="O51" s="129"/>
      <c r="P51" s="129"/>
    </row>
    <row r="52" spans="1:16">
      <c r="A52" s="129" t="s">
        <v>1583</v>
      </c>
      <c r="B52" s="129" t="s">
        <v>1567</v>
      </c>
      <c r="C52" s="1375">
        <v>0</v>
      </c>
      <c r="D52" s="1376">
        <f t="shared" si="0"/>
        <v>0</v>
      </c>
      <c r="E52" s="1375">
        <v>0</v>
      </c>
      <c r="F52" s="1376">
        <f t="shared" si="1"/>
        <v>0</v>
      </c>
      <c r="G52" s="1375">
        <v>1</v>
      </c>
      <c r="H52" s="1376">
        <f t="shared" si="2"/>
        <v>3.2362459546925568E-3</v>
      </c>
      <c r="I52" s="1375">
        <v>2</v>
      </c>
      <c r="J52" s="1376">
        <f t="shared" si="3"/>
        <v>7.8431372549019607E-3</v>
      </c>
      <c r="K52" s="1377">
        <v>0</v>
      </c>
      <c r="L52" s="1378">
        <f t="shared" si="4"/>
        <v>0</v>
      </c>
      <c r="M52" s="1379">
        <v>1</v>
      </c>
      <c r="N52" s="1378">
        <f t="shared" si="5"/>
        <v>4.329004329004329E-3</v>
      </c>
      <c r="O52" s="129"/>
      <c r="P52" s="129"/>
    </row>
    <row r="53" spans="1:16">
      <c r="A53" s="129" t="s">
        <v>1592</v>
      </c>
      <c r="B53" s="129" t="s">
        <v>1567</v>
      </c>
      <c r="C53" s="1375">
        <v>1</v>
      </c>
      <c r="D53" s="1376">
        <f t="shared" si="0"/>
        <v>3.3333333333333335E-3</v>
      </c>
      <c r="E53" s="1375">
        <v>0</v>
      </c>
      <c r="F53" s="1376">
        <f t="shared" si="1"/>
        <v>0</v>
      </c>
      <c r="G53" s="1375">
        <v>0</v>
      </c>
      <c r="H53" s="1376">
        <f t="shared" si="2"/>
        <v>0</v>
      </c>
      <c r="I53" s="1375">
        <v>0</v>
      </c>
      <c r="J53" s="1376">
        <f t="shared" si="3"/>
        <v>0</v>
      </c>
      <c r="K53" s="1377">
        <v>0</v>
      </c>
      <c r="L53" s="1378">
        <f t="shared" si="4"/>
        <v>0</v>
      </c>
      <c r="M53" s="1379">
        <v>0</v>
      </c>
      <c r="N53" s="1378">
        <f t="shared" si="5"/>
        <v>0</v>
      </c>
      <c r="O53" s="129"/>
      <c r="P53" s="129"/>
    </row>
    <row r="54" spans="1:16">
      <c r="A54" s="129"/>
      <c r="B54" s="1375"/>
      <c r="C54" s="1375"/>
      <c r="D54" s="1375"/>
      <c r="E54" s="1375"/>
      <c r="F54" s="1375"/>
      <c r="G54" s="1377"/>
      <c r="H54" s="1377"/>
      <c r="I54" s="56"/>
      <c r="J54" s="56"/>
      <c r="K54" s="1380"/>
      <c r="L54" s="129"/>
      <c r="M54" s="1380"/>
      <c r="N54" s="129"/>
      <c r="O54" s="1381"/>
      <c r="P54" s="775"/>
    </row>
    <row r="55" spans="1:16">
      <c r="A55" s="2235" t="s">
        <v>22</v>
      </c>
      <c r="B55" s="2235"/>
      <c r="C55" s="2235"/>
      <c r="D55" s="2235"/>
      <c r="E55" s="2235"/>
      <c r="F55" s="2235"/>
      <c r="G55" s="2235"/>
      <c r="H55" s="2235"/>
      <c r="I55" s="2235"/>
      <c r="J55" s="2235"/>
      <c r="K55" s="2235"/>
      <c r="L55" s="2235"/>
      <c r="M55" s="2235"/>
      <c r="N55" s="2235"/>
      <c r="O55" s="2235"/>
      <c r="P55" s="2235"/>
    </row>
    <row r="56" spans="1:16">
      <c r="A56" s="61" t="s">
        <v>1499</v>
      </c>
      <c r="B56" s="61"/>
      <c r="C56" s="61"/>
      <c r="D56" s="741"/>
      <c r="E56" s="1382"/>
      <c r="F56" s="1382"/>
      <c r="G56" s="1383"/>
      <c r="H56" s="1383"/>
      <c r="I56" s="1382"/>
      <c r="J56" s="1382"/>
      <c r="K56" s="1384"/>
      <c r="L56" s="129"/>
      <c r="M56" s="1384"/>
      <c r="N56" s="129"/>
      <c r="O56" s="129"/>
      <c r="P56" s="129"/>
    </row>
  </sheetData>
  <mergeCells count="10">
    <mergeCell ref="A55:P55"/>
    <mergeCell ref="A2:N2"/>
    <mergeCell ref="A4:A5"/>
    <mergeCell ref="B4:B5"/>
    <mergeCell ref="C4:D4"/>
    <mergeCell ref="E4:F4"/>
    <mergeCell ref="G4:H4"/>
    <mergeCell ref="I4:J4"/>
    <mergeCell ref="K4:L4"/>
    <mergeCell ref="M4:N4"/>
  </mergeCells>
  <pageMargins left="0.7" right="0.7" top="0.75" bottom="0.75" header="0.3" footer="0.3"/>
</worksheet>
</file>

<file path=xl/worksheets/sheet153.xml><?xml version="1.0" encoding="utf-8"?>
<worksheet xmlns="http://schemas.openxmlformats.org/spreadsheetml/2006/main" xmlns:r="http://schemas.openxmlformats.org/officeDocument/2006/relationships">
  <dimension ref="A2:M23"/>
  <sheetViews>
    <sheetView zoomScaleNormal="100" workbookViewId="0">
      <selection activeCell="A2" sqref="A2:M2"/>
    </sheetView>
  </sheetViews>
  <sheetFormatPr baseColWidth="10" defaultRowHeight="12"/>
  <cols>
    <col min="1" max="1" width="16.85546875" style="50" customWidth="1"/>
    <col min="2" max="16384" width="11.42578125" style="50"/>
  </cols>
  <sheetData>
    <row r="2" spans="1:13" ht="26.25" customHeight="1">
      <c r="A2" s="2153" t="s">
        <v>1593</v>
      </c>
      <c r="B2" s="2153"/>
      <c r="C2" s="2153"/>
      <c r="D2" s="2153"/>
      <c r="E2" s="2153"/>
      <c r="F2" s="2153"/>
      <c r="G2" s="2153"/>
      <c r="H2" s="2153"/>
      <c r="I2" s="2153"/>
      <c r="J2" s="2153"/>
      <c r="K2" s="2153"/>
      <c r="L2" s="2153"/>
      <c r="M2" s="2153"/>
    </row>
    <row r="3" spans="1:13">
      <c r="A3" s="129"/>
      <c r="B3" s="129"/>
      <c r="C3" s="129"/>
      <c r="D3" s="129"/>
      <c r="E3" s="129"/>
      <c r="F3" s="129"/>
      <c r="G3" s="129"/>
      <c r="H3" s="129"/>
      <c r="I3" s="1353"/>
      <c r="J3" s="1353"/>
      <c r="K3" s="1354"/>
      <c r="L3" s="129"/>
      <c r="M3" s="129"/>
    </row>
    <row r="4" spans="1:13">
      <c r="A4" s="1355" t="s">
        <v>0</v>
      </c>
      <c r="B4" s="2154">
        <v>2009</v>
      </c>
      <c r="C4" s="2154"/>
      <c r="D4" s="2154">
        <v>2010</v>
      </c>
      <c r="E4" s="2154"/>
      <c r="F4" s="2309">
        <v>2011</v>
      </c>
      <c r="G4" s="2314"/>
      <c r="H4" s="2309">
        <v>2012</v>
      </c>
      <c r="I4" s="2310"/>
      <c r="J4" s="2309">
        <v>2013</v>
      </c>
      <c r="K4" s="2310"/>
      <c r="L4" s="2309">
        <v>2014</v>
      </c>
      <c r="M4" s="2310"/>
    </row>
    <row r="5" spans="1:13">
      <c r="A5" s="763" t="s">
        <v>6</v>
      </c>
      <c r="B5" s="1356">
        <f t="shared" ref="B5:M5" si="0">SUM(B6:B20)</f>
        <v>106</v>
      </c>
      <c r="C5" s="1357">
        <f t="shared" si="0"/>
        <v>1</v>
      </c>
      <c r="D5" s="1356">
        <f t="shared" si="0"/>
        <v>112</v>
      </c>
      <c r="E5" s="1357">
        <f t="shared" si="0"/>
        <v>1</v>
      </c>
      <c r="F5" s="1356">
        <f t="shared" si="0"/>
        <v>108</v>
      </c>
      <c r="G5" s="1357">
        <f t="shared" si="0"/>
        <v>1</v>
      </c>
      <c r="H5" s="1356">
        <f t="shared" si="0"/>
        <v>122</v>
      </c>
      <c r="I5" s="1357">
        <f t="shared" si="0"/>
        <v>1.0000000000000002</v>
      </c>
      <c r="J5" s="1356">
        <f t="shared" si="0"/>
        <v>144</v>
      </c>
      <c r="K5" s="1357">
        <f t="shared" si="0"/>
        <v>0.99999999999999989</v>
      </c>
      <c r="L5" s="1356">
        <f t="shared" si="0"/>
        <v>148</v>
      </c>
      <c r="M5" s="1357">
        <f t="shared" si="0"/>
        <v>1</v>
      </c>
    </row>
    <row r="6" spans="1:13">
      <c r="A6" s="1358" t="s">
        <v>7</v>
      </c>
      <c r="B6" s="1359">
        <v>0</v>
      </c>
      <c r="C6" s="1360">
        <f t="shared" ref="C6:C20" si="1">B6/$B$5</f>
        <v>0</v>
      </c>
      <c r="D6" s="1359" t="s">
        <v>155</v>
      </c>
      <c r="E6" s="1360">
        <v>0</v>
      </c>
      <c r="F6" s="1359">
        <v>1</v>
      </c>
      <c r="G6" s="1360">
        <v>9.2592592592592587E-3</v>
      </c>
      <c r="H6" s="1361">
        <v>2</v>
      </c>
      <c r="I6" s="1360">
        <f t="shared" ref="I6:I20" si="2">+H6/$H$5</f>
        <v>1.6393442622950821E-2</v>
      </c>
      <c r="J6" s="1362">
        <v>2</v>
      </c>
      <c r="K6" s="1360">
        <f t="shared" ref="K6:K20" si="3">+J6/$J$5</f>
        <v>1.3888888888888888E-2</v>
      </c>
      <c r="L6" s="1362">
        <v>1</v>
      </c>
      <c r="M6" s="1360">
        <f>+L6/$L$5</f>
        <v>6.7567567567567571E-3</v>
      </c>
    </row>
    <row r="7" spans="1:13">
      <c r="A7" s="1358" t="s">
        <v>8</v>
      </c>
      <c r="B7" s="1359">
        <v>0</v>
      </c>
      <c r="C7" s="1360">
        <f t="shared" si="1"/>
        <v>0</v>
      </c>
      <c r="D7" s="1359">
        <v>2</v>
      </c>
      <c r="E7" s="1360">
        <v>1.7857142857142856E-2</v>
      </c>
      <c r="F7" s="1359" t="s">
        <v>155</v>
      </c>
      <c r="G7" s="1363">
        <v>0</v>
      </c>
      <c r="H7" s="1361">
        <v>1</v>
      </c>
      <c r="I7" s="1360">
        <f t="shared" si="2"/>
        <v>8.1967213114754103E-3</v>
      </c>
      <c r="J7" s="1361">
        <v>0</v>
      </c>
      <c r="K7" s="1360">
        <f t="shared" si="3"/>
        <v>0</v>
      </c>
      <c r="L7" s="1361">
        <v>2</v>
      </c>
      <c r="M7" s="1360">
        <f t="shared" ref="M7:M20" si="4">+L7/$L$5</f>
        <v>1.3513513513513514E-2</v>
      </c>
    </row>
    <row r="8" spans="1:13">
      <c r="A8" s="1358" t="s">
        <v>9</v>
      </c>
      <c r="B8" s="1359">
        <v>2</v>
      </c>
      <c r="C8" s="1360">
        <f t="shared" si="1"/>
        <v>1.8867924528301886E-2</v>
      </c>
      <c r="D8" s="1359">
        <v>1</v>
      </c>
      <c r="E8" s="1363">
        <v>8.9285714285714281E-3</v>
      </c>
      <c r="F8" s="1359" t="s">
        <v>155</v>
      </c>
      <c r="G8" s="1363">
        <v>0</v>
      </c>
      <c r="H8" s="1361">
        <v>1</v>
      </c>
      <c r="I8" s="1360">
        <f t="shared" si="2"/>
        <v>8.1967213114754103E-3</v>
      </c>
      <c r="J8" s="1362">
        <v>1</v>
      </c>
      <c r="K8" s="1360">
        <f t="shared" si="3"/>
        <v>6.9444444444444441E-3</v>
      </c>
      <c r="L8" s="1362">
        <v>3</v>
      </c>
      <c r="M8" s="1360">
        <f t="shared" si="4"/>
        <v>2.0270270270270271E-2</v>
      </c>
    </row>
    <row r="9" spans="1:13">
      <c r="A9" s="1358" t="s">
        <v>10</v>
      </c>
      <c r="B9" s="1359">
        <v>1</v>
      </c>
      <c r="C9" s="1360">
        <f t="shared" si="1"/>
        <v>9.433962264150943E-3</v>
      </c>
      <c r="D9" s="1359">
        <v>1</v>
      </c>
      <c r="E9" s="1363">
        <v>8.9285714285714281E-3</v>
      </c>
      <c r="F9" s="1359">
        <v>2</v>
      </c>
      <c r="G9" s="1363">
        <v>1.8518518518518517E-2</v>
      </c>
      <c r="H9" s="1361">
        <v>1</v>
      </c>
      <c r="I9" s="1360">
        <f t="shared" si="2"/>
        <v>8.1967213114754103E-3</v>
      </c>
      <c r="J9" s="1361">
        <v>0</v>
      </c>
      <c r="K9" s="1360">
        <f t="shared" si="3"/>
        <v>0</v>
      </c>
      <c r="L9" s="1361">
        <v>1</v>
      </c>
      <c r="M9" s="1360">
        <f t="shared" si="4"/>
        <v>6.7567567567567571E-3</v>
      </c>
    </row>
    <row r="10" spans="1:13">
      <c r="A10" s="1358" t="s">
        <v>11</v>
      </c>
      <c r="B10" s="1359">
        <v>0</v>
      </c>
      <c r="C10" s="1360">
        <f t="shared" si="1"/>
        <v>0</v>
      </c>
      <c r="D10" s="1359" t="s">
        <v>155</v>
      </c>
      <c r="E10" s="1360">
        <v>0</v>
      </c>
      <c r="F10" s="1359">
        <v>3</v>
      </c>
      <c r="G10" s="1360">
        <v>2.7777777777777776E-2</v>
      </c>
      <c r="H10" s="1361">
        <v>3</v>
      </c>
      <c r="I10" s="1360">
        <f t="shared" si="2"/>
        <v>2.4590163934426229E-2</v>
      </c>
      <c r="J10" s="1362">
        <v>4</v>
      </c>
      <c r="K10" s="1360">
        <f t="shared" si="3"/>
        <v>2.7777777777777776E-2</v>
      </c>
      <c r="L10" s="1362">
        <v>4</v>
      </c>
      <c r="M10" s="1360">
        <f t="shared" si="4"/>
        <v>2.7027027027027029E-2</v>
      </c>
    </row>
    <row r="11" spans="1:13">
      <c r="A11" s="1358" t="s">
        <v>12</v>
      </c>
      <c r="B11" s="1359">
        <v>4</v>
      </c>
      <c r="C11" s="1360">
        <f t="shared" si="1"/>
        <v>3.7735849056603772E-2</v>
      </c>
      <c r="D11" s="1359">
        <v>5</v>
      </c>
      <c r="E11" s="1363">
        <v>4.4642857142857144E-2</v>
      </c>
      <c r="F11" s="1359">
        <v>5</v>
      </c>
      <c r="G11" s="1363">
        <v>4.6296296296296294E-2</v>
      </c>
      <c r="H11" s="1361">
        <v>7</v>
      </c>
      <c r="I11" s="1360">
        <f t="shared" si="2"/>
        <v>5.737704918032787E-2</v>
      </c>
      <c r="J11" s="1362">
        <v>8</v>
      </c>
      <c r="K11" s="1360">
        <f t="shared" si="3"/>
        <v>5.5555555555555552E-2</v>
      </c>
      <c r="L11" s="1362">
        <v>13</v>
      </c>
      <c r="M11" s="1360">
        <f t="shared" si="4"/>
        <v>8.7837837837837843E-2</v>
      </c>
    </row>
    <row r="12" spans="1:13">
      <c r="A12" s="1358" t="s">
        <v>13</v>
      </c>
      <c r="B12" s="1359">
        <v>89</v>
      </c>
      <c r="C12" s="1360">
        <f t="shared" si="1"/>
        <v>0.839622641509434</v>
      </c>
      <c r="D12" s="1359">
        <v>85</v>
      </c>
      <c r="E12" s="1363">
        <v>0.7589285714285714</v>
      </c>
      <c r="F12" s="1359">
        <v>82</v>
      </c>
      <c r="G12" s="1363">
        <v>0.7592592592592593</v>
      </c>
      <c r="H12" s="1361">
        <v>91</v>
      </c>
      <c r="I12" s="1360">
        <f t="shared" si="2"/>
        <v>0.74590163934426235</v>
      </c>
      <c r="J12" s="1362">
        <v>113</v>
      </c>
      <c r="K12" s="1360">
        <f t="shared" si="3"/>
        <v>0.78472222222222221</v>
      </c>
      <c r="L12" s="1362">
        <v>108</v>
      </c>
      <c r="M12" s="1360">
        <f t="shared" si="4"/>
        <v>0.72972972972972971</v>
      </c>
    </row>
    <row r="13" spans="1:13">
      <c r="A13" s="1358" t="s">
        <v>14</v>
      </c>
      <c r="B13" s="1359">
        <v>1</v>
      </c>
      <c r="C13" s="1360">
        <f t="shared" si="1"/>
        <v>9.433962264150943E-3</v>
      </c>
      <c r="D13" s="1359" t="s">
        <v>155</v>
      </c>
      <c r="E13" s="1363">
        <v>0</v>
      </c>
      <c r="F13" s="1359">
        <v>3</v>
      </c>
      <c r="G13" s="1360">
        <v>2.7777777777777776E-2</v>
      </c>
      <c r="H13" s="1359">
        <v>0</v>
      </c>
      <c r="I13" s="1360">
        <f t="shared" si="2"/>
        <v>0</v>
      </c>
      <c r="J13" s="1362">
        <v>2</v>
      </c>
      <c r="K13" s="1360">
        <f t="shared" si="3"/>
        <v>1.3888888888888888E-2</v>
      </c>
      <c r="L13" s="1362">
        <v>2</v>
      </c>
      <c r="M13" s="1360">
        <f t="shared" si="4"/>
        <v>1.3513513513513514E-2</v>
      </c>
    </row>
    <row r="14" spans="1:13">
      <c r="A14" s="1358" t="s">
        <v>15</v>
      </c>
      <c r="B14" s="1359">
        <v>0</v>
      </c>
      <c r="C14" s="1360">
        <f t="shared" si="1"/>
        <v>0</v>
      </c>
      <c r="D14" s="1359">
        <v>1</v>
      </c>
      <c r="E14" s="1360">
        <v>8.9285714285714281E-3</v>
      </c>
      <c r="F14" s="1359">
        <v>1</v>
      </c>
      <c r="G14" s="1363">
        <v>9.2592592592592587E-3</v>
      </c>
      <c r="H14" s="1361">
        <v>1</v>
      </c>
      <c r="I14" s="1360">
        <f t="shared" si="2"/>
        <v>8.1967213114754103E-3</v>
      </c>
      <c r="J14" s="1362">
        <v>1</v>
      </c>
      <c r="K14" s="1360">
        <f t="shared" si="3"/>
        <v>6.9444444444444441E-3</v>
      </c>
      <c r="L14" s="1361">
        <v>0</v>
      </c>
      <c r="M14" s="1360">
        <f t="shared" si="4"/>
        <v>0</v>
      </c>
    </row>
    <row r="15" spans="1:13">
      <c r="A15" s="1358" t="s">
        <v>16</v>
      </c>
      <c r="B15" s="1359">
        <v>3</v>
      </c>
      <c r="C15" s="1360">
        <f t="shared" si="1"/>
        <v>2.8301886792452831E-2</v>
      </c>
      <c r="D15" s="1359">
        <v>6</v>
      </c>
      <c r="E15" s="1363">
        <v>5.3571428571428568E-2</v>
      </c>
      <c r="F15" s="1359">
        <v>2</v>
      </c>
      <c r="G15" s="1363">
        <v>1.8518518518518517E-2</v>
      </c>
      <c r="H15" s="1361">
        <v>5</v>
      </c>
      <c r="I15" s="1360">
        <f t="shared" si="2"/>
        <v>4.0983606557377046E-2</v>
      </c>
      <c r="J15" s="1362">
        <v>4</v>
      </c>
      <c r="K15" s="1360">
        <f t="shared" si="3"/>
        <v>2.7777777777777776E-2</v>
      </c>
      <c r="L15" s="1361">
        <v>0</v>
      </c>
      <c r="M15" s="1360">
        <f t="shared" si="4"/>
        <v>0</v>
      </c>
    </row>
    <row r="16" spans="1:13">
      <c r="A16" s="1358" t="s">
        <v>17</v>
      </c>
      <c r="B16" s="1359">
        <v>0</v>
      </c>
      <c r="C16" s="1360">
        <f t="shared" si="1"/>
        <v>0</v>
      </c>
      <c r="D16" s="1359">
        <v>3</v>
      </c>
      <c r="E16" s="1360">
        <v>2.6785714285714284E-2</v>
      </c>
      <c r="F16" s="1359">
        <v>5</v>
      </c>
      <c r="G16" s="1363">
        <v>4.6296296296296294E-2</v>
      </c>
      <c r="H16" s="1361">
        <v>3</v>
      </c>
      <c r="I16" s="1360">
        <f t="shared" si="2"/>
        <v>2.4590163934426229E-2</v>
      </c>
      <c r="J16" s="1362">
        <v>3</v>
      </c>
      <c r="K16" s="1360">
        <f t="shared" si="3"/>
        <v>2.0833333333333332E-2</v>
      </c>
      <c r="L16" s="1362">
        <v>4</v>
      </c>
      <c r="M16" s="1360">
        <f t="shared" si="4"/>
        <v>2.7027027027027029E-2</v>
      </c>
    </row>
    <row r="17" spans="1:13">
      <c r="A17" s="1358" t="s">
        <v>18</v>
      </c>
      <c r="B17" s="1359">
        <v>1</v>
      </c>
      <c r="C17" s="1360">
        <f t="shared" si="1"/>
        <v>9.433962264150943E-3</v>
      </c>
      <c r="D17" s="1359">
        <v>2</v>
      </c>
      <c r="E17" s="1363">
        <v>1.7857142857142856E-2</v>
      </c>
      <c r="F17" s="1359">
        <v>2</v>
      </c>
      <c r="G17" s="1363">
        <v>1.8518518518518517E-2</v>
      </c>
      <c r="H17" s="1359">
        <v>0</v>
      </c>
      <c r="I17" s="1360">
        <f t="shared" si="2"/>
        <v>0</v>
      </c>
      <c r="J17" s="1362">
        <v>1</v>
      </c>
      <c r="K17" s="1360">
        <f t="shared" si="3"/>
        <v>6.9444444444444441E-3</v>
      </c>
      <c r="L17" s="1362">
        <v>3</v>
      </c>
      <c r="M17" s="1360">
        <f t="shared" si="4"/>
        <v>2.0270270270270271E-2</v>
      </c>
    </row>
    <row r="18" spans="1:13">
      <c r="A18" s="1358" t="s">
        <v>19</v>
      </c>
      <c r="B18" s="1359">
        <v>2</v>
      </c>
      <c r="C18" s="1360">
        <f t="shared" si="1"/>
        <v>1.8867924528301886E-2</v>
      </c>
      <c r="D18" s="1359">
        <v>3</v>
      </c>
      <c r="E18" s="1363">
        <v>2.6785714285714284E-2</v>
      </c>
      <c r="F18" s="1359">
        <v>2</v>
      </c>
      <c r="G18" s="1363">
        <v>1.8518518518518517E-2</v>
      </c>
      <c r="H18" s="1361">
        <v>4</v>
      </c>
      <c r="I18" s="1360">
        <f t="shared" si="2"/>
        <v>3.2786885245901641E-2</v>
      </c>
      <c r="J18" s="1362">
        <v>3</v>
      </c>
      <c r="K18" s="1360">
        <f t="shared" si="3"/>
        <v>2.0833333333333332E-2</v>
      </c>
      <c r="L18" s="1362">
        <v>6</v>
      </c>
      <c r="M18" s="1360">
        <f t="shared" si="4"/>
        <v>4.0540540540540543E-2</v>
      </c>
    </row>
    <row r="19" spans="1:13">
      <c r="A19" s="1358" t="s">
        <v>20</v>
      </c>
      <c r="B19" s="1359">
        <v>0</v>
      </c>
      <c r="C19" s="1360">
        <f t="shared" si="1"/>
        <v>0</v>
      </c>
      <c r="D19" s="1359">
        <v>2</v>
      </c>
      <c r="E19" s="1360">
        <v>1.7857142857142856E-2</v>
      </c>
      <c r="F19" s="1359" t="s">
        <v>155</v>
      </c>
      <c r="G19" s="1363">
        <v>0</v>
      </c>
      <c r="H19" s="1359">
        <v>0</v>
      </c>
      <c r="I19" s="1360">
        <f t="shared" si="2"/>
        <v>0</v>
      </c>
      <c r="J19" s="1361">
        <v>0</v>
      </c>
      <c r="K19" s="1360">
        <f t="shared" si="3"/>
        <v>0</v>
      </c>
      <c r="L19" s="1361">
        <v>1</v>
      </c>
      <c r="M19" s="1360">
        <f t="shared" si="4"/>
        <v>6.7567567567567571E-3</v>
      </c>
    </row>
    <row r="20" spans="1:13">
      <c r="A20" s="1358" t="s">
        <v>21</v>
      </c>
      <c r="B20" s="1359">
        <v>3</v>
      </c>
      <c r="C20" s="1360">
        <f t="shared" si="1"/>
        <v>2.8301886792452831E-2</v>
      </c>
      <c r="D20" s="1359">
        <v>1</v>
      </c>
      <c r="E20" s="1363">
        <v>8.9285714285714281E-3</v>
      </c>
      <c r="F20" s="1359" t="s">
        <v>155</v>
      </c>
      <c r="G20" s="1363">
        <v>0</v>
      </c>
      <c r="H20" s="1361">
        <v>3</v>
      </c>
      <c r="I20" s="1360">
        <f t="shared" si="2"/>
        <v>2.4590163934426229E-2</v>
      </c>
      <c r="J20" s="1362">
        <v>2</v>
      </c>
      <c r="K20" s="1360">
        <f t="shared" si="3"/>
        <v>1.3888888888888888E-2</v>
      </c>
      <c r="L20" s="1361">
        <v>0</v>
      </c>
      <c r="M20" s="1360">
        <f t="shared" si="4"/>
        <v>0</v>
      </c>
    </row>
    <row r="21" spans="1:13">
      <c r="A21" s="1200"/>
      <c r="B21" s="129"/>
      <c r="C21" s="1364"/>
      <c r="D21" s="129"/>
      <c r="E21" s="1364"/>
      <c r="F21" s="1364"/>
      <c r="G21" s="1365"/>
      <c r="H21" s="1365"/>
      <c r="I21" s="1364"/>
      <c r="J21" s="1364"/>
      <c r="K21" s="129"/>
      <c r="L21" s="129"/>
      <c r="M21" s="129"/>
    </row>
    <row r="22" spans="1:13">
      <c r="A22" s="2235" t="s">
        <v>22</v>
      </c>
      <c r="B22" s="2235"/>
      <c r="C22" s="2235"/>
      <c r="D22" s="2235"/>
      <c r="E22" s="2235"/>
      <c r="F22" s="2235"/>
      <c r="G22" s="2235"/>
      <c r="H22" s="2235"/>
      <c r="I22" s="2235"/>
      <c r="J22" s="2235"/>
      <c r="K22" s="2235"/>
      <c r="L22" s="129"/>
      <c r="M22" s="129"/>
    </row>
    <row r="23" spans="1:13">
      <c r="A23" s="61" t="s">
        <v>1499</v>
      </c>
      <c r="B23" s="129"/>
      <c r="C23" s="129"/>
      <c r="D23" s="129"/>
      <c r="E23" s="129"/>
      <c r="F23" s="129"/>
      <c r="G23" s="129"/>
      <c r="H23" s="129"/>
      <c r="I23" s="129"/>
      <c r="J23" s="129"/>
      <c r="K23" s="129"/>
      <c r="L23" s="129"/>
      <c r="M23" s="129"/>
    </row>
  </sheetData>
  <mergeCells count="8">
    <mergeCell ref="A22:K22"/>
    <mergeCell ref="A2:M2"/>
    <mergeCell ref="B4:C4"/>
    <mergeCell ref="D4:E4"/>
    <mergeCell ref="F4:G4"/>
    <mergeCell ref="H4:I4"/>
    <mergeCell ref="J4:K4"/>
    <mergeCell ref="L4:M4"/>
  </mergeCells>
  <pageMargins left="0.7" right="0.7" top="0.75" bottom="0.75" header="0.3" footer="0.3"/>
</worksheet>
</file>

<file path=xl/worksheets/sheet154.xml><?xml version="1.0" encoding="utf-8"?>
<worksheet xmlns="http://schemas.openxmlformats.org/spreadsheetml/2006/main" xmlns:r="http://schemas.openxmlformats.org/officeDocument/2006/relationships">
  <dimension ref="A2:M20"/>
  <sheetViews>
    <sheetView zoomScaleNormal="100" workbookViewId="0">
      <selection activeCell="G26" sqref="G26"/>
    </sheetView>
  </sheetViews>
  <sheetFormatPr baseColWidth="10" defaultRowHeight="12"/>
  <cols>
    <col min="1" max="16384" width="11.42578125" style="50"/>
  </cols>
  <sheetData>
    <row r="2" spans="1:13" ht="24.75" customHeight="1">
      <c r="A2" s="2194" t="s">
        <v>1594</v>
      </c>
      <c r="B2" s="2194"/>
      <c r="C2" s="2194"/>
      <c r="D2" s="2194"/>
      <c r="E2" s="2194"/>
      <c r="F2" s="2194"/>
      <c r="G2" s="2194"/>
      <c r="H2" s="2194"/>
      <c r="I2" s="2194"/>
      <c r="J2" s="2194"/>
      <c r="K2" s="2194"/>
      <c r="L2" s="2194"/>
      <c r="M2" s="2194"/>
    </row>
    <row r="3" spans="1:13">
      <c r="A3" s="763"/>
      <c r="B3" s="763"/>
      <c r="C3" s="763"/>
      <c r="D3" s="346"/>
      <c r="E3" s="346"/>
      <c r="F3" s="346"/>
      <c r="G3" s="346"/>
      <c r="H3" s="346"/>
      <c r="I3" s="346"/>
      <c r="J3" s="346"/>
      <c r="K3" s="129"/>
      <c r="L3" s="129"/>
      <c r="M3" s="129"/>
    </row>
    <row r="4" spans="1:13">
      <c r="A4" s="2237" t="s">
        <v>1595</v>
      </c>
      <c r="B4" s="2154">
        <v>2009</v>
      </c>
      <c r="C4" s="2154"/>
      <c r="D4" s="2154">
        <v>2010</v>
      </c>
      <c r="E4" s="2154"/>
      <c r="F4" s="2309">
        <v>2011</v>
      </c>
      <c r="G4" s="2314"/>
      <c r="H4" s="2309">
        <v>2012</v>
      </c>
      <c r="I4" s="2310"/>
      <c r="J4" s="2154">
        <v>2013</v>
      </c>
      <c r="K4" s="2154"/>
      <c r="L4" s="2154">
        <v>2014</v>
      </c>
      <c r="M4" s="2154"/>
    </row>
    <row r="5" spans="1:13">
      <c r="A5" s="2238"/>
      <c r="B5" s="1347" t="s">
        <v>1498</v>
      </c>
      <c r="C5" s="1347" t="s">
        <v>455</v>
      </c>
      <c r="D5" s="1347" t="s">
        <v>1498</v>
      </c>
      <c r="E5" s="1347" t="s">
        <v>455</v>
      </c>
      <c r="F5" s="1347" t="s">
        <v>1498</v>
      </c>
      <c r="G5" s="1347" t="s">
        <v>455</v>
      </c>
      <c r="H5" s="1347" t="s">
        <v>1498</v>
      </c>
      <c r="I5" s="1347" t="s">
        <v>455</v>
      </c>
      <c r="J5" s="1347" t="s">
        <v>1498</v>
      </c>
      <c r="K5" s="1347" t="s">
        <v>455</v>
      </c>
      <c r="L5" s="1347" t="s">
        <v>1498</v>
      </c>
      <c r="M5" s="1347" t="s">
        <v>455</v>
      </c>
    </row>
    <row r="6" spans="1:13">
      <c r="A6" s="1117" t="s">
        <v>6</v>
      </c>
      <c r="B6" s="1348">
        <f t="shared" ref="B6:M6" si="0">SUM(B7:B18)</f>
        <v>4462</v>
      </c>
      <c r="C6" s="1349">
        <f t="shared" si="0"/>
        <v>1</v>
      </c>
      <c r="D6" s="1348">
        <f t="shared" si="0"/>
        <v>5107</v>
      </c>
      <c r="E6" s="1349">
        <f t="shared" si="0"/>
        <v>0.99999999999999989</v>
      </c>
      <c r="F6" s="1348">
        <f t="shared" si="0"/>
        <v>5720</v>
      </c>
      <c r="G6" s="1349">
        <f t="shared" si="0"/>
        <v>1</v>
      </c>
      <c r="H6" s="1348">
        <f t="shared" si="0"/>
        <v>6045</v>
      </c>
      <c r="I6" s="1349">
        <f t="shared" si="0"/>
        <v>1</v>
      </c>
      <c r="J6" s="1348">
        <f t="shared" si="0"/>
        <v>5944</v>
      </c>
      <c r="K6" s="1349">
        <f t="shared" si="0"/>
        <v>1</v>
      </c>
      <c r="L6" s="1348">
        <f t="shared" si="0"/>
        <v>5702</v>
      </c>
      <c r="M6" s="1349">
        <f t="shared" si="0"/>
        <v>1</v>
      </c>
    </row>
    <row r="7" spans="1:13">
      <c r="A7" s="1123" t="s">
        <v>1135</v>
      </c>
      <c r="B7" s="1350">
        <v>366</v>
      </c>
      <c r="C7" s="1351">
        <f t="shared" ref="C7:C18" si="1">+B7/$B$6</f>
        <v>8.2025997310623044E-2</v>
      </c>
      <c r="D7" s="1350">
        <v>404</v>
      </c>
      <c r="E7" s="1351">
        <f t="shared" ref="E7:E18" si="2">+D7/$D$6</f>
        <v>7.9107107891129819E-2</v>
      </c>
      <c r="F7" s="1350">
        <v>415</v>
      </c>
      <c r="G7" s="1351">
        <f t="shared" ref="G7:G18" si="3">+F7/$F$6</f>
        <v>7.2552447552447552E-2</v>
      </c>
      <c r="H7" s="1350">
        <v>420</v>
      </c>
      <c r="I7" s="1351">
        <f t="shared" ref="I7:I18" si="4">+H7/$H$6</f>
        <v>6.9478908188585611E-2</v>
      </c>
      <c r="J7" s="1181">
        <v>441</v>
      </c>
      <c r="K7" s="1351">
        <f t="shared" ref="K7:K18" si="5">+J7/$J$6</f>
        <v>7.419246298788694E-2</v>
      </c>
      <c r="L7" s="1181">
        <v>542</v>
      </c>
      <c r="M7" s="1351">
        <f>+L7/$L$6</f>
        <v>9.5054366888810943E-2</v>
      </c>
    </row>
    <row r="8" spans="1:13">
      <c r="A8" s="1123" t="s">
        <v>1136</v>
      </c>
      <c r="B8" s="1350">
        <v>236</v>
      </c>
      <c r="C8" s="1351">
        <f t="shared" si="1"/>
        <v>5.2891080233079334E-2</v>
      </c>
      <c r="D8" s="1350">
        <v>274</v>
      </c>
      <c r="E8" s="1351">
        <f t="shared" si="2"/>
        <v>5.365185040140983E-2</v>
      </c>
      <c r="F8" s="1350">
        <v>269</v>
      </c>
      <c r="G8" s="1351">
        <f t="shared" si="3"/>
        <v>4.7027972027972029E-2</v>
      </c>
      <c r="H8" s="1350">
        <v>473</v>
      </c>
      <c r="I8" s="1351">
        <f t="shared" si="4"/>
        <v>7.8246484698097599E-2</v>
      </c>
      <c r="J8" s="1181">
        <v>261</v>
      </c>
      <c r="K8" s="1351">
        <f t="shared" si="5"/>
        <v>4.3909825033647376E-2</v>
      </c>
      <c r="L8" s="1181">
        <v>263</v>
      </c>
      <c r="M8" s="1351">
        <f t="shared" ref="M8:M18" si="6">+L8/$L$6</f>
        <v>4.6124166958961765E-2</v>
      </c>
    </row>
    <row r="9" spans="1:13">
      <c r="A9" s="1123" t="s">
        <v>1137</v>
      </c>
      <c r="B9" s="1350">
        <v>299</v>
      </c>
      <c r="C9" s="1351">
        <f t="shared" si="1"/>
        <v>6.7010309278350513E-2</v>
      </c>
      <c r="D9" s="1350">
        <v>298</v>
      </c>
      <c r="E9" s="1351">
        <f t="shared" si="2"/>
        <v>5.8351282553358134E-2</v>
      </c>
      <c r="F9" s="1350">
        <v>465</v>
      </c>
      <c r="G9" s="1351">
        <f t="shared" si="3"/>
        <v>8.1293706293706289E-2</v>
      </c>
      <c r="H9" s="1350">
        <v>438</v>
      </c>
      <c r="I9" s="1351">
        <f t="shared" si="4"/>
        <v>7.2456575682382132E-2</v>
      </c>
      <c r="J9" s="1181">
        <v>420</v>
      </c>
      <c r="K9" s="1351">
        <f t="shared" si="5"/>
        <v>7.0659488559892333E-2</v>
      </c>
      <c r="L9" s="1181">
        <v>494</v>
      </c>
      <c r="M9" s="1351">
        <f t="shared" si="6"/>
        <v>8.663626797614872E-2</v>
      </c>
    </row>
    <row r="10" spans="1:13">
      <c r="A10" s="1123" t="s">
        <v>1138</v>
      </c>
      <c r="B10" s="1350">
        <v>325</v>
      </c>
      <c r="C10" s="1351">
        <f t="shared" si="1"/>
        <v>7.283729269385926E-2</v>
      </c>
      <c r="D10" s="1350">
        <v>391</v>
      </c>
      <c r="E10" s="1351">
        <f t="shared" si="2"/>
        <v>7.6561582142157816E-2</v>
      </c>
      <c r="F10" s="1350">
        <v>427</v>
      </c>
      <c r="G10" s="1351">
        <f t="shared" si="3"/>
        <v>7.4650349650349654E-2</v>
      </c>
      <c r="H10" s="1350">
        <v>399</v>
      </c>
      <c r="I10" s="1351">
        <f t="shared" si="4"/>
        <v>6.6004962779156323E-2</v>
      </c>
      <c r="J10" s="1181">
        <v>463</v>
      </c>
      <c r="K10" s="1351">
        <f t="shared" si="5"/>
        <v>7.7893674293405116E-2</v>
      </c>
      <c r="L10" s="1181">
        <v>414</v>
      </c>
      <c r="M10" s="1351">
        <f t="shared" si="6"/>
        <v>7.2606103121711674E-2</v>
      </c>
    </row>
    <row r="11" spans="1:13">
      <c r="A11" s="1123" t="s">
        <v>1139</v>
      </c>
      <c r="B11" s="1350">
        <v>328</v>
      </c>
      <c r="C11" s="1351">
        <f t="shared" si="1"/>
        <v>7.3509636934110265E-2</v>
      </c>
      <c r="D11" s="1350">
        <v>366</v>
      </c>
      <c r="E11" s="1351">
        <f t="shared" si="2"/>
        <v>7.1666340317211669E-2</v>
      </c>
      <c r="F11" s="1350">
        <v>512</v>
      </c>
      <c r="G11" s="1351">
        <f t="shared" si="3"/>
        <v>8.951048951048951E-2</v>
      </c>
      <c r="H11" s="1350">
        <v>504</v>
      </c>
      <c r="I11" s="1351">
        <f t="shared" si="4"/>
        <v>8.3374689826302736E-2</v>
      </c>
      <c r="J11" s="1181">
        <v>445</v>
      </c>
      <c r="K11" s="1351">
        <f t="shared" si="5"/>
        <v>7.4865410497981164E-2</v>
      </c>
      <c r="L11" s="1181">
        <v>418</v>
      </c>
      <c r="M11" s="1351">
        <f t="shared" si="6"/>
        <v>7.3307611364433534E-2</v>
      </c>
    </row>
    <row r="12" spans="1:13">
      <c r="A12" s="1123" t="s">
        <v>1140</v>
      </c>
      <c r="B12" s="1350">
        <v>304</v>
      </c>
      <c r="C12" s="1351">
        <f t="shared" si="1"/>
        <v>6.8130883012102197E-2</v>
      </c>
      <c r="D12" s="1350">
        <v>355</v>
      </c>
      <c r="E12" s="1351">
        <f t="shared" si="2"/>
        <v>6.9512433914235366E-2</v>
      </c>
      <c r="F12" s="1350">
        <v>488</v>
      </c>
      <c r="G12" s="1351">
        <f t="shared" si="3"/>
        <v>8.5314685314685321E-2</v>
      </c>
      <c r="H12" s="1350">
        <v>955</v>
      </c>
      <c r="I12" s="1351">
        <f t="shared" si="4"/>
        <v>0.15798180314309346</v>
      </c>
      <c r="J12" s="1181">
        <v>532</v>
      </c>
      <c r="K12" s="1351">
        <f t="shared" si="5"/>
        <v>8.9502018842530284E-2</v>
      </c>
      <c r="L12" s="1181">
        <v>458</v>
      </c>
      <c r="M12" s="1351">
        <f t="shared" si="6"/>
        <v>8.032269379165205E-2</v>
      </c>
    </row>
    <row r="13" spans="1:13">
      <c r="A13" s="1123" t="s">
        <v>1141</v>
      </c>
      <c r="B13" s="1350">
        <v>311</v>
      </c>
      <c r="C13" s="1351">
        <f t="shared" si="1"/>
        <v>6.9699686239354547E-2</v>
      </c>
      <c r="D13" s="1350">
        <v>497</v>
      </c>
      <c r="E13" s="1351">
        <f t="shared" si="2"/>
        <v>9.7317407479929507E-2</v>
      </c>
      <c r="F13" s="1350">
        <v>447</v>
      </c>
      <c r="G13" s="1351">
        <f t="shared" si="3"/>
        <v>7.8146853146853143E-2</v>
      </c>
      <c r="H13" s="1350">
        <v>420</v>
      </c>
      <c r="I13" s="1351">
        <f t="shared" si="4"/>
        <v>6.9478908188585611E-2</v>
      </c>
      <c r="J13" s="1181">
        <v>563</v>
      </c>
      <c r="K13" s="1351">
        <f t="shared" si="5"/>
        <v>9.4717362045760436E-2</v>
      </c>
      <c r="L13" s="1181">
        <v>489</v>
      </c>
      <c r="M13" s="1351">
        <f t="shared" si="6"/>
        <v>8.5759382672746409E-2</v>
      </c>
    </row>
    <row r="14" spans="1:13">
      <c r="A14" s="1123" t="s">
        <v>1142</v>
      </c>
      <c r="B14" s="1350">
        <v>366</v>
      </c>
      <c r="C14" s="1351">
        <f t="shared" si="1"/>
        <v>8.2025997310623044E-2</v>
      </c>
      <c r="D14" s="1350">
        <v>504</v>
      </c>
      <c r="E14" s="1351">
        <f t="shared" si="2"/>
        <v>9.8688075190914437E-2</v>
      </c>
      <c r="F14" s="1350">
        <v>618</v>
      </c>
      <c r="G14" s="1351">
        <f t="shared" si="3"/>
        <v>0.10804195804195804</v>
      </c>
      <c r="H14" s="1350">
        <v>489</v>
      </c>
      <c r="I14" s="1351">
        <f t="shared" si="4"/>
        <v>8.0893300248138955E-2</v>
      </c>
      <c r="J14" s="1181">
        <v>483</v>
      </c>
      <c r="K14" s="1351">
        <f t="shared" si="5"/>
        <v>8.125841184387618E-2</v>
      </c>
      <c r="L14" s="1181">
        <v>514</v>
      </c>
      <c r="M14" s="1351">
        <f t="shared" si="6"/>
        <v>9.0143809189757979E-2</v>
      </c>
    </row>
    <row r="15" spans="1:13">
      <c r="A15" s="1123" t="s">
        <v>1143</v>
      </c>
      <c r="B15" s="1350">
        <v>465</v>
      </c>
      <c r="C15" s="1351">
        <f t="shared" si="1"/>
        <v>0.10421335723890632</v>
      </c>
      <c r="D15" s="1350">
        <v>475</v>
      </c>
      <c r="E15" s="1351">
        <f t="shared" si="2"/>
        <v>9.3009594673976889E-2</v>
      </c>
      <c r="F15" s="1350">
        <v>589</v>
      </c>
      <c r="G15" s="1351">
        <f t="shared" si="3"/>
        <v>0.10297202797202797</v>
      </c>
      <c r="H15" s="1350">
        <v>371</v>
      </c>
      <c r="I15" s="1351">
        <f t="shared" si="4"/>
        <v>6.1373035566583953E-2</v>
      </c>
      <c r="J15" s="1181">
        <v>558</v>
      </c>
      <c r="K15" s="1351">
        <f t="shared" si="5"/>
        <v>9.387617765814267E-2</v>
      </c>
      <c r="L15" s="1181">
        <v>550</v>
      </c>
      <c r="M15" s="1351">
        <f t="shared" si="6"/>
        <v>9.6457383374254649E-2</v>
      </c>
    </row>
    <row r="16" spans="1:13">
      <c r="A16" s="1123" t="s">
        <v>1144</v>
      </c>
      <c r="B16" s="1350">
        <v>464</v>
      </c>
      <c r="C16" s="1351">
        <f t="shared" si="1"/>
        <v>0.10398924249215598</v>
      </c>
      <c r="D16" s="1350">
        <v>554</v>
      </c>
      <c r="E16" s="1351">
        <f t="shared" si="2"/>
        <v>0.10847855884080673</v>
      </c>
      <c r="F16" s="1350">
        <v>563</v>
      </c>
      <c r="G16" s="1351">
        <f t="shared" si="3"/>
        <v>9.8426573426573433E-2</v>
      </c>
      <c r="H16" s="1350">
        <v>609</v>
      </c>
      <c r="I16" s="1351">
        <f t="shared" si="4"/>
        <v>0.10074441687344914</v>
      </c>
      <c r="J16" s="1181">
        <v>608</v>
      </c>
      <c r="K16" s="1351">
        <f t="shared" si="5"/>
        <v>0.10228802153432032</v>
      </c>
      <c r="L16" s="1181">
        <v>639</v>
      </c>
      <c r="M16" s="1351">
        <f t="shared" si="6"/>
        <v>0.11206594177481585</v>
      </c>
    </row>
    <row r="17" spans="1:13">
      <c r="A17" s="1123" t="s">
        <v>1145</v>
      </c>
      <c r="B17" s="1350">
        <v>531</v>
      </c>
      <c r="C17" s="1351">
        <f t="shared" si="1"/>
        <v>0.11900493052442851</v>
      </c>
      <c r="D17" s="1350">
        <v>554</v>
      </c>
      <c r="E17" s="1351">
        <f t="shared" si="2"/>
        <v>0.10847855884080673</v>
      </c>
      <c r="F17" s="1350">
        <v>492</v>
      </c>
      <c r="G17" s="1351">
        <f t="shared" si="3"/>
        <v>8.6013986013986007E-2</v>
      </c>
      <c r="H17" s="1350">
        <v>502</v>
      </c>
      <c r="I17" s="1351">
        <f t="shared" si="4"/>
        <v>8.3043837882547558E-2</v>
      </c>
      <c r="J17" s="1181">
        <v>590</v>
      </c>
      <c r="K17" s="1351">
        <f t="shared" si="5"/>
        <v>9.9259757738896365E-2</v>
      </c>
      <c r="L17" s="1181">
        <v>529</v>
      </c>
      <c r="M17" s="1351">
        <f t="shared" si="6"/>
        <v>9.2774465099964926E-2</v>
      </c>
    </row>
    <row r="18" spans="1:13">
      <c r="A18" s="1123" t="s">
        <v>1146</v>
      </c>
      <c r="B18" s="1350">
        <v>467</v>
      </c>
      <c r="C18" s="1351">
        <f t="shared" si="1"/>
        <v>0.104661586732407</v>
      </c>
      <c r="D18" s="1350">
        <v>435</v>
      </c>
      <c r="E18" s="1351">
        <f t="shared" si="2"/>
        <v>8.5177207754063053E-2</v>
      </c>
      <c r="F18" s="1350">
        <v>435</v>
      </c>
      <c r="G18" s="1351">
        <f t="shared" si="3"/>
        <v>7.6048951048951055E-2</v>
      </c>
      <c r="H18" s="1350">
        <v>465</v>
      </c>
      <c r="I18" s="1351">
        <f t="shared" si="4"/>
        <v>7.6923076923076927E-2</v>
      </c>
      <c r="J18" s="1181">
        <v>580</v>
      </c>
      <c r="K18" s="1351">
        <f t="shared" si="5"/>
        <v>9.7577388963660833E-2</v>
      </c>
      <c r="L18" s="1181">
        <v>392</v>
      </c>
      <c r="M18" s="1351">
        <f t="shared" si="6"/>
        <v>6.8747807786741499E-2</v>
      </c>
    </row>
    <row r="19" spans="1:13">
      <c r="A19" s="1123"/>
      <c r="B19" s="1350"/>
      <c r="C19" s="1352"/>
      <c r="D19" s="1350"/>
      <c r="E19" s="1352"/>
      <c r="F19" s="1350"/>
      <c r="G19" s="1352"/>
      <c r="H19" s="1350"/>
      <c r="I19" s="1352"/>
      <c r="J19" s="1181"/>
      <c r="K19" s="1352"/>
      <c r="L19" s="129"/>
      <c r="M19" s="129"/>
    </row>
    <row r="20" spans="1:13">
      <c r="A20" s="2064" t="s">
        <v>1499</v>
      </c>
      <c r="B20" s="2064"/>
      <c r="C20" s="2064"/>
      <c r="D20" s="2064"/>
      <c r="E20" s="2064"/>
      <c r="F20" s="2064"/>
      <c r="G20" s="2064"/>
      <c r="H20" s="2064"/>
      <c r="I20" s="2064"/>
      <c r="J20" s="2064"/>
      <c r="K20" s="2064"/>
      <c r="L20" s="129"/>
      <c r="M20" s="129"/>
    </row>
  </sheetData>
  <mergeCells count="9">
    <mergeCell ref="A20:K20"/>
    <mergeCell ref="A2:M2"/>
    <mergeCell ref="A4:A5"/>
    <mergeCell ref="B4:C4"/>
    <mergeCell ref="D4:E4"/>
    <mergeCell ref="F4:G4"/>
    <mergeCell ref="H4:I4"/>
    <mergeCell ref="J4:K4"/>
    <mergeCell ref="L4:M4"/>
  </mergeCells>
  <pageMargins left="0.7" right="0.7" top="0.75" bottom="0.75" header="0.3" footer="0.3"/>
</worksheet>
</file>

<file path=xl/worksheets/sheet155.xml><?xml version="1.0" encoding="utf-8"?>
<worksheet xmlns="http://schemas.openxmlformats.org/spreadsheetml/2006/main" xmlns:r="http://schemas.openxmlformats.org/officeDocument/2006/relationships">
  <dimension ref="A1:M56"/>
  <sheetViews>
    <sheetView zoomScaleNormal="100" workbookViewId="0">
      <selection activeCell="C58" sqref="C58"/>
    </sheetView>
  </sheetViews>
  <sheetFormatPr baseColWidth="10" defaultRowHeight="12"/>
  <cols>
    <col min="1" max="1" width="18.5703125" style="50" customWidth="1"/>
    <col min="2" max="2" width="11.42578125" style="50"/>
    <col min="3" max="3" width="18.140625" style="50" customWidth="1"/>
    <col min="4" max="4" width="11.42578125" style="50"/>
    <col min="5" max="5" width="18.7109375" style="50" customWidth="1"/>
    <col min="6" max="6" width="11.42578125" style="50"/>
    <col min="7" max="7" width="24.28515625" style="1331" customWidth="1"/>
    <col min="8" max="8" width="11.42578125" style="50"/>
    <col min="9" max="9" width="24.140625" style="1331" customWidth="1"/>
    <col min="10" max="10" width="11.85546875" style="50" customWidth="1"/>
    <col min="11" max="11" width="23.42578125" style="1331" customWidth="1"/>
    <col min="12" max="16384" width="11.42578125" style="50"/>
  </cols>
  <sheetData>
    <row r="1" spans="1:12" ht="8.25" customHeight="1"/>
    <row r="2" spans="1:12" ht="13.5">
      <c r="A2" s="45" t="s">
        <v>3280</v>
      </c>
      <c r="B2" s="119"/>
      <c r="C2" s="120"/>
      <c r="D2" s="121"/>
      <c r="E2" s="120"/>
      <c r="F2" s="122"/>
      <c r="G2" s="123"/>
      <c r="H2" s="122"/>
      <c r="I2" s="123"/>
      <c r="J2" s="122"/>
      <c r="K2" s="123"/>
      <c r="L2" s="122"/>
    </row>
    <row r="3" spans="1:12" ht="8.25" customHeight="1">
      <c r="A3" s="120"/>
      <c r="B3" s="119"/>
      <c r="C3" s="120"/>
      <c r="D3" s="121"/>
      <c r="E3" s="120"/>
      <c r="F3" s="121"/>
      <c r="G3" s="1332"/>
      <c r="H3" s="1332"/>
      <c r="I3" s="1332"/>
      <c r="J3" s="1332"/>
      <c r="K3" s="1332"/>
      <c r="L3" s="1332"/>
    </row>
    <row r="4" spans="1:12">
      <c r="A4" s="2206">
        <v>2009</v>
      </c>
      <c r="B4" s="2206"/>
      <c r="C4" s="2206">
        <v>2010</v>
      </c>
      <c r="D4" s="2206"/>
      <c r="E4" s="2206">
        <v>2011</v>
      </c>
      <c r="F4" s="2206"/>
      <c r="G4" s="2200">
        <v>2012</v>
      </c>
      <c r="H4" s="2200"/>
      <c r="I4" s="2206">
        <v>2013</v>
      </c>
      <c r="J4" s="2206"/>
      <c r="K4" s="2200">
        <v>2014</v>
      </c>
      <c r="L4" s="2200"/>
    </row>
    <row r="5" spans="1:12">
      <c r="A5" s="1333" t="s">
        <v>1596</v>
      </c>
      <c r="B5" s="1334" t="s">
        <v>1597</v>
      </c>
      <c r="C5" s="1333" t="s">
        <v>1596</v>
      </c>
      <c r="D5" s="1335" t="s">
        <v>1597</v>
      </c>
      <c r="E5" s="1333" t="s">
        <v>1596</v>
      </c>
      <c r="F5" s="1335" t="s">
        <v>1597</v>
      </c>
      <c r="G5" s="1333" t="s">
        <v>1596</v>
      </c>
      <c r="H5" s="1336" t="s">
        <v>1597</v>
      </c>
      <c r="I5" s="1333" t="s">
        <v>1596</v>
      </c>
      <c r="J5" s="1336" t="s">
        <v>1597</v>
      </c>
      <c r="K5" s="1337" t="s">
        <v>1596</v>
      </c>
      <c r="L5" s="1338" t="s">
        <v>1597</v>
      </c>
    </row>
    <row r="6" spans="1:12">
      <c r="A6" s="123" t="s">
        <v>6</v>
      </c>
      <c r="B6" s="1339">
        <f>SUM(B7:B47)</f>
        <v>435</v>
      </c>
      <c r="C6" s="123" t="s">
        <v>6</v>
      </c>
      <c r="D6" s="1340">
        <f>SUM(D7:D48)</f>
        <v>466</v>
      </c>
      <c r="E6" s="123" t="s">
        <v>6</v>
      </c>
      <c r="F6" s="1340">
        <f>SUM(F7:F52)</f>
        <v>402</v>
      </c>
      <c r="G6" s="123" t="s">
        <v>6</v>
      </c>
      <c r="H6" s="1341">
        <f>SUM(H7:H46)</f>
        <v>506</v>
      </c>
      <c r="I6" s="123" t="s">
        <v>6</v>
      </c>
      <c r="J6" s="1342">
        <f>SUM(J7:J52)</f>
        <v>609</v>
      </c>
      <c r="K6" s="176" t="s">
        <v>6</v>
      </c>
      <c r="L6" s="1341">
        <f>SUM(L7:L52)</f>
        <v>654</v>
      </c>
    </row>
    <row r="7" spans="1:12" ht="34.5">
      <c r="A7" s="1332" t="s">
        <v>1598</v>
      </c>
      <c r="B7" s="480">
        <v>65</v>
      </c>
      <c r="C7" s="1332" t="s">
        <v>1599</v>
      </c>
      <c r="D7" s="1343">
        <v>80</v>
      </c>
      <c r="E7" s="1332" t="s">
        <v>1599</v>
      </c>
      <c r="F7" s="1343">
        <v>51</v>
      </c>
      <c r="G7" s="1332" t="s">
        <v>1599</v>
      </c>
      <c r="H7" s="121">
        <v>95</v>
      </c>
      <c r="I7" s="1332" t="s">
        <v>1600</v>
      </c>
      <c r="J7" s="121">
        <v>94</v>
      </c>
      <c r="K7" s="479" t="s">
        <v>1598</v>
      </c>
      <c r="L7" s="119">
        <v>102</v>
      </c>
    </row>
    <row r="8" spans="1:12" ht="23.25">
      <c r="A8" s="1332" t="s">
        <v>1601</v>
      </c>
      <c r="B8" s="480">
        <v>63</v>
      </c>
      <c r="C8" s="1332" t="s">
        <v>1601</v>
      </c>
      <c r="D8" s="1343">
        <v>52</v>
      </c>
      <c r="E8" s="1332" t="s">
        <v>1601</v>
      </c>
      <c r="F8" s="1343">
        <v>38</v>
      </c>
      <c r="G8" s="1332" t="s">
        <v>1602</v>
      </c>
      <c r="H8" s="121">
        <v>44</v>
      </c>
      <c r="I8" s="1332" t="s">
        <v>1603</v>
      </c>
      <c r="J8" s="121">
        <v>64</v>
      </c>
      <c r="K8" s="479" t="s">
        <v>1604</v>
      </c>
      <c r="L8" s="119">
        <v>77</v>
      </c>
    </row>
    <row r="9" spans="1:12" ht="23.25">
      <c r="A9" s="1332" t="s">
        <v>1602</v>
      </c>
      <c r="B9" s="480">
        <v>28</v>
      </c>
      <c r="C9" s="1332" t="s">
        <v>1605</v>
      </c>
      <c r="D9" s="1343">
        <v>36</v>
      </c>
      <c r="E9" s="1332" t="s">
        <v>1602</v>
      </c>
      <c r="F9" s="1343">
        <v>35</v>
      </c>
      <c r="G9" s="1332" t="s">
        <v>1601</v>
      </c>
      <c r="H9" s="121">
        <v>37</v>
      </c>
      <c r="I9" s="1332" t="s">
        <v>1602</v>
      </c>
      <c r="J9" s="121">
        <v>60</v>
      </c>
      <c r="K9" s="479" t="s">
        <v>1602</v>
      </c>
      <c r="L9" s="119">
        <v>53</v>
      </c>
    </row>
    <row r="10" spans="1:12" ht="57">
      <c r="A10" s="1332" t="s">
        <v>1606</v>
      </c>
      <c r="B10" s="480">
        <v>21</v>
      </c>
      <c r="C10" s="1332" t="s">
        <v>1602</v>
      </c>
      <c r="D10" s="1343">
        <v>35</v>
      </c>
      <c r="E10" s="1332" t="s">
        <v>1607</v>
      </c>
      <c r="F10" s="1343">
        <v>24</v>
      </c>
      <c r="G10" s="1332" t="s">
        <v>1607</v>
      </c>
      <c r="H10" s="121">
        <v>36</v>
      </c>
      <c r="I10" s="1332" t="s">
        <v>1601</v>
      </c>
      <c r="J10" s="121">
        <v>46</v>
      </c>
      <c r="K10" s="479" t="s">
        <v>1601</v>
      </c>
      <c r="L10" s="119">
        <v>50</v>
      </c>
    </row>
    <row r="11" spans="1:12" ht="34.5">
      <c r="A11" s="1332" t="s">
        <v>1608</v>
      </c>
      <c r="B11" s="480">
        <v>19</v>
      </c>
      <c r="C11" s="1332" t="s">
        <v>1608</v>
      </c>
      <c r="D11" s="1343">
        <v>25</v>
      </c>
      <c r="E11" s="1332" t="s">
        <v>1609</v>
      </c>
      <c r="F11" s="1343">
        <v>19</v>
      </c>
      <c r="G11" s="1332" t="s">
        <v>1610</v>
      </c>
      <c r="H11" s="121">
        <v>25</v>
      </c>
      <c r="I11" s="1332" t="s">
        <v>1607</v>
      </c>
      <c r="J11" s="121">
        <v>44</v>
      </c>
      <c r="K11" s="479" t="s">
        <v>1611</v>
      </c>
      <c r="L11" s="119">
        <v>47</v>
      </c>
    </row>
    <row r="12" spans="1:12" ht="23.25">
      <c r="A12" s="1332" t="s">
        <v>1612</v>
      </c>
      <c r="B12" s="480">
        <v>19</v>
      </c>
      <c r="C12" s="1332" t="s">
        <v>1612</v>
      </c>
      <c r="D12" s="1343">
        <v>24</v>
      </c>
      <c r="E12" s="1332" t="s">
        <v>1612</v>
      </c>
      <c r="F12" s="1343">
        <v>18</v>
      </c>
      <c r="G12" s="1332" t="s">
        <v>1600</v>
      </c>
      <c r="H12" s="121">
        <v>21</v>
      </c>
      <c r="I12" s="1332" t="s">
        <v>1604</v>
      </c>
      <c r="J12" s="121">
        <v>42</v>
      </c>
      <c r="K12" s="479" t="s">
        <v>1600</v>
      </c>
      <c r="L12" s="119">
        <v>46</v>
      </c>
    </row>
    <row r="13" spans="1:12" ht="34.5">
      <c r="A13" s="1332" t="s">
        <v>1613</v>
      </c>
      <c r="B13" s="480">
        <v>16</v>
      </c>
      <c r="C13" s="1344" t="s">
        <v>1614</v>
      </c>
      <c r="D13" s="1343">
        <v>15</v>
      </c>
      <c r="E13" s="1332" t="s">
        <v>1600</v>
      </c>
      <c r="F13" s="1343">
        <v>18</v>
      </c>
      <c r="G13" s="1345" t="s">
        <v>1615</v>
      </c>
      <c r="H13" s="1181">
        <v>20</v>
      </c>
      <c r="I13" s="1332" t="s">
        <v>1616</v>
      </c>
      <c r="J13" s="121">
        <v>20</v>
      </c>
      <c r="K13" s="479" t="s">
        <v>1617</v>
      </c>
      <c r="L13" s="119">
        <v>25</v>
      </c>
    </row>
    <row r="14" spans="1:12" ht="23.25">
      <c r="A14" s="1332" t="s">
        <v>1600</v>
      </c>
      <c r="B14" s="480">
        <v>15</v>
      </c>
      <c r="C14" s="1344" t="s">
        <v>1610</v>
      </c>
      <c r="D14" s="1343">
        <v>15</v>
      </c>
      <c r="E14" s="1344" t="s">
        <v>1618</v>
      </c>
      <c r="F14" s="1343">
        <v>13</v>
      </c>
      <c r="G14" s="1332" t="s">
        <v>1619</v>
      </c>
      <c r="H14" s="121">
        <v>19</v>
      </c>
      <c r="I14" s="1332" t="s">
        <v>1610</v>
      </c>
      <c r="J14" s="121">
        <v>19</v>
      </c>
      <c r="K14" s="479" t="s">
        <v>1620</v>
      </c>
      <c r="L14" s="119">
        <v>20</v>
      </c>
    </row>
    <row r="15" spans="1:12" ht="34.5">
      <c r="A15" s="479" t="s">
        <v>1615</v>
      </c>
      <c r="B15" s="480">
        <v>12</v>
      </c>
      <c r="C15" s="1344" t="s">
        <v>1621</v>
      </c>
      <c r="D15" s="1343">
        <v>15</v>
      </c>
      <c r="E15" s="1344" t="s">
        <v>1616</v>
      </c>
      <c r="F15" s="1343">
        <v>13</v>
      </c>
      <c r="G15" s="1332" t="s">
        <v>1612</v>
      </c>
      <c r="H15" s="121">
        <v>18</v>
      </c>
      <c r="I15" s="1332" t="s">
        <v>1622</v>
      </c>
      <c r="J15" s="121">
        <v>17</v>
      </c>
      <c r="K15" s="479" t="s">
        <v>1609</v>
      </c>
      <c r="L15" s="119">
        <v>17</v>
      </c>
    </row>
    <row r="16" spans="1:12" ht="34.5">
      <c r="A16" s="1346" t="s">
        <v>1610</v>
      </c>
      <c r="B16" s="480">
        <v>12</v>
      </c>
      <c r="C16" s="1344" t="s">
        <v>1615</v>
      </c>
      <c r="D16" s="1343">
        <v>13</v>
      </c>
      <c r="E16" s="1332" t="s">
        <v>1610</v>
      </c>
      <c r="F16" s="1343">
        <v>12</v>
      </c>
      <c r="G16" s="1332" t="s">
        <v>1623</v>
      </c>
      <c r="H16" s="121">
        <v>14</v>
      </c>
      <c r="I16" s="1332" t="s">
        <v>1615</v>
      </c>
      <c r="J16" s="121">
        <v>16</v>
      </c>
      <c r="K16" s="479" t="s">
        <v>1624</v>
      </c>
      <c r="L16" s="119">
        <v>17</v>
      </c>
    </row>
    <row r="17" spans="1:12" ht="34.5">
      <c r="A17" s="479" t="s">
        <v>1625</v>
      </c>
      <c r="B17" s="480">
        <v>11</v>
      </c>
      <c r="C17" s="1344" t="s">
        <v>1626</v>
      </c>
      <c r="D17" s="1343">
        <v>13</v>
      </c>
      <c r="E17" s="1332" t="s">
        <v>1615</v>
      </c>
      <c r="F17" s="1343">
        <v>11</v>
      </c>
      <c r="G17" s="479" t="s">
        <v>1627</v>
      </c>
      <c r="H17" s="119">
        <v>13</v>
      </c>
      <c r="I17" s="1332" t="s">
        <v>1628</v>
      </c>
      <c r="J17" s="121">
        <v>15</v>
      </c>
      <c r="K17" s="479" t="s">
        <v>1615</v>
      </c>
      <c r="L17" s="119">
        <v>17</v>
      </c>
    </row>
    <row r="18" spans="1:12" ht="23.25">
      <c r="A18" s="479" t="s">
        <v>1618</v>
      </c>
      <c r="B18" s="480">
        <v>11</v>
      </c>
      <c r="C18" s="1332" t="s">
        <v>1629</v>
      </c>
      <c r="D18" s="1343">
        <v>12</v>
      </c>
      <c r="E18" s="1332" t="s">
        <v>1630</v>
      </c>
      <c r="F18" s="1343">
        <v>10</v>
      </c>
      <c r="G18" s="1332" t="s">
        <v>1614</v>
      </c>
      <c r="H18" s="121">
        <v>12</v>
      </c>
      <c r="I18" s="1332" t="s">
        <v>1620</v>
      </c>
      <c r="J18" s="121">
        <v>15</v>
      </c>
      <c r="K18" s="479" t="s">
        <v>1631</v>
      </c>
      <c r="L18" s="119">
        <v>15</v>
      </c>
    </row>
    <row r="19" spans="1:12" ht="34.5">
      <c r="A19" s="479" t="s">
        <v>1624</v>
      </c>
      <c r="B19" s="480">
        <v>10</v>
      </c>
      <c r="C19" s="1332" t="s">
        <v>1632</v>
      </c>
      <c r="D19" s="1343">
        <v>11</v>
      </c>
      <c r="E19" s="1344" t="s">
        <v>1605</v>
      </c>
      <c r="F19" s="1343">
        <v>10</v>
      </c>
      <c r="G19" s="1344" t="s">
        <v>1616</v>
      </c>
      <c r="H19" s="1343">
        <v>12</v>
      </c>
      <c r="I19" s="1332" t="s">
        <v>1623</v>
      </c>
      <c r="J19" s="121">
        <v>13</v>
      </c>
      <c r="K19" s="479" t="s">
        <v>1633</v>
      </c>
      <c r="L19" s="119">
        <v>15</v>
      </c>
    </row>
    <row r="20" spans="1:12" ht="23.25">
      <c r="A20" s="1332" t="s">
        <v>1634</v>
      </c>
      <c r="B20" s="480">
        <v>10</v>
      </c>
      <c r="C20" s="1344" t="s">
        <v>1600</v>
      </c>
      <c r="D20" s="1343">
        <v>10</v>
      </c>
      <c r="E20" s="1344" t="s">
        <v>1614</v>
      </c>
      <c r="F20" s="1343">
        <v>9</v>
      </c>
      <c r="G20" s="1344" t="s">
        <v>1632</v>
      </c>
      <c r="H20" s="1343">
        <v>11</v>
      </c>
      <c r="I20" s="1332" t="s">
        <v>1635</v>
      </c>
      <c r="J20" s="121">
        <v>12</v>
      </c>
      <c r="K20" s="479" t="s">
        <v>1635</v>
      </c>
      <c r="L20" s="119">
        <v>14</v>
      </c>
    </row>
    <row r="21" spans="1:12" ht="34.5">
      <c r="A21" s="1332" t="s">
        <v>1605</v>
      </c>
      <c r="B21" s="480">
        <v>9</v>
      </c>
      <c r="C21" s="1344" t="s">
        <v>1636</v>
      </c>
      <c r="D21" s="1343">
        <v>10</v>
      </c>
      <c r="E21" s="1344" t="s">
        <v>1621</v>
      </c>
      <c r="F21" s="1343">
        <v>9</v>
      </c>
      <c r="G21" s="1344" t="s">
        <v>1620</v>
      </c>
      <c r="H21" s="1343">
        <v>11</v>
      </c>
      <c r="I21" s="1332" t="s">
        <v>1619</v>
      </c>
      <c r="J21" s="121">
        <v>11</v>
      </c>
      <c r="K21" s="479" t="s">
        <v>1610</v>
      </c>
      <c r="L21" s="119">
        <v>12</v>
      </c>
    </row>
    <row r="22" spans="1:12" ht="23.25">
      <c r="A22" s="1332" t="s">
        <v>1614</v>
      </c>
      <c r="B22" s="480">
        <v>9</v>
      </c>
      <c r="C22" s="1344" t="s">
        <v>1637</v>
      </c>
      <c r="D22" s="1343">
        <v>10</v>
      </c>
      <c r="E22" s="1344" t="s">
        <v>1635</v>
      </c>
      <c r="F22" s="1343">
        <v>9</v>
      </c>
      <c r="G22" s="1344" t="s">
        <v>1609</v>
      </c>
      <c r="H22" s="1343">
        <v>10</v>
      </c>
      <c r="I22" s="1332" t="s">
        <v>1638</v>
      </c>
      <c r="J22" s="121">
        <v>9</v>
      </c>
      <c r="K22" s="479" t="s">
        <v>1616</v>
      </c>
      <c r="L22" s="119">
        <v>11</v>
      </c>
    </row>
    <row r="23" spans="1:12" ht="45.75">
      <c r="A23" s="1332" t="s">
        <v>1639</v>
      </c>
      <c r="B23" s="480">
        <v>9</v>
      </c>
      <c r="C23" s="1344" t="s">
        <v>1640</v>
      </c>
      <c r="D23" s="1343">
        <v>7</v>
      </c>
      <c r="E23" s="1332" t="s">
        <v>1641</v>
      </c>
      <c r="F23" s="1343">
        <v>8</v>
      </c>
      <c r="G23" s="1344" t="s">
        <v>1642</v>
      </c>
      <c r="H23" s="1343">
        <v>10</v>
      </c>
      <c r="I23" s="1332" t="s">
        <v>1614</v>
      </c>
      <c r="J23" s="121">
        <v>9</v>
      </c>
      <c r="K23" s="479" t="s">
        <v>1605</v>
      </c>
      <c r="L23" s="119">
        <v>10</v>
      </c>
    </row>
    <row r="24" spans="1:12" ht="45.75">
      <c r="A24" s="1332" t="s">
        <v>1620</v>
      </c>
      <c r="B24" s="480">
        <v>9</v>
      </c>
      <c r="C24" s="1344" t="s">
        <v>1643</v>
      </c>
      <c r="D24" s="1343">
        <v>7</v>
      </c>
      <c r="E24" s="1344" t="s">
        <v>1644</v>
      </c>
      <c r="F24" s="1343">
        <v>7</v>
      </c>
      <c r="G24" s="1344" t="s">
        <v>1635</v>
      </c>
      <c r="H24" s="1343">
        <v>9</v>
      </c>
      <c r="I24" s="1332" t="s">
        <v>1645</v>
      </c>
      <c r="J24" s="121">
        <v>9</v>
      </c>
      <c r="K24" s="479" t="s">
        <v>1638</v>
      </c>
      <c r="L24" s="119">
        <v>10</v>
      </c>
    </row>
    <row r="25" spans="1:12" ht="23.25">
      <c r="A25" s="1332" t="s">
        <v>1638</v>
      </c>
      <c r="B25" s="480">
        <v>8</v>
      </c>
      <c r="C25" s="1344" t="s">
        <v>1630</v>
      </c>
      <c r="D25" s="1343">
        <v>6</v>
      </c>
      <c r="E25" s="1344" t="s">
        <v>1620</v>
      </c>
      <c r="F25" s="1343">
        <v>7</v>
      </c>
      <c r="G25" s="1344" t="s">
        <v>1646</v>
      </c>
      <c r="H25" s="1343">
        <v>9</v>
      </c>
      <c r="I25" s="1332" t="s">
        <v>1647</v>
      </c>
      <c r="J25" s="121">
        <v>8</v>
      </c>
      <c r="K25" s="479" t="s">
        <v>1644</v>
      </c>
      <c r="L25" s="119">
        <v>8</v>
      </c>
    </row>
    <row r="26" spans="1:12" ht="34.5">
      <c r="A26" s="1332" t="s">
        <v>1648</v>
      </c>
      <c r="B26" s="480">
        <v>8</v>
      </c>
      <c r="C26" s="1344" t="s">
        <v>1609</v>
      </c>
      <c r="D26" s="1343">
        <v>6</v>
      </c>
      <c r="E26" s="1344" t="s">
        <v>1634</v>
      </c>
      <c r="F26" s="1343">
        <v>6</v>
      </c>
      <c r="G26" s="1344" t="s">
        <v>1617</v>
      </c>
      <c r="H26" s="1343">
        <v>9</v>
      </c>
      <c r="I26" s="1332" t="s">
        <v>1649</v>
      </c>
      <c r="J26" s="121">
        <v>7</v>
      </c>
      <c r="K26" s="479" t="s">
        <v>1621</v>
      </c>
      <c r="L26" s="119">
        <v>8</v>
      </c>
    </row>
    <row r="27" spans="1:12" ht="23.25">
      <c r="A27" s="1332" t="s">
        <v>1621</v>
      </c>
      <c r="B27" s="480">
        <v>7</v>
      </c>
      <c r="C27" s="1344" t="s">
        <v>1638</v>
      </c>
      <c r="D27" s="1343">
        <v>6</v>
      </c>
      <c r="E27" s="1344" t="s">
        <v>1638</v>
      </c>
      <c r="F27" s="1343">
        <v>6</v>
      </c>
      <c r="G27" s="1344" t="s">
        <v>1640</v>
      </c>
      <c r="H27" s="1343">
        <v>7</v>
      </c>
      <c r="I27" s="1332" t="s">
        <v>1646</v>
      </c>
      <c r="J27" s="121">
        <v>7</v>
      </c>
      <c r="K27" s="479" t="s">
        <v>1650</v>
      </c>
      <c r="L27" s="119">
        <v>7</v>
      </c>
    </row>
    <row r="28" spans="1:12" ht="23.25">
      <c r="A28" s="1332" t="s">
        <v>1651</v>
      </c>
      <c r="B28" s="480">
        <v>7</v>
      </c>
      <c r="C28" s="1344" t="s">
        <v>1627</v>
      </c>
      <c r="D28" s="1343">
        <v>6</v>
      </c>
      <c r="E28" s="1344" t="s">
        <v>1617</v>
      </c>
      <c r="F28" s="1343">
        <v>6</v>
      </c>
      <c r="G28" s="1344" t="s">
        <v>1638</v>
      </c>
      <c r="H28" s="1343">
        <v>7</v>
      </c>
      <c r="I28" s="1332" t="s">
        <v>1634</v>
      </c>
      <c r="J28" s="121">
        <v>6</v>
      </c>
      <c r="K28" s="479" t="s">
        <v>1614</v>
      </c>
      <c r="L28" s="119">
        <v>7</v>
      </c>
    </row>
    <row r="29" spans="1:12" ht="23.25">
      <c r="A29" s="1332" t="s">
        <v>1616</v>
      </c>
      <c r="B29" s="480">
        <v>6</v>
      </c>
      <c r="C29" s="1344" t="s">
        <v>1652</v>
      </c>
      <c r="D29" s="1343">
        <v>5</v>
      </c>
      <c r="E29" s="1344" t="s">
        <v>1653</v>
      </c>
      <c r="F29" s="1343">
        <v>6</v>
      </c>
      <c r="G29" s="1344" t="s">
        <v>1649</v>
      </c>
      <c r="H29" s="1343">
        <v>7</v>
      </c>
      <c r="I29" s="1344" t="s">
        <v>1654</v>
      </c>
      <c r="J29" s="121">
        <v>5</v>
      </c>
      <c r="K29" s="1346" t="s">
        <v>1646</v>
      </c>
      <c r="L29" s="119">
        <v>7</v>
      </c>
    </row>
    <row r="30" spans="1:12" ht="34.5">
      <c r="A30" s="1332" t="s">
        <v>1655</v>
      </c>
      <c r="B30" s="480">
        <v>6</v>
      </c>
      <c r="C30" s="1344" t="s">
        <v>1650</v>
      </c>
      <c r="D30" s="1343">
        <v>5</v>
      </c>
      <c r="E30" s="1344" t="s">
        <v>1625</v>
      </c>
      <c r="F30" s="1343">
        <v>5</v>
      </c>
      <c r="G30" s="1344" t="s">
        <v>1605</v>
      </c>
      <c r="H30" s="1343">
        <v>7</v>
      </c>
      <c r="I30" s="1344" t="s">
        <v>1609</v>
      </c>
      <c r="J30" s="121">
        <v>5</v>
      </c>
      <c r="K30" s="1346" t="s">
        <v>1627</v>
      </c>
      <c r="L30" s="119">
        <v>6</v>
      </c>
    </row>
    <row r="31" spans="1:12" ht="45.75">
      <c r="A31" s="1332" t="s">
        <v>1656</v>
      </c>
      <c r="B31" s="480">
        <v>5</v>
      </c>
      <c r="C31" s="1344" t="s">
        <v>1606</v>
      </c>
      <c r="D31" s="1343">
        <v>4</v>
      </c>
      <c r="E31" s="1344" t="s">
        <v>1639</v>
      </c>
      <c r="F31" s="1343">
        <v>5</v>
      </c>
      <c r="G31" s="1332" t="s">
        <v>1634</v>
      </c>
      <c r="H31" s="121">
        <v>6</v>
      </c>
      <c r="I31" s="1344" t="s">
        <v>1643</v>
      </c>
      <c r="J31" s="121">
        <v>5</v>
      </c>
      <c r="K31" s="1346" t="s">
        <v>1625</v>
      </c>
      <c r="L31" s="119">
        <v>6</v>
      </c>
    </row>
    <row r="32" spans="1:12" ht="45.75">
      <c r="A32" s="1332" t="s">
        <v>1609</v>
      </c>
      <c r="B32" s="480">
        <v>5</v>
      </c>
      <c r="C32" s="1344" t="s">
        <v>1657</v>
      </c>
      <c r="D32" s="1343">
        <v>4</v>
      </c>
      <c r="E32" s="1344" t="s">
        <v>1658</v>
      </c>
      <c r="F32" s="1343">
        <v>5</v>
      </c>
      <c r="G32" s="1344" t="s">
        <v>1606</v>
      </c>
      <c r="H32" s="1343">
        <v>5</v>
      </c>
      <c r="I32" s="1344" t="s">
        <v>1632</v>
      </c>
      <c r="J32" s="121">
        <v>5</v>
      </c>
      <c r="K32" s="1346" t="s">
        <v>1659</v>
      </c>
      <c r="L32" s="119">
        <v>6</v>
      </c>
    </row>
    <row r="33" spans="1:12" ht="34.5">
      <c r="A33" s="1344" t="s">
        <v>1643</v>
      </c>
      <c r="B33" s="480">
        <v>5</v>
      </c>
      <c r="C33" s="1344" t="s">
        <v>1625</v>
      </c>
      <c r="D33" s="1343">
        <v>4</v>
      </c>
      <c r="E33" s="1344" t="s">
        <v>1606</v>
      </c>
      <c r="F33" s="1343">
        <v>4</v>
      </c>
      <c r="G33" s="1344" t="s">
        <v>1660</v>
      </c>
      <c r="H33" s="1343">
        <v>5</v>
      </c>
      <c r="I33" s="1332" t="s">
        <v>1660</v>
      </c>
      <c r="J33" s="121">
        <v>4</v>
      </c>
      <c r="K33" s="479" t="s">
        <v>1634</v>
      </c>
      <c r="L33" s="119">
        <v>5</v>
      </c>
    </row>
    <row r="34" spans="1:12" ht="45.75">
      <c r="A34" s="1332" t="s">
        <v>1617</v>
      </c>
      <c r="B34" s="480">
        <v>5</v>
      </c>
      <c r="C34" s="1344" t="s">
        <v>1661</v>
      </c>
      <c r="D34" s="1343">
        <v>3</v>
      </c>
      <c r="E34" s="1344" t="s">
        <v>1643</v>
      </c>
      <c r="F34" s="1343">
        <v>4</v>
      </c>
      <c r="G34" s="1344" t="s">
        <v>1621</v>
      </c>
      <c r="H34" s="1343">
        <v>5</v>
      </c>
      <c r="I34" s="1332" t="s">
        <v>1644</v>
      </c>
      <c r="J34" s="1343">
        <v>4</v>
      </c>
      <c r="K34" s="479" t="s">
        <v>1655</v>
      </c>
      <c r="L34" s="480">
        <v>5</v>
      </c>
    </row>
    <row r="35" spans="1:12" ht="23.25">
      <c r="A35" s="1332" t="s">
        <v>1640</v>
      </c>
      <c r="B35" s="480">
        <v>3</v>
      </c>
      <c r="C35" s="1344" t="s">
        <v>1635</v>
      </c>
      <c r="D35" s="1343">
        <v>3</v>
      </c>
      <c r="E35" s="1344" t="s">
        <v>1627</v>
      </c>
      <c r="F35" s="1343">
        <v>4</v>
      </c>
      <c r="G35" s="1344" t="s">
        <v>1644</v>
      </c>
      <c r="H35" s="1343">
        <v>4</v>
      </c>
      <c r="I35" s="1332" t="s">
        <v>1629</v>
      </c>
      <c r="J35" s="121">
        <v>4</v>
      </c>
      <c r="K35" s="479" t="s">
        <v>1662</v>
      </c>
      <c r="L35" s="119">
        <v>4</v>
      </c>
    </row>
    <row r="36" spans="1:12" ht="45.75">
      <c r="A36" s="1332" t="s">
        <v>1661</v>
      </c>
      <c r="B36" s="480">
        <v>3</v>
      </c>
      <c r="C36" s="1344" t="s">
        <v>1663</v>
      </c>
      <c r="D36" s="1343">
        <v>3</v>
      </c>
      <c r="E36" s="1344" t="s">
        <v>1649</v>
      </c>
      <c r="F36" s="1343">
        <v>4</v>
      </c>
      <c r="G36" s="1344" t="s">
        <v>1643</v>
      </c>
      <c r="H36" s="1343">
        <v>4</v>
      </c>
      <c r="I36" s="1332" t="s">
        <v>1640</v>
      </c>
      <c r="J36" s="121">
        <v>3</v>
      </c>
      <c r="K36" s="479" t="s">
        <v>1649</v>
      </c>
      <c r="L36" s="119">
        <v>4</v>
      </c>
    </row>
    <row r="37" spans="1:12" ht="45.75">
      <c r="A37" s="1332" t="s">
        <v>1644</v>
      </c>
      <c r="B37" s="480">
        <v>3</v>
      </c>
      <c r="C37" s="1344" t="s">
        <v>1620</v>
      </c>
      <c r="D37" s="1343">
        <v>3</v>
      </c>
      <c r="E37" s="1344" t="s">
        <v>1664</v>
      </c>
      <c r="F37" s="1343">
        <v>4</v>
      </c>
      <c r="G37" s="1332" t="s">
        <v>1650</v>
      </c>
      <c r="H37" s="121">
        <v>3</v>
      </c>
      <c r="I37" s="1332" t="s">
        <v>1630</v>
      </c>
      <c r="J37" s="1343">
        <v>3</v>
      </c>
      <c r="K37" s="479" t="s">
        <v>1665</v>
      </c>
      <c r="L37" s="480">
        <v>4</v>
      </c>
    </row>
    <row r="38" spans="1:12" ht="45.75">
      <c r="A38" s="1332" t="s">
        <v>1666</v>
      </c>
      <c r="B38" s="480">
        <v>3</v>
      </c>
      <c r="C38" s="1344" t="s">
        <v>1667</v>
      </c>
      <c r="D38" s="1343">
        <v>2</v>
      </c>
      <c r="E38" s="1344" t="s">
        <v>1661</v>
      </c>
      <c r="F38" s="1343">
        <v>3</v>
      </c>
      <c r="G38" s="1344" t="s">
        <v>1659</v>
      </c>
      <c r="H38" s="1343">
        <v>2</v>
      </c>
      <c r="I38" s="1332" t="s">
        <v>1621</v>
      </c>
      <c r="J38" s="1343">
        <v>3</v>
      </c>
      <c r="K38" s="479" t="s">
        <v>1668</v>
      </c>
      <c r="L38" s="480">
        <v>4</v>
      </c>
    </row>
    <row r="39" spans="1:12" ht="34.5">
      <c r="A39" s="1332" t="s">
        <v>1659</v>
      </c>
      <c r="B39" s="480">
        <v>3</v>
      </c>
      <c r="C39" s="1344" t="s">
        <v>1669</v>
      </c>
      <c r="D39" s="1343">
        <v>2</v>
      </c>
      <c r="E39" s="1344" t="s">
        <v>1624</v>
      </c>
      <c r="F39" s="1343">
        <v>3</v>
      </c>
      <c r="G39" s="1344" t="s">
        <v>1655</v>
      </c>
      <c r="H39" s="1343">
        <v>2</v>
      </c>
      <c r="I39" s="1332" t="s">
        <v>1653</v>
      </c>
      <c r="J39" s="1343">
        <v>3</v>
      </c>
      <c r="K39" s="479" t="s">
        <v>1630</v>
      </c>
      <c r="L39" s="480">
        <v>3</v>
      </c>
    </row>
    <row r="40" spans="1:12" ht="23.25">
      <c r="A40" s="1332" t="s">
        <v>1670</v>
      </c>
      <c r="B40" s="480">
        <v>2</v>
      </c>
      <c r="C40" s="1344" t="s">
        <v>1648</v>
      </c>
      <c r="D40" s="1343">
        <v>2</v>
      </c>
      <c r="E40" s="1344" t="s">
        <v>1640</v>
      </c>
      <c r="F40" s="1343">
        <v>2</v>
      </c>
      <c r="G40" s="1344" t="s">
        <v>1654</v>
      </c>
      <c r="H40" s="1343">
        <v>1</v>
      </c>
      <c r="I40" s="1332" t="s">
        <v>1662</v>
      </c>
      <c r="J40" s="1343">
        <v>2</v>
      </c>
      <c r="K40" s="479" t="s">
        <v>1640</v>
      </c>
      <c r="L40" s="480">
        <v>2</v>
      </c>
    </row>
    <row r="41" spans="1:12" ht="23.25">
      <c r="A41" s="1332" t="s">
        <v>1665</v>
      </c>
      <c r="B41" s="480">
        <v>2</v>
      </c>
      <c r="C41" s="1344" t="s">
        <v>1649</v>
      </c>
      <c r="D41" s="1343">
        <v>2</v>
      </c>
      <c r="E41" s="1344" t="s">
        <v>1671</v>
      </c>
      <c r="F41" s="1343">
        <v>2</v>
      </c>
      <c r="G41" s="1344" t="s">
        <v>1669</v>
      </c>
      <c r="H41" s="1343">
        <v>1</v>
      </c>
      <c r="I41" s="1332" t="s">
        <v>1606</v>
      </c>
      <c r="J41" s="121">
        <v>2</v>
      </c>
      <c r="K41" s="479" t="s">
        <v>1672</v>
      </c>
      <c r="L41" s="119">
        <v>2</v>
      </c>
    </row>
    <row r="42" spans="1:12" ht="23.25">
      <c r="A42" s="1332" t="s">
        <v>1650</v>
      </c>
      <c r="B42" s="480">
        <v>1</v>
      </c>
      <c r="C42" s="1344" t="s">
        <v>1659</v>
      </c>
      <c r="D42" s="1343">
        <v>2</v>
      </c>
      <c r="E42" s="1344" t="s">
        <v>1646</v>
      </c>
      <c r="F42" s="1343">
        <v>2</v>
      </c>
      <c r="G42" s="1344" t="s">
        <v>1630</v>
      </c>
      <c r="H42" s="1343">
        <v>1</v>
      </c>
      <c r="I42" s="1332" t="s">
        <v>1673</v>
      </c>
      <c r="J42" s="1343">
        <v>2</v>
      </c>
      <c r="K42" s="479" t="s">
        <v>1632</v>
      </c>
      <c r="L42" s="480">
        <v>2</v>
      </c>
    </row>
    <row r="43" spans="1:12" ht="34.5">
      <c r="A43" s="1332" t="s">
        <v>1667</v>
      </c>
      <c r="B43" s="480">
        <v>1</v>
      </c>
      <c r="C43" s="1344" t="s">
        <v>1665</v>
      </c>
      <c r="D43" s="1343">
        <v>2</v>
      </c>
      <c r="E43" s="1344" t="s">
        <v>1667</v>
      </c>
      <c r="F43" s="1343">
        <v>1</v>
      </c>
      <c r="G43" s="1344" t="s">
        <v>1674</v>
      </c>
      <c r="H43" s="1343">
        <v>1</v>
      </c>
      <c r="I43" s="1332" t="s">
        <v>1627</v>
      </c>
      <c r="J43" s="121">
        <v>2</v>
      </c>
      <c r="K43" s="479" t="s">
        <v>1639</v>
      </c>
      <c r="L43" s="119">
        <v>2</v>
      </c>
    </row>
    <row r="44" spans="1:12" ht="23.25">
      <c r="A44" s="1332" t="s">
        <v>1675</v>
      </c>
      <c r="B44" s="480">
        <v>1</v>
      </c>
      <c r="C44" s="1344" t="s">
        <v>1676</v>
      </c>
      <c r="D44" s="1343">
        <v>2</v>
      </c>
      <c r="E44" s="1344" t="s">
        <v>1654</v>
      </c>
      <c r="F44" s="1343">
        <v>1</v>
      </c>
      <c r="G44" s="1344" t="s">
        <v>1677</v>
      </c>
      <c r="H44" s="1343">
        <v>1</v>
      </c>
      <c r="I44" s="1332" t="s">
        <v>1677</v>
      </c>
      <c r="J44" s="1343">
        <v>2</v>
      </c>
      <c r="K44" s="479" t="s">
        <v>1669</v>
      </c>
      <c r="L44" s="480">
        <v>1</v>
      </c>
    </row>
    <row r="45" spans="1:12" ht="23.25">
      <c r="A45" s="1332" t="s">
        <v>1678</v>
      </c>
      <c r="B45" s="480">
        <v>1</v>
      </c>
      <c r="C45" s="1344" t="s">
        <v>1634</v>
      </c>
      <c r="D45" s="1343">
        <v>1</v>
      </c>
      <c r="E45" s="1344" t="s">
        <v>1662</v>
      </c>
      <c r="F45" s="1343">
        <v>1</v>
      </c>
      <c r="G45" s="1344" t="s">
        <v>1671</v>
      </c>
      <c r="H45" s="1343">
        <v>1</v>
      </c>
      <c r="I45" s="1332" t="s">
        <v>1671</v>
      </c>
      <c r="J45" s="121">
        <v>2</v>
      </c>
      <c r="K45" s="479" t="s">
        <v>1674</v>
      </c>
      <c r="L45" s="119">
        <v>1</v>
      </c>
    </row>
    <row r="46" spans="1:12" ht="34.5">
      <c r="A46" s="1332" t="s">
        <v>1679</v>
      </c>
      <c r="B46" s="480">
        <v>1</v>
      </c>
      <c r="C46" s="1344" t="s">
        <v>1680</v>
      </c>
      <c r="D46" s="1343">
        <v>1</v>
      </c>
      <c r="E46" s="1344" t="s">
        <v>1674</v>
      </c>
      <c r="F46" s="1343">
        <v>1</v>
      </c>
      <c r="G46" s="1344" t="s">
        <v>1639</v>
      </c>
      <c r="H46" s="1343">
        <v>1</v>
      </c>
      <c r="I46" s="1332" t="s">
        <v>1665</v>
      </c>
      <c r="J46" s="1343">
        <v>2</v>
      </c>
      <c r="K46" s="479" t="s">
        <v>1606</v>
      </c>
      <c r="L46" s="480">
        <v>1</v>
      </c>
    </row>
    <row r="47" spans="1:12" ht="45.75">
      <c r="A47" s="1332" t="s">
        <v>1677</v>
      </c>
      <c r="B47" s="480">
        <v>1</v>
      </c>
      <c r="C47" s="1344" t="s">
        <v>1681</v>
      </c>
      <c r="D47" s="1343">
        <v>1</v>
      </c>
      <c r="E47" s="1344" t="s">
        <v>1660</v>
      </c>
      <c r="F47" s="1343">
        <v>1</v>
      </c>
      <c r="G47" s="1332"/>
      <c r="H47" s="1332"/>
      <c r="I47" s="1332" t="s">
        <v>1639</v>
      </c>
      <c r="J47" s="121">
        <v>2</v>
      </c>
      <c r="K47" s="479" t="s">
        <v>1676</v>
      </c>
      <c r="L47" s="119">
        <v>1</v>
      </c>
    </row>
    <row r="48" spans="1:12" ht="23.25">
      <c r="A48" s="1332"/>
      <c r="B48" s="480"/>
      <c r="C48" s="1344" t="s">
        <v>1682</v>
      </c>
      <c r="D48" s="1343">
        <v>1</v>
      </c>
      <c r="E48" s="1344" t="s">
        <v>1648</v>
      </c>
      <c r="F48" s="1343">
        <v>1</v>
      </c>
      <c r="G48" s="1332"/>
      <c r="H48" s="1332"/>
      <c r="I48" s="1332" t="s">
        <v>1683</v>
      </c>
      <c r="J48" s="1343">
        <v>2</v>
      </c>
      <c r="K48" s="1332"/>
      <c r="L48" s="1343"/>
    </row>
    <row r="49" spans="1:13" ht="23.25">
      <c r="A49" s="1332"/>
      <c r="B49" s="480"/>
      <c r="C49" s="1332"/>
      <c r="D49" s="1343"/>
      <c r="E49" s="1344" t="s">
        <v>1684</v>
      </c>
      <c r="F49" s="1343">
        <v>1</v>
      </c>
      <c r="G49" s="1332"/>
      <c r="H49" s="1332"/>
      <c r="I49" s="1332" t="s">
        <v>1661</v>
      </c>
      <c r="J49" s="1343">
        <v>1</v>
      </c>
      <c r="K49" s="1332"/>
      <c r="L49" s="1343"/>
    </row>
    <row r="50" spans="1:13" ht="23.25">
      <c r="A50" s="1332"/>
      <c r="B50" s="480"/>
      <c r="C50" s="1332"/>
      <c r="D50" s="1343"/>
      <c r="E50" s="1344" t="s">
        <v>1677</v>
      </c>
      <c r="F50" s="1343">
        <v>1</v>
      </c>
      <c r="G50" s="1332"/>
      <c r="H50" s="1332"/>
      <c r="I50" s="1332" t="s">
        <v>1648</v>
      </c>
      <c r="J50" s="1343">
        <v>1</v>
      </c>
      <c r="K50" s="1332"/>
      <c r="L50" s="1343"/>
    </row>
    <row r="51" spans="1:13">
      <c r="A51" s="1332"/>
      <c r="B51" s="480"/>
      <c r="C51" s="1332"/>
      <c r="D51" s="1343"/>
      <c r="E51" s="1344" t="s">
        <v>1665</v>
      </c>
      <c r="F51" s="1343">
        <v>1</v>
      </c>
      <c r="G51" s="1332"/>
      <c r="H51" s="1332"/>
      <c r="I51" s="1332" t="s">
        <v>1684</v>
      </c>
      <c r="J51" s="1343">
        <v>1</v>
      </c>
      <c r="K51" s="1332"/>
      <c r="L51" s="1343"/>
    </row>
    <row r="52" spans="1:13" ht="23.25">
      <c r="A52" s="1332"/>
      <c r="B52" s="480"/>
      <c r="C52" s="1332"/>
      <c r="D52" s="1343"/>
      <c r="E52" s="1344" t="s">
        <v>1685</v>
      </c>
      <c r="F52" s="1343">
        <v>1</v>
      </c>
      <c r="G52" s="1332"/>
      <c r="H52" s="1332"/>
      <c r="I52" s="1332" t="s">
        <v>1686</v>
      </c>
      <c r="J52" s="121">
        <v>1</v>
      </c>
      <c r="K52" s="1332"/>
      <c r="L52" s="121"/>
    </row>
    <row r="53" spans="1:13">
      <c r="A53" s="1332"/>
      <c r="B53" s="480"/>
      <c r="C53" s="1332"/>
      <c r="D53" s="1343"/>
      <c r="E53" s="1332"/>
      <c r="F53" s="1343"/>
      <c r="G53" s="1332"/>
      <c r="H53" s="1332"/>
      <c r="I53" s="1332"/>
      <c r="J53" s="121"/>
      <c r="K53" s="1332"/>
      <c r="L53" s="121"/>
    </row>
    <row r="54" spans="1:13" ht="16.5" customHeight="1">
      <c r="A54" s="2318" t="s">
        <v>3706</v>
      </c>
      <c r="B54" s="2318"/>
      <c r="C54" s="2318"/>
      <c r="D54" s="2318"/>
      <c r="E54" s="2318"/>
      <c r="F54" s="2318"/>
      <c r="G54" s="2318"/>
      <c r="H54" s="2318"/>
      <c r="I54" s="2318"/>
      <c r="J54" s="2318"/>
      <c r="K54" s="2318"/>
      <c r="L54" s="2318"/>
      <c r="M54" s="1332"/>
    </row>
    <row r="55" spans="1:13">
      <c r="A55" s="2064" t="s">
        <v>1499</v>
      </c>
      <c r="B55" s="2064"/>
      <c r="C55" s="2064"/>
      <c r="D55" s="2064"/>
      <c r="E55" s="2064"/>
      <c r="F55" s="2064"/>
      <c r="G55" s="2064"/>
      <c r="H55" s="2064"/>
      <c r="I55" s="2064"/>
      <c r="J55" s="129"/>
      <c r="K55" s="1004"/>
      <c r="L55" s="129"/>
    </row>
    <row r="56" spans="1:13">
      <c r="A56" s="120"/>
      <c r="B56" s="119"/>
      <c r="C56" s="120"/>
      <c r="D56" s="121"/>
      <c r="E56" s="120"/>
      <c r="F56" s="121"/>
      <c r="G56" s="1332"/>
      <c r="H56" s="1332"/>
      <c r="I56" s="1332"/>
      <c r="J56" s="1332"/>
      <c r="K56" s="1332"/>
      <c r="L56" s="1332"/>
    </row>
  </sheetData>
  <mergeCells count="8">
    <mergeCell ref="K4:L4"/>
    <mergeCell ref="A55:I55"/>
    <mergeCell ref="A4:B4"/>
    <mergeCell ref="C4:D4"/>
    <mergeCell ref="E4:F4"/>
    <mergeCell ref="G4:H4"/>
    <mergeCell ref="I4:J4"/>
    <mergeCell ref="A54:L54"/>
  </mergeCells>
  <pageMargins left="0.7" right="0.7" top="0.75" bottom="0.75" header="0.3" footer="0.3"/>
</worksheet>
</file>

<file path=xl/worksheets/sheet156.xml><?xml version="1.0" encoding="utf-8"?>
<worksheet xmlns="http://schemas.openxmlformats.org/spreadsheetml/2006/main" xmlns:r="http://schemas.openxmlformats.org/officeDocument/2006/relationships">
  <dimension ref="A2:F10"/>
  <sheetViews>
    <sheetView zoomScaleNormal="100" workbookViewId="0">
      <selection activeCell="E24" sqref="E24"/>
    </sheetView>
  </sheetViews>
  <sheetFormatPr baseColWidth="10" defaultRowHeight="12"/>
  <cols>
    <col min="1" max="1" width="15.28515625" style="50" customWidth="1"/>
    <col min="2" max="3" width="11.42578125" style="50"/>
    <col min="4" max="4" width="14.5703125" style="50" customWidth="1"/>
    <col min="5" max="5" width="15.28515625" style="50" customWidth="1"/>
    <col min="6" max="6" width="16.5703125" style="50" customWidth="1"/>
    <col min="7" max="16384" width="11.42578125" style="50"/>
  </cols>
  <sheetData>
    <row r="2" spans="1:6" ht="32.25" customHeight="1">
      <c r="A2" s="2731" t="s">
        <v>3169</v>
      </c>
      <c r="B2" s="2731"/>
      <c r="C2" s="2731"/>
      <c r="D2" s="2731"/>
      <c r="E2" s="2731"/>
      <c r="F2" s="2731"/>
    </row>
    <row r="3" spans="1:6" ht="13.5">
      <c r="A3" s="1324"/>
      <c r="B3" s="1324"/>
      <c r="C3" s="1324"/>
      <c r="D3" s="1325"/>
      <c r="E3" s="1325"/>
      <c r="F3" s="1325"/>
    </row>
    <row r="4" spans="1:6">
      <c r="A4" s="2187" t="s">
        <v>1221</v>
      </c>
      <c r="B4" s="2319" t="s">
        <v>671</v>
      </c>
      <c r="C4" s="2320"/>
      <c r="D4" s="2320"/>
      <c r="E4" s="2320"/>
      <c r="F4" s="2320"/>
    </row>
    <row r="5" spans="1:6">
      <c r="A5" s="2187"/>
      <c r="B5" s="1326">
        <v>2010</v>
      </c>
      <c r="C5" s="1326">
        <v>2011</v>
      </c>
      <c r="D5" s="1326">
        <v>2012</v>
      </c>
      <c r="E5" s="1326">
        <v>2013</v>
      </c>
      <c r="F5" s="1326">
        <v>2014</v>
      </c>
    </row>
    <row r="6" spans="1:6">
      <c r="A6" s="1327" t="s">
        <v>6</v>
      </c>
      <c r="B6" s="1328">
        <v>8860000</v>
      </c>
      <c r="C6" s="1328">
        <v>3360000</v>
      </c>
      <c r="D6" s="1328">
        <v>5900000</v>
      </c>
      <c r="E6" s="1295">
        <v>12000000</v>
      </c>
      <c r="F6" s="1295">
        <v>9000000</v>
      </c>
    </row>
    <row r="7" spans="1:6" ht="13.5">
      <c r="A7" s="1327"/>
      <c r="B7" s="1329"/>
      <c r="C7" s="1329"/>
      <c r="D7" s="1329"/>
      <c r="E7" s="878"/>
      <c r="F7" s="1325"/>
    </row>
    <row r="8" spans="1:6" ht="13.5">
      <c r="A8" s="2185" t="s">
        <v>1508</v>
      </c>
      <c r="B8" s="2185"/>
      <c r="C8" s="2185"/>
      <c r="D8" s="2185"/>
      <c r="E8" s="2185"/>
      <c r="F8" s="1325"/>
    </row>
    <row r="10" spans="1:6">
      <c r="E10" s="1330"/>
    </row>
  </sheetData>
  <mergeCells count="4">
    <mergeCell ref="A2:F2"/>
    <mergeCell ref="A4:A5"/>
    <mergeCell ref="B4:F4"/>
    <mergeCell ref="A8:E8"/>
  </mergeCells>
  <pageMargins left="0.7" right="0.7" top="0.75" bottom="0.75" header="0.3" footer="0.3"/>
</worksheet>
</file>

<file path=xl/worksheets/sheet157.xml><?xml version="1.0" encoding="utf-8"?>
<worksheet xmlns="http://schemas.openxmlformats.org/spreadsheetml/2006/main" xmlns:r="http://schemas.openxmlformats.org/officeDocument/2006/relationships">
  <dimension ref="A2:D25"/>
  <sheetViews>
    <sheetView zoomScaleNormal="100" workbookViewId="0">
      <selection activeCell="C30" sqref="C30"/>
    </sheetView>
  </sheetViews>
  <sheetFormatPr baseColWidth="10" defaultRowHeight="12"/>
  <cols>
    <col min="1" max="1" width="11.42578125" style="50" customWidth="1"/>
    <col min="2" max="2" width="18.7109375" style="50" customWidth="1"/>
    <col min="3" max="3" width="17.7109375" style="50" customWidth="1"/>
    <col min="4" max="4" width="19.85546875" style="50" customWidth="1"/>
    <col min="5" max="16384" width="11.42578125" style="50"/>
  </cols>
  <sheetData>
    <row r="2" spans="1:4" ht="46.5" customHeight="1">
      <c r="A2" s="2033" t="s">
        <v>1687</v>
      </c>
      <c r="B2" s="2033"/>
      <c r="C2" s="2033"/>
      <c r="D2" s="2033"/>
    </row>
    <row r="3" spans="1:4">
      <c r="A3" s="117"/>
      <c r="B3" s="117"/>
      <c r="C3" s="117"/>
      <c r="D3" s="117"/>
    </row>
    <row r="4" spans="1:4" ht="24">
      <c r="A4" s="1251" t="s">
        <v>0</v>
      </c>
      <c r="B4" s="1319" t="s">
        <v>3703</v>
      </c>
      <c r="C4" s="1319" t="s">
        <v>1688</v>
      </c>
      <c r="D4" s="1319" t="s">
        <v>1689</v>
      </c>
    </row>
    <row r="5" spans="1:4">
      <c r="A5" s="946" t="s">
        <v>6</v>
      </c>
      <c r="B5" s="1320">
        <f>SUM(B6:B20)</f>
        <v>447</v>
      </c>
      <c r="C5" s="1320">
        <f>SUM(C6:C20)</f>
        <v>404</v>
      </c>
      <c r="D5" s="1320">
        <f>SUM(D6:D20)</f>
        <v>43</v>
      </c>
    </row>
    <row r="6" spans="1:4">
      <c r="A6" s="1321" t="s">
        <v>7</v>
      </c>
      <c r="B6" s="1322">
        <v>7</v>
      </c>
      <c r="C6" s="1323">
        <v>7</v>
      </c>
      <c r="D6" s="1323">
        <v>0</v>
      </c>
    </row>
    <row r="7" spans="1:4">
      <c r="A7" s="1321" t="s">
        <v>8</v>
      </c>
      <c r="B7" s="1322">
        <v>11</v>
      </c>
      <c r="C7" s="1323">
        <v>11</v>
      </c>
      <c r="D7" s="1323">
        <v>0</v>
      </c>
    </row>
    <row r="8" spans="1:4">
      <c r="A8" s="1321" t="s">
        <v>9</v>
      </c>
      <c r="B8" s="1322">
        <v>13</v>
      </c>
      <c r="C8" s="1323">
        <v>13</v>
      </c>
      <c r="D8" s="1323">
        <v>0</v>
      </c>
    </row>
    <row r="9" spans="1:4">
      <c r="A9" s="1321" t="s">
        <v>10</v>
      </c>
      <c r="B9" s="1322">
        <v>13</v>
      </c>
      <c r="C9" s="1323">
        <v>12</v>
      </c>
      <c r="D9" s="1323">
        <v>1</v>
      </c>
    </row>
    <row r="10" spans="1:4">
      <c r="A10" s="1321" t="s">
        <v>11</v>
      </c>
      <c r="B10" s="1322">
        <v>20</v>
      </c>
      <c r="C10" s="1323">
        <v>16</v>
      </c>
      <c r="D10" s="1323">
        <v>4</v>
      </c>
    </row>
    <row r="11" spans="1:4">
      <c r="A11" s="1321" t="s">
        <v>12</v>
      </c>
      <c r="B11" s="1322">
        <v>47</v>
      </c>
      <c r="C11" s="1323">
        <v>47</v>
      </c>
      <c r="D11" s="1323">
        <v>0</v>
      </c>
    </row>
    <row r="12" spans="1:4">
      <c r="A12" s="1321" t="s">
        <v>13</v>
      </c>
      <c r="B12" s="1322">
        <v>64</v>
      </c>
      <c r="C12" s="1323">
        <v>63</v>
      </c>
      <c r="D12" s="1323">
        <v>1</v>
      </c>
    </row>
    <row r="13" spans="1:4">
      <c r="A13" s="1321" t="s">
        <v>14</v>
      </c>
      <c r="B13" s="1322">
        <v>40</v>
      </c>
      <c r="C13" s="1323">
        <v>40</v>
      </c>
      <c r="D13" s="1323">
        <v>0</v>
      </c>
    </row>
    <row r="14" spans="1:4">
      <c r="A14" s="1321" t="s">
        <v>15</v>
      </c>
      <c r="B14" s="1322">
        <v>35</v>
      </c>
      <c r="C14" s="1323">
        <v>34</v>
      </c>
      <c r="D14" s="1323">
        <v>1</v>
      </c>
    </row>
    <row r="15" spans="1:4">
      <c r="A15" s="1321" t="s">
        <v>16</v>
      </c>
      <c r="B15" s="1322">
        <v>59</v>
      </c>
      <c r="C15" s="1323">
        <v>52</v>
      </c>
      <c r="D15" s="1323">
        <v>7</v>
      </c>
    </row>
    <row r="16" spans="1:4">
      <c r="A16" s="1321" t="s">
        <v>17</v>
      </c>
      <c r="B16" s="1322">
        <v>58</v>
      </c>
      <c r="C16" s="1323">
        <v>35</v>
      </c>
      <c r="D16" s="1323">
        <v>23</v>
      </c>
    </row>
    <row r="17" spans="1:4">
      <c r="A17" s="1321" t="s">
        <v>18</v>
      </c>
      <c r="B17" s="1322">
        <v>13</v>
      </c>
      <c r="C17" s="1323">
        <v>13</v>
      </c>
      <c r="D17" s="1323">
        <v>0</v>
      </c>
    </row>
    <row r="18" spans="1:4">
      <c r="A18" s="1321" t="s">
        <v>19</v>
      </c>
      <c r="B18" s="1322">
        <v>35</v>
      </c>
      <c r="C18" s="1323">
        <v>34</v>
      </c>
      <c r="D18" s="1323">
        <v>1</v>
      </c>
    </row>
    <row r="19" spans="1:4">
      <c r="A19" s="1321" t="s">
        <v>20</v>
      </c>
      <c r="B19" s="1322">
        <v>18</v>
      </c>
      <c r="C19" s="1323">
        <v>14</v>
      </c>
      <c r="D19" s="1323">
        <v>4</v>
      </c>
    </row>
    <row r="20" spans="1:4">
      <c r="A20" s="1321" t="s">
        <v>21</v>
      </c>
      <c r="B20" s="1322">
        <v>14</v>
      </c>
      <c r="C20" s="1323">
        <v>13</v>
      </c>
      <c r="D20" s="1323">
        <v>1</v>
      </c>
    </row>
    <row r="21" spans="1:4">
      <c r="A21" s="1256"/>
      <c r="B21" s="155"/>
      <c r="C21" s="157"/>
      <c r="D21" s="157"/>
    </row>
    <row r="22" spans="1:4" ht="62.25" customHeight="1">
      <c r="A22" s="2321" t="s">
        <v>3704</v>
      </c>
      <c r="B22" s="2321"/>
      <c r="C22" s="2321"/>
      <c r="D22" s="2321"/>
    </row>
    <row r="23" spans="1:4" ht="36.75" customHeight="1">
      <c r="A23" s="2321" t="s">
        <v>3705</v>
      </c>
      <c r="B23" s="2321"/>
      <c r="C23" s="2321"/>
      <c r="D23" s="2321"/>
    </row>
    <row r="24" spans="1:4">
      <c r="A24" s="2322" t="s">
        <v>733</v>
      </c>
      <c r="B24" s="2322"/>
      <c r="C24" s="2322"/>
      <c r="D24" s="2322"/>
    </row>
    <row r="25" spans="1:4">
      <c r="A25" s="2323" t="s">
        <v>680</v>
      </c>
      <c r="B25" s="2323"/>
      <c r="C25" s="2323"/>
      <c r="D25" s="2323"/>
    </row>
  </sheetData>
  <mergeCells count="5">
    <mergeCell ref="A2:D2"/>
    <mergeCell ref="A22:D22"/>
    <mergeCell ref="A23:D23"/>
    <mergeCell ref="A24:D24"/>
    <mergeCell ref="A25:D25"/>
  </mergeCells>
  <pageMargins left="0.7" right="0.7" top="0.75" bottom="0.75" header="0.3" footer="0.3"/>
</worksheet>
</file>

<file path=xl/worksheets/sheet158.xml><?xml version="1.0" encoding="utf-8"?>
<worksheet xmlns="http://schemas.openxmlformats.org/spreadsheetml/2006/main" xmlns:r="http://schemas.openxmlformats.org/officeDocument/2006/relationships">
  <dimension ref="A2:G25"/>
  <sheetViews>
    <sheetView zoomScaleNormal="100" workbookViewId="0">
      <selection activeCell="G26" sqref="G26"/>
    </sheetView>
  </sheetViews>
  <sheetFormatPr baseColWidth="10" defaultRowHeight="12"/>
  <cols>
    <col min="1" max="16384" width="11.42578125" style="50"/>
  </cols>
  <sheetData>
    <row r="2" spans="1:7" ht="27.75" customHeight="1">
      <c r="A2" s="2732" t="s">
        <v>1690</v>
      </c>
      <c r="B2" s="2732"/>
      <c r="C2" s="2732"/>
      <c r="D2" s="2732"/>
      <c r="E2" s="2732"/>
      <c r="F2" s="2732"/>
      <c r="G2" s="2732"/>
    </row>
    <row r="3" spans="1:7">
      <c r="A3" s="117"/>
      <c r="B3" s="117"/>
      <c r="C3" s="117"/>
      <c r="D3" s="117"/>
      <c r="E3" s="117"/>
      <c r="F3" s="134"/>
      <c r="G3" s="134"/>
    </row>
    <row r="4" spans="1:7">
      <c r="A4" s="2249" t="s">
        <v>0</v>
      </c>
      <c r="B4" s="2324" t="s">
        <v>3701</v>
      </c>
      <c r="C4" s="2324"/>
      <c r="D4" s="2324"/>
      <c r="E4" s="2324"/>
      <c r="F4" s="2324"/>
      <c r="G4" s="2324"/>
    </row>
    <row r="5" spans="1:7">
      <c r="A5" s="2249"/>
      <c r="B5" s="1251">
        <v>2009</v>
      </c>
      <c r="C5" s="1251">
        <v>2010</v>
      </c>
      <c r="D5" s="1251">
        <v>2011</v>
      </c>
      <c r="E5" s="1251">
        <v>2012</v>
      </c>
      <c r="F5" s="1251">
        <v>2013</v>
      </c>
      <c r="G5" s="1251">
        <v>2014</v>
      </c>
    </row>
    <row r="6" spans="1:7">
      <c r="A6" s="946" t="s">
        <v>6</v>
      </c>
      <c r="B6" s="1314">
        <f t="shared" ref="B6:G6" si="0">SUM(B7:B21)</f>
        <v>36</v>
      </c>
      <c r="C6" s="1314">
        <f t="shared" si="0"/>
        <v>40</v>
      </c>
      <c r="D6" s="1314">
        <f t="shared" si="0"/>
        <v>44</v>
      </c>
      <c r="E6" s="1314">
        <f t="shared" si="0"/>
        <v>51</v>
      </c>
      <c r="F6" s="1314">
        <f t="shared" si="0"/>
        <v>51</v>
      </c>
      <c r="G6" s="1314">
        <f t="shared" si="0"/>
        <v>45</v>
      </c>
    </row>
    <row r="7" spans="1:7">
      <c r="A7" s="1315" t="s">
        <v>7</v>
      </c>
      <c r="B7" s="1316">
        <v>0</v>
      </c>
      <c r="C7" s="1316">
        <v>0</v>
      </c>
      <c r="D7" s="1316">
        <v>0</v>
      </c>
      <c r="E7" s="1316">
        <v>0</v>
      </c>
      <c r="F7" s="1317" t="s">
        <v>155</v>
      </c>
      <c r="G7" s="1318" t="s">
        <v>155</v>
      </c>
    </row>
    <row r="8" spans="1:7">
      <c r="A8" s="1315" t="s">
        <v>8</v>
      </c>
      <c r="B8" s="1316">
        <v>1</v>
      </c>
      <c r="C8" s="1316">
        <v>1</v>
      </c>
      <c r="D8" s="1316">
        <v>1</v>
      </c>
      <c r="E8" s="1316">
        <v>0</v>
      </c>
      <c r="F8" s="1317" t="s">
        <v>155</v>
      </c>
      <c r="G8" s="1240">
        <v>1</v>
      </c>
    </row>
    <row r="9" spans="1:7">
      <c r="A9" s="1315" t="s">
        <v>9</v>
      </c>
      <c r="B9" s="1316">
        <v>1</v>
      </c>
      <c r="C9" s="1316">
        <v>0</v>
      </c>
      <c r="D9" s="1316">
        <v>0</v>
      </c>
      <c r="E9" s="1316">
        <v>0</v>
      </c>
      <c r="F9" s="1317" t="s">
        <v>155</v>
      </c>
      <c r="G9" s="1318" t="s">
        <v>155</v>
      </c>
    </row>
    <row r="10" spans="1:7">
      <c r="A10" s="1315" t="s">
        <v>10</v>
      </c>
      <c r="B10" s="1316">
        <v>2</v>
      </c>
      <c r="C10" s="1316">
        <v>1</v>
      </c>
      <c r="D10" s="1316">
        <v>1</v>
      </c>
      <c r="E10" s="1316">
        <v>0</v>
      </c>
      <c r="F10" s="1317" t="s">
        <v>155</v>
      </c>
      <c r="G10" s="1318" t="s">
        <v>155</v>
      </c>
    </row>
    <row r="11" spans="1:7">
      <c r="A11" s="1315" t="s">
        <v>11</v>
      </c>
      <c r="B11" s="1316">
        <v>1</v>
      </c>
      <c r="C11" s="1316">
        <v>1</v>
      </c>
      <c r="D11" s="1316">
        <v>1</v>
      </c>
      <c r="E11" s="1316">
        <v>1</v>
      </c>
      <c r="F11" s="158">
        <v>1</v>
      </c>
      <c r="G11" s="1240">
        <v>1</v>
      </c>
    </row>
    <row r="12" spans="1:7">
      <c r="A12" s="1315" t="s">
        <v>12</v>
      </c>
      <c r="B12" s="1316">
        <v>1</v>
      </c>
      <c r="C12" s="1316">
        <v>2</v>
      </c>
      <c r="D12" s="1316">
        <v>2</v>
      </c>
      <c r="E12" s="1316">
        <v>0</v>
      </c>
      <c r="F12" s="158">
        <v>1</v>
      </c>
      <c r="G12" s="1240">
        <v>1</v>
      </c>
    </row>
    <row r="13" spans="1:7">
      <c r="A13" s="1315" t="s">
        <v>13</v>
      </c>
      <c r="B13" s="1316">
        <v>8</v>
      </c>
      <c r="C13" s="1316">
        <v>5</v>
      </c>
      <c r="D13" s="1316">
        <v>5</v>
      </c>
      <c r="E13" s="1316">
        <v>5</v>
      </c>
      <c r="F13" s="158">
        <v>9</v>
      </c>
      <c r="G13" s="1240">
        <v>4</v>
      </c>
    </row>
    <row r="14" spans="1:7">
      <c r="A14" s="1315" t="s">
        <v>14</v>
      </c>
      <c r="B14" s="1316">
        <v>1</v>
      </c>
      <c r="C14" s="1316">
        <v>1</v>
      </c>
      <c r="D14" s="1316">
        <v>1</v>
      </c>
      <c r="E14" s="1316">
        <v>1</v>
      </c>
      <c r="F14" s="158">
        <v>1</v>
      </c>
      <c r="G14" s="1240">
        <v>1</v>
      </c>
    </row>
    <row r="15" spans="1:7">
      <c r="A15" s="1315" t="s">
        <v>15</v>
      </c>
      <c r="B15" s="1316">
        <v>4</v>
      </c>
      <c r="C15" s="1316">
        <v>3</v>
      </c>
      <c r="D15" s="1316">
        <v>3</v>
      </c>
      <c r="E15" s="1316">
        <v>2</v>
      </c>
      <c r="F15" s="158">
        <v>3</v>
      </c>
      <c r="G15" s="1240">
        <v>4</v>
      </c>
    </row>
    <row r="16" spans="1:7">
      <c r="A16" s="1315" t="s">
        <v>16</v>
      </c>
      <c r="B16" s="1316">
        <v>6</v>
      </c>
      <c r="C16" s="1316">
        <v>12</v>
      </c>
      <c r="D16" s="1316">
        <v>12</v>
      </c>
      <c r="E16" s="1316">
        <v>15</v>
      </c>
      <c r="F16" s="158">
        <v>12</v>
      </c>
      <c r="G16" s="1240">
        <v>15</v>
      </c>
    </row>
    <row r="17" spans="1:7">
      <c r="A17" s="1315" t="s">
        <v>17</v>
      </c>
      <c r="B17" s="1316">
        <v>7</v>
      </c>
      <c r="C17" s="1316">
        <v>10</v>
      </c>
      <c r="D17" s="1316">
        <v>13</v>
      </c>
      <c r="E17" s="1316">
        <v>8</v>
      </c>
      <c r="F17" s="158">
        <v>6</v>
      </c>
      <c r="G17" s="1240">
        <v>6</v>
      </c>
    </row>
    <row r="18" spans="1:7">
      <c r="A18" s="1315" t="s">
        <v>18</v>
      </c>
      <c r="B18" s="1316">
        <v>1</v>
      </c>
      <c r="C18" s="1316">
        <v>0</v>
      </c>
      <c r="D18" s="1316">
        <v>0</v>
      </c>
      <c r="E18" s="1316">
        <v>9</v>
      </c>
      <c r="F18" s="158">
        <v>9</v>
      </c>
      <c r="G18" s="1240">
        <v>10</v>
      </c>
    </row>
    <row r="19" spans="1:7">
      <c r="A19" s="1315" t="s">
        <v>19</v>
      </c>
      <c r="B19" s="1316">
        <v>1</v>
      </c>
      <c r="C19" s="1316">
        <v>3</v>
      </c>
      <c r="D19" s="1316">
        <v>4</v>
      </c>
      <c r="E19" s="1316">
        <v>9</v>
      </c>
      <c r="F19" s="158">
        <v>6</v>
      </c>
      <c r="G19" s="1240">
        <v>1</v>
      </c>
    </row>
    <row r="20" spans="1:7">
      <c r="A20" s="1315" t="s">
        <v>20</v>
      </c>
      <c r="B20" s="1316">
        <v>1</v>
      </c>
      <c r="C20" s="1316">
        <v>1</v>
      </c>
      <c r="D20" s="1316">
        <v>1</v>
      </c>
      <c r="E20" s="1316">
        <v>1</v>
      </c>
      <c r="F20" s="1317" t="s">
        <v>155</v>
      </c>
      <c r="G20" s="1240">
        <v>1</v>
      </c>
    </row>
    <row r="21" spans="1:7">
      <c r="A21" s="1315" t="s">
        <v>21</v>
      </c>
      <c r="B21" s="1316">
        <v>1</v>
      </c>
      <c r="C21" s="1316">
        <v>0</v>
      </c>
      <c r="D21" s="1316">
        <v>0</v>
      </c>
      <c r="E21" s="1316">
        <v>0</v>
      </c>
      <c r="F21" s="158">
        <v>3</v>
      </c>
      <c r="G21" s="1318" t="s">
        <v>155</v>
      </c>
    </row>
    <row r="22" spans="1:7">
      <c r="A22" s="1256"/>
      <c r="B22" s="117"/>
      <c r="C22" s="1316"/>
      <c r="D22" s="1316"/>
      <c r="E22" s="1316"/>
      <c r="F22" s="157"/>
      <c r="G22" s="117"/>
    </row>
    <row r="23" spans="1:7">
      <c r="A23" s="1300" t="s">
        <v>3702</v>
      </c>
      <c r="B23" s="1300"/>
      <c r="C23" s="1300"/>
      <c r="D23" s="1300"/>
      <c r="E23" s="1300"/>
      <c r="F23" s="1300"/>
      <c r="G23" s="117"/>
    </row>
    <row r="24" spans="1:7">
      <c r="A24" s="1300" t="s">
        <v>733</v>
      </c>
      <c r="B24" s="1300"/>
      <c r="C24" s="1300"/>
      <c r="D24" s="1300"/>
      <c r="E24" s="1300"/>
      <c r="F24" s="1300"/>
      <c r="G24" s="117"/>
    </row>
    <row r="25" spans="1:7">
      <c r="A25" s="1236" t="s">
        <v>680</v>
      </c>
      <c r="B25" s="1236"/>
      <c r="C25" s="1236"/>
      <c r="D25" s="1236"/>
      <c r="E25" s="1236"/>
      <c r="F25" s="1236"/>
      <c r="G25" s="117"/>
    </row>
  </sheetData>
  <mergeCells count="3">
    <mergeCell ref="A2:G2"/>
    <mergeCell ref="A4:A5"/>
    <mergeCell ref="B4:G4"/>
  </mergeCells>
  <pageMargins left="0.7" right="0.7" top="0.75" bottom="0.75" header="0.3" footer="0.3"/>
</worksheet>
</file>

<file path=xl/worksheets/sheet159.xml><?xml version="1.0" encoding="utf-8"?>
<worksheet xmlns="http://schemas.openxmlformats.org/spreadsheetml/2006/main" xmlns:r="http://schemas.openxmlformats.org/officeDocument/2006/relationships">
  <dimension ref="A2:B13"/>
  <sheetViews>
    <sheetView zoomScaleNormal="100" workbookViewId="0"/>
  </sheetViews>
  <sheetFormatPr baseColWidth="10" defaultRowHeight="12"/>
  <cols>
    <col min="1" max="1" width="31.5703125" style="50" customWidth="1"/>
    <col min="2" max="2" width="25.140625" style="50" customWidth="1"/>
    <col min="3" max="16384" width="11.42578125" style="50"/>
  </cols>
  <sheetData>
    <row r="2" spans="1:2" ht="49.5" customHeight="1">
      <c r="A2" s="2028" t="s">
        <v>1691</v>
      </c>
      <c r="B2" s="2028"/>
    </row>
    <row r="3" spans="1:2">
      <c r="A3" s="115"/>
      <c r="B3" s="117"/>
    </row>
    <row r="4" spans="1:2" ht="24.75" customHeight="1">
      <c r="A4" s="1251" t="s">
        <v>1092</v>
      </c>
      <c r="B4" s="1251" t="s">
        <v>1692</v>
      </c>
    </row>
    <row r="5" spans="1:2">
      <c r="A5" s="1310">
        <v>2009</v>
      </c>
      <c r="B5" s="1311">
        <v>403</v>
      </c>
    </row>
    <row r="6" spans="1:2">
      <c r="A6" s="1310">
        <v>2010</v>
      </c>
      <c r="B6" s="1311">
        <v>403</v>
      </c>
    </row>
    <row r="7" spans="1:2">
      <c r="A7" s="1310">
        <v>2011</v>
      </c>
      <c r="B7" s="1311">
        <v>408</v>
      </c>
    </row>
    <row r="8" spans="1:2">
      <c r="A8" s="1310">
        <v>2012</v>
      </c>
      <c r="B8" s="1311">
        <v>443</v>
      </c>
    </row>
    <row r="9" spans="1:2" ht="13.5">
      <c r="A9" s="1310" t="s">
        <v>3699</v>
      </c>
      <c r="B9" s="1312">
        <v>457</v>
      </c>
    </row>
    <row r="10" spans="1:2">
      <c r="A10" s="1310">
        <v>2014</v>
      </c>
      <c r="B10" s="1313">
        <v>457</v>
      </c>
    </row>
    <row r="11" spans="1:2">
      <c r="A11" s="1311"/>
      <c r="B11" s="1312"/>
    </row>
    <row r="12" spans="1:2" ht="54" customHeight="1">
      <c r="A12" s="2325" t="s">
        <v>3700</v>
      </c>
      <c r="B12" s="2325"/>
    </row>
    <row r="13" spans="1:2">
      <c r="A13" s="2326" t="s">
        <v>680</v>
      </c>
      <c r="B13" s="2326"/>
    </row>
  </sheetData>
  <mergeCells count="3">
    <mergeCell ref="A2:B2"/>
    <mergeCell ref="A12:B12"/>
    <mergeCell ref="A13:B13"/>
  </mergeCell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2:G14"/>
  <sheetViews>
    <sheetView zoomScaleNormal="100" workbookViewId="0"/>
  </sheetViews>
  <sheetFormatPr baseColWidth="10" defaultColWidth="11.42578125" defaultRowHeight="11.25"/>
  <cols>
    <col min="1" max="1" width="28.7109375" style="117" customWidth="1"/>
    <col min="2" max="16384" width="11.42578125" style="117"/>
  </cols>
  <sheetData>
    <row r="2" spans="1:7" ht="33.75" customHeight="1">
      <c r="A2" s="2025" t="s">
        <v>945</v>
      </c>
      <c r="B2" s="2025"/>
      <c r="C2" s="2025"/>
      <c r="D2" s="2025"/>
      <c r="E2" s="2025"/>
      <c r="F2" s="2025"/>
      <c r="G2" s="2025"/>
    </row>
    <row r="4" spans="1:7">
      <c r="A4" s="2026" t="s">
        <v>757</v>
      </c>
      <c r="B4" s="2026" t="s">
        <v>671</v>
      </c>
      <c r="C4" s="2026"/>
      <c r="D4" s="2026"/>
      <c r="E4" s="2026"/>
      <c r="F4" s="2026"/>
      <c r="G4" s="2026"/>
    </row>
    <row r="5" spans="1:7">
      <c r="A5" s="2026"/>
      <c r="B5" s="154">
        <v>2009</v>
      </c>
      <c r="C5" s="154">
        <v>2010</v>
      </c>
      <c r="D5" s="154">
        <v>2011</v>
      </c>
      <c r="E5" s="154">
        <v>2012</v>
      </c>
      <c r="F5" s="154">
        <v>2013</v>
      </c>
      <c r="G5" s="154">
        <v>2014</v>
      </c>
    </row>
    <row r="6" spans="1:7" s="115" customFormat="1" ht="10.5" customHeight="1">
      <c r="A6" s="115" t="s">
        <v>679</v>
      </c>
      <c r="B6" s="1314">
        <f t="shared" ref="B6:G6" si="0">SUM(B7:B11)</f>
        <v>25</v>
      </c>
      <c r="C6" s="1314">
        <f t="shared" si="0"/>
        <v>24</v>
      </c>
      <c r="D6" s="1314">
        <f t="shared" si="0"/>
        <v>1279</v>
      </c>
      <c r="E6" s="1314">
        <f t="shared" si="0"/>
        <v>1076</v>
      </c>
      <c r="F6" s="1314">
        <f t="shared" si="0"/>
        <v>1003</v>
      </c>
      <c r="G6" s="1809">
        <f t="shared" si="0"/>
        <v>708</v>
      </c>
    </row>
    <row r="7" spans="1:7">
      <c r="A7" s="117" t="s">
        <v>778</v>
      </c>
      <c r="B7" s="1316">
        <v>0</v>
      </c>
      <c r="C7" s="1316">
        <v>0</v>
      </c>
      <c r="D7" s="1316">
        <v>1252</v>
      </c>
      <c r="E7" s="1316">
        <v>1002</v>
      </c>
      <c r="F7" s="1316">
        <v>971</v>
      </c>
      <c r="G7" s="1909">
        <v>650</v>
      </c>
    </row>
    <row r="8" spans="1:7">
      <c r="A8" s="117" t="s">
        <v>776</v>
      </c>
      <c r="B8" s="1316">
        <v>4</v>
      </c>
      <c r="C8" s="1316">
        <v>1</v>
      </c>
      <c r="D8" s="1316">
        <v>9</v>
      </c>
      <c r="E8" s="1316">
        <v>10</v>
      </c>
      <c r="F8" s="1316">
        <v>3</v>
      </c>
      <c r="G8" s="1909">
        <v>10</v>
      </c>
    </row>
    <row r="9" spans="1:7">
      <c r="A9" s="117" t="s">
        <v>779</v>
      </c>
      <c r="B9" s="1316">
        <v>15</v>
      </c>
      <c r="C9" s="1316">
        <v>9</v>
      </c>
      <c r="D9" s="1316">
        <v>5</v>
      </c>
      <c r="E9" s="1316">
        <v>8</v>
      </c>
      <c r="F9" s="1316">
        <v>7</v>
      </c>
      <c r="G9" s="1909">
        <v>9</v>
      </c>
    </row>
    <row r="10" spans="1:7">
      <c r="A10" s="117" t="s">
        <v>777</v>
      </c>
      <c r="B10" s="1316">
        <v>3</v>
      </c>
      <c r="C10" s="1316">
        <v>2</v>
      </c>
      <c r="D10" s="1316">
        <v>4</v>
      </c>
      <c r="E10" s="1316">
        <v>38</v>
      </c>
      <c r="F10" s="1316">
        <v>15</v>
      </c>
      <c r="G10" s="1909">
        <v>25</v>
      </c>
    </row>
    <row r="11" spans="1:7">
      <c r="A11" s="117" t="s">
        <v>780</v>
      </c>
      <c r="B11" s="1316">
        <v>3</v>
      </c>
      <c r="C11" s="1316">
        <v>12</v>
      </c>
      <c r="D11" s="1316">
        <v>9</v>
      </c>
      <c r="E11" s="1316">
        <v>18</v>
      </c>
      <c r="F11" s="1316">
        <v>7</v>
      </c>
      <c r="G11" s="1909">
        <v>14</v>
      </c>
    </row>
    <row r="13" spans="1:7">
      <c r="A13" s="117" t="s">
        <v>22</v>
      </c>
    </row>
    <row r="14" spans="1:7">
      <c r="A14" s="2035" t="s">
        <v>680</v>
      </c>
      <c r="B14" s="2035"/>
      <c r="C14" s="2035"/>
      <c r="D14" s="2035"/>
      <c r="E14" s="2035"/>
      <c r="F14" s="2035"/>
      <c r="G14" s="2035"/>
    </row>
  </sheetData>
  <mergeCells count="4">
    <mergeCell ref="A2:G2"/>
    <mergeCell ref="A4:A5"/>
    <mergeCell ref="B4:G4"/>
    <mergeCell ref="A14:G14"/>
  </mergeCells>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dimension ref="A2:F21"/>
  <sheetViews>
    <sheetView zoomScaleNormal="100" workbookViewId="0">
      <selection activeCell="D27" sqref="D27"/>
    </sheetView>
  </sheetViews>
  <sheetFormatPr baseColWidth="10" defaultRowHeight="12"/>
  <cols>
    <col min="1" max="1" width="30.7109375" style="118" customWidth="1"/>
    <col min="2" max="16384" width="11.42578125" style="118"/>
  </cols>
  <sheetData>
    <row r="2" spans="1:6" ht="40.5" customHeight="1">
      <c r="A2" s="2218" t="s">
        <v>1693</v>
      </c>
      <c r="B2" s="2218"/>
      <c r="C2" s="2218"/>
      <c r="D2" s="2218"/>
      <c r="E2" s="2218"/>
      <c r="F2" s="2218"/>
    </row>
    <row r="3" spans="1:6" ht="6" customHeight="1">
      <c r="A3" s="134"/>
      <c r="B3" s="134"/>
      <c r="C3" s="134"/>
      <c r="D3" s="134"/>
      <c r="E3" s="134"/>
      <c r="F3" s="134"/>
    </row>
    <row r="4" spans="1:6">
      <c r="A4" s="2328" t="s">
        <v>3695</v>
      </c>
      <c r="B4" s="2225" t="s">
        <v>3696</v>
      </c>
      <c r="C4" s="2225"/>
      <c r="D4" s="2225"/>
      <c r="E4" s="2225"/>
      <c r="F4" s="2225"/>
    </row>
    <row r="5" spans="1:6">
      <c r="A5" s="2328"/>
      <c r="B5" s="1230">
        <v>2010</v>
      </c>
      <c r="C5" s="1230">
        <v>2011</v>
      </c>
      <c r="D5" s="1230">
        <v>2012</v>
      </c>
      <c r="E5" s="1230">
        <v>2013</v>
      </c>
      <c r="F5" s="1230">
        <v>2014</v>
      </c>
    </row>
    <row r="6" spans="1:6">
      <c r="A6" s="16" t="s">
        <v>26</v>
      </c>
      <c r="B6" s="1232">
        <f>SUM(B7:B16)</f>
        <v>340175</v>
      </c>
      <c r="C6" s="1232">
        <f>SUM(C7:C16)</f>
        <v>415757</v>
      </c>
      <c r="D6" s="1232">
        <f>SUM(D7:D16)</f>
        <v>302009</v>
      </c>
      <c r="E6" s="1232">
        <f>SUM(E7:E16)</f>
        <v>391304</v>
      </c>
      <c r="F6" s="1232">
        <f>SUM(F7:F16)</f>
        <v>293601</v>
      </c>
    </row>
    <row r="7" spans="1:6">
      <c r="A7" s="208" t="s">
        <v>1694</v>
      </c>
      <c r="B7" s="1168">
        <v>135367</v>
      </c>
      <c r="C7" s="1234">
        <v>167364</v>
      </c>
      <c r="D7" s="1234">
        <v>123710</v>
      </c>
      <c r="E7" s="1234">
        <v>103658</v>
      </c>
      <c r="F7" s="1235">
        <v>110159</v>
      </c>
    </row>
    <row r="8" spans="1:6">
      <c r="A8" s="208" t="s">
        <v>1695</v>
      </c>
      <c r="B8" s="1168">
        <v>58523</v>
      </c>
      <c r="C8" s="1234">
        <v>72267</v>
      </c>
      <c r="D8" s="1234">
        <v>55390</v>
      </c>
      <c r="E8" s="1234">
        <v>41594</v>
      </c>
      <c r="F8" s="1235">
        <v>43735</v>
      </c>
    </row>
    <row r="9" spans="1:6">
      <c r="A9" s="208" t="s">
        <v>1696</v>
      </c>
      <c r="B9" s="1168">
        <v>31615</v>
      </c>
      <c r="C9" s="1234">
        <v>27812</v>
      </c>
      <c r="D9" s="1234">
        <v>26552</v>
      </c>
      <c r="E9" s="1234">
        <v>21219</v>
      </c>
      <c r="F9" s="1235">
        <v>15179</v>
      </c>
    </row>
    <row r="10" spans="1:6">
      <c r="A10" s="208" t="s">
        <v>1697</v>
      </c>
      <c r="B10" s="1168">
        <v>47382</v>
      </c>
      <c r="C10" s="1234">
        <v>56017</v>
      </c>
      <c r="D10" s="1234">
        <v>37806</v>
      </c>
      <c r="E10" s="1234">
        <v>29596</v>
      </c>
      <c r="F10" s="1235">
        <v>36598</v>
      </c>
    </row>
    <row r="11" spans="1:6">
      <c r="A11" s="208" t="s">
        <v>1698</v>
      </c>
      <c r="B11" s="1168">
        <v>47271</v>
      </c>
      <c r="C11" s="1234">
        <v>48657</v>
      </c>
      <c r="D11" s="1234">
        <v>31968</v>
      </c>
      <c r="E11" s="1234">
        <v>40739</v>
      </c>
      <c r="F11" s="1235">
        <v>29277</v>
      </c>
    </row>
    <row r="12" spans="1:6">
      <c r="A12" s="208" t="s">
        <v>1699</v>
      </c>
      <c r="B12" s="1168">
        <v>755</v>
      </c>
      <c r="C12" s="1234">
        <v>699</v>
      </c>
      <c r="D12" s="1234">
        <v>975</v>
      </c>
      <c r="E12" s="1234">
        <v>3672</v>
      </c>
      <c r="F12" s="1235">
        <v>863</v>
      </c>
    </row>
    <row r="13" spans="1:6">
      <c r="A13" s="208" t="s">
        <v>1700</v>
      </c>
      <c r="B13" s="1168">
        <v>18023</v>
      </c>
      <c r="C13" s="1234">
        <v>13099</v>
      </c>
      <c r="D13" s="1234">
        <v>5352</v>
      </c>
      <c r="E13" s="1234">
        <v>4971</v>
      </c>
      <c r="F13" s="1235">
        <v>3483</v>
      </c>
    </row>
    <row r="14" spans="1:6">
      <c r="A14" s="208" t="s">
        <v>1701</v>
      </c>
      <c r="B14" s="1168">
        <v>1238</v>
      </c>
      <c r="C14" s="1234">
        <v>781</v>
      </c>
      <c r="D14" s="1234">
        <v>1399</v>
      </c>
      <c r="E14" s="1234">
        <v>1900</v>
      </c>
      <c r="F14" s="1235">
        <v>2735</v>
      </c>
    </row>
    <row r="15" spans="1:6">
      <c r="A15" s="208" t="s">
        <v>1702</v>
      </c>
      <c r="B15" s="1168">
        <v>1</v>
      </c>
      <c r="C15" s="1234">
        <v>2639</v>
      </c>
      <c r="D15" s="1234">
        <v>13972</v>
      </c>
      <c r="E15" s="1234">
        <v>12010</v>
      </c>
      <c r="F15" s="1235">
        <v>24130</v>
      </c>
    </row>
    <row r="16" spans="1:6">
      <c r="A16" s="208" t="s">
        <v>1703</v>
      </c>
      <c r="B16" s="1306">
        <v>0</v>
      </c>
      <c r="C16" s="1234">
        <v>26422</v>
      </c>
      <c r="D16" s="1234">
        <v>4885</v>
      </c>
      <c r="E16" s="1234">
        <v>131945</v>
      </c>
      <c r="F16" s="1235">
        <v>27442</v>
      </c>
    </row>
    <row r="17" spans="1:6">
      <c r="B17" s="1306"/>
      <c r="C17" s="1234"/>
      <c r="D17" s="1234"/>
      <c r="E17" s="1234"/>
      <c r="F17" s="1234"/>
    </row>
    <row r="18" spans="1:6">
      <c r="A18" s="1307" t="s">
        <v>3697</v>
      </c>
      <c r="B18" s="1307"/>
      <c r="C18" s="1307"/>
      <c r="D18" s="1307"/>
      <c r="E18" s="1307"/>
      <c r="F18" s="1307"/>
    </row>
    <row r="19" spans="1:6">
      <c r="A19" s="1307" t="s">
        <v>3698</v>
      </c>
      <c r="B19" s="1307"/>
      <c r="C19" s="1307"/>
      <c r="D19" s="1307"/>
      <c r="E19" s="1307"/>
      <c r="F19" s="1307"/>
    </row>
    <row r="20" spans="1:6">
      <c r="A20" s="1236" t="s">
        <v>734</v>
      </c>
      <c r="B20" s="1236"/>
      <c r="C20" s="1236"/>
      <c r="D20" s="1236"/>
      <c r="E20" s="1236"/>
      <c r="F20" s="208"/>
    </row>
    <row r="21" spans="1:6">
      <c r="A21" s="1307" t="s">
        <v>680</v>
      </c>
      <c r="B21" s="1308"/>
      <c r="C21" s="1308"/>
      <c r="D21" s="1309"/>
      <c r="E21" s="1309"/>
      <c r="F21" s="1309"/>
    </row>
  </sheetData>
  <mergeCells count="3">
    <mergeCell ref="A2:F2"/>
    <mergeCell ref="A4:A5"/>
    <mergeCell ref="B4:F4"/>
  </mergeCells>
  <pageMargins left="0.7" right="0.7" top="0.75" bottom="0.75" header="0.3" footer="0.3"/>
</worksheet>
</file>

<file path=xl/worksheets/sheet161.xml><?xml version="1.0" encoding="utf-8"?>
<worksheet xmlns="http://schemas.openxmlformats.org/spreadsheetml/2006/main" xmlns:r="http://schemas.openxmlformats.org/officeDocument/2006/relationships">
  <dimension ref="A1:F19"/>
  <sheetViews>
    <sheetView zoomScaleNormal="100" workbookViewId="0">
      <selection activeCell="E23" sqref="E23"/>
    </sheetView>
  </sheetViews>
  <sheetFormatPr baseColWidth="10" defaultRowHeight="12"/>
  <cols>
    <col min="1" max="1" width="24.28515625" style="50" customWidth="1"/>
    <col min="2" max="2" width="11.42578125" style="50" bestFit="1" customWidth="1"/>
    <col min="3" max="3" width="11.5703125" style="50" bestFit="1" customWidth="1"/>
    <col min="4" max="6" width="11.42578125" style="50" bestFit="1" customWidth="1"/>
    <col min="7" max="16384" width="11.42578125" style="50"/>
  </cols>
  <sheetData>
    <row r="1" spans="1:6" ht="15.75" customHeight="1"/>
    <row r="2" spans="1:6" ht="39.75" customHeight="1">
      <c r="A2" s="2028" t="s">
        <v>1704</v>
      </c>
      <c r="B2" s="2028"/>
      <c r="C2" s="2028"/>
      <c r="D2" s="2028"/>
      <c r="E2" s="2028"/>
      <c r="F2" s="2028"/>
    </row>
    <row r="3" spans="1:6" ht="4.5" customHeight="1">
      <c r="A3" s="117"/>
      <c r="B3" s="117"/>
      <c r="C3" s="117"/>
      <c r="D3" s="117"/>
      <c r="E3" s="117"/>
      <c r="F3" s="117"/>
    </row>
    <row r="4" spans="1:6">
      <c r="A4" s="2249" t="s">
        <v>1515</v>
      </c>
      <c r="B4" s="2225" t="s">
        <v>3692</v>
      </c>
      <c r="C4" s="2225"/>
      <c r="D4" s="2225"/>
      <c r="E4" s="2225"/>
      <c r="F4" s="2225"/>
    </row>
    <row r="5" spans="1:6">
      <c r="A5" s="2249"/>
      <c r="B5" s="1251">
        <v>2010</v>
      </c>
      <c r="C5" s="1251">
        <v>2011</v>
      </c>
      <c r="D5" s="1251">
        <v>2012</v>
      </c>
      <c r="E5" s="1251">
        <v>2013</v>
      </c>
      <c r="F5" s="1251">
        <v>2014</v>
      </c>
    </row>
    <row r="6" spans="1:6">
      <c r="A6" s="946" t="s">
        <v>6</v>
      </c>
      <c r="B6" s="114">
        <f>SUM(B7:B16)</f>
        <v>1944877</v>
      </c>
      <c r="C6" s="114">
        <f>SUM(C7:C16)</f>
        <v>2411109</v>
      </c>
      <c r="D6" s="114">
        <f>SUM(D7:D16)</f>
        <v>2502699</v>
      </c>
      <c r="E6" s="114">
        <f>SUM(E7:E16)</f>
        <v>2793829</v>
      </c>
      <c r="F6" s="114">
        <f>SUM(F7:F16)</f>
        <v>3001072</v>
      </c>
    </row>
    <row r="7" spans="1:6">
      <c r="A7" s="117" t="s">
        <v>1705</v>
      </c>
      <c r="B7" s="953">
        <v>127256</v>
      </c>
      <c r="C7" s="953">
        <v>179766</v>
      </c>
      <c r="D7" s="1299">
        <v>197899</v>
      </c>
      <c r="E7" s="1234">
        <v>233240</v>
      </c>
      <c r="F7" s="1235">
        <v>262715</v>
      </c>
    </row>
    <row r="8" spans="1:6">
      <c r="A8" s="117" t="s">
        <v>1706</v>
      </c>
      <c r="B8" s="953">
        <v>67798</v>
      </c>
      <c r="C8" s="953">
        <v>87459</v>
      </c>
      <c r="D8" s="1299">
        <v>93547</v>
      </c>
      <c r="E8" s="1234">
        <v>104987</v>
      </c>
      <c r="F8" s="1235">
        <v>113378</v>
      </c>
    </row>
    <row r="9" spans="1:6">
      <c r="A9" s="117" t="s">
        <v>1707</v>
      </c>
      <c r="B9" s="953">
        <v>198598</v>
      </c>
      <c r="C9" s="953">
        <v>277440</v>
      </c>
      <c r="D9" s="1299">
        <v>289402</v>
      </c>
      <c r="E9" s="1234">
        <v>318732</v>
      </c>
      <c r="F9" s="1235">
        <v>339810</v>
      </c>
    </row>
    <row r="10" spans="1:6" ht="23.25">
      <c r="A10" s="1298" t="s">
        <v>1708</v>
      </c>
      <c r="B10" s="953">
        <v>46852</v>
      </c>
      <c r="C10" s="953">
        <v>63656</v>
      </c>
      <c r="D10" s="1299">
        <v>63371</v>
      </c>
      <c r="E10" s="1234">
        <v>71175</v>
      </c>
      <c r="F10" s="1235">
        <v>77122</v>
      </c>
    </row>
    <row r="11" spans="1:6">
      <c r="A11" s="117" t="s">
        <v>1709</v>
      </c>
      <c r="B11" s="953">
        <v>196824</v>
      </c>
      <c r="C11" s="953">
        <v>68123</v>
      </c>
      <c r="D11" s="1299">
        <v>73531</v>
      </c>
      <c r="E11" s="1234">
        <v>79438</v>
      </c>
      <c r="F11" s="1235">
        <v>88655</v>
      </c>
    </row>
    <row r="12" spans="1:6">
      <c r="A12" s="117" t="s">
        <v>1710</v>
      </c>
      <c r="B12" s="953">
        <v>154379</v>
      </c>
      <c r="C12" s="953">
        <v>208372</v>
      </c>
      <c r="D12" s="1299">
        <v>215164</v>
      </c>
      <c r="E12" s="1234">
        <v>236093</v>
      </c>
      <c r="F12" s="1235">
        <v>245873</v>
      </c>
    </row>
    <row r="13" spans="1:6">
      <c r="A13" s="117" t="s">
        <v>1711</v>
      </c>
      <c r="B13" s="953">
        <v>20350</v>
      </c>
      <c r="C13" s="953">
        <v>24657</v>
      </c>
      <c r="D13" s="1299">
        <v>25941</v>
      </c>
      <c r="E13" s="1234">
        <v>28391</v>
      </c>
      <c r="F13" s="1235">
        <v>29816</v>
      </c>
    </row>
    <row r="14" spans="1:6">
      <c r="A14" s="117" t="s">
        <v>1712</v>
      </c>
      <c r="B14" s="953">
        <v>995930</v>
      </c>
      <c r="C14" s="953">
        <v>1316411</v>
      </c>
      <c r="D14" s="1299">
        <v>1351923</v>
      </c>
      <c r="E14" s="1234">
        <v>1507202</v>
      </c>
      <c r="F14" s="1235">
        <v>1605131</v>
      </c>
    </row>
    <row r="15" spans="1:6">
      <c r="A15" s="117" t="s">
        <v>1713</v>
      </c>
      <c r="B15" s="953">
        <v>28007</v>
      </c>
      <c r="C15" s="953">
        <v>36892</v>
      </c>
      <c r="D15" s="1299">
        <v>37396</v>
      </c>
      <c r="E15" s="1234">
        <v>40608</v>
      </c>
      <c r="F15" s="1235">
        <v>45092</v>
      </c>
    </row>
    <row r="16" spans="1:6">
      <c r="A16" s="117" t="s">
        <v>1714</v>
      </c>
      <c r="B16" s="953">
        <v>108883</v>
      </c>
      <c r="C16" s="953">
        <v>148333</v>
      </c>
      <c r="D16" s="1299">
        <v>154525</v>
      </c>
      <c r="E16" s="1234">
        <v>173963</v>
      </c>
      <c r="F16" s="1235">
        <v>193480</v>
      </c>
    </row>
    <row r="17" spans="1:6">
      <c r="A17" s="117"/>
      <c r="B17" s="953"/>
      <c r="C17" s="953"/>
      <c r="D17" s="953"/>
      <c r="E17" s="953"/>
      <c r="F17" s="953"/>
    </row>
    <row r="18" spans="1:6" ht="27.75" customHeight="1">
      <c r="A18" s="2034" t="s">
        <v>3694</v>
      </c>
      <c r="B18" s="2034"/>
      <c r="C18" s="2034"/>
      <c r="D18" s="2034"/>
      <c r="E18" s="2034"/>
      <c r="F18" s="2034"/>
    </row>
    <row r="19" spans="1:6">
      <c r="A19" s="1236" t="s">
        <v>680</v>
      </c>
      <c r="B19" s="1236"/>
      <c r="C19" s="1236"/>
      <c r="D19" s="1236"/>
      <c r="E19" s="1236"/>
      <c r="F19" s="117"/>
    </row>
  </sheetData>
  <mergeCells count="4">
    <mergeCell ref="A2:F2"/>
    <mergeCell ref="A4:A5"/>
    <mergeCell ref="B4:F4"/>
    <mergeCell ref="A18:F18"/>
  </mergeCells>
  <pageMargins left="0.7" right="0.7" top="0.75" bottom="0.75" header="0.3" footer="0.3"/>
</worksheet>
</file>

<file path=xl/worksheets/sheet162.xml><?xml version="1.0" encoding="utf-8"?>
<worksheet xmlns="http://schemas.openxmlformats.org/spreadsheetml/2006/main" xmlns:r="http://schemas.openxmlformats.org/officeDocument/2006/relationships">
  <dimension ref="A2:F18"/>
  <sheetViews>
    <sheetView zoomScaleNormal="100" workbookViewId="0"/>
  </sheetViews>
  <sheetFormatPr baseColWidth="10" defaultRowHeight="12"/>
  <cols>
    <col min="1" max="1" width="29.42578125" style="50" customWidth="1"/>
    <col min="2" max="6" width="13.140625" style="50" bestFit="1" customWidth="1"/>
    <col min="7" max="16384" width="11.42578125" style="50"/>
  </cols>
  <sheetData>
    <row r="2" spans="1:6" ht="32.25" customHeight="1">
      <c r="A2" s="2028" t="s">
        <v>1715</v>
      </c>
      <c r="B2" s="2028"/>
      <c r="C2" s="2028"/>
      <c r="D2" s="2028"/>
      <c r="E2" s="2028"/>
      <c r="F2" s="2028"/>
    </row>
    <row r="3" spans="1:6">
      <c r="A3" s="117"/>
      <c r="B3" s="117"/>
      <c r="C3" s="117"/>
      <c r="D3" s="117"/>
      <c r="E3" s="117"/>
      <c r="F3" s="117"/>
    </row>
    <row r="4" spans="1:6">
      <c r="A4" s="2329" t="s">
        <v>737</v>
      </c>
      <c r="B4" s="2225" t="s">
        <v>3692</v>
      </c>
      <c r="C4" s="2225"/>
      <c r="D4" s="2225"/>
      <c r="E4" s="2225"/>
      <c r="F4" s="2225"/>
    </row>
    <row r="5" spans="1:6">
      <c r="A5" s="2330"/>
      <c r="B5" s="1251">
        <v>2010</v>
      </c>
      <c r="C5" s="1251">
        <v>2011</v>
      </c>
      <c r="D5" s="1251">
        <v>2012</v>
      </c>
      <c r="E5" s="1251">
        <v>2013</v>
      </c>
      <c r="F5" s="1251">
        <v>2014</v>
      </c>
    </row>
    <row r="6" spans="1:6">
      <c r="A6" s="946" t="s">
        <v>6</v>
      </c>
      <c r="B6" s="114">
        <f>SUM(B7:B15)</f>
        <v>1794203</v>
      </c>
      <c r="C6" s="114">
        <f>SUM(C7:C15)</f>
        <v>2066622</v>
      </c>
      <c r="D6" s="114">
        <f>SUM(D7:D15)</f>
        <v>2467438</v>
      </c>
      <c r="E6" s="114">
        <f>SUM(E7:E15)</f>
        <v>2734913</v>
      </c>
      <c r="F6" s="114">
        <f>SUM(F7:F15)</f>
        <v>3001072</v>
      </c>
    </row>
    <row r="7" spans="1:6">
      <c r="A7" s="117" t="s">
        <v>1694</v>
      </c>
      <c r="B7" s="1299">
        <v>862929</v>
      </c>
      <c r="C7" s="1299">
        <v>929643</v>
      </c>
      <c r="D7" s="1299">
        <v>1056049</v>
      </c>
      <c r="E7" s="1257">
        <v>1159707</v>
      </c>
      <c r="F7" s="1255">
        <v>1269866</v>
      </c>
    </row>
    <row r="8" spans="1:6">
      <c r="A8" s="117" t="s">
        <v>1695</v>
      </c>
      <c r="B8" s="1299">
        <v>239654</v>
      </c>
      <c r="C8" s="1299">
        <v>314543</v>
      </c>
      <c r="D8" s="1299">
        <v>370569</v>
      </c>
      <c r="E8" s="1257">
        <v>412163</v>
      </c>
      <c r="F8" s="1255">
        <v>455898</v>
      </c>
    </row>
    <row r="9" spans="1:6">
      <c r="A9" s="117" t="s">
        <v>1696</v>
      </c>
      <c r="B9" s="1299">
        <v>108004</v>
      </c>
      <c r="C9" s="1299">
        <v>129296</v>
      </c>
      <c r="D9" s="1299">
        <v>164095</v>
      </c>
      <c r="E9" s="1257">
        <v>185314</v>
      </c>
      <c r="F9" s="1255">
        <v>200493</v>
      </c>
    </row>
    <row r="10" spans="1:6" ht="23.25">
      <c r="A10" s="1298" t="s">
        <v>1697</v>
      </c>
      <c r="B10" s="1299">
        <v>247994</v>
      </c>
      <c r="C10" s="1299">
        <v>280067</v>
      </c>
      <c r="D10" s="1299">
        <v>337731</v>
      </c>
      <c r="E10" s="1257">
        <v>367327</v>
      </c>
      <c r="F10" s="1255">
        <v>403925</v>
      </c>
    </row>
    <row r="11" spans="1:6">
      <c r="A11" s="117" t="s">
        <v>1698</v>
      </c>
      <c r="B11" s="1299">
        <v>243151</v>
      </c>
      <c r="C11" s="1299">
        <v>235847</v>
      </c>
      <c r="D11" s="1299">
        <v>338465</v>
      </c>
      <c r="E11" s="1257">
        <v>379204</v>
      </c>
      <c r="F11" s="1255">
        <v>408481</v>
      </c>
    </row>
    <row r="12" spans="1:6">
      <c r="A12" s="117" t="s">
        <v>1699</v>
      </c>
      <c r="B12" s="1299">
        <v>7745</v>
      </c>
      <c r="C12" s="1299">
        <v>77779</v>
      </c>
      <c r="D12" s="1299">
        <v>9301</v>
      </c>
      <c r="E12" s="1257">
        <v>12973</v>
      </c>
      <c r="F12" s="1255">
        <v>13836</v>
      </c>
    </row>
    <row r="13" spans="1:6">
      <c r="A13" s="117" t="s">
        <v>1700</v>
      </c>
      <c r="B13" s="1299">
        <v>66649</v>
      </c>
      <c r="C13" s="1299">
        <v>70750</v>
      </c>
      <c r="D13" s="1299">
        <v>153849</v>
      </c>
      <c r="E13" s="1257">
        <v>158820</v>
      </c>
      <c r="F13" s="1255">
        <v>162303</v>
      </c>
    </row>
    <row r="14" spans="1:6">
      <c r="A14" s="117" t="s">
        <v>1701</v>
      </c>
      <c r="B14" s="1299">
        <v>5355</v>
      </c>
      <c r="C14" s="1299">
        <v>14464</v>
      </c>
      <c r="D14" s="1299">
        <v>8841</v>
      </c>
      <c r="E14" s="1257">
        <v>10741</v>
      </c>
      <c r="F14" s="1255">
        <v>13476</v>
      </c>
    </row>
    <row r="15" spans="1:6">
      <c r="A15" s="117" t="s">
        <v>1716</v>
      </c>
      <c r="B15" s="1299">
        <v>12722</v>
      </c>
      <c r="C15" s="1299">
        <v>14233</v>
      </c>
      <c r="D15" s="1299">
        <v>28538</v>
      </c>
      <c r="E15" s="1257">
        <v>48664</v>
      </c>
      <c r="F15" s="1255">
        <v>72794</v>
      </c>
    </row>
    <row r="16" spans="1:6">
      <c r="A16" s="117"/>
      <c r="B16" s="1299"/>
      <c r="C16" s="1299"/>
      <c r="D16" s="1299"/>
      <c r="E16" s="1257"/>
      <c r="F16" s="1257"/>
    </row>
    <row r="17" spans="1:6" ht="24.75" customHeight="1">
      <c r="A17" s="2331" t="s">
        <v>3693</v>
      </c>
      <c r="B17" s="2331"/>
      <c r="C17" s="2331"/>
      <c r="D17" s="2331"/>
      <c r="E17" s="2331"/>
      <c r="F17" s="2331"/>
    </row>
    <row r="18" spans="1:6">
      <c r="A18" s="1236" t="s">
        <v>680</v>
      </c>
      <c r="B18" s="1236"/>
      <c r="C18" s="1236"/>
      <c r="D18" s="1236"/>
      <c r="E18" s="1236"/>
      <c r="F18" s="117"/>
    </row>
  </sheetData>
  <mergeCells count="4">
    <mergeCell ref="A2:F2"/>
    <mergeCell ref="A4:A5"/>
    <mergeCell ref="B4:F4"/>
    <mergeCell ref="A17:F17"/>
  </mergeCells>
  <pageMargins left="0.7" right="0.7" top="0.75" bottom="0.75" header="0.3" footer="0.3"/>
</worksheet>
</file>

<file path=xl/worksheets/sheet163.xml><?xml version="1.0" encoding="utf-8"?>
<worksheet xmlns="http://schemas.openxmlformats.org/spreadsheetml/2006/main" xmlns:r="http://schemas.openxmlformats.org/officeDocument/2006/relationships">
  <dimension ref="A2:B9"/>
  <sheetViews>
    <sheetView zoomScaleNormal="100" workbookViewId="0">
      <selection activeCell="A21" sqref="A21"/>
    </sheetView>
  </sheetViews>
  <sheetFormatPr baseColWidth="10" defaultRowHeight="12"/>
  <cols>
    <col min="1" max="1" width="73.85546875" style="50" customWidth="1"/>
    <col min="2" max="16384" width="11.42578125" style="50"/>
  </cols>
  <sheetData>
    <row r="2" spans="1:2" ht="18.75" customHeight="1">
      <c r="A2" s="2332" t="s">
        <v>3279</v>
      </c>
      <c r="B2" s="2332"/>
    </row>
    <row r="3" spans="1:2">
      <c r="A3" s="1302"/>
      <c r="B3" s="1302"/>
    </row>
    <row r="4" spans="1:2" ht="28.5" customHeight="1">
      <c r="A4" s="2733" t="s">
        <v>1717</v>
      </c>
      <c r="B4" s="2017">
        <v>2014</v>
      </c>
    </row>
    <row r="5" spans="1:2" ht="15" customHeight="1">
      <c r="A5" s="2734" t="s">
        <v>1718</v>
      </c>
      <c r="B5" s="2735">
        <v>64715</v>
      </c>
    </row>
    <row r="6" spans="1:2">
      <c r="A6" s="1262"/>
      <c r="B6" s="1303"/>
    </row>
    <row r="7" spans="1:2" ht="72" customHeight="1">
      <c r="A7" s="2333" t="s">
        <v>3691</v>
      </c>
      <c r="B7" s="2333"/>
    </row>
    <row r="8" spans="1:2">
      <c r="A8" s="1304" t="s">
        <v>1719</v>
      </c>
      <c r="B8" s="1305"/>
    </row>
    <row r="9" spans="1:2">
      <c r="A9" s="1281" t="s">
        <v>680</v>
      </c>
      <c r="B9" s="1281"/>
    </row>
  </sheetData>
  <mergeCells count="2">
    <mergeCell ref="A2:B2"/>
    <mergeCell ref="A7:B7"/>
  </mergeCells>
  <pageMargins left="0.7" right="0.7" top="0.75" bottom="0.75" header="0.3" footer="0.3"/>
</worksheet>
</file>

<file path=xl/worksheets/sheet164.xml><?xml version="1.0" encoding="utf-8"?>
<worksheet xmlns="http://schemas.openxmlformats.org/spreadsheetml/2006/main" xmlns:r="http://schemas.openxmlformats.org/officeDocument/2006/relationships">
  <dimension ref="A2:G13"/>
  <sheetViews>
    <sheetView zoomScaleNormal="100" workbookViewId="0">
      <selection activeCell="B15" sqref="B15"/>
    </sheetView>
  </sheetViews>
  <sheetFormatPr baseColWidth="10" defaultRowHeight="12"/>
  <cols>
    <col min="1" max="1" width="28.28515625" style="50" customWidth="1"/>
    <col min="2" max="16384" width="11.42578125" style="50"/>
  </cols>
  <sheetData>
    <row r="2" spans="1:7" ht="24" customHeight="1">
      <c r="A2" s="2028" t="s">
        <v>1720</v>
      </c>
      <c r="B2" s="2028"/>
      <c r="C2" s="2028"/>
      <c r="D2" s="2028"/>
      <c r="E2" s="2028"/>
      <c r="F2" s="2028"/>
      <c r="G2" s="2028"/>
    </row>
    <row r="3" spans="1:7">
      <c r="A3" s="115"/>
      <c r="B3" s="115"/>
      <c r="C3" s="115"/>
      <c r="D3" s="115"/>
      <c r="E3" s="115"/>
      <c r="F3" s="115"/>
      <c r="G3" s="115"/>
    </row>
    <row r="4" spans="1:7">
      <c r="A4" s="2328" t="s">
        <v>1721</v>
      </c>
      <c r="B4" s="2249" t="s">
        <v>1275</v>
      </c>
      <c r="C4" s="2249"/>
      <c r="D4" s="2249"/>
      <c r="E4" s="2249"/>
      <c r="F4" s="2249"/>
      <c r="G4" s="2249"/>
    </row>
    <row r="5" spans="1:7">
      <c r="A5" s="2328"/>
      <c r="B5" s="1251">
        <v>2009</v>
      </c>
      <c r="C5" s="1251">
        <v>2010</v>
      </c>
      <c r="D5" s="1251">
        <v>2011</v>
      </c>
      <c r="E5" s="1251">
        <v>2012</v>
      </c>
      <c r="F5" s="1251">
        <v>2013</v>
      </c>
      <c r="G5" s="1251">
        <v>2014</v>
      </c>
    </row>
    <row r="6" spans="1:7" ht="42" customHeight="1">
      <c r="A6" s="1298" t="s">
        <v>3689</v>
      </c>
      <c r="B6" s="1233">
        <v>253859</v>
      </c>
      <c r="C6" s="1299">
        <v>11024</v>
      </c>
      <c r="D6" s="1299">
        <v>63926</v>
      </c>
      <c r="E6" s="1299">
        <v>89996</v>
      </c>
      <c r="F6" s="1257">
        <v>121855</v>
      </c>
      <c r="G6" s="1278">
        <v>69012</v>
      </c>
    </row>
    <row r="7" spans="1:7" ht="37.5" customHeight="1">
      <c r="A7" s="1298" t="s">
        <v>1722</v>
      </c>
      <c r="B7" s="1299">
        <v>1020807</v>
      </c>
      <c r="C7" s="1299">
        <v>1138831</v>
      </c>
      <c r="D7" s="1299">
        <v>1267591</v>
      </c>
      <c r="E7" s="1299">
        <v>1376539</v>
      </c>
      <c r="F7" s="1257">
        <v>1567271</v>
      </c>
      <c r="G7" s="1255">
        <v>1636283</v>
      </c>
    </row>
    <row r="8" spans="1:7">
      <c r="A8" s="117"/>
      <c r="B8" s="1299"/>
      <c r="C8" s="1299"/>
      <c r="D8" s="1299"/>
      <c r="E8" s="1299"/>
      <c r="F8" s="1257"/>
      <c r="G8" s="117"/>
    </row>
    <row r="9" spans="1:7">
      <c r="A9" s="1300" t="s">
        <v>3690</v>
      </c>
      <c r="B9" s="1300"/>
      <c r="C9" s="1300"/>
      <c r="D9" s="1300"/>
      <c r="E9" s="1300"/>
      <c r="F9" s="1300"/>
      <c r="G9" s="117"/>
    </row>
    <row r="10" spans="1:7">
      <c r="A10" s="1236" t="s">
        <v>680</v>
      </c>
      <c r="B10" s="1236"/>
      <c r="C10" s="1236"/>
      <c r="D10" s="1236"/>
      <c r="E10" s="1236"/>
      <c r="F10" s="1236"/>
      <c r="G10" s="117"/>
    </row>
    <row r="13" spans="1:7">
      <c r="G13" s="1301"/>
    </row>
  </sheetData>
  <mergeCells count="3">
    <mergeCell ref="A4:A5"/>
    <mergeCell ref="B4:G4"/>
    <mergeCell ref="A2:G2"/>
  </mergeCells>
  <pageMargins left="0.7" right="0.7" top="0.75" bottom="0.75" header="0.3" footer="0.3"/>
</worksheet>
</file>

<file path=xl/worksheets/sheet165.xml><?xml version="1.0" encoding="utf-8"?>
<worksheet xmlns="http://schemas.openxmlformats.org/spreadsheetml/2006/main" xmlns:r="http://schemas.openxmlformats.org/officeDocument/2006/relationships">
  <dimension ref="A2:G10"/>
  <sheetViews>
    <sheetView zoomScaleNormal="100" workbookViewId="0">
      <selection activeCell="A19" sqref="A19"/>
    </sheetView>
  </sheetViews>
  <sheetFormatPr baseColWidth="10" defaultRowHeight="12"/>
  <cols>
    <col min="1" max="1" width="24.85546875" style="118" customWidth="1"/>
    <col min="2" max="2" width="17.140625" style="118" customWidth="1"/>
    <col min="3" max="5" width="11.42578125" style="118"/>
    <col min="6" max="6" width="14.42578125" style="118" customWidth="1"/>
    <col min="7" max="7" width="14" style="118" customWidth="1"/>
    <col min="8" max="16384" width="11.42578125" style="118"/>
  </cols>
  <sheetData>
    <row r="2" spans="1:7" ht="29.25" customHeight="1">
      <c r="A2" s="2327" t="s">
        <v>3278</v>
      </c>
      <c r="B2" s="2327"/>
      <c r="C2" s="2327"/>
      <c r="D2" s="2327"/>
      <c r="E2" s="2327"/>
      <c r="F2" s="2327"/>
      <c r="G2" s="2327"/>
    </row>
    <row r="3" spans="1:7">
      <c r="A3" s="113"/>
      <c r="B3" s="134"/>
      <c r="C3" s="134"/>
      <c r="D3" s="134"/>
      <c r="E3" s="134"/>
      <c r="F3" s="134"/>
      <c r="G3" s="134"/>
    </row>
    <row r="4" spans="1:7">
      <c r="A4" s="2219" t="s">
        <v>3686</v>
      </c>
      <c r="B4" s="2334" t="s">
        <v>1275</v>
      </c>
      <c r="C4" s="2334"/>
      <c r="D4" s="2334"/>
      <c r="E4" s="2334"/>
      <c r="F4" s="2334"/>
      <c r="G4" s="2334"/>
    </row>
    <row r="5" spans="1:7" ht="38.25" customHeight="1">
      <c r="A5" s="2220"/>
      <c r="B5" s="1289">
        <v>2009</v>
      </c>
      <c r="C5" s="1289">
        <v>2010</v>
      </c>
      <c r="D5" s="1289">
        <v>2011</v>
      </c>
      <c r="E5" s="1289">
        <v>2012</v>
      </c>
      <c r="F5" s="1289">
        <v>2013</v>
      </c>
      <c r="G5" s="1289">
        <v>2014</v>
      </c>
    </row>
    <row r="6" spans="1:7">
      <c r="A6" s="1231" t="s">
        <v>6</v>
      </c>
      <c r="B6" s="1295">
        <v>2100429</v>
      </c>
      <c r="C6" s="1296">
        <v>1829145</v>
      </c>
      <c r="D6" s="1232">
        <v>2554595</v>
      </c>
      <c r="E6" s="1232">
        <v>2314502</v>
      </c>
      <c r="F6" s="1034">
        <v>2724740</v>
      </c>
      <c r="G6" s="1034">
        <v>4229170</v>
      </c>
    </row>
    <row r="7" spans="1:7">
      <c r="A7" s="134"/>
      <c r="B7" s="878"/>
      <c r="C7" s="1297"/>
      <c r="D7" s="1233"/>
      <c r="E7" s="1233"/>
      <c r="F7" s="1168"/>
      <c r="G7" s="134"/>
    </row>
    <row r="8" spans="1:7" ht="25.5" customHeight="1">
      <c r="A8" s="2043" t="s">
        <v>3687</v>
      </c>
      <c r="B8" s="2043"/>
      <c r="C8" s="2043"/>
      <c r="D8" s="2043"/>
      <c r="E8" s="2043"/>
      <c r="F8" s="2043"/>
      <c r="G8" s="2043"/>
    </row>
    <row r="9" spans="1:7">
      <c r="A9" s="2335" t="s">
        <v>3688</v>
      </c>
      <c r="B9" s="2335"/>
      <c r="C9" s="2335"/>
      <c r="D9" s="2335"/>
      <c r="E9" s="2335"/>
      <c r="F9" s="2335"/>
      <c r="G9" s="2335"/>
    </row>
    <row r="10" spans="1:7">
      <c r="A10" s="1236" t="s">
        <v>680</v>
      </c>
      <c r="B10" s="128"/>
      <c r="C10" s="128"/>
      <c r="D10" s="128"/>
      <c r="E10" s="128"/>
      <c r="F10" s="128"/>
      <c r="G10" s="128"/>
    </row>
  </sheetData>
  <mergeCells count="5">
    <mergeCell ref="A2:G2"/>
    <mergeCell ref="A4:A5"/>
    <mergeCell ref="B4:G4"/>
    <mergeCell ref="A8:G8"/>
    <mergeCell ref="A9:G9"/>
  </mergeCells>
  <pageMargins left="0.7" right="0.7" top="0.75" bottom="0.75" header="0.3" footer="0.3"/>
</worksheet>
</file>

<file path=xl/worksheets/sheet166.xml><?xml version="1.0" encoding="utf-8"?>
<worksheet xmlns="http://schemas.openxmlformats.org/spreadsheetml/2006/main" xmlns:r="http://schemas.openxmlformats.org/officeDocument/2006/relationships">
  <dimension ref="A2:G10"/>
  <sheetViews>
    <sheetView zoomScaleNormal="100" workbookViewId="0">
      <selection activeCell="B16" sqref="B16"/>
    </sheetView>
  </sheetViews>
  <sheetFormatPr baseColWidth="10" defaultRowHeight="12"/>
  <cols>
    <col min="1" max="1" width="15.28515625" style="50" customWidth="1"/>
    <col min="2" max="2" width="11.42578125" style="50"/>
    <col min="3" max="3" width="16" style="50" customWidth="1"/>
    <col min="4" max="4" width="14.7109375" style="50" customWidth="1"/>
    <col min="5" max="5" width="16.140625" style="50" customWidth="1"/>
    <col min="6" max="16384" width="11.42578125" style="50"/>
  </cols>
  <sheetData>
    <row r="2" spans="1:7" ht="13.5">
      <c r="A2" s="113" t="s">
        <v>3277</v>
      </c>
      <c r="B2" s="114"/>
      <c r="C2" s="115"/>
      <c r="D2" s="115"/>
      <c r="E2" s="115"/>
      <c r="F2" s="115"/>
      <c r="G2" s="115"/>
    </row>
    <row r="3" spans="1:7">
      <c r="A3" s="1231"/>
      <c r="B3" s="1288"/>
      <c r="C3" s="1288"/>
      <c r="D3" s="115"/>
      <c r="E3" s="115"/>
      <c r="F3" s="115"/>
      <c r="G3" s="115"/>
    </row>
    <row r="4" spans="1:7">
      <c r="A4" s="2219" t="s">
        <v>1723</v>
      </c>
      <c r="B4" s="2249" t="s">
        <v>1275</v>
      </c>
      <c r="C4" s="2249"/>
      <c r="D4" s="2249"/>
      <c r="E4" s="2249"/>
      <c r="F4" s="2249"/>
      <c r="G4" s="2249"/>
    </row>
    <row r="5" spans="1:7" ht="48.75" customHeight="1">
      <c r="A5" s="2220"/>
      <c r="B5" s="2015">
        <v>2009</v>
      </c>
      <c r="C5" s="2016">
        <v>2010</v>
      </c>
      <c r="D5" s="2016">
        <v>2011</v>
      </c>
      <c r="E5" s="2016">
        <v>2012</v>
      </c>
      <c r="F5" s="2015">
        <v>2013</v>
      </c>
      <c r="G5" s="2016">
        <v>2014</v>
      </c>
    </row>
    <row r="6" spans="1:7">
      <c r="A6" s="1231" t="s">
        <v>6</v>
      </c>
      <c r="B6" s="1254">
        <v>436535</v>
      </c>
      <c r="C6" s="1034">
        <v>3293688</v>
      </c>
      <c r="D6" s="1034">
        <v>3276063</v>
      </c>
      <c r="E6" s="1034">
        <v>2204724</v>
      </c>
      <c r="F6" s="1254">
        <v>2371506</v>
      </c>
      <c r="G6" s="1290">
        <v>2485984</v>
      </c>
    </row>
    <row r="7" spans="1:7">
      <c r="A7" s="1291"/>
      <c r="B7" s="1234"/>
      <c r="C7" s="1168"/>
      <c r="D7" s="1168"/>
      <c r="E7" s="1168"/>
      <c r="F7" s="1234"/>
      <c r="G7" s="1292"/>
    </row>
    <row r="8" spans="1:7" ht="24" customHeight="1">
      <c r="A8" s="2336" t="s">
        <v>3685</v>
      </c>
      <c r="B8" s="2336"/>
      <c r="C8" s="2336"/>
      <c r="D8" s="2336"/>
      <c r="E8" s="2336"/>
      <c r="F8" s="2336"/>
      <c r="G8" s="2336"/>
    </row>
    <row r="9" spans="1:7">
      <c r="A9" s="1293"/>
      <c r="B9" s="1293"/>
      <c r="C9" s="1293"/>
      <c r="D9" s="1293"/>
      <c r="E9" s="1293"/>
      <c r="F9" s="1293"/>
      <c r="G9" s="115"/>
    </row>
    <row r="10" spans="1:7">
      <c r="A10" s="1236" t="s">
        <v>680</v>
      </c>
      <c r="B10" s="1294"/>
      <c r="C10" s="155"/>
      <c r="D10" s="155"/>
      <c r="E10" s="115"/>
      <c r="F10" s="115"/>
      <c r="G10" s="115"/>
    </row>
  </sheetData>
  <mergeCells count="3">
    <mergeCell ref="A4:A5"/>
    <mergeCell ref="B4:G4"/>
    <mergeCell ref="A8:G8"/>
  </mergeCells>
  <pageMargins left="0.7" right="0.7" top="0.75" bottom="0.75" header="0.3" footer="0.3"/>
</worksheet>
</file>

<file path=xl/worksheets/sheet167.xml><?xml version="1.0" encoding="utf-8"?>
<worksheet xmlns="http://schemas.openxmlformats.org/spreadsheetml/2006/main" xmlns:r="http://schemas.openxmlformats.org/officeDocument/2006/relationships">
  <dimension ref="A2:G20"/>
  <sheetViews>
    <sheetView zoomScaleNormal="100" workbookViewId="0">
      <selection activeCell="A26" sqref="A26"/>
    </sheetView>
  </sheetViews>
  <sheetFormatPr baseColWidth="10" defaultRowHeight="12"/>
  <cols>
    <col min="1" max="1" width="57.85546875" style="50" customWidth="1"/>
    <col min="2" max="2" width="11.42578125" style="50"/>
    <col min="3" max="5" width="12.7109375" style="50" bestFit="1" customWidth="1"/>
    <col min="6" max="16384" width="11.42578125" style="50"/>
  </cols>
  <sheetData>
    <row r="2" spans="1:7" ht="27.75" customHeight="1">
      <c r="A2" s="2048" t="s">
        <v>3276</v>
      </c>
      <c r="B2" s="2048"/>
      <c r="C2" s="2048"/>
      <c r="D2" s="2048"/>
      <c r="E2" s="2048"/>
      <c r="F2" s="2048"/>
      <c r="G2" s="2048"/>
    </row>
    <row r="3" spans="1:7">
      <c r="A3" s="1260"/>
      <c r="B3" s="1260"/>
      <c r="C3" s="1260"/>
      <c r="D3" s="1240"/>
      <c r="E3" s="1260"/>
      <c r="F3" s="1260"/>
      <c r="G3" s="1260"/>
    </row>
    <row r="4" spans="1:7">
      <c r="A4" s="2337" t="s">
        <v>1724</v>
      </c>
      <c r="B4" s="2338" t="s">
        <v>1725</v>
      </c>
      <c r="C4" s="2338"/>
      <c r="D4" s="2338"/>
      <c r="E4" s="2338"/>
      <c r="F4" s="2338"/>
      <c r="G4" s="2338"/>
    </row>
    <row r="5" spans="1:7">
      <c r="A5" s="2337"/>
      <c r="B5" s="1241">
        <v>2009</v>
      </c>
      <c r="C5" s="1241">
        <v>2010</v>
      </c>
      <c r="D5" s="1241">
        <v>2011</v>
      </c>
      <c r="E5" s="1241">
        <v>2012</v>
      </c>
      <c r="F5" s="1241">
        <v>2013</v>
      </c>
      <c r="G5" s="1241">
        <v>2014</v>
      </c>
    </row>
    <row r="6" spans="1:7">
      <c r="A6" s="1274" t="s">
        <v>6</v>
      </c>
      <c r="B6" s="1275">
        <f>SUM(B9:B12)</f>
        <v>2720680</v>
      </c>
      <c r="C6" s="1275">
        <f>SUM(C9:C12)</f>
        <v>26234851</v>
      </c>
      <c r="D6" s="1275">
        <f>SUM(D9:D12)</f>
        <v>35777674</v>
      </c>
      <c r="E6" s="1275">
        <f>SUM(E9:E12)</f>
        <v>22636361</v>
      </c>
      <c r="F6" s="1275">
        <f>SUM(F9:F12)</f>
        <v>882852</v>
      </c>
      <c r="G6" s="1275">
        <f>SUM(G7:G12)</f>
        <v>3562852</v>
      </c>
    </row>
    <row r="7" spans="1:7" ht="13.5">
      <c r="A7" s="1276" t="s">
        <v>3674</v>
      </c>
      <c r="B7" s="1277">
        <v>0</v>
      </c>
      <c r="C7" s="1277">
        <v>0</v>
      </c>
      <c r="D7" s="1277">
        <v>0</v>
      </c>
      <c r="E7" s="1277">
        <v>0</v>
      </c>
      <c r="F7" s="1277">
        <v>0</v>
      </c>
      <c r="G7" s="1278">
        <v>413559</v>
      </c>
    </row>
    <row r="8" spans="1:7" ht="13.5">
      <c r="A8" s="1276" t="s">
        <v>3675</v>
      </c>
      <c r="B8" s="1277">
        <v>0</v>
      </c>
      <c r="C8" s="1277">
        <v>0</v>
      </c>
      <c r="D8" s="1277">
        <v>0</v>
      </c>
      <c r="E8" s="1277">
        <v>0</v>
      </c>
      <c r="F8" s="1277">
        <v>0</v>
      </c>
      <c r="G8" s="1278">
        <v>1861027</v>
      </c>
    </row>
    <row r="9" spans="1:7" ht="13.5">
      <c r="A9" s="1240" t="s">
        <v>3676</v>
      </c>
      <c r="B9" s="1277">
        <v>0</v>
      </c>
      <c r="C9" s="1277">
        <v>0</v>
      </c>
      <c r="D9" s="1277">
        <v>1173498</v>
      </c>
      <c r="E9" s="1277">
        <v>975068</v>
      </c>
      <c r="F9" s="1266">
        <v>9039</v>
      </c>
      <c r="G9" s="1255">
        <v>188082</v>
      </c>
    </row>
    <row r="10" spans="1:7" ht="13.5">
      <c r="A10" s="1240" t="s">
        <v>3677</v>
      </c>
      <c r="B10" s="1277">
        <v>0</v>
      </c>
      <c r="C10" s="1277">
        <v>0</v>
      </c>
      <c r="D10" s="1277">
        <v>57585</v>
      </c>
      <c r="E10" s="1277">
        <v>43321</v>
      </c>
      <c r="F10" s="1266">
        <v>5257</v>
      </c>
      <c r="G10" s="1255">
        <v>30210</v>
      </c>
    </row>
    <row r="11" spans="1:7" ht="13.5">
      <c r="A11" s="1240" t="s">
        <v>3678</v>
      </c>
      <c r="B11" s="1277">
        <v>0</v>
      </c>
      <c r="C11" s="1277">
        <v>0</v>
      </c>
      <c r="D11" s="1277">
        <v>2597889</v>
      </c>
      <c r="E11" s="1277">
        <v>974626</v>
      </c>
      <c r="F11" s="1266">
        <v>196870</v>
      </c>
      <c r="G11" s="1255">
        <v>247321</v>
      </c>
    </row>
    <row r="12" spans="1:7" ht="13.5">
      <c r="A12" s="1240" t="s">
        <v>3679</v>
      </c>
      <c r="B12" s="1249">
        <v>2720680</v>
      </c>
      <c r="C12" s="1277">
        <v>26234851</v>
      </c>
      <c r="D12" s="1277">
        <v>31948702</v>
      </c>
      <c r="E12" s="1277">
        <v>20643346</v>
      </c>
      <c r="F12" s="1255">
        <v>671686</v>
      </c>
      <c r="G12" s="1255">
        <v>822653</v>
      </c>
    </row>
    <row r="13" spans="1:7">
      <c r="A13" s="1240"/>
      <c r="B13" s="1249"/>
      <c r="C13" s="1277"/>
      <c r="D13" s="1277"/>
      <c r="E13" s="1277"/>
      <c r="F13" s="1255"/>
      <c r="G13" s="1279"/>
    </row>
    <row r="14" spans="1:7">
      <c r="A14" s="1280" t="s">
        <v>3680</v>
      </c>
      <c r="B14" s="1249"/>
      <c r="C14" s="1277"/>
      <c r="D14" s="1277"/>
      <c r="E14" s="1277"/>
      <c r="F14" s="1255"/>
      <c r="G14" s="1279"/>
    </row>
    <row r="15" spans="1:7">
      <c r="A15" s="1281" t="s">
        <v>3681</v>
      </c>
      <c r="B15" s="1281"/>
      <c r="C15" s="1281"/>
      <c r="D15" s="1281"/>
      <c r="E15" s="1281"/>
      <c r="F15" s="1281"/>
      <c r="G15" s="1279"/>
    </row>
    <row r="16" spans="1:7">
      <c r="A16" s="1281" t="s">
        <v>3682</v>
      </c>
      <c r="B16" s="1281"/>
      <c r="C16" s="1281"/>
      <c r="D16" s="1281"/>
      <c r="E16" s="1281"/>
      <c r="F16" s="1281"/>
      <c r="G16" s="1279"/>
    </row>
    <row r="17" spans="1:7">
      <c r="A17" s="1240" t="s">
        <v>3683</v>
      </c>
      <c r="B17" s="1249"/>
      <c r="C17" s="1277"/>
      <c r="D17" s="1277"/>
      <c r="E17" s="1277"/>
      <c r="F17" s="1255"/>
      <c r="G17" s="1279"/>
    </row>
    <row r="18" spans="1:7">
      <c r="A18" s="1240" t="s">
        <v>3684</v>
      </c>
      <c r="B18" s="1249"/>
      <c r="C18" s="1277"/>
      <c r="D18" s="1277"/>
      <c r="E18" s="1277"/>
      <c r="F18" s="1255"/>
      <c r="G18" s="1279"/>
    </row>
    <row r="19" spans="1:7">
      <c r="A19" s="1272" t="s">
        <v>734</v>
      </c>
      <c r="B19" s="1282"/>
      <c r="C19" s="1283"/>
      <c r="D19" s="1283"/>
      <c r="E19" s="1283"/>
      <c r="F19" s="1284"/>
      <c r="G19" s="1285"/>
    </row>
    <row r="20" spans="1:7">
      <c r="A20" s="1286" t="s">
        <v>680</v>
      </c>
      <c r="B20" s="1286"/>
      <c r="C20" s="1286"/>
      <c r="D20" s="1286"/>
      <c r="E20" s="1286"/>
      <c r="F20" s="1286"/>
      <c r="G20" s="1287"/>
    </row>
  </sheetData>
  <mergeCells count="3">
    <mergeCell ref="A2:G2"/>
    <mergeCell ref="A4:A5"/>
    <mergeCell ref="B4:G4"/>
  </mergeCells>
  <pageMargins left="0.7" right="0.7" top="0.75" bottom="0.75" header="0.3" footer="0.3"/>
</worksheet>
</file>

<file path=xl/worksheets/sheet168.xml><?xml version="1.0" encoding="utf-8"?>
<worksheet xmlns="http://schemas.openxmlformats.org/spreadsheetml/2006/main" xmlns:r="http://schemas.openxmlformats.org/officeDocument/2006/relationships">
  <dimension ref="A1:M22"/>
  <sheetViews>
    <sheetView zoomScaleNormal="100" workbookViewId="0">
      <selection activeCell="A27" sqref="A27"/>
    </sheetView>
  </sheetViews>
  <sheetFormatPr baseColWidth="10" defaultRowHeight="12"/>
  <cols>
    <col min="1" max="1" width="33.7109375" style="50" customWidth="1"/>
    <col min="2" max="2" width="11.42578125" style="50"/>
    <col min="3" max="3" width="13.42578125" style="50" customWidth="1"/>
    <col min="4" max="4" width="11.42578125" style="50"/>
    <col min="5" max="5" width="13.140625" style="50" customWidth="1"/>
    <col min="6" max="6" width="11.42578125" style="50"/>
    <col min="7" max="7" width="13.42578125" style="50" customWidth="1"/>
    <col min="8" max="8" width="11.42578125" style="50"/>
    <col min="9" max="9" width="13.28515625" style="50" customWidth="1"/>
    <col min="10" max="10" width="11.42578125" style="50"/>
    <col min="11" max="11" width="13.5703125" style="50" customWidth="1"/>
    <col min="12" max="12" width="11.42578125" style="50"/>
    <col min="13" max="13" width="13.140625" style="50" customWidth="1"/>
    <col min="14" max="16384" width="11.42578125" style="50"/>
  </cols>
  <sheetData>
    <row r="1" spans="1:13" ht="5.25" customHeight="1"/>
    <row r="2" spans="1:13" ht="25.5" customHeight="1">
      <c r="A2" s="2339" t="s">
        <v>1726</v>
      </c>
      <c r="B2" s="2339"/>
      <c r="C2" s="2339"/>
      <c r="D2" s="2339"/>
      <c r="E2" s="2339"/>
      <c r="F2" s="2339"/>
      <c r="G2" s="2339"/>
      <c r="H2" s="2339"/>
      <c r="I2" s="2339"/>
      <c r="J2" s="2339"/>
      <c r="K2" s="2339"/>
      <c r="L2" s="2339"/>
      <c r="M2" s="2339"/>
    </row>
    <row r="3" spans="1:13" ht="6.75" customHeight="1">
      <c r="A3" s="1258"/>
      <c r="B3" s="1259"/>
      <c r="C3" s="1259"/>
      <c r="D3" s="1240"/>
      <c r="E3" s="1260"/>
      <c r="F3" s="1260"/>
      <c r="G3" s="1260"/>
      <c r="H3" s="1260"/>
      <c r="I3" s="1260"/>
      <c r="J3" s="1260"/>
      <c r="K3" s="1260"/>
      <c r="L3" s="1260"/>
      <c r="M3" s="1260"/>
    </row>
    <row r="4" spans="1:13">
      <c r="A4" s="2337" t="s">
        <v>3660</v>
      </c>
      <c r="B4" s="2341">
        <v>2009</v>
      </c>
      <c r="C4" s="2341"/>
      <c r="D4" s="2341">
        <v>2010</v>
      </c>
      <c r="E4" s="2341"/>
      <c r="F4" s="2341">
        <v>2011</v>
      </c>
      <c r="G4" s="2341"/>
      <c r="H4" s="2341">
        <v>2012</v>
      </c>
      <c r="I4" s="2341"/>
      <c r="J4" s="2341">
        <v>2013</v>
      </c>
      <c r="K4" s="2341"/>
      <c r="L4" s="2341">
        <v>2014</v>
      </c>
      <c r="M4" s="2341"/>
    </row>
    <row r="5" spans="1:13" ht="33.75">
      <c r="A5" s="2337"/>
      <c r="B5" s="1261" t="s">
        <v>1727</v>
      </c>
      <c r="C5" s="1261" t="s">
        <v>1728</v>
      </c>
      <c r="D5" s="1261" t="s">
        <v>1727</v>
      </c>
      <c r="E5" s="1261" t="s">
        <v>1728</v>
      </c>
      <c r="F5" s="1261" t="s">
        <v>1727</v>
      </c>
      <c r="G5" s="1261" t="s">
        <v>1728</v>
      </c>
      <c r="H5" s="1261" t="s">
        <v>1727</v>
      </c>
      <c r="I5" s="1261" t="s">
        <v>1728</v>
      </c>
      <c r="J5" s="1261" t="s">
        <v>1727</v>
      </c>
      <c r="K5" s="1261" t="s">
        <v>1728</v>
      </c>
      <c r="L5" s="1261" t="s">
        <v>1727</v>
      </c>
      <c r="M5" s="1261" t="s">
        <v>1728</v>
      </c>
    </row>
    <row r="6" spans="1:13" ht="13.5">
      <c r="A6" s="1262" t="s">
        <v>3661</v>
      </c>
      <c r="B6" s="1249">
        <v>2020909</v>
      </c>
      <c r="C6" s="1249">
        <v>5099700</v>
      </c>
      <c r="D6" s="878">
        <v>3218427</v>
      </c>
      <c r="E6" s="878">
        <v>7924014</v>
      </c>
      <c r="F6" s="1249">
        <v>2158666</v>
      </c>
      <c r="G6" s="1249">
        <v>15403761</v>
      </c>
      <c r="H6" s="1249">
        <v>3920306</v>
      </c>
      <c r="I6" s="1249">
        <v>23753860</v>
      </c>
      <c r="J6" s="1255">
        <v>3795013</v>
      </c>
      <c r="K6" s="1255">
        <v>24254820</v>
      </c>
      <c r="L6" s="1193">
        <v>3073562</v>
      </c>
      <c r="M6" s="1255">
        <v>3419626</v>
      </c>
    </row>
    <row r="7" spans="1:13" ht="13.5">
      <c r="A7" s="1262" t="s">
        <v>3662</v>
      </c>
      <c r="B7" s="1250">
        <v>675817</v>
      </c>
      <c r="C7" s="1250">
        <v>15567</v>
      </c>
      <c r="D7" s="527">
        <v>737858</v>
      </c>
      <c r="E7" s="527">
        <v>25100</v>
      </c>
      <c r="F7" s="1249">
        <v>1220575</v>
      </c>
      <c r="G7" s="1249">
        <v>29290</v>
      </c>
      <c r="H7" s="1249">
        <v>1213131</v>
      </c>
      <c r="I7" s="1249">
        <v>22343</v>
      </c>
      <c r="J7" s="1249">
        <v>824362</v>
      </c>
      <c r="K7" s="1249">
        <v>13026</v>
      </c>
      <c r="L7" s="1263">
        <v>222917</v>
      </c>
      <c r="M7" s="1250">
        <v>5219</v>
      </c>
    </row>
    <row r="8" spans="1:13" ht="13.5">
      <c r="A8" s="1262" t="s">
        <v>3663</v>
      </c>
      <c r="B8" s="1264" t="s">
        <v>155</v>
      </c>
      <c r="C8" s="1264" t="s">
        <v>155</v>
      </c>
      <c r="D8" s="1264" t="s">
        <v>155</v>
      </c>
      <c r="E8" s="1264" t="s">
        <v>155</v>
      </c>
      <c r="F8" s="1249">
        <v>395786</v>
      </c>
      <c r="G8" s="1265" t="s">
        <v>1729</v>
      </c>
      <c r="H8" s="1249">
        <v>310691</v>
      </c>
      <c r="I8" s="1265" t="s">
        <v>55</v>
      </c>
      <c r="J8" s="1266">
        <v>142637</v>
      </c>
      <c r="K8" s="1265" t="s">
        <v>55</v>
      </c>
      <c r="L8" s="1267">
        <v>579277</v>
      </c>
      <c r="M8" s="1265" t="s">
        <v>55</v>
      </c>
    </row>
    <row r="9" spans="1:13" ht="13.5">
      <c r="A9" s="1262" t="s">
        <v>3664</v>
      </c>
      <c r="B9" s="1264" t="s">
        <v>155</v>
      </c>
      <c r="C9" s="1264" t="s">
        <v>155</v>
      </c>
      <c r="D9" s="1264" t="s">
        <v>155</v>
      </c>
      <c r="E9" s="1264" t="s">
        <v>155</v>
      </c>
      <c r="F9" s="1249">
        <v>444554</v>
      </c>
      <c r="G9" s="1265" t="s">
        <v>1729</v>
      </c>
      <c r="H9" s="1249">
        <v>342042</v>
      </c>
      <c r="I9" s="1265" t="s">
        <v>55</v>
      </c>
      <c r="J9" s="1266">
        <v>15897</v>
      </c>
      <c r="K9" s="1265" t="s">
        <v>55</v>
      </c>
      <c r="L9" s="1267">
        <v>35266</v>
      </c>
      <c r="M9" s="1265" t="s">
        <v>55</v>
      </c>
    </row>
    <row r="10" spans="1:13" ht="13.5">
      <c r="A10" s="1262" t="s">
        <v>3665</v>
      </c>
      <c r="B10" s="1264" t="s">
        <v>155</v>
      </c>
      <c r="C10" s="1264" t="s">
        <v>155</v>
      </c>
      <c r="D10" s="1264" t="s">
        <v>155</v>
      </c>
      <c r="E10" s="1264" t="s">
        <v>155</v>
      </c>
      <c r="F10" s="1249">
        <v>16306</v>
      </c>
      <c r="G10" s="1265" t="s">
        <v>1729</v>
      </c>
      <c r="H10" s="1249">
        <v>20830</v>
      </c>
      <c r="I10" s="1265" t="s">
        <v>55</v>
      </c>
      <c r="J10" s="1266">
        <v>12624</v>
      </c>
      <c r="K10" s="1265" t="s">
        <v>55</v>
      </c>
      <c r="L10" s="1267">
        <v>34283</v>
      </c>
      <c r="M10" s="1265" t="s">
        <v>55</v>
      </c>
    </row>
    <row r="11" spans="1:13" ht="13.5">
      <c r="A11" s="1262" t="s">
        <v>3666</v>
      </c>
      <c r="B11" s="1264" t="s">
        <v>155</v>
      </c>
      <c r="C11" s="1264" t="s">
        <v>155</v>
      </c>
      <c r="D11" s="1264" t="s">
        <v>155</v>
      </c>
      <c r="E11" s="1264" t="s">
        <v>155</v>
      </c>
      <c r="F11" s="1249">
        <v>12910</v>
      </c>
      <c r="G11" s="1265" t="s">
        <v>1729</v>
      </c>
      <c r="H11" s="1249">
        <v>22024</v>
      </c>
      <c r="I11" s="1265" t="s">
        <v>55</v>
      </c>
      <c r="J11" s="1266">
        <v>1308</v>
      </c>
      <c r="K11" s="1265" t="s">
        <v>55</v>
      </c>
      <c r="L11" s="1267">
        <v>1821</v>
      </c>
      <c r="M11" s="1265" t="s">
        <v>55</v>
      </c>
    </row>
    <row r="12" spans="1:13">
      <c r="A12" s="1262"/>
      <c r="B12" s="1268"/>
      <c r="C12" s="1268"/>
      <c r="D12" s="1268"/>
      <c r="E12" s="1268"/>
      <c r="F12" s="1249"/>
      <c r="G12" s="1265"/>
      <c r="H12" s="1249"/>
      <c r="I12" s="1265"/>
      <c r="J12" s="1266"/>
      <c r="K12" s="1268"/>
      <c r="L12" s="1260"/>
      <c r="M12" s="1269"/>
    </row>
    <row r="13" spans="1:13" ht="38.25" customHeight="1">
      <c r="A13" s="2340" t="s">
        <v>3667</v>
      </c>
      <c r="B13" s="2340"/>
      <c r="C13" s="2340"/>
      <c r="D13" s="2340"/>
      <c r="E13" s="2340"/>
      <c r="F13" s="2340"/>
      <c r="G13" s="2340"/>
      <c r="H13" s="2340"/>
      <c r="I13" s="2340"/>
      <c r="J13" s="2340"/>
      <c r="K13" s="2340"/>
      <c r="L13" s="2340"/>
      <c r="M13" s="2340"/>
    </row>
    <row r="14" spans="1:13">
      <c r="A14" s="1270" t="s">
        <v>3668</v>
      </c>
      <c r="B14" s="1270"/>
      <c r="C14" s="1271"/>
      <c r="D14" s="1271"/>
      <c r="E14" s="1271"/>
      <c r="F14" s="1271"/>
      <c r="G14" s="1271"/>
      <c r="H14" s="1271"/>
      <c r="I14" s="1271"/>
      <c r="J14" s="1271"/>
      <c r="K14" s="1271"/>
      <c r="L14" s="1260"/>
      <c r="M14" s="1269"/>
    </row>
    <row r="15" spans="1:13">
      <c r="A15" s="1270" t="s">
        <v>3669</v>
      </c>
      <c r="B15" s="1270"/>
      <c r="C15" s="1271"/>
      <c r="D15" s="1271"/>
      <c r="E15" s="1271"/>
      <c r="F15" s="1271"/>
      <c r="G15" s="1271"/>
      <c r="H15" s="1271"/>
      <c r="I15" s="1271"/>
      <c r="J15" s="1271"/>
      <c r="K15" s="1271"/>
      <c r="L15" s="1260"/>
      <c r="M15" s="1269"/>
    </row>
    <row r="16" spans="1:13">
      <c r="A16" s="1270" t="s">
        <v>3670</v>
      </c>
      <c r="B16" s="1270"/>
      <c r="C16" s="1271"/>
      <c r="D16" s="1271"/>
      <c r="E16" s="1271"/>
      <c r="F16" s="1271"/>
      <c r="G16" s="1271"/>
      <c r="H16" s="1271"/>
      <c r="I16" s="1271"/>
      <c r="J16" s="1271"/>
      <c r="K16" s="1271"/>
      <c r="L16" s="1260"/>
      <c r="M16" s="1269"/>
    </row>
    <row r="17" spans="1:13">
      <c r="A17" s="1270" t="s">
        <v>3671</v>
      </c>
      <c r="B17" s="1270"/>
      <c r="C17" s="1271"/>
      <c r="D17" s="1271"/>
      <c r="E17" s="1271"/>
      <c r="F17" s="1271"/>
      <c r="G17" s="1271"/>
      <c r="H17" s="1271"/>
      <c r="I17" s="1271"/>
      <c r="J17" s="1271"/>
      <c r="K17" s="1271"/>
      <c r="L17" s="1260"/>
      <c r="M17" s="1269"/>
    </row>
    <row r="18" spans="1:13">
      <c r="A18" s="1270" t="s">
        <v>3672</v>
      </c>
      <c r="B18" s="1270"/>
      <c r="C18" s="1271"/>
      <c r="D18" s="1271"/>
      <c r="E18" s="1271"/>
      <c r="F18" s="1271"/>
      <c r="G18" s="1271"/>
      <c r="H18" s="1271"/>
      <c r="I18" s="1271"/>
      <c r="J18" s="1271"/>
      <c r="K18" s="1271"/>
      <c r="L18" s="1260"/>
      <c r="M18" s="1269"/>
    </row>
    <row r="19" spans="1:13">
      <c r="A19" s="1270" t="s">
        <v>3673</v>
      </c>
      <c r="B19" s="1270"/>
      <c r="C19" s="1271"/>
      <c r="D19" s="1271"/>
      <c r="E19" s="1271"/>
      <c r="F19" s="1271"/>
      <c r="G19" s="1271"/>
      <c r="H19" s="1271"/>
      <c r="I19" s="1271"/>
      <c r="J19" s="1271"/>
      <c r="K19" s="1271"/>
      <c r="L19" s="1260"/>
      <c r="M19" s="1269"/>
    </row>
    <row r="20" spans="1:13">
      <c r="A20" s="1272" t="s">
        <v>733</v>
      </c>
      <c r="B20" s="1271"/>
      <c r="C20" s="1271"/>
      <c r="D20" s="1271"/>
      <c r="E20" s="1271"/>
      <c r="F20" s="1271"/>
      <c r="G20" s="1271"/>
      <c r="H20" s="1271"/>
      <c r="I20" s="1271"/>
      <c r="J20" s="1271"/>
      <c r="K20" s="1271"/>
      <c r="L20" s="1260"/>
      <c r="M20" s="1269"/>
    </row>
    <row r="21" spans="1:13">
      <c r="A21" s="1273" t="s">
        <v>160</v>
      </c>
      <c r="B21" s="1273"/>
      <c r="C21" s="1273"/>
      <c r="D21" s="1273"/>
      <c r="E21" s="1273"/>
      <c r="F21" s="1273"/>
      <c r="G21" s="1273"/>
      <c r="H21" s="1273"/>
      <c r="I21" s="1273"/>
      <c r="J21" s="1273"/>
      <c r="K21" s="1273"/>
      <c r="L21" s="1260"/>
      <c r="M21" s="1269"/>
    </row>
    <row r="22" spans="1:13">
      <c r="A22" s="61" t="s">
        <v>680</v>
      </c>
    </row>
  </sheetData>
  <mergeCells count="9">
    <mergeCell ref="A2:M2"/>
    <mergeCell ref="A13:M13"/>
    <mergeCell ref="L4:M4"/>
    <mergeCell ref="A4:A5"/>
    <mergeCell ref="B4:C4"/>
    <mergeCell ref="D4:E4"/>
    <mergeCell ref="F4:G4"/>
    <mergeCell ref="H4:I4"/>
    <mergeCell ref="J4:K4"/>
  </mergeCells>
  <pageMargins left="0.7" right="0.7" top="0.75" bottom="0.75" header="0.3" footer="0.3"/>
</worksheet>
</file>

<file path=xl/worksheets/sheet169.xml><?xml version="1.0" encoding="utf-8"?>
<worksheet xmlns="http://schemas.openxmlformats.org/spreadsheetml/2006/main" xmlns:r="http://schemas.openxmlformats.org/officeDocument/2006/relationships">
  <dimension ref="A1:F24"/>
  <sheetViews>
    <sheetView zoomScaleNormal="100" workbookViewId="0">
      <selection activeCell="I23" sqref="I23"/>
    </sheetView>
  </sheetViews>
  <sheetFormatPr baseColWidth="10" defaultRowHeight="12"/>
  <cols>
    <col min="1" max="1" width="24.42578125" style="50" customWidth="1"/>
    <col min="2" max="2" width="12.5703125" style="50" customWidth="1"/>
    <col min="3" max="3" width="13" style="50" customWidth="1"/>
    <col min="4" max="4" width="13.28515625" style="50" customWidth="1"/>
    <col min="5" max="5" width="14.140625" style="50" customWidth="1"/>
    <col min="6" max="6" width="12.5703125" style="50" customWidth="1"/>
    <col min="7" max="16384" width="11.42578125" style="50"/>
  </cols>
  <sheetData>
    <row r="1" spans="1:6" ht="9.75" customHeight="1"/>
    <row r="2" spans="1:6" ht="40.5" customHeight="1">
      <c r="A2" s="2033" t="s">
        <v>1730</v>
      </c>
      <c r="B2" s="2033"/>
      <c r="C2" s="2033"/>
      <c r="D2" s="2033"/>
      <c r="E2" s="2033"/>
      <c r="F2" s="2033"/>
    </row>
    <row r="3" spans="1:6" ht="5.25" customHeight="1">
      <c r="A3" s="117"/>
      <c r="B3" s="117"/>
      <c r="C3" s="117"/>
      <c r="D3" s="117"/>
      <c r="E3" s="117"/>
      <c r="F3" s="117"/>
    </row>
    <row r="4" spans="1:6" ht="22.5">
      <c r="A4" s="1251" t="s">
        <v>0</v>
      </c>
      <c r="B4" s="1251" t="s">
        <v>3657</v>
      </c>
      <c r="C4" s="1251" t="s">
        <v>1731</v>
      </c>
      <c r="D4" s="1251" t="s">
        <v>1732</v>
      </c>
      <c r="E4" s="1251" t="s">
        <v>1733</v>
      </c>
      <c r="F4" s="1252" t="s">
        <v>1734</v>
      </c>
    </row>
    <row r="5" spans="1:6">
      <c r="A5" s="1231" t="s">
        <v>679</v>
      </c>
      <c r="B5" s="114">
        <f>SUM(B6:B20)</f>
        <v>122409</v>
      </c>
      <c r="C5" s="114">
        <f>SUM(C6:C20)</f>
        <v>40451</v>
      </c>
      <c r="D5" s="114">
        <f>SUM(D6:D20)</f>
        <v>36531</v>
      </c>
      <c r="E5" s="114">
        <f>SUM(E6:E20)</f>
        <v>37907</v>
      </c>
      <c r="F5" s="114">
        <f>SUM(F6:F20)</f>
        <v>7520</v>
      </c>
    </row>
    <row r="6" spans="1:6">
      <c r="A6" s="1253" t="s">
        <v>7</v>
      </c>
      <c r="B6" s="1254">
        <f t="shared" ref="B6:B20" si="0">SUM(C6:F6)</f>
        <v>1899</v>
      </c>
      <c r="C6" s="1255">
        <v>534</v>
      </c>
      <c r="D6" s="1255">
        <v>505</v>
      </c>
      <c r="E6" s="1255">
        <v>678</v>
      </c>
      <c r="F6" s="1255">
        <v>182</v>
      </c>
    </row>
    <row r="7" spans="1:6">
      <c r="A7" s="1253" t="s">
        <v>8</v>
      </c>
      <c r="B7" s="1254">
        <f t="shared" si="0"/>
        <v>2135</v>
      </c>
      <c r="C7" s="1255">
        <v>612</v>
      </c>
      <c r="D7" s="1255">
        <v>693</v>
      </c>
      <c r="E7" s="1255">
        <v>668</v>
      </c>
      <c r="F7" s="1255">
        <v>162</v>
      </c>
    </row>
    <row r="8" spans="1:6">
      <c r="A8" s="1253" t="s">
        <v>9</v>
      </c>
      <c r="B8" s="1254">
        <f t="shared" si="0"/>
        <v>5437</v>
      </c>
      <c r="C8" s="1255">
        <v>2084</v>
      </c>
      <c r="D8" s="1255">
        <v>1328</v>
      </c>
      <c r="E8" s="1255">
        <v>1657</v>
      </c>
      <c r="F8" s="1255">
        <v>368</v>
      </c>
    </row>
    <row r="9" spans="1:6">
      <c r="A9" s="1253" t="s">
        <v>10</v>
      </c>
      <c r="B9" s="1254">
        <f t="shared" si="0"/>
        <v>3243</v>
      </c>
      <c r="C9" s="1255">
        <v>1294</v>
      </c>
      <c r="D9" s="1255">
        <v>660</v>
      </c>
      <c r="E9" s="1255">
        <v>1142</v>
      </c>
      <c r="F9" s="1255">
        <v>147</v>
      </c>
    </row>
    <row r="10" spans="1:6">
      <c r="A10" s="1253" t="s">
        <v>11</v>
      </c>
      <c r="B10" s="1254">
        <f t="shared" si="0"/>
        <v>4049</v>
      </c>
      <c r="C10" s="1255">
        <v>1460</v>
      </c>
      <c r="D10" s="1255">
        <v>929</v>
      </c>
      <c r="E10" s="1255">
        <v>1371</v>
      </c>
      <c r="F10" s="1255">
        <v>289</v>
      </c>
    </row>
    <row r="11" spans="1:6">
      <c r="A11" s="1253" t="s">
        <v>12</v>
      </c>
      <c r="B11" s="1254">
        <f t="shared" si="0"/>
        <v>10151</v>
      </c>
      <c r="C11" s="1255">
        <v>2914</v>
      </c>
      <c r="D11" s="1255">
        <v>2786</v>
      </c>
      <c r="E11" s="1255">
        <v>3543</v>
      </c>
      <c r="F11" s="1255">
        <v>908</v>
      </c>
    </row>
    <row r="12" spans="1:6">
      <c r="A12" s="1253" t="s">
        <v>13</v>
      </c>
      <c r="B12" s="1254">
        <f t="shared" si="0"/>
        <v>37761</v>
      </c>
      <c r="C12" s="1255">
        <v>9552</v>
      </c>
      <c r="D12" s="1255">
        <v>15153</v>
      </c>
      <c r="E12" s="1255">
        <v>11100</v>
      </c>
      <c r="F12" s="1255">
        <v>1956</v>
      </c>
    </row>
    <row r="13" spans="1:6">
      <c r="A13" s="1253" t="s">
        <v>14</v>
      </c>
      <c r="B13" s="1254">
        <f t="shared" si="0"/>
        <v>7730</v>
      </c>
      <c r="C13" s="1255">
        <v>3634</v>
      </c>
      <c r="D13" s="1255">
        <v>1582</v>
      </c>
      <c r="E13" s="1255">
        <v>2084</v>
      </c>
      <c r="F13" s="1255">
        <v>430</v>
      </c>
    </row>
    <row r="14" spans="1:6">
      <c r="A14" s="1253" t="s">
        <v>15</v>
      </c>
      <c r="B14" s="1254">
        <f t="shared" si="0"/>
        <v>8356</v>
      </c>
      <c r="C14" s="1255">
        <v>2201</v>
      </c>
      <c r="D14" s="1255">
        <v>1875</v>
      </c>
      <c r="E14" s="1255">
        <v>3495</v>
      </c>
      <c r="F14" s="1255">
        <v>785</v>
      </c>
    </row>
    <row r="15" spans="1:6">
      <c r="A15" s="1253" t="s">
        <v>16</v>
      </c>
      <c r="B15" s="1254">
        <f t="shared" si="0"/>
        <v>15604</v>
      </c>
      <c r="C15" s="1255">
        <v>6056</v>
      </c>
      <c r="D15" s="1255">
        <v>3984</v>
      </c>
      <c r="E15" s="1255">
        <v>4616</v>
      </c>
      <c r="F15" s="1255">
        <v>948</v>
      </c>
    </row>
    <row r="16" spans="1:6">
      <c r="A16" s="1253" t="s">
        <v>17</v>
      </c>
      <c r="B16" s="1254">
        <f t="shared" si="0"/>
        <v>11862</v>
      </c>
      <c r="C16" s="1255">
        <v>5192</v>
      </c>
      <c r="D16" s="1255">
        <v>3219</v>
      </c>
      <c r="E16" s="1255">
        <v>2969</v>
      </c>
      <c r="F16" s="1255">
        <v>482</v>
      </c>
    </row>
    <row r="17" spans="1:6">
      <c r="A17" s="1253" t="s">
        <v>18</v>
      </c>
      <c r="B17" s="1254">
        <f t="shared" si="0"/>
        <v>2311</v>
      </c>
      <c r="C17" s="1255">
        <v>882</v>
      </c>
      <c r="D17" s="1255">
        <v>459</v>
      </c>
      <c r="E17" s="1255">
        <v>770</v>
      </c>
      <c r="F17" s="1255">
        <v>200</v>
      </c>
    </row>
    <row r="18" spans="1:6">
      <c r="A18" s="1253" t="s">
        <v>19</v>
      </c>
      <c r="B18" s="1254">
        <f t="shared" si="0"/>
        <v>7958</v>
      </c>
      <c r="C18" s="1255">
        <v>2709</v>
      </c>
      <c r="D18" s="1255">
        <v>2274</v>
      </c>
      <c r="E18" s="1255">
        <v>2519</v>
      </c>
      <c r="F18" s="1255">
        <v>456</v>
      </c>
    </row>
    <row r="19" spans="1:6">
      <c r="A19" s="1253" t="s">
        <v>20</v>
      </c>
      <c r="B19" s="1254">
        <f t="shared" si="0"/>
        <v>2295</v>
      </c>
      <c r="C19" s="1255">
        <v>812</v>
      </c>
      <c r="D19" s="1255">
        <v>628</v>
      </c>
      <c r="E19" s="1255">
        <v>754</v>
      </c>
      <c r="F19" s="1255">
        <v>101</v>
      </c>
    </row>
    <row r="20" spans="1:6">
      <c r="A20" s="1253" t="s">
        <v>21</v>
      </c>
      <c r="B20" s="1254">
        <f t="shared" si="0"/>
        <v>1618</v>
      </c>
      <c r="C20" s="1255">
        <v>515</v>
      </c>
      <c r="D20" s="1255">
        <v>456</v>
      </c>
      <c r="E20" s="1255">
        <v>541</v>
      </c>
      <c r="F20" s="1255">
        <v>106</v>
      </c>
    </row>
    <row r="21" spans="1:6">
      <c r="A21" s="1256"/>
      <c r="B21" s="1254"/>
      <c r="C21" s="1257"/>
      <c r="D21" s="1257"/>
      <c r="E21" s="1257"/>
      <c r="F21" s="1257"/>
    </row>
    <row r="22" spans="1:6" ht="30" customHeight="1">
      <c r="A22" s="2254" t="s">
        <v>3658</v>
      </c>
      <c r="B22" s="2254"/>
      <c r="C22" s="2254"/>
      <c r="D22" s="2254"/>
      <c r="E22" s="2254"/>
      <c r="F22" s="2254"/>
    </row>
    <row r="23" spans="1:6" ht="84" customHeight="1">
      <c r="A23" s="2254" t="s">
        <v>3659</v>
      </c>
      <c r="B23" s="2254"/>
      <c r="C23" s="2254"/>
      <c r="D23" s="2254"/>
      <c r="E23" s="2254"/>
      <c r="F23" s="2254"/>
    </row>
    <row r="24" spans="1:6">
      <c r="A24" s="2323" t="s">
        <v>680</v>
      </c>
      <c r="B24" s="2323"/>
      <c r="C24" s="2323"/>
      <c r="D24" s="2323"/>
      <c r="E24" s="2323"/>
      <c r="F24" s="2323"/>
    </row>
  </sheetData>
  <mergeCells count="4">
    <mergeCell ref="A2:F2"/>
    <mergeCell ref="A22:F22"/>
    <mergeCell ref="A23:F23"/>
    <mergeCell ref="A24:F24"/>
  </mergeCell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2:G24"/>
  <sheetViews>
    <sheetView zoomScaleNormal="100" workbookViewId="0"/>
  </sheetViews>
  <sheetFormatPr baseColWidth="10" defaultColWidth="11.42578125" defaultRowHeight="11.25"/>
  <cols>
    <col min="1" max="1" width="28.85546875" style="117" customWidth="1"/>
    <col min="2" max="2" width="11.42578125" style="117"/>
    <col min="3" max="3" width="14.140625" style="117" customWidth="1"/>
    <col min="4" max="5" width="11.42578125" style="117"/>
    <col min="6" max="6" width="15.28515625" style="117" customWidth="1"/>
    <col min="7" max="7" width="15.42578125" style="117" customWidth="1"/>
    <col min="8" max="16384" width="11.42578125" style="117"/>
  </cols>
  <sheetData>
    <row r="2" spans="1:7" s="152" customFormat="1" ht="23.25" customHeight="1">
      <c r="A2" s="2033" t="s">
        <v>946</v>
      </c>
      <c r="B2" s="2033"/>
      <c r="C2" s="2033"/>
      <c r="D2" s="2033"/>
      <c r="E2" s="2033"/>
      <c r="F2" s="2033"/>
      <c r="G2" s="2033"/>
    </row>
    <row r="3" spans="1:7" ht="9.75" customHeight="1"/>
    <row r="4" spans="1:7" ht="15.75" customHeight="1">
      <c r="A4" s="2041" t="s">
        <v>0</v>
      </c>
      <c r="B4" s="2041" t="s">
        <v>26</v>
      </c>
      <c r="C4" s="2041" t="s">
        <v>781</v>
      </c>
      <c r="D4" s="2041"/>
      <c r="E4" s="2041"/>
      <c r="F4" s="2041"/>
      <c r="G4" s="2041"/>
    </row>
    <row r="5" spans="1:7" ht="37.5" customHeight="1">
      <c r="A5" s="2041"/>
      <c r="B5" s="2041"/>
      <c r="C5" s="1806" t="s">
        <v>778</v>
      </c>
      <c r="D5" s="1806" t="s">
        <v>776</v>
      </c>
      <c r="E5" s="1806" t="s">
        <v>779</v>
      </c>
      <c r="F5" s="1806" t="s">
        <v>777</v>
      </c>
      <c r="G5" s="1806" t="s">
        <v>780</v>
      </c>
    </row>
    <row r="6" spans="1:7" ht="11.25" customHeight="1">
      <c r="A6" s="115" t="s">
        <v>679</v>
      </c>
      <c r="B6" s="1314">
        <f t="shared" ref="B6:B21" si="0">SUM(C6:G6)</f>
        <v>708</v>
      </c>
      <c r="C6" s="1314">
        <f>SUM(C7:C21)</f>
        <v>650</v>
      </c>
      <c r="D6" s="1314">
        <f>SUM(D7:D21)</f>
        <v>10</v>
      </c>
      <c r="E6" s="1314">
        <f>SUM(E7:E21)</f>
        <v>9</v>
      </c>
      <c r="F6" s="1314">
        <f>SUM(F7:F21)</f>
        <v>25</v>
      </c>
      <c r="G6" s="1314">
        <f>SUM(G7:G21)</f>
        <v>14</v>
      </c>
    </row>
    <row r="7" spans="1:7" ht="11.25" customHeight="1">
      <c r="A7" s="117" t="s">
        <v>7</v>
      </c>
      <c r="B7" s="1316">
        <f t="shared" si="0"/>
        <v>0</v>
      </c>
      <c r="C7" s="1277">
        <v>0</v>
      </c>
      <c r="D7" s="1277">
        <v>0</v>
      </c>
      <c r="E7" s="1277">
        <v>0</v>
      </c>
      <c r="F7" s="1277">
        <v>0</v>
      </c>
      <c r="G7" s="1277">
        <v>0</v>
      </c>
    </row>
    <row r="8" spans="1:7" ht="11.25" customHeight="1">
      <c r="A8" s="117" t="s">
        <v>8</v>
      </c>
      <c r="B8" s="1316">
        <f t="shared" si="0"/>
        <v>0</v>
      </c>
      <c r="C8" s="1277">
        <v>0</v>
      </c>
      <c r="D8" s="1277">
        <v>0</v>
      </c>
      <c r="E8" s="1277">
        <v>0</v>
      </c>
      <c r="F8" s="1277">
        <v>0</v>
      </c>
      <c r="G8" s="1277">
        <v>0</v>
      </c>
    </row>
    <row r="9" spans="1:7" ht="11.25" customHeight="1">
      <c r="A9" s="117" t="s">
        <v>9</v>
      </c>
      <c r="B9" s="1316">
        <f t="shared" si="0"/>
        <v>0</v>
      </c>
      <c r="C9" s="1277">
        <v>0</v>
      </c>
      <c r="D9" s="1277">
        <v>0</v>
      </c>
      <c r="E9" s="1277">
        <v>0</v>
      </c>
      <c r="F9" s="1277">
        <v>0</v>
      </c>
      <c r="G9" s="1277">
        <v>0</v>
      </c>
    </row>
    <row r="10" spans="1:7" ht="11.25" customHeight="1">
      <c r="A10" s="117" t="s">
        <v>10</v>
      </c>
      <c r="B10" s="1316">
        <f t="shared" si="0"/>
        <v>6</v>
      </c>
      <c r="C10" s="1277">
        <v>0</v>
      </c>
      <c r="D10" s="1277">
        <v>0</v>
      </c>
      <c r="E10" s="1277">
        <v>3</v>
      </c>
      <c r="F10" s="1277">
        <v>3</v>
      </c>
      <c r="G10" s="1277">
        <v>0</v>
      </c>
    </row>
    <row r="11" spans="1:7" ht="11.25" customHeight="1">
      <c r="A11" s="117" t="s">
        <v>11</v>
      </c>
      <c r="B11" s="1316">
        <f t="shared" si="0"/>
        <v>20</v>
      </c>
      <c r="C11" s="1277">
        <v>0</v>
      </c>
      <c r="D11" s="1277">
        <v>0</v>
      </c>
      <c r="E11" s="1277">
        <v>0</v>
      </c>
      <c r="F11" s="1913">
        <v>20</v>
      </c>
      <c r="G11" s="1277">
        <v>0</v>
      </c>
    </row>
    <row r="12" spans="1:7" ht="11.25" customHeight="1">
      <c r="A12" s="117" t="s">
        <v>12</v>
      </c>
      <c r="B12" s="1316">
        <f t="shared" si="0"/>
        <v>650</v>
      </c>
      <c r="C12" s="1277">
        <v>650</v>
      </c>
      <c r="D12" s="1277">
        <v>0</v>
      </c>
      <c r="E12" s="1277">
        <v>0</v>
      </c>
      <c r="F12" s="1277">
        <v>0</v>
      </c>
      <c r="G12" s="1277">
        <v>0</v>
      </c>
    </row>
    <row r="13" spans="1:7" ht="11.25" customHeight="1">
      <c r="A13" s="117" t="s">
        <v>13</v>
      </c>
      <c r="B13" s="1316">
        <f t="shared" si="0"/>
        <v>11</v>
      </c>
      <c r="C13" s="1277">
        <v>0</v>
      </c>
      <c r="D13" s="1277">
        <v>2</v>
      </c>
      <c r="E13" s="1277">
        <v>6</v>
      </c>
      <c r="F13" s="1277">
        <v>0</v>
      </c>
      <c r="G13" s="1277">
        <v>3</v>
      </c>
    </row>
    <row r="14" spans="1:7" ht="11.25" customHeight="1">
      <c r="A14" s="117" t="s">
        <v>14</v>
      </c>
      <c r="B14" s="1316">
        <f t="shared" si="0"/>
        <v>15</v>
      </c>
      <c r="C14" s="1277">
        <v>0</v>
      </c>
      <c r="D14" s="1277">
        <v>8</v>
      </c>
      <c r="E14" s="1277">
        <v>0</v>
      </c>
      <c r="F14" s="1277">
        <v>2</v>
      </c>
      <c r="G14" s="1277">
        <v>5</v>
      </c>
    </row>
    <row r="15" spans="1:7" ht="11.25" customHeight="1">
      <c r="A15" s="117" t="s">
        <v>15</v>
      </c>
      <c r="B15" s="1316">
        <f t="shared" si="0"/>
        <v>6</v>
      </c>
      <c r="C15" s="1277">
        <v>0</v>
      </c>
      <c r="D15" s="1277">
        <v>0</v>
      </c>
      <c r="E15" s="1277">
        <v>0</v>
      </c>
      <c r="F15" s="1277">
        <v>0</v>
      </c>
      <c r="G15" s="1277">
        <v>6</v>
      </c>
    </row>
    <row r="16" spans="1:7" ht="11.25" customHeight="1">
      <c r="A16" s="117" t="s">
        <v>16</v>
      </c>
      <c r="B16" s="1316">
        <f t="shared" si="0"/>
        <v>0</v>
      </c>
      <c r="C16" s="1277">
        <v>0</v>
      </c>
      <c r="D16" s="1277">
        <v>0</v>
      </c>
      <c r="E16" s="1277">
        <v>0</v>
      </c>
      <c r="F16" s="1277">
        <v>0</v>
      </c>
      <c r="G16" s="1277">
        <v>0</v>
      </c>
    </row>
    <row r="17" spans="1:7" ht="11.25" customHeight="1">
      <c r="A17" s="117" t="s">
        <v>17</v>
      </c>
      <c r="B17" s="1316">
        <f t="shared" si="0"/>
        <v>0</v>
      </c>
      <c r="C17" s="1277">
        <v>0</v>
      </c>
      <c r="D17" s="1277">
        <v>0</v>
      </c>
      <c r="E17" s="1277">
        <v>0</v>
      </c>
      <c r="F17" s="1277">
        <v>0</v>
      </c>
      <c r="G17" s="1277">
        <v>0</v>
      </c>
    </row>
    <row r="18" spans="1:7" ht="11.25" customHeight="1">
      <c r="A18" s="117" t="s">
        <v>18</v>
      </c>
      <c r="B18" s="1316">
        <f t="shared" si="0"/>
        <v>0</v>
      </c>
      <c r="C18" s="1277">
        <v>0</v>
      </c>
      <c r="D18" s="1277">
        <v>0</v>
      </c>
      <c r="E18" s="1277">
        <v>0</v>
      </c>
      <c r="F18" s="1277">
        <v>0</v>
      </c>
      <c r="G18" s="1277">
        <v>0</v>
      </c>
    </row>
    <row r="19" spans="1:7" ht="11.25" customHeight="1">
      <c r="A19" s="117" t="s">
        <v>19</v>
      </c>
      <c r="B19" s="1316">
        <f t="shared" si="0"/>
        <v>0</v>
      </c>
      <c r="C19" s="1277">
        <v>0</v>
      </c>
      <c r="D19" s="1277">
        <v>0</v>
      </c>
      <c r="E19" s="1277">
        <v>0</v>
      </c>
      <c r="F19" s="1277">
        <v>0</v>
      </c>
      <c r="G19" s="1277">
        <v>0</v>
      </c>
    </row>
    <row r="20" spans="1:7" ht="11.25" customHeight="1">
      <c r="A20" s="117" t="s">
        <v>20</v>
      </c>
      <c r="B20" s="1316">
        <f t="shared" si="0"/>
        <v>0</v>
      </c>
      <c r="C20" s="1277">
        <v>0</v>
      </c>
      <c r="D20" s="1277">
        <v>0</v>
      </c>
      <c r="E20" s="1277">
        <v>0</v>
      </c>
      <c r="F20" s="1277">
        <v>0</v>
      </c>
      <c r="G20" s="1277">
        <v>0</v>
      </c>
    </row>
    <row r="21" spans="1:7" ht="11.25" customHeight="1">
      <c r="A21" s="117" t="s">
        <v>21</v>
      </c>
      <c r="B21" s="1316">
        <f t="shared" si="0"/>
        <v>0</v>
      </c>
      <c r="C21" s="1277">
        <v>0</v>
      </c>
      <c r="D21" s="1277">
        <v>0</v>
      </c>
      <c r="E21" s="1277">
        <v>0</v>
      </c>
      <c r="F21" s="1277">
        <v>0</v>
      </c>
      <c r="G21" s="1277">
        <v>0</v>
      </c>
    </row>
    <row r="22" spans="1:7" ht="7.5" customHeight="1"/>
    <row r="23" spans="1:7">
      <c r="A23" s="117" t="s">
        <v>22</v>
      </c>
    </row>
    <row r="24" spans="1:7">
      <c r="A24" s="2027" t="s">
        <v>680</v>
      </c>
      <c r="B24" s="2027"/>
      <c r="C24" s="2027"/>
      <c r="D24" s="2027"/>
      <c r="E24" s="2027"/>
      <c r="F24" s="2027"/>
      <c r="G24" s="2027"/>
    </row>
  </sheetData>
  <mergeCells count="5">
    <mergeCell ref="A2:G2"/>
    <mergeCell ref="A4:A5"/>
    <mergeCell ref="B4:B5"/>
    <mergeCell ref="C4:G4"/>
    <mergeCell ref="A24:G24"/>
  </mergeCells>
  <pageMargins left="0.7" right="0.7" top="0.75" bottom="0.75" header="0.3" footer="0.3"/>
</worksheet>
</file>

<file path=xl/worksheets/sheet170.xml><?xml version="1.0" encoding="utf-8"?>
<worksheet xmlns="http://schemas.openxmlformats.org/spreadsheetml/2006/main" xmlns:r="http://schemas.openxmlformats.org/officeDocument/2006/relationships">
  <dimension ref="A2:G14"/>
  <sheetViews>
    <sheetView zoomScaleNormal="100" workbookViewId="0">
      <selection activeCell="C19" sqref="C19"/>
    </sheetView>
  </sheetViews>
  <sheetFormatPr baseColWidth="10" defaultRowHeight="12"/>
  <cols>
    <col min="1" max="1" width="23.7109375" style="50" customWidth="1"/>
    <col min="2" max="16384" width="11.42578125" style="50"/>
  </cols>
  <sheetData>
    <row r="2" spans="1:7" ht="29.25" customHeight="1">
      <c r="A2" s="2343" t="s">
        <v>1735</v>
      </c>
      <c r="B2" s="2343"/>
      <c r="C2" s="2343"/>
      <c r="D2" s="2343"/>
      <c r="E2" s="2343"/>
      <c r="F2" s="2343"/>
      <c r="G2" s="2343"/>
    </row>
    <row r="3" spans="1:7">
      <c r="A3" s="1239"/>
      <c r="B3" s="1239"/>
      <c r="C3" s="1239"/>
      <c r="D3" s="1239"/>
      <c r="E3" s="1239"/>
      <c r="F3" s="1239"/>
      <c r="G3" s="1240"/>
    </row>
    <row r="4" spans="1:7">
      <c r="A4" s="2341" t="s">
        <v>735</v>
      </c>
      <c r="B4" s="2341" t="s">
        <v>1736</v>
      </c>
      <c r="C4" s="2341"/>
      <c r="D4" s="2341"/>
      <c r="E4" s="2341"/>
      <c r="F4" s="2341"/>
      <c r="G4" s="2341"/>
    </row>
    <row r="5" spans="1:7">
      <c r="A5" s="2341"/>
      <c r="B5" s="1241">
        <v>2009</v>
      </c>
      <c r="C5" s="1241">
        <v>2010</v>
      </c>
      <c r="D5" s="1242">
        <v>2011</v>
      </c>
      <c r="E5" s="1242">
        <v>2012</v>
      </c>
      <c r="F5" s="1242">
        <v>2013</v>
      </c>
      <c r="G5" s="1242">
        <v>2014</v>
      </c>
    </row>
    <row r="6" spans="1:7" ht="33.75">
      <c r="A6" s="1243" t="s">
        <v>3653</v>
      </c>
      <c r="B6" s="1244">
        <v>94082</v>
      </c>
      <c r="C6" s="1244">
        <v>216332</v>
      </c>
      <c r="D6" s="1245">
        <v>315396</v>
      </c>
      <c r="E6" s="1244">
        <v>268852</v>
      </c>
      <c r="F6" s="1245">
        <v>221273</v>
      </c>
      <c r="G6" s="1246">
        <v>504282</v>
      </c>
    </row>
    <row r="7" spans="1:7" ht="46.5">
      <c r="A7" s="1247" t="s">
        <v>3654</v>
      </c>
      <c r="B7" s="1248">
        <v>58879</v>
      </c>
      <c r="C7" s="1248">
        <v>65574</v>
      </c>
      <c r="D7" s="1249">
        <v>108625</v>
      </c>
      <c r="E7" s="1248">
        <v>89182</v>
      </c>
      <c r="F7" s="1249">
        <v>17366</v>
      </c>
      <c r="G7" s="1250" t="s">
        <v>55</v>
      </c>
    </row>
    <row r="8" spans="1:7" ht="33.75">
      <c r="A8" s="1247" t="s">
        <v>1737</v>
      </c>
      <c r="B8" s="1249">
        <v>809692</v>
      </c>
      <c r="C8" s="1249">
        <v>714311</v>
      </c>
      <c r="D8" s="1249">
        <v>743578</v>
      </c>
      <c r="E8" s="1248">
        <v>733497</v>
      </c>
      <c r="F8" s="1248">
        <v>679923</v>
      </c>
      <c r="G8" s="1249">
        <v>694690</v>
      </c>
    </row>
    <row r="9" spans="1:7" ht="22.5">
      <c r="A9" s="1247" t="s">
        <v>1738</v>
      </c>
      <c r="B9" s="1248">
        <v>37601</v>
      </c>
      <c r="C9" s="1249">
        <v>47376</v>
      </c>
      <c r="D9" s="1249">
        <v>55694</v>
      </c>
      <c r="E9" s="1248">
        <v>54472</v>
      </c>
      <c r="F9" s="1248">
        <v>56962</v>
      </c>
      <c r="G9" s="1250">
        <v>50000</v>
      </c>
    </row>
    <row r="10" spans="1:7">
      <c r="A10" s="1240"/>
      <c r="B10" s="1240"/>
      <c r="C10" s="1240"/>
      <c r="D10" s="1240"/>
      <c r="E10" s="1240"/>
      <c r="F10" s="1240"/>
      <c r="G10" s="1240"/>
    </row>
    <row r="11" spans="1:7" ht="69" customHeight="1">
      <c r="A11" s="2344" t="s">
        <v>3655</v>
      </c>
      <c r="B11" s="2344"/>
      <c r="C11" s="2344"/>
      <c r="D11" s="2344"/>
      <c r="E11" s="2344"/>
      <c r="F11" s="2344"/>
      <c r="G11" s="2344"/>
    </row>
    <row r="12" spans="1:7" ht="36.75" customHeight="1">
      <c r="A12" s="2344" t="s">
        <v>3656</v>
      </c>
      <c r="B12" s="2344"/>
      <c r="C12" s="2344"/>
      <c r="D12" s="2344"/>
      <c r="E12" s="2344"/>
      <c r="F12" s="2344"/>
      <c r="G12" s="2344"/>
    </row>
    <row r="13" spans="1:7">
      <c r="A13" s="2335" t="s">
        <v>1739</v>
      </c>
      <c r="B13" s="2335"/>
      <c r="C13" s="2335"/>
      <c r="D13" s="2335"/>
      <c r="E13" s="2335"/>
      <c r="F13" s="2335"/>
      <c r="G13" s="2335"/>
    </row>
    <row r="14" spans="1:7">
      <c r="A14" s="2342" t="s">
        <v>680</v>
      </c>
      <c r="B14" s="2342"/>
      <c r="C14" s="2342"/>
      <c r="D14" s="2342"/>
      <c r="E14" s="2342"/>
      <c r="F14" s="2342"/>
      <c r="G14" s="1240"/>
    </row>
  </sheetData>
  <mergeCells count="7">
    <mergeCell ref="A14:F14"/>
    <mergeCell ref="A2:G2"/>
    <mergeCell ref="A4:A5"/>
    <mergeCell ref="B4:G4"/>
    <mergeCell ref="A11:G11"/>
    <mergeCell ref="A12:G12"/>
    <mergeCell ref="A13:G13"/>
  </mergeCells>
  <pageMargins left="0.7" right="0.7" top="0.75" bottom="0.75" header="0.3" footer="0.3"/>
</worksheet>
</file>

<file path=xl/worksheets/sheet171.xml><?xml version="1.0" encoding="utf-8"?>
<worksheet xmlns="http://schemas.openxmlformats.org/spreadsheetml/2006/main" xmlns:r="http://schemas.openxmlformats.org/officeDocument/2006/relationships">
  <dimension ref="A2:G25"/>
  <sheetViews>
    <sheetView zoomScaleNormal="100" workbookViewId="0"/>
  </sheetViews>
  <sheetFormatPr baseColWidth="10" defaultRowHeight="12"/>
  <cols>
    <col min="1" max="1" width="21.5703125" style="118" customWidth="1"/>
    <col min="2" max="16384" width="11.42578125" style="118"/>
  </cols>
  <sheetData>
    <row r="2" spans="1:7" ht="37.5" customHeight="1">
      <c r="A2" s="2327" t="s">
        <v>3275</v>
      </c>
      <c r="B2" s="2327"/>
      <c r="C2" s="2327"/>
      <c r="D2" s="2327"/>
      <c r="E2" s="2327"/>
      <c r="F2" s="2327"/>
      <c r="G2" s="2327"/>
    </row>
    <row r="3" spans="1:7" ht="6" customHeight="1">
      <c r="A3" s="182"/>
      <c r="B3" s="182"/>
      <c r="C3" s="182"/>
      <c r="D3" s="182"/>
      <c r="E3" s="182"/>
      <c r="F3" s="182"/>
      <c r="G3" s="134"/>
    </row>
    <row r="4" spans="1:7">
      <c r="A4" s="2345" t="s">
        <v>0</v>
      </c>
      <c r="B4" s="2328" t="s">
        <v>671</v>
      </c>
      <c r="C4" s="2328"/>
      <c r="D4" s="2328"/>
      <c r="E4" s="2328"/>
      <c r="F4" s="2328"/>
      <c r="G4" s="2328"/>
    </row>
    <row r="5" spans="1:7">
      <c r="A5" s="2346"/>
      <c r="B5" s="1230">
        <v>2009</v>
      </c>
      <c r="C5" s="1230">
        <v>2010</v>
      </c>
      <c r="D5" s="1230">
        <v>2011</v>
      </c>
      <c r="E5" s="1230">
        <v>2012</v>
      </c>
      <c r="F5" s="1230">
        <v>2013</v>
      </c>
      <c r="G5" s="1230">
        <v>2014</v>
      </c>
    </row>
    <row r="6" spans="1:7">
      <c r="A6" s="1231" t="s">
        <v>26</v>
      </c>
      <c r="B6" s="1232">
        <f t="shared" ref="B6:G6" si="0">SUM(B7:B21)</f>
        <v>2945505</v>
      </c>
      <c r="C6" s="1232">
        <f t="shared" si="0"/>
        <v>761618</v>
      </c>
      <c r="D6" s="1232">
        <f t="shared" si="0"/>
        <v>1044733</v>
      </c>
      <c r="E6" s="1232">
        <f t="shared" si="0"/>
        <v>913739</v>
      </c>
      <c r="F6" s="1232">
        <f t="shared" si="0"/>
        <v>1364505</v>
      </c>
      <c r="G6" s="1232">
        <f t="shared" si="0"/>
        <v>1919342</v>
      </c>
    </row>
    <row r="7" spans="1:7">
      <c r="A7" s="1237" t="s">
        <v>7</v>
      </c>
      <c r="B7" s="1233">
        <v>4127</v>
      </c>
      <c r="C7" s="1233">
        <v>650</v>
      </c>
      <c r="D7" s="878">
        <v>6185</v>
      </c>
      <c r="E7" s="1233">
        <v>7065</v>
      </c>
      <c r="F7" s="1234">
        <v>11648</v>
      </c>
      <c r="G7" s="1235">
        <v>13216</v>
      </c>
    </row>
    <row r="8" spans="1:7">
      <c r="A8" s="1237" t="s">
        <v>8</v>
      </c>
      <c r="B8" s="1233">
        <v>58948</v>
      </c>
      <c r="C8" s="1233">
        <v>2123</v>
      </c>
      <c r="D8" s="878">
        <v>4611</v>
      </c>
      <c r="E8" s="1233">
        <v>7108</v>
      </c>
      <c r="F8" s="1234">
        <v>10478</v>
      </c>
      <c r="G8" s="1235">
        <v>12006</v>
      </c>
    </row>
    <row r="9" spans="1:7">
      <c r="A9" s="1237" t="s">
        <v>9</v>
      </c>
      <c r="B9" s="1233">
        <v>78635</v>
      </c>
      <c r="C9" s="1233">
        <v>1699</v>
      </c>
      <c r="D9" s="878">
        <v>1639</v>
      </c>
      <c r="E9" s="1233">
        <v>2057</v>
      </c>
      <c r="F9" s="1234">
        <v>9770</v>
      </c>
      <c r="G9" s="1235">
        <v>58317</v>
      </c>
    </row>
    <row r="10" spans="1:7">
      <c r="A10" s="1237" t="s">
        <v>10</v>
      </c>
      <c r="B10" s="1233">
        <v>45264</v>
      </c>
      <c r="C10" s="1233">
        <v>17426</v>
      </c>
      <c r="D10" s="878">
        <v>19805</v>
      </c>
      <c r="E10" s="1233">
        <v>18088</v>
      </c>
      <c r="F10" s="1234">
        <v>23431</v>
      </c>
      <c r="G10" s="1235">
        <v>25849</v>
      </c>
    </row>
    <row r="11" spans="1:7">
      <c r="A11" s="1237" t="s">
        <v>11</v>
      </c>
      <c r="B11" s="1233">
        <v>54878</v>
      </c>
      <c r="C11" s="1233">
        <v>15528</v>
      </c>
      <c r="D11" s="878">
        <v>16400</v>
      </c>
      <c r="E11" s="1233">
        <v>17039</v>
      </c>
      <c r="F11" s="1234">
        <v>33120</v>
      </c>
      <c r="G11" s="1235">
        <v>31680</v>
      </c>
    </row>
    <row r="12" spans="1:7">
      <c r="A12" s="1237" t="s">
        <v>12</v>
      </c>
      <c r="B12" s="1233">
        <v>251408</v>
      </c>
      <c r="C12" s="1233">
        <v>12701</v>
      </c>
      <c r="D12" s="878">
        <v>31273</v>
      </c>
      <c r="E12" s="1233">
        <v>63847</v>
      </c>
      <c r="F12" s="1234">
        <v>82370</v>
      </c>
      <c r="G12" s="1235">
        <v>108001</v>
      </c>
    </row>
    <row r="13" spans="1:7" ht="12.75">
      <c r="A13" s="1237" t="s">
        <v>3307</v>
      </c>
      <c r="B13" s="1233">
        <v>989970</v>
      </c>
      <c r="C13" s="1233">
        <v>440702</v>
      </c>
      <c r="D13" s="878">
        <v>554236</v>
      </c>
      <c r="E13" s="1233">
        <v>339539</v>
      </c>
      <c r="F13" s="1234">
        <v>565241</v>
      </c>
      <c r="G13" s="1235">
        <v>948683</v>
      </c>
    </row>
    <row r="14" spans="1:7">
      <c r="A14" s="1237" t="s">
        <v>14</v>
      </c>
      <c r="B14" s="1233">
        <v>178665</v>
      </c>
      <c r="C14" s="1233">
        <v>28003</v>
      </c>
      <c r="D14" s="878">
        <v>40917</v>
      </c>
      <c r="E14" s="1233">
        <v>55697</v>
      </c>
      <c r="F14" s="1234">
        <v>57043</v>
      </c>
      <c r="G14" s="1235">
        <v>75229</v>
      </c>
    </row>
    <row r="15" spans="1:7">
      <c r="A15" s="1237" t="s">
        <v>15</v>
      </c>
      <c r="B15" s="1233">
        <v>437122</v>
      </c>
      <c r="C15" s="1233">
        <v>14844</v>
      </c>
      <c r="D15" s="878">
        <v>19381</v>
      </c>
      <c r="E15" s="1233">
        <v>29714</v>
      </c>
      <c r="F15" s="1234">
        <v>44031</v>
      </c>
      <c r="G15" s="1235">
        <v>58894</v>
      </c>
    </row>
    <row r="16" spans="1:7">
      <c r="A16" s="1237" t="s">
        <v>16</v>
      </c>
      <c r="B16" s="1233">
        <v>236331</v>
      </c>
      <c r="C16" s="1233">
        <v>45293</v>
      </c>
      <c r="D16" s="878">
        <v>89330</v>
      </c>
      <c r="E16" s="1233">
        <v>75208</v>
      </c>
      <c r="F16" s="1234">
        <v>134249</v>
      </c>
      <c r="G16" s="1235">
        <v>147754</v>
      </c>
    </row>
    <row r="17" spans="1:7">
      <c r="A17" s="1237" t="s">
        <v>17</v>
      </c>
      <c r="B17" s="1233">
        <v>251433</v>
      </c>
      <c r="C17" s="1233">
        <v>57959</v>
      </c>
      <c r="D17" s="878">
        <v>94850</v>
      </c>
      <c r="E17" s="1233">
        <v>132062</v>
      </c>
      <c r="F17" s="1234">
        <v>154374</v>
      </c>
      <c r="G17" s="1235">
        <v>202905</v>
      </c>
    </row>
    <row r="18" spans="1:7">
      <c r="A18" s="1237" t="s">
        <v>18</v>
      </c>
      <c r="B18" s="1233">
        <v>168505</v>
      </c>
      <c r="C18" s="1233">
        <v>33859</v>
      </c>
      <c r="D18" s="878">
        <v>50890</v>
      </c>
      <c r="E18" s="1233">
        <v>58814</v>
      </c>
      <c r="F18" s="1234">
        <v>75913</v>
      </c>
      <c r="G18" s="1235">
        <v>65590</v>
      </c>
    </row>
    <row r="19" spans="1:7">
      <c r="A19" s="1237" t="s">
        <v>19</v>
      </c>
      <c r="B19" s="1233">
        <v>116004</v>
      </c>
      <c r="C19" s="1233">
        <v>37222</v>
      </c>
      <c r="D19" s="878">
        <v>49330</v>
      </c>
      <c r="E19" s="1233">
        <v>50895</v>
      </c>
      <c r="F19" s="1234">
        <v>80865</v>
      </c>
      <c r="G19" s="1235">
        <v>85623</v>
      </c>
    </row>
    <row r="20" spans="1:7">
      <c r="A20" s="1237" t="s">
        <v>20</v>
      </c>
      <c r="B20" s="1233">
        <v>29689</v>
      </c>
      <c r="C20" s="1233">
        <v>30279</v>
      </c>
      <c r="D20" s="878">
        <v>34192</v>
      </c>
      <c r="E20" s="1233">
        <v>27248</v>
      </c>
      <c r="F20" s="1234">
        <v>43218</v>
      </c>
      <c r="G20" s="1235">
        <v>42875</v>
      </c>
    </row>
    <row r="21" spans="1:7">
      <c r="A21" s="1237" t="s">
        <v>21</v>
      </c>
      <c r="B21" s="1233">
        <v>44526</v>
      </c>
      <c r="C21" s="1233">
        <v>23330</v>
      </c>
      <c r="D21" s="878">
        <v>31694</v>
      </c>
      <c r="E21" s="1233">
        <v>29358</v>
      </c>
      <c r="F21" s="1234">
        <v>38754</v>
      </c>
      <c r="G21" s="1235">
        <v>42720</v>
      </c>
    </row>
    <row r="22" spans="1:7">
      <c r="A22" s="1238"/>
      <c r="B22" s="1233"/>
      <c r="C22" s="1233"/>
      <c r="D22" s="878"/>
      <c r="E22" s="1233"/>
      <c r="F22" s="1234"/>
      <c r="G22" s="134"/>
    </row>
    <row r="23" spans="1:7" ht="97.5" customHeight="1">
      <c r="A23" s="2347" t="s">
        <v>3651</v>
      </c>
      <c r="B23" s="2347"/>
      <c r="C23" s="2347"/>
      <c r="D23" s="2347"/>
      <c r="E23" s="2347"/>
      <c r="F23" s="2347"/>
      <c r="G23" s="2347"/>
    </row>
    <row r="24" spans="1:7">
      <c r="A24" s="2323" t="s">
        <v>3652</v>
      </c>
      <c r="B24" s="2323"/>
      <c r="C24" s="2323"/>
      <c r="D24" s="2323"/>
      <c r="E24" s="2323"/>
      <c r="F24" s="2323"/>
      <c r="G24" s="134"/>
    </row>
    <row r="25" spans="1:7">
      <c r="A25" s="1236" t="s">
        <v>680</v>
      </c>
      <c r="B25" s="208"/>
      <c r="C25" s="208"/>
      <c r="D25" s="208"/>
      <c r="E25" s="208"/>
      <c r="F25" s="134"/>
      <c r="G25" s="134"/>
    </row>
  </sheetData>
  <mergeCells count="5">
    <mergeCell ref="A2:G2"/>
    <mergeCell ref="A4:A5"/>
    <mergeCell ref="B4:G4"/>
    <mergeCell ref="A23:G23"/>
    <mergeCell ref="A24:F24"/>
  </mergeCells>
  <pageMargins left="0.7" right="0.7" top="0.75" bottom="0.75" header="0.3" footer="0.3"/>
</worksheet>
</file>

<file path=xl/worksheets/sheet172.xml><?xml version="1.0" encoding="utf-8"?>
<worksheet xmlns="http://schemas.openxmlformats.org/spreadsheetml/2006/main" xmlns:r="http://schemas.openxmlformats.org/officeDocument/2006/relationships">
  <dimension ref="A1:G21"/>
  <sheetViews>
    <sheetView zoomScaleNormal="100" workbookViewId="0">
      <selection activeCell="E29" sqref="E29"/>
    </sheetView>
  </sheetViews>
  <sheetFormatPr baseColWidth="10" defaultRowHeight="12"/>
  <cols>
    <col min="1" max="16384" width="11.42578125" style="118"/>
  </cols>
  <sheetData>
    <row r="1" spans="1:7" ht="6.75" customHeight="1"/>
    <row r="2" spans="1:7" ht="36.75" customHeight="1">
      <c r="A2" s="2218" t="s">
        <v>3274</v>
      </c>
      <c r="B2" s="2218"/>
      <c r="C2" s="2218"/>
      <c r="D2" s="2218"/>
      <c r="E2" s="2218"/>
      <c r="F2" s="2218"/>
      <c r="G2" s="2218"/>
    </row>
    <row r="3" spans="1:7" ht="6" customHeight="1">
      <c r="A3" s="1229"/>
      <c r="B3" s="1229"/>
      <c r="C3" s="1229"/>
      <c r="D3" s="1229"/>
      <c r="E3" s="1229"/>
      <c r="F3" s="1229"/>
      <c r="G3" s="134"/>
    </row>
    <row r="4" spans="1:7">
      <c r="A4" s="2328" t="s">
        <v>1595</v>
      </c>
      <c r="B4" s="2328" t="s">
        <v>671</v>
      </c>
      <c r="C4" s="2328"/>
      <c r="D4" s="2328"/>
      <c r="E4" s="2328"/>
      <c r="F4" s="2328"/>
      <c r="G4" s="2328"/>
    </row>
    <row r="5" spans="1:7">
      <c r="A5" s="2328"/>
      <c r="B5" s="1230">
        <v>2009</v>
      </c>
      <c r="C5" s="1230">
        <v>2010</v>
      </c>
      <c r="D5" s="1230">
        <v>2011</v>
      </c>
      <c r="E5" s="1230">
        <v>2012</v>
      </c>
      <c r="F5" s="1230">
        <v>2013</v>
      </c>
      <c r="G5" s="1230">
        <v>2014</v>
      </c>
    </row>
    <row r="6" spans="1:7">
      <c r="A6" s="1231" t="s">
        <v>679</v>
      </c>
      <c r="B6" s="1232">
        <f t="shared" ref="B6:G6" si="0">SUM(B7:B18)</f>
        <v>2945505</v>
      </c>
      <c r="C6" s="1232">
        <f t="shared" si="0"/>
        <v>761618</v>
      </c>
      <c r="D6" s="1232">
        <f t="shared" si="0"/>
        <v>1044733</v>
      </c>
      <c r="E6" s="1232">
        <f t="shared" si="0"/>
        <v>913739</v>
      </c>
      <c r="F6" s="1232">
        <f t="shared" si="0"/>
        <v>1364505</v>
      </c>
      <c r="G6" s="1232">
        <f t="shared" si="0"/>
        <v>1919354</v>
      </c>
    </row>
    <row r="7" spans="1:7">
      <c r="A7" s="134" t="s">
        <v>1135</v>
      </c>
      <c r="B7" s="1233">
        <v>206185</v>
      </c>
      <c r="C7" s="1233">
        <v>53725</v>
      </c>
      <c r="D7" s="1233">
        <v>66646</v>
      </c>
      <c r="E7" s="1233">
        <v>59630.364150165224</v>
      </c>
      <c r="F7" s="1234">
        <v>98149</v>
      </c>
      <c r="G7" s="1235">
        <v>136400</v>
      </c>
    </row>
    <row r="8" spans="1:7">
      <c r="A8" s="134" t="s">
        <v>1136</v>
      </c>
      <c r="B8" s="1233">
        <v>162002</v>
      </c>
      <c r="C8" s="1233">
        <v>46668</v>
      </c>
      <c r="D8" s="1233">
        <v>59039</v>
      </c>
      <c r="E8" s="1233">
        <v>55986.149991942068</v>
      </c>
      <c r="F8" s="1234">
        <v>82263</v>
      </c>
      <c r="G8" s="1235">
        <v>119856</v>
      </c>
    </row>
    <row r="9" spans="1:7">
      <c r="A9" s="134" t="s">
        <v>1137</v>
      </c>
      <c r="B9" s="1233">
        <v>226803</v>
      </c>
      <c r="C9" s="1233">
        <v>25839</v>
      </c>
      <c r="D9" s="1233">
        <v>94829</v>
      </c>
      <c r="E9" s="1233">
        <v>72304.75573369654</v>
      </c>
      <c r="F9" s="1234">
        <v>106316</v>
      </c>
      <c r="G9" s="1235">
        <v>157462</v>
      </c>
    </row>
    <row r="10" spans="1:7">
      <c r="A10" s="134" t="s">
        <v>1138</v>
      </c>
      <c r="B10" s="1233">
        <v>285713</v>
      </c>
      <c r="C10" s="1233">
        <v>74400</v>
      </c>
      <c r="D10" s="1233">
        <v>93349</v>
      </c>
      <c r="E10" s="1233">
        <v>80866.24430789279</v>
      </c>
      <c r="F10" s="1234">
        <v>134967</v>
      </c>
      <c r="G10" s="1235">
        <v>176033</v>
      </c>
    </row>
    <row r="11" spans="1:7">
      <c r="A11" s="134" t="s">
        <v>1139</v>
      </c>
      <c r="B11" s="1233">
        <v>291604</v>
      </c>
      <c r="C11" s="1233">
        <v>68842</v>
      </c>
      <c r="D11" s="1233">
        <v>100233</v>
      </c>
      <c r="E11" s="1233">
        <v>88404.059428562512</v>
      </c>
      <c r="F11" s="1234">
        <v>133209</v>
      </c>
      <c r="G11" s="1235">
        <v>169949</v>
      </c>
    </row>
    <row r="12" spans="1:7">
      <c r="A12" s="134" t="s">
        <v>1140</v>
      </c>
      <c r="B12" s="1233">
        <v>270986</v>
      </c>
      <c r="C12" s="1233">
        <v>69524</v>
      </c>
      <c r="D12" s="1233">
        <v>95794</v>
      </c>
      <c r="E12" s="1233">
        <v>85097.111234146243</v>
      </c>
      <c r="F12" s="1234">
        <v>125229</v>
      </c>
      <c r="G12" s="1235">
        <v>168347</v>
      </c>
    </row>
    <row r="13" spans="1:7">
      <c r="A13" s="134" t="s">
        <v>1141</v>
      </c>
      <c r="B13" s="1233">
        <v>262150</v>
      </c>
      <c r="C13" s="1233">
        <v>75957</v>
      </c>
      <c r="D13" s="1233">
        <v>102991</v>
      </c>
      <c r="E13" s="1233">
        <v>89289.976361660869</v>
      </c>
      <c r="F13" s="1234">
        <v>143448</v>
      </c>
      <c r="G13" s="1235">
        <v>193418</v>
      </c>
    </row>
    <row r="14" spans="1:7">
      <c r="A14" s="134" t="s">
        <v>1142</v>
      </c>
      <c r="B14" s="1233">
        <v>241531</v>
      </c>
      <c r="C14" s="1233">
        <v>80336</v>
      </c>
      <c r="D14" s="1233">
        <v>101756</v>
      </c>
      <c r="E14" s="1233">
        <v>98054.93289993779</v>
      </c>
      <c r="F14" s="1234">
        <v>140324</v>
      </c>
      <c r="G14" s="1235">
        <v>184519</v>
      </c>
    </row>
    <row r="15" spans="1:7">
      <c r="A15" s="134" t="s">
        <v>1143</v>
      </c>
      <c r="B15" s="1233">
        <v>250367</v>
      </c>
      <c r="C15" s="1233">
        <v>72527</v>
      </c>
      <c r="D15" s="1233">
        <v>92878</v>
      </c>
      <c r="E15" s="1233">
        <v>69924.893087678982</v>
      </c>
      <c r="F15" s="1234">
        <v>113626</v>
      </c>
      <c r="G15" s="1235">
        <v>168332</v>
      </c>
    </row>
    <row r="16" spans="1:7">
      <c r="A16" s="134" t="s">
        <v>1144</v>
      </c>
      <c r="B16" s="1233">
        <v>256258</v>
      </c>
      <c r="C16" s="1233">
        <v>80002</v>
      </c>
      <c r="D16" s="1233">
        <v>92109</v>
      </c>
      <c r="E16" s="1233">
        <v>83928.555922928033</v>
      </c>
      <c r="F16" s="1234">
        <v>120200</v>
      </c>
      <c r="G16" s="1235">
        <v>180010</v>
      </c>
    </row>
    <row r="17" spans="1:7">
      <c r="A17" s="134" t="s">
        <v>1145</v>
      </c>
      <c r="B17" s="1233">
        <v>238585</v>
      </c>
      <c r="C17" s="1233">
        <v>67838</v>
      </c>
      <c r="D17" s="1233">
        <v>82376</v>
      </c>
      <c r="E17" s="1233">
        <v>74475.608486650686</v>
      </c>
      <c r="F17" s="1234">
        <v>82427</v>
      </c>
      <c r="G17" s="1235">
        <v>141862</v>
      </c>
    </row>
    <row r="18" spans="1:7">
      <c r="A18" s="134" t="s">
        <v>1146</v>
      </c>
      <c r="B18" s="1233">
        <v>253321</v>
      </c>
      <c r="C18" s="1233">
        <v>45960</v>
      </c>
      <c r="D18" s="1233">
        <v>62733</v>
      </c>
      <c r="E18" s="1233">
        <v>55776.348394738256</v>
      </c>
      <c r="F18" s="1234">
        <v>84347</v>
      </c>
      <c r="G18" s="1235">
        <v>123166</v>
      </c>
    </row>
    <row r="19" spans="1:7">
      <c r="A19" s="134"/>
      <c r="B19" s="1233"/>
      <c r="C19" s="1233"/>
      <c r="D19" s="1233"/>
      <c r="E19" s="1233"/>
      <c r="F19" s="1234"/>
      <c r="G19" s="134"/>
    </row>
    <row r="20" spans="1:7" ht="90.75" customHeight="1">
      <c r="A20" s="2348" t="s">
        <v>3650</v>
      </c>
      <c r="B20" s="2348"/>
      <c r="C20" s="2348"/>
      <c r="D20" s="2348"/>
      <c r="E20" s="2348"/>
      <c r="F20" s="2348"/>
      <c r="G20" s="2348"/>
    </row>
    <row r="21" spans="1:7">
      <c r="A21" s="1236" t="s">
        <v>680</v>
      </c>
      <c r="B21" s="208"/>
      <c r="C21" s="8"/>
      <c r="D21" s="208"/>
      <c r="E21" s="208"/>
      <c r="F21" s="134"/>
      <c r="G21" s="134"/>
    </row>
  </sheetData>
  <mergeCells count="4">
    <mergeCell ref="A2:G2"/>
    <mergeCell ref="A4:A5"/>
    <mergeCell ref="B4:G4"/>
    <mergeCell ref="A20:G20"/>
  </mergeCells>
  <pageMargins left="0.7" right="0.7" top="0.75" bottom="0.75" header="0.3" footer="0.3"/>
</worksheet>
</file>

<file path=xl/worksheets/sheet173.xml><?xml version="1.0" encoding="utf-8"?>
<worksheet xmlns="http://schemas.openxmlformats.org/spreadsheetml/2006/main" xmlns:r="http://schemas.openxmlformats.org/officeDocument/2006/relationships">
  <dimension ref="A2:B9"/>
  <sheetViews>
    <sheetView zoomScaleNormal="100" workbookViewId="0">
      <selection activeCell="B17" sqref="B17"/>
    </sheetView>
  </sheetViews>
  <sheetFormatPr baseColWidth="10" defaultRowHeight="12"/>
  <cols>
    <col min="1" max="1" width="28.140625" style="50" customWidth="1"/>
    <col min="2" max="2" width="34.5703125" style="50" customWidth="1"/>
    <col min="3" max="16384" width="11.42578125" style="50"/>
  </cols>
  <sheetData>
    <row r="2" spans="1:2" ht="30" customHeight="1">
      <c r="A2" s="2349" t="s">
        <v>3273</v>
      </c>
      <c r="B2" s="2349"/>
    </row>
    <row r="3" spans="1:2">
      <c r="A3" s="1225"/>
      <c r="B3" s="1225"/>
    </row>
    <row r="4" spans="1:2">
      <c r="A4" s="2188" t="s">
        <v>0</v>
      </c>
      <c r="B4" s="2350" t="s">
        <v>26</v>
      </c>
    </row>
    <row r="5" spans="1:2">
      <c r="A5" s="2188"/>
      <c r="B5" s="2351"/>
    </row>
    <row r="6" spans="1:2">
      <c r="A6" s="1226" t="s">
        <v>679</v>
      </c>
      <c r="B6" s="1227">
        <v>5472</v>
      </c>
    </row>
    <row r="7" spans="1:2">
      <c r="A7" s="1226"/>
      <c r="B7" s="1228"/>
    </row>
    <row r="8" spans="1:2" ht="27" customHeight="1">
      <c r="A8" s="2352" t="s">
        <v>3649</v>
      </c>
      <c r="B8" s="2352"/>
    </row>
    <row r="9" spans="1:2">
      <c r="A9" s="270" t="s">
        <v>680</v>
      </c>
      <c r="B9" s="102"/>
    </row>
  </sheetData>
  <mergeCells count="4">
    <mergeCell ref="A2:B2"/>
    <mergeCell ref="A4:A5"/>
    <mergeCell ref="B4:B5"/>
    <mergeCell ref="A8:B8"/>
  </mergeCells>
  <pageMargins left="0.7" right="0.7" top="0.75" bottom="0.75" header="0.3" footer="0.3"/>
</worksheet>
</file>

<file path=xl/worksheets/sheet174.xml><?xml version="1.0" encoding="utf-8"?>
<worksheet xmlns="http://schemas.openxmlformats.org/spreadsheetml/2006/main" xmlns:r="http://schemas.openxmlformats.org/officeDocument/2006/relationships">
  <dimension ref="A2:E16"/>
  <sheetViews>
    <sheetView zoomScaleNormal="100" workbookViewId="0"/>
  </sheetViews>
  <sheetFormatPr baseColWidth="10" defaultRowHeight="12"/>
  <cols>
    <col min="1" max="2" width="11.42578125" style="50"/>
    <col min="3" max="3" width="17.42578125" style="50" customWidth="1"/>
    <col min="4" max="4" width="18.140625" style="50" customWidth="1"/>
    <col min="5" max="5" width="19.28515625" style="50" customWidth="1"/>
    <col min="6" max="16384" width="11.42578125" style="50"/>
  </cols>
  <sheetData>
    <row r="2" spans="1:5" ht="27.75" customHeight="1">
      <c r="A2" s="2354" t="s">
        <v>1740</v>
      </c>
      <c r="B2" s="2354"/>
      <c r="C2" s="2354"/>
      <c r="D2" s="2354"/>
      <c r="E2" s="2354"/>
    </row>
    <row r="3" spans="1:5" ht="6" customHeight="1">
      <c r="A3" s="326"/>
      <c r="B3" s="326"/>
      <c r="C3" s="326"/>
      <c r="D3" s="351"/>
      <c r="E3" s="351"/>
    </row>
    <row r="4" spans="1:5" ht="13.5">
      <c r="A4" s="2237" t="s">
        <v>1092</v>
      </c>
      <c r="B4" s="2356" t="s">
        <v>3648</v>
      </c>
      <c r="C4" s="2357"/>
      <c r="D4" s="2357"/>
      <c r="E4" s="2358"/>
    </row>
    <row r="5" spans="1:5">
      <c r="A5" s="2355"/>
      <c r="B5" s="2120" t="s">
        <v>1741</v>
      </c>
      <c r="C5" s="2359" t="s">
        <v>1742</v>
      </c>
      <c r="D5" s="2360" t="s">
        <v>1743</v>
      </c>
      <c r="E5" s="2361"/>
    </row>
    <row r="6" spans="1:5">
      <c r="A6" s="2238"/>
      <c r="B6" s="2121"/>
      <c r="C6" s="2359"/>
      <c r="D6" s="389" t="s">
        <v>1744</v>
      </c>
      <c r="E6" s="389" t="s">
        <v>1745</v>
      </c>
    </row>
    <row r="7" spans="1:5">
      <c r="A7" s="1218" t="s">
        <v>1121</v>
      </c>
      <c r="B7" s="349">
        <v>286</v>
      </c>
      <c r="C7" s="386">
        <f t="shared" ref="C7:C12" si="0">SUM(D7:E7)</f>
        <v>22470</v>
      </c>
      <c r="D7" s="1219">
        <v>2213</v>
      </c>
      <c r="E7" s="1219">
        <v>20257</v>
      </c>
    </row>
    <row r="8" spans="1:5">
      <c r="A8" s="1218">
        <v>2010</v>
      </c>
      <c r="B8" s="349">
        <v>142</v>
      </c>
      <c r="C8" s="386">
        <f t="shared" si="0"/>
        <v>15464</v>
      </c>
      <c r="D8" s="1219">
        <v>788</v>
      </c>
      <c r="E8" s="1219">
        <v>14676</v>
      </c>
    </row>
    <row r="9" spans="1:5">
      <c r="A9" s="1218" t="s">
        <v>801</v>
      </c>
      <c r="B9" s="349">
        <v>231</v>
      </c>
      <c r="C9" s="386">
        <f t="shared" si="0"/>
        <v>26599</v>
      </c>
      <c r="D9" s="1219">
        <v>1749</v>
      </c>
      <c r="E9" s="1219">
        <v>24850</v>
      </c>
    </row>
    <row r="10" spans="1:5">
      <c r="A10" s="1218" t="s">
        <v>802</v>
      </c>
      <c r="B10" s="349">
        <v>272</v>
      </c>
      <c r="C10" s="386">
        <f t="shared" si="0"/>
        <v>25501</v>
      </c>
      <c r="D10" s="1219">
        <v>1595</v>
      </c>
      <c r="E10" s="1219">
        <v>23906</v>
      </c>
    </row>
    <row r="11" spans="1:5">
      <c r="A11" s="1218" t="s">
        <v>803</v>
      </c>
      <c r="B11" s="349">
        <v>182</v>
      </c>
      <c r="C11" s="386">
        <f t="shared" si="0"/>
        <v>17037</v>
      </c>
      <c r="D11" s="1219">
        <v>120</v>
      </c>
      <c r="E11" s="1219">
        <v>16917</v>
      </c>
    </row>
    <row r="12" spans="1:5">
      <c r="A12" s="1218" t="s">
        <v>804</v>
      </c>
      <c r="B12" s="1220">
        <v>152</v>
      </c>
      <c r="C12" s="386">
        <f t="shared" si="0"/>
        <v>10933</v>
      </c>
      <c r="D12" s="1221">
        <v>1068</v>
      </c>
      <c r="E12" s="1221">
        <v>9865</v>
      </c>
    </row>
    <row r="13" spans="1:5">
      <c r="A13" s="1222"/>
      <c r="B13" s="1222"/>
      <c r="C13" s="1222"/>
      <c r="D13" s="1223"/>
      <c r="E13" s="1223"/>
    </row>
    <row r="14" spans="1:5" ht="39" customHeight="1">
      <c r="A14" s="2353" t="s">
        <v>3647</v>
      </c>
      <c r="B14" s="2353"/>
      <c r="C14" s="2353"/>
      <c r="D14" s="2353"/>
      <c r="E14" s="2353"/>
    </row>
    <row r="15" spans="1:5">
      <c r="A15" s="1206" t="s">
        <v>1746</v>
      </c>
      <c r="B15" s="62"/>
      <c r="C15" s="352"/>
      <c r="D15" s="1224"/>
      <c r="E15" s="1224"/>
    </row>
    <row r="16" spans="1:5">
      <c r="A16" s="1222"/>
      <c r="B16" s="1222"/>
      <c r="C16" s="1222"/>
      <c r="D16" s="1223"/>
      <c r="E16" s="1223"/>
    </row>
  </sheetData>
  <mergeCells count="7">
    <mergeCell ref="A14:E14"/>
    <mergeCell ref="A2:E2"/>
    <mergeCell ref="A4:A6"/>
    <mergeCell ref="B4:E4"/>
    <mergeCell ref="B5:B6"/>
    <mergeCell ref="C5:C6"/>
    <mergeCell ref="D5:E5"/>
  </mergeCells>
  <pageMargins left="0.7" right="0.7" top="0.75" bottom="0.75" header="0.3" footer="0.3"/>
</worksheet>
</file>

<file path=xl/worksheets/sheet175.xml><?xml version="1.0" encoding="utf-8"?>
<worksheet xmlns="http://schemas.openxmlformats.org/spreadsheetml/2006/main" xmlns:r="http://schemas.openxmlformats.org/officeDocument/2006/relationships">
  <dimension ref="A1:E24"/>
  <sheetViews>
    <sheetView zoomScaleNormal="100" workbookViewId="0">
      <selection activeCell="A28" sqref="A28"/>
    </sheetView>
  </sheetViews>
  <sheetFormatPr baseColWidth="10" defaultRowHeight="12"/>
  <cols>
    <col min="1" max="1" width="22.42578125" style="50" customWidth="1"/>
    <col min="2" max="2" width="13.7109375" style="50" customWidth="1"/>
    <col min="3" max="3" width="11.42578125" style="50"/>
    <col min="4" max="4" width="18.28515625" style="50" customWidth="1"/>
    <col min="5" max="5" width="19.7109375" style="50" customWidth="1"/>
    <col min="6" max="16384" width="11.42578125" style="50"/>
  </cols>
  <sheetData>
    <row r="1" spans="1:5" ht="6.75" customHeight="1"/>
    <row r="2" spans="1:5" ht="29.25" customHeight="1">
      <c r="A2" s="2354" t="s">
        <v>1747</v>
      </c>
      <c r="B2" s="2354"/>
      <c r="C2" s="2354"/>
      <c r="D2" s="2354"/>
      <c r="E2" s="2354"/>
    </row>
    <row r="3" spans="1:5" ht="4.5" customHeight="1">
      <c r="A3" s="326"/>
      <c r="B3" s="326"/>
      <c r="C3" s="1208"/>
      <c r="D3" s="1209"/>
      <c r="E3" s="1209"/>
    </row>
    <row r="4" spans="1:5">
      <c r="A4" s="2292" t="s">
        <v>0</v>
      </c>
      <c r="B4" s="2292" t="s">
        <v>3473</v>
      </c>
      <c r="C4" s="2282" t="s">
        <v>1748</v>
      </c>
      <c r="D4" s="2282"/>
      <c r="E4" s="2282"/>
    </row>
    <row r="5" spans="1:5">
      <c r="A5" s="2292"/>
      <c r="B5" s="2292"/>
      <c r="C5" s="1210" t="s">
        <v>26</v>
      </c>
      <c r="D5" s="1211" t="s">
        <v>1744</v>
      </c>
      <c r="E5" s="1211" t="s">
        <v>1745</v>
      </c>
    </row>
    <row r="6" spans="1:5">
      <c r="A6" s="791" t="s">
        <v>6</v>
      </c>
      <c r="B6" s="1212">
        <f>SUM(B7:B21)</f>
        <v>152</v>
      </c>
      <c r="C6" s="1212">
        <f>SUM(C7:C21)</f>
        <v>10933</v>
      </c>
      <c r="D6" s="1213">
        <f>SUM(D7:D21)</f>
        <v>1068</v>
      </c>
      <c r="E6" s="1213">
        <f>SUM(E7:E21)</f>
        <v>9865</v>
      </c>
    </row>
    <row r="7" spans="1:5">
      <c r="A7" s="1203" t="s">
        <v>7</v>
      </c>
      <c r="B7" s="1214">
        <v>0</v>
      </c>
      <c r="C7" s="1215">
        <f>SUM(D7:E7)</f>
        <v>0</v>
      </c>
      <c r="D7" s="1216">
        <v>0</v>
      </c>
      <c r="E7" s="1216">
        <v>0</v>
      </c>
    </row>
    <row r="8" spans="1:5">
      <c r="A8" s="53" t="s">
        <v>8</v>
      </c>
      <c r="B8" s="1214">
        <v>12</v>
      </c>
      <c r="C8" s="1215">
        <f t="shared" ref="C8:C21" si="0">SUM(D8:E8)</f>
        <v>740</v>
      </c>
      <c r="D8" s="1216">
        <v>0</v>
      </c>
      <c r="E8" s="1216">
        <v>740</v>
      </c>
    </row>
    <row r="9" spans="1:5">
      <c r="A9" s="53" t="s">
        <v>9</v>
      </c>
      <c r="B9" s="1214">
        <v>0</v>
      </c>
      <c r="C9" s="1215">
        <f t="shared" si="0"/>
        <v>0</v>
      </c>
      <c r="D9" s="1216">
        <v>0</v>
      </c>
      <c r="E9" s="1216">
        <v>0</v>
      </c>
    </row>
    <row r="10" spans="1:5">
      <c r="A10" s="53" t="s">
        <v>10</v>
      </c>
      <c r="B10" s="1214">
        <v>8</v>
      </c>
      <c r="C10" s="1215">
        <f t="shared" si="0"/>
        <v>745</v>
      </c>
      <c r="D10" s="1216">
        <v>0</v>
      </c>
      <c r="E10" s="1216">
        <v>745</v>
      </c>
    </row>
    <row r="11" spans="1:5">
      <c r="A11" s="53" t="s">
        <v>11</v>
      </c>
      <c r="B11" s="1214">
        <v>32</v>
      </c>
      <c r="C11" s="1215">
        <f t="shared" si="0"/>
        <v>2615</v>
      </c>
      <c r="D11" s="1216">
        <v>0</v>
      </c>
      <c r="E11" s="1216">
        <v>2615</v>
      </c>
    </row>
    <row r="12" spans="1:5">
      <c r="A12" s="53" t="s">
        <v>12</v>
      </c>
      <c r="B12" s="1214">
        <v>3</v>
      </c>
      <c r="C12" s="1215">
        <f t="shared" si="0"/>
        <v>190</v>
      </c>
      <c r="D12" s="1216">
        <v>0</v>
      </c>
      <c r="E12" s="1216">
        <v>190</v>
      </c>
    </row>
    <row r="13" spans="1:5">
      <c r="A13" s="53" t="s">
        <v>13</v>
      </c>
      <c r="B13" s="1214">
        <v>13</v>
      </c>
      <c r="C13" s="1215">
        <f t="shared" si="0"/>
        <v>1550</v>
      </c>
      <c r="D13" s="1216">
        <v>153</v>
      </c>
      <c r="E13" s="1216">
        <v>1397</v>
      </c>
    </row>
    <row r="14" spans="1:5">
      <c r="A14" s="53" t="s">
        <v>14</v>
      </c>
      <c r="B14" s="1214">
        <v>8</v>
      </c>
      <c r="C14" s="1215">
        <f t="shared" si="0"/>
        <v>1090</v>
      </c>
      <c r="D14" s="1216">
        <v>535</v>
      </c>
      <c r="E14" s="1216">
        <v>555</v>
      </c>
    </row>
    <row r="15" spans="1:5">
      <c r="A15" s="53" t="s">
        <v>15</v>
      </c>
      <c r="B15" s="1214">
        <v>14</v>
      </c>
      <c r="C15" s="1215">
        <f t="shared" si="0"/>
        <v>652</v>
      </c>
      <c r="D15" s="1216">
        <v>14</v>
      </c>
      <c r="E15" s="1216">
        <v>638</v>
      </c>
    </row>
    <row r="16" spans="1:5">
      <c r="A16" s="53" t="s">
        <v>16</v>
      </c>
      <c r="B16" s="1214">
        <v>50</v>
      </c>
      <c r="C16" s="1215">
        <f t="shared" si="0"/>
        <v>2466</v>
      </c>
      <c r="D16" s="1216">
        <v>300</v>
      </c>
      <c r="E16" s="1216">
        <v>2166</v>
      </c>
    </row>
    <row r="17" spans="1:5">
      <c r="A17" s="53" t="s">
        <v>17</v>
      </c>
      <c r="B17" s="1214">
        <v>9</v>
      </c>
      <c r="C17" s="1215">
        <f t="shared" si="0"/>
        <v>710</v>
      </c>
      <c r="D17" s="1216">
        <v>0</v>
      </c>
      <c r="E17" s="1216">
        <v>710</v>
      </c>
    </row>
    <row r="18" spans="1:5">
      <c r="A18" s="53" t="s">
        <v>18</v>
      </c>
      <c r="B18" s="1214">
        <v>1</v>
      </c>
      <c r="C18" s="1215">
        <f t="shared" si="0"/>
        <v>109</v>
      </c>
      <c r="D18" s="1216">
        <v>0</v>
      </c>
      <c r="E18" s="1216">
        <v>109</v>
      </c>
    </row>
    <row r="19" spans="1:5">
      <c r="A19" s="53" t="s">
        <v>19</v>
      </c>
      <c r="B19" s="1214">
        <v>2</v>
      </c>
      <c r="C19" s="1215">
        <f t="shared" si="0"/>
        <v>66</v>
      </c>
      <c r="D19" s="1216">
        <v>66</v>
      </c>
      <c r="E19" s="1216">
        <v>0</v>
      </c>
    </row>
    <row r="20" spans="1:5">
      <c r="A20" s="53" t="s">
        <v>20</v>
      </c>
      <c r="B20" s="1214">
        <v>0</v>
      </c>
      <c r="C20" s="1215">
        <f t="shared" si="0"/>
        <v>0</v>
      </c>
      <c r="D20" s="1216">
        <v>0</v>
      </c>
      <c r="E20" s="1216">
        <v>0</v>
      </c>
    </row>
    <row r="21" spans="1:5">
      <c r="A21" s="1205" t="s">
        <v>21</v>
      </c>
      <c r="B21" s="1214">
        <v>0</v>
      </c>
      <c r="C21" s="1215">
        <f t="shared" si="0"/>
        <v>0</v>
      </c>
      <c r="D21" s="1216">
        <v>0</v>
      </c>
      <c r="E21" s="1216">
        <v>0</v>
      </c>
    </row>
    <row r="22" spans="1:5">
      <c r="A22" s="53"/>
      <c r="B22" s="53"/>
      <c r="C22" s="53"/>
      <c r="D22" s="1217"/>
      <c r="E22" s="1217"/>
    </row>
    <row r="23" spans="1:5" ht="44.25" customHeight="1">
      <c r="A23" s="2295" t="s">
        <v>3647</v>
      </c>
      <c r="B23" s="2295"/>
      <c r="C23" s="2295"/>
      <c r="D23" s="2295"/>
      <c r="E23" s="2295"/>
    </row>
    <row r="24" spans="1:5">
      <c r="A24" s="1206" t="s">
        <v>1746</v>
      </c>
      <c r="B24" s="62"/>
      <c r="C24" s="62"/>
      <c r="D24" s="56"/>
      <c r="E24" s="56"/>
    </row>
  </sheetData>
  <mergeCells count="5">
    <mergeCell ref="A2:E2"/>
    <mergeCell ref="A4:A5"/>
    <mergeCell ref="B4:B5"/>
    <mergeCell ref="C4:E4"/>
    <mergeCell ref="A23:E23"/>
  </mergeCells>
  <pageMargins left="0.7" right="0.7" top="0.75" bottom="0.75" header="0.3" footer="0.3"/>
</worksheet>
</file>

<file path=xl/worksheets/sheet176.xml><?xml version="1.0" encoding="utf-8"?>
<worksheet xmlns="http://schemas.openxmlformats.org/spreadsheetml/2006/main" xmlns:r="http://schemas.openxmlformats.org/officeDocument/2006/relationships">
  <dimension ref="A1:N24"/>
  <sheetViews>
    <sheetView zoomScaleNormal="100" workbookViewId="0">
      <selection activeCell="D33" sqref="D33"/>
    </sheetView>
  </sheetViews>
  <sheetFormatPr baseColWidth="10" defaultRowHeight="12"/>
  <cols>
    <col min="1" max="16384" width="11.42578125" style="50"/>
  </cols>
  <sheetData>
    <row r="1" spans="1:14" ht="10.5" customHeight="1"/>
    <row r="2" spans="1:14">
      <c r="A2" s="2354" t="s">
        <v>3185</v>
      </c>
      <c r="B2" s="2354"/>
      <c r="C2" s="2354"/>
      <c r="D2" s="2354"/>
      <c r="E2" s="2354"/>
      <c r="F2" s="2354"/>
      <c r="G2" s="2354"/>
      <c r="H2" s="2354"/>
      <c r="I2" s="2354"/>
      <c r="J2" s="2354"/>
      <c r="K2" s="2354"/>
      <c r="L2" s="2354"/>
      <c r="M2" s="2354"/>
      <c r="N2" s="2354"/>
    </row>
    <row r="3" spans="1:14" ht="13.5" customHeight="1">
      <c r="A3" s="54"/>
      <c r="B3" s="415"/>
      <c r="C3" s="415"/>
      <c r="D3" s="54"/>
      <c r="E3" s="54"/>
      <c r="F3" s="54"/>
      <c r="G3" s="54"/>
      <c r="H3" s="54"/>
      <c r="I3" s="62"/>
      <c r="J3" s="62"/>
      <c r="K3" s="62"/>
      <c r="L3" s="62"/>
      <c r="M3" s="62"/>
      <c r="N3" s="62"/>
    </row>
    <row r="4" spans="1:14" ht="12.75">
      <c r="A4" s="2237" t="s">
        <v>0</v>
      </c>
      <c r="B4" s="2362" t="s">
        <v>3466</v>
      </c>
      <c r="C4" s="2363"/>
      <c r="D4" s="2363"/>
      <c r="E4" s="2363"/>
      <c r="F4" s="2363"/>
      <c r="G4" s="2363"/>
      <c r="H4" s="2363"/>
      <c r="I4" s="2363"/>
      <c r="J4" s="2363"/>
      <c r="K4" s="2363"/>
      <c r="L4" s="2363"/>
      <c r="M4" s="2363"/>
      <c r="N4" s="2364"/>
    </row>
    <row r="5" spans="1:14" ht="22.5">
      <c r="A5" s="2238"/>
      <c r="B5" s="389" t="s">
        <v>6</v>
      </c>
      <c r="C5" s="389" t="s">
        <v>1135</v>
      </c>
      <c r="D5" s="389" t="s">
        <v>1136</v>
      </c>
      <c r="E5" s="389" t="s">
        <v>1137</v>
      </c>
      <c r="F5" s="389" t="s">
        <v>1138</v>
      </c>
      <c r="G5" s="389" t="s">
        <v>1139</v>
      </c>
      <c r="H5" s="389" t="s">
        <v>1140</v>
      </c>
      <c r="I5" s="389" t="s">
        <v>1141</v>
      </c>
      <c r="J5" s="389" t="s">
        <v>1142</v>
      </c>
      <c r="K5" s="389" t="s">
        <v>1143</v>
      </c>
      <c r="L5" s="389" t="s">
        <v>1144</v>
      </c>
      <c r="M5" s="389" t="s">
        <v>1145</v>
      </c>
      <c r="N5" s="389" t="s">
        <v>1146</v>
      </c>
    </row>
    <row r="6" spans="1:14">
      <c r="A6" s="1201" t="s">
        <v>6</v>
      </c>
      <c r="B6" s="1202">
        <f>SUM(B7:B21)</f>
        <v>10933</v>
      </c>
      <c r="C6" s="1202">
        <f>SUM(C8:C24)</f>
        <v>355</v>
      </c>
      <c r="D6" s="1202">
        <f t="shared" ref="D6:N6" si="0">SUM(D8:D24)</f>
        <v>439</v>
      </c>
      <c r="E6" s="1202">
        <f t="shared" si="0"/>
        <v>438</v>
      </c>
      <c r="F6" s="1202">
        <f t="shared" si="0"/>
        <v>1057</v>
      </c>
      <c r="G6" s="1202">
        <f t="shared" si="0"/>
        <v>880</v>
      </c>
      <c r="H6" s="1202">
        <f t="shared" si="0"/>
        <v>1000</v>
      </c>
      <c r="I6" s="1202">
        <f t="shared" si="0"/>
        <v>694</v>
      </c>
      <c r="J6" s="1202">
        <f t="shared" si="0"/>
        <v>1315</v>
      </c>
      <c r="K6" s="1202">
        <f t="shared" si="0"/>
        <v>923</v>
      </c>
      <c r="L6" s="1202">
        <f t="shared" si="0"/>
        <v>1431</v>
      </c>
      <c r="M6" s="1202">
        <f t="shared" si="0"/>
        <v>2076</v>
      </c>
      <c r="N6" s="1202">
        <f t="shared" si="0"/>
        <v>325</v>
      </c>
    </row>
    <row r="7" spans="1:14" ht="22.5">
      <c r="A7" s="1203" t="s">
        <v>7</v>
      </c>
      <c r="B7" s="319">
        <f>SUM(C7:N7)</f>
        <v>0</v>
      </c>
      <c r="C7" s="1202">
        <v>0</v>
      </c>
      <c r="D7" s="1202">
        <v>0</v>
      </c>
      <c r="E7" s="1202">
        <v>0</v>
      </c>
      <c r="F7" s="1202">
        <v>0</v>
      </c>
      <c r="G7" s="1202">
        <v>0</v>
      </c>
      <c r="H7" s="1202">
        <v>0</v>
      </c>
      <c r="I7" s="1202">
        <v>0</v>
      </c>
      <c r="J7" s="1202">
        <v>0</v>
      </c>
      <c r="K7" s="1202">
        <v>0</v>
      </c>
      <c r="L7" s="1202">
        <v>0</v>
      </c>
      <c r="M7" s="1202">
        <v>0</v>
      </c>
      <c r="N7" s="1202">
        <v>0</v>
      </c>
    </row>
    <row r="8" spans="1:14">
      <c r="A8" s="53" t="s">
        <v>8</v>
      </c>
      <c r="B8" s="319">
        <f t="shared" ref="B8:B21" si="1">SUM(C8:N8)</f>
        <v>740</v>
      </c>
      <c r="C8" s="1204">
        <v>0</v>
      </c>
      <c r="D8" s="1204">
        <v>0</v>
      </c>
      <c r="E8" s="1204">
        <v>100</v>
      </c>
      <c r="F8" s="1204">
        <v>0</v>
      </c>
      <c r="G8" s="1204">
        <v>0</v>
      </c>
      <c r="H8" s="1204">
        <v>0</v>
      </c>
      <c r="I8" s="1204">
        <v>120</v>
      </c>
      <c r="J8" s="1204">
        <v>160</v>
      </c>
      <c r="K8" s="1204">
        <v>120</v>
      </c>
      <c r="L8" s="1204">
        <v>120</v>
      </c>
      <c r="M8" s="1204">
        <v>120</v>
      </c>
      <c r="N8" s="1204">
        <v>0</v>
      </c>
    </row>
    <row r="9" spans="1:14">
      <c r="A9" s="53" t="s">
        <v>9</v>
      </c>
      <c r="B9" s="319">
        <f t="shared" si="1"/>
        <v>0</v>
      </c>
      <c r="C9" s="1204">
        <v>0</v>
      </c>
      <c r="D9" s="1204">
        <v>0</v>
      </c>
      <c r="E9" s="1204">
        <v>0</v>
      </c>
      <c r="F9" s="1204">
        <v>0</v>
      </c>
      <c r="G9" s="1204">
        <v>0</v>
      </c>
      <c r="H9" s="1204">
        <v>0</v>
      </c>
      <c r="I9" s="1204">
        <v>0</v>
      </c>
      <c r="J9" s="1204">
        <v>0</v>
      </c>
      <c r="K9" s="1204">
        <v>0</v>
      </c>
      <c r="L9" s="1204">
        <v>0</v>
      </c>
      <c r="M9" s="1204">
        <v>0</v>
      </c>
      <c r="N9" s="1204">
        <v>0</v>
      </c>
    </row>
    <row r="10" spans="1:14">
      <c r="A10" s="53" t="s">
        <v>10</v>
      </c>
      <c r="B10" s="319">
        <f t="shared" si="1"/>
        <v>745</v>
      </c>
      <c r="C10" s="1204">
        <v>80</v>
      </c>
      <c r="D10" s="1204">
        <v>200</v>
      </c>
      <c r="E10" s="1204">
        <v>0</v>
      </c>
      <c r="F10" s="1204">
        <v>275</v>
      </c>
      <c r="G10" s="1204">
        <v>0</v>
      </c>
      <c r="H10" s="1204">
        <v>0</v>
      </c>
      <c r="I10" s="1204">
        <v>60</v>
      </c>
      <c r="J10" s="1204">
        <v>0</v>
      </c>
      <c r="K10" s="1204">
        <v>60</v>
      </c>
      <c r="L10" s="1204">
        <v>70</v>
      </c>
      <c r="M10" s="1204">
        <v>0</v>
      </c>
      <c r="N10" s="1204">
        <v>0</v>
      </c>
    </row>
    <row r="11" spans="1:14">
      <c r="A11" s="53" t="s">
        <v>11</v>
      </c>
      <c r="B11" s="319">
        <f t="shared" si="1"/>
        <v>2615</v>
      </c>
      <c r="C11" s="1204">
        <v>0</v>
      </c>
      <c r="D11" s="1204">
        <v>60</v>
      </c>
      <c r="E11" s="1204">
        <v>95</v>
      </c>
      <c r="F11" s="1204">
        <v>225</v>
      </c>
      <c r="G11" s="1204">
        <v>215</v>
      </c>
      <c r="H11" s="1204">
        <v>380</v>
      </c>
      <c r="I11" s="1204">
        <v>0</v>
      </c>
      <c r="J11" s="1204">
        <v>130</v>
      </c>
      <c r="K11" s="1204">
        <v>150</v>
      </c>
      <c r="L11" s="1204">
        <v>650</v>
      </c>
      <c r="M11" s="1204">
        <v>710</v>
      </c>
      <c r="N11" s="1204">
        <v>0</v>
      </c>
    </row>
    <row r="12" spans="1:14">
      <c r="A12" s="53" t="s">
        <v>12</v>
      </c>
      <c r="B12" s="319">
        <f t="shared" si="1"/>
        <v>190</v>
      </c>
      <c r="C12" s="1204">
        <v>0</v>
      </c>
      <c r="D12" s="1204">
        <v>0</v>
      </c>
      <c r="E12" s="1204">
        <v>50</v>
      </c>
      <c r="F12" s="1204">
        <v>0</v>
      </c>
      <c r="G12" s="1204">
        <v>100</v>
      </c>
      <c r="H12" s="1204">
        <v>0</v>
      </c>
      <c r="I12" s="1204">
        <v>0</v>
      </c>
      <c r="J12" s="1204">
        <v>0</v>
      </c>
      <c r="K12" s="1204">
        <v>0</v>
      </c>
      <c r="L12" s="1204">
        <v>0</v>
      </c>
      <c r="M12" s="1204">
        <v>40</v>
      </c>
      <c r="N12" s="1204">
        <v>0</v>
      </c>
    </row>
    <row r="13" spans="1:14">
      <c r="A13" s="53" t="s">
        <v>13</v>
      </c>
      <c r="B13" s="319">
        <f t="shared" si="1"/>
        <v>1550</v>
      </c>
      <c r="C13" s="1204">
        <v>0</v>
      </c>
      <c r="D13" s="1204">
        <v>0</v>
      </c>
      <c r="E13" s="1204">
        <v>0</v>
      </c>
      <c r="F13" s="1204">
        <v>0</v>
      </c>
      <c r="G13" s="1204">
        <v>300</v>
      </c>
      <c r="H13" s="1204">
        <v>0</v>
      </c>
      <c r="I13" s="1204">
        <v>233</v>
      </c>
      <c r="J13" s="1204">
        <v>300</v>
      </c>
      <c r="K13" s="1204">
        <v>325</v>
      </c>
      <c r="L13" s="1204">
        <v>142</v>
      </c>
      <c r="M13" s="1204">
        <v>0</v>
      </c>
      <c r="N13" s="1204">
        <v>250</v>
      </c>
    </row>
    <row r="14" spans="1:14">
      <c r="A14" s="53" t="s">
        <v>14</v>
      </c>
      <c r="B14" s="319">
        <f>SUM(C14:N14)</f>
        <v>1090</v>
      </c>
      <c r="C14" s="1204">
        <v>0</v>
      </c>
      <c r="D14" s="1204">
        <v>70</v>
      </c>
      <c r="E14" s="1204">
        <v>0</v>
      </c>
      <c r="F14" s="1204">
        <v>0</v>
      </c>
      <c r="G14" s="1204">
        <v>0</v>
      </c>
      <c r="H14" s="1204">
        <v>200</v>
      </c>
      <c r="I14" s="1204">
        <v>60</v>
      </c>
      <c r="J14" s="1204">
        <v>375</v>
      </c>
      <c r="K14" s="1204">
        <v>50</v>
      </c>
      <c r="L14" s="1204">
        <v>120</v>
      </c>
      <c r="M14" s="1204">
        <v>215</v>
      </c>
      <c r="N14" s="1204">
        <v>0</v>
      </c>
    </row>
    <row r="15" spans="1:14">
      <c r="A15" s="53" t="s">
        <v>15</v>
      </c>
      <c r="B15" s="319">
        <f t="shared" si="1"/>
        <v>652</v>
      </c>
      <c r="C15" s="1204">
        <v>45</v>
      </c>
      <c r="D15" s="1204">
        <v>0</v>
      </c>
      <c r="E15" s="1204">
        <v>75</v>
      </c>
      <c r="F15" s="1204">
        <v>177</v>
      </c>
      <c r="G15" s="1204">
        <v>0</v>
      </c>
      <c r="H15" s="1204">
        <v>75</v>
      </c>
      <c r="I15" s="1204">
        <v>0</v>
      </c>
      <c r="J15" s="1204">
        <v>160</v>
      </c>
      <c r="K15" s="1204">
        <v>50</v>
      </c>
      <c r="L15" s="1204">
        <v>0</v>
      </c>
      <c r="M15" s="1204">
        <v>70</v>
      </c>
      <c r="N15" s="1204">
        <v>0</v>
      </c>
    </row>
    <row r="16" spans="1:14">
      <c r="A16" s="53" t="s">
        <v>16</v>
      </c>
      <c r="B16" s="319">
        <f t="shared" si="1"/>
        <v>2466</v>
      </c>
      <c r="C16" s="1204">
        <v>230</v>
      </c>
      <c r="D16" s="1204">
        <v>0</v>
      </c>
      <c r="E16" s="1204">
        <v>118</v>
      </c>
      <c r="F16" s="1204">
        <v>300</v>
      </c>
      <c r="G16" s="1204">
        <v>265</v>
      </c>
      <c r="H16" s="1204">
        <v>295</v>
      </c>
      <c r="I16" s="1204">
        <v>55</v>
      </c>
      <c r="J16" s="1204">
        <v>190</v>
      </c>
      <c r="K16" s="1204">
        <v>68</v>
      </c>
      <c r="L16" s="1204">
        <v>329</v>
      </c>
      <c r="M16" s="1204">
        <v>541</v>
      </c>
      <c r="N16" s="1204">
        <v>75</v>
      </c>
    </row>
    <row r="17" spans="1:14">
      <c r="A17" s="53" t="s">
        <v>17</v>
      </c>
      <c r="B17" s="319">
        <f t="shared" si="1"/>
        <v>710</v>
      </c>
      <c r="C17" s="1204">
        <v>0</v>
      </c>
      <c r="D17" s="1204">
        <v>0</v>
      </c>
      <c r="E17" s="1204">
        <v>0</v>
      </c>
      <c r="F17" s="1204">
        <v>80</v>
      </c>
      <c r="G17" s="1204">
        <v>0</v>
      </c>
      <c r="H17" s="1204">
        <v>50</v>
      </c>
      <c r="I17" s="1204">
        <v>100</v>
      </c>
      <c r="J17" s="1204">
        <v>0</v>
      </c>
      <c r="K17" s="1204">
        <v>100</v>
      </c>
      <c r="L17" s="1204">
        <v>0</v>
      </c>
      <c r="M17" s="1204">
        <v>380</v>
      </c>
      <c r="N17" s="1204">
        <v>0</v>
      </c>
    </row>
    <row r="18" spans="1:14">
      <c r="A18" s="53" t="s">
        <v>18</v>
      </c>
      <c r="B18" s="319">
        <f t="shared" si="1"/>
        <v>109</v>
      </c>
      <c r="C18" s="1204">
        <v>0</v>
      </c>
      <c r="D18" s="1204">
        <v>109</v>
      </c>
      <c r="E18" s="1204">
        <v>0</v>
      </c>
      <c r="F18" s="1204">
        <v>0</v>
      </c>
      <c r="G18" s="1204">
        <v>0</v>
      </c>
      <c r="H18" s="1204">
        <v>0</v>
      </c>
      <c r="I18" s="1204">
        <v>0</v>
      </c>
      <c r="J18" s="1204">
        <v>0</v>
      </c>
      <c r="K18" s="1204">
        <v>0</v>
      </c>
      <c r="L18" s="1204">
        <v>0</v>
      </c>
      <c r="M18" s="1204">
        <v>0</v>
      </c>
      <c r="N18" s="1204">
        <v>0</v>
      </c>
    </row>
    <row r="19" spans="1:14">
      <c r="A19" s="53" t="s">
        <v>19</v>
      </c>
      <c r="B19" s="319">
        <f t="shared" si="1"/>
        <v>66</v>
      </c>
      <c r="C19" s="1204">
        <v>0</v>
      </c>
      <c r="D19" s="1204">
        <v>0</v>
      </c>
      <c r="E19" s="1204">
        <v>0</v>
      </c>
      <c r="F19" s="1204">
        <v>0</v>
      </c>
      <c r="G19" s="1204">
        <v>0</v>
      </c>
      <c r="H19" s="1204">
        <v>0</v>
      </c>
      <c r="I19" s="1204">
        <v>66</v>
      </c>
      <c r="J19" s="1204">
        <v>0</v>
      </c>
      <c r="K19" s="1204">
        <v>0</v>
      </c>
      <c r="L19" s="1204">
        <v>0</v>
      </c>
      <c r="M19" s="1204">
        <v>0</v>
      </c>
      <c r="N19" s="1204">
        <v>0</v>
      </c>
    </row>
    <row r="20" spans="1:14">
      <c r="A20" s="53" t="s">
        <v>20</v>
      </c>
      <c r="B20" s="319">
        <f t="shared" si="1"/>
        <v>0</v>
      </c>
      <c r="C20" s="1204">
        <v>0</v>
      </c>
      <c r="D20" s="1204">
        <v>0</v>
      </c>
      <c r="E20" s="1204">
        <v>0</v>
      </c>
      <c r="F20" s="1204">
        <v>0</v>
      </c>
      <c r="G20" s="1204">
        <v>0</v>
      </c>
      <c r="H20" s="1204">
        <v>0</v>
      </c>
      <c r="I20" s="1204">
        <v>0</v>
      </c>
      <c r="J20" s="1204">
        <v>0</v>
      </c>
      <c r="K20" s="1204">
        <v>0</v>
      </c>
      <c r="L20" s="1204">
        <v>0</v>
      </c>
      <c r="M20" s="1204">
        <v>0</v>
      </c>
      <c r="N20" s="1204">
        <v>0</v>
      </c>
    </row>
    <row r="21" spans="1:14">
      <c r="A21" s="1205" t="s">
        <v>21</v>
      </c>
      <c r="B21" s="319">
        <f t="shared" si="1"/>
        <v>0</v>
      </c>
      <c r="C21" s="1204">
        <v>0</v>
      </c>
      <c r="D21" s="1204">
        <v>0</v>
      </c>
      <c r="E21" s="1204">
        <v>0</v>
      </c>
      <c r="F21" s="1204">
        <v>0</v>
      </c>
      <c r="G21" s="1204">
        <v>0</v>
      </c>
      <c r="H21" s="1204">
        <v>0</v>
      </c>
      <c r="I21" s="1204">
        <v>0</v>
      </c>
      <c r="J21" s="1204">
        <v>0</v>
      </c>
      <c r="K21" s="1204">
        <v>0</v>
      </c>
      <c r="L21" s="1204">
        <v>0</v>
      </c>
      <c r="M21" s="1204">
        <v>0</v>
      </c>
      <c r="N21" s="1204">
        <v>0</v>
      </c>
    </row>
    <row r="22" spans="1:14">
      <c r="A22" s="53"/>
      <c r="B22" s="53"/>
      <c r="C22" s="53"/>
      <c r="D22" s="53"/>
      <c r="E22" s="53"/>
      <c r="F22" s="53"/>
      <c r="G22" s="53"/>
      <c r="H22" s="53"/>
      <c r="I22" s="53"/>
      <c r="J22" s="53"/>
      <c r="K22" s="53"/>
      <c r="L22" s="53"/>
      <c r="M22" s="53"/>
      <c r="N22" s="53"/>
    </row>
    <row r="23" spans="1:14" ht="26.25" customHeight="1">
      <c r="A23" s="2365" t="s">
        <v>3647</v>
      </c>
      <c r="B23" s="2365"/>
      <c r="C23" s="2365"/>
      <c r="D23" s="2365"/>
      <c r="E23" s="2365"/>
      <c r="F23" s="2365"/>
      <c r="G23" s="2365"/>
      <c r="H23" s="2365"/>
      <c r="I23" s="2104"/>
      <c r="J23" s="2104"/>
      <c r="K23" s="2104"/>
      <c r="L23" s="2104"/>
      <c r="M23" s="2104"/>
      <c r="N23" s="2104"/>
    </row>
    <row r="24" spans="1:14">
      <c r="A24" s="1206" t="s">
        <v>1746</v>
      </c>
      <c r="B24" s="1207"/>
      <c r="C24" s="1207"/>
      <c r="D24" s="1207"/>
      <c r="E24" s="1207"/>
      <c r="F24" s="1207"/>
      <c r="G24" s="1207"/>
      <c r="H24" s="1207"/>
      <c r="I24" s="1207"/>
      <c r="J24" s="1207"/>
      <c r="K24" s="1207"/>
      <c r="L24" s="1207"/>
      <c r="M24" s="1207"/>
      <c r="N24" s="1207"/>
    </row>
  </sheetData>
  <mergeCells count="4">
    <mergeCell ref="A2:N2"/>
    <mergeCell ref="A4:A5"/>
    <mergeCell ref="B4:N4"/>
    <mergeCell ref="A23:N23"/>
  </mergeCells>
  <pageMargins left="0.7" right="0.7" top="0.75" bottom="0.75" header="0.3" footer="0.3"/>
</worksheet>
</file>

<file path=xl/worksheets/sheet177.xml><?xml version="1.0" encoding="utf-8"?>
<worksheet xmlns="http://schemas.openxmlformats.org/spreadsheetml/2006/main" xmlns:r="http://schemas.openxmlformats.org/officeDocument/2006/relationships">
  <dimension ref="A1:C24"/>
  <sheetViews>
    <sheetView zoomScaleNormal="100" workbookViewId="0"/>
  </sheetViews>
  <sheetFormatPr baseColWidth="10" defaultRowHeight="12"/>
  <cols>
    <col min="1" max="1" width="18.42578125" style="50" customWidth="1"/>
    <col min="2" max="2" width="18.140625" style="50" customWidth="1"/>
    <col min="3" max="3" width="22.85546875" style="50" customWidth="1"/>
    <col min="4" max="16384" width="11.42578125" style="50"/>
  </cols>
  <sheetData>
    <row r="1" spans="1:3" ht="7.5" customHeight="1"/>
    <row r="2" spans="1:3" ht="45.75" customHeight="1">
      <c r="A2" s="2063" t="s">
        <v>1749</v>
      </c>
      <c r="B2" s="2063"/>
      <c r="C2" s="2063"/>
    </row>
    <row r="3" spans="1:3" ht="9" customHeight="1">
      <c r="A3" s="53"/>
      <c r="B3" s="53"/>
      <c r="C3" s="53"/>
    </row>
    <row r="4" spans="1:3" ht="13.5">
      <c r="A4" s="2366" t="s">
        <v>1750</v>
      </c>
      <c r="B4" s="2368" t="s">
        <v>3634</v>
      </c>
      <c r="C4" s="2368"/>
    </row>
    <row r="5" spans="1:3">
      <c r="A5" s="2367"/>
      <c r="B5" s="1197" t="s">
        <v>1751</v>
      </c>
      <c r="C5" s="1197" t="s">
        <v>1752</v>
      </c>
    </row>
    <row r="6" spans="1:3">
      <c r="A6" s="1183" t="s">
        <v>26</v>
      </c>
      <c r="B6" s="1183">
        <f>SUM(B7:B21)</f>
        <v>53</v>
      </c>
      <c r="C6" s="1183">
        <f>SUM(C7:C21)</f>
        <v>62</v>
      </c>
    </row>
    <row r="7" spans="1:3">
      <c r="A7" s="1198" t="s">
        <v>7</v>
      </c>
      <c r="B7" s="310">
        <v>1</v>
      </c>
      <c r="C7" s="1199">
        <v>0</v>
      </c>
    </row>
    <row r="8" spans="1:3">
      <c r="A8" s="1198" t="s">
        <v>8</v>
      </c>
      <c r="B8" s="310">
        <v>4</v>
      </c>
      <c r="C8" s="1199">
        <v>0</v>
      </c>
    </row>
    <row r="9" spans="1:3">
      <c r="A9" s="1198" t="s">
        <v>9</v>
      </c>
      <c r="B9" s="310">
        <v>5</v>
      </c>
      <c r="C9" s="1199">
        <v>0</v>
      </c>
    </row>
    <row r="10" spans="1:3">
      <c r="A10" s="1198" t="s">
        <v>10</v>
      </c>
      <c r="B10" s="310">
        <v>2</v>
      </c>
      <c r="C10" s="1199">
        <v>0</v>
      </c>
    </row>
    <row r="11" spans="1:3">
      <c r="A11" s="1198" t="s">
        <v>11</v>
      </c>
      <c r="B11" s="310">
        <v>2</v>
      </c>
      <c r="C11" s="1199">
        <v>0</v>
      </c>
    </row>
    <row r="12" spans="1:3">
      <c r="A12" s="1198" t="s">
        <v>12</v>
      </c>
      <c r="B12" s="310">
        <v>5</v>
      </c>
      <c r="C12" s="1199">
        <v>0</v>
      </c>
    </row>
    <row r="13" spans="1:3">
      <c r="A13" s="1198" t="s">
        <v>14</v>
      </c>
      <c r="B13" s="310">
        <v>1</v>
      </c>
      <c r="C13" s="1199">
        <v>0</v>
      </c>
    </row>
    <row r="14" spans="1:3">
      <c r="A14" s="1198" t="s">
        <v>15</v>
      </c>
      <c r="B14" s="310">
        <v>3</v>
      </c>
      <c r="C14" s="1199">
        <v>0</v>
      </c>
    </row>
    <row r="15" spans="1:3">
      <c r="A15" s="1198" t="s">
        <v>16</v>
      </c>
      <c r="B15" s="310">
        <v>6</v>
      </c>
      <c r="C15" s="1199">
        <v>0</v>
      </c>
    </row>
    <row r="16" spans="1:3">
      <c r="A16" s="1198" t="s">
        <v>17</v>
      </c>
      <c r="B16" s="310">
        <v>2</v>
      </c>
      <c r="C16" s="1199">
        <v>0</v>
      </c>
    </row>
    <row r="17" spans="1:3">
      <c r="A17" s="1198" t="s">
        <v>18</v>
      </c>
      <c r="B17" s="310">
        <v>1</v>
      </c>
      <c r="C17" s="1199">
        <v>0</v>
      </c>
    </row>
    <row r="18" spans="1:3">
      <c r="A18" s="1198" t="s">
        <v>19</v>
      </c>
      <c r="B18" s="310">
        <v>3</v>
      </c>
      <c r="C18" s="1199">
        <v>0</v>
      </c>
    </row>
    <row r="19" spans="1:3">
      <c r="A19" s="1198" t="s">
        <v>20</v>
      </c>
      <c r="B19" s="310">
        <v>2</v>
      </c>
      <c r="C19" s="1199">
        <v>0</v>
      </c>
    </row>
    <row r="20" spans="1:3">
      <c r="A20" s="1198" t="s">
        <v>21</v>
      </c>
      <c r="B20" s="310">
        <v>3</v>
      </c>
      <c r="C20" s="1199">
        <v>0</v>
      </c>
    </row>
    <row r="21" spans="1:3">
      <c r="A21" s="1198" t="s">
        <v>13</v>
      </c>
      <c r="B21" s="310">
        <v>13</v>
      </c>
      <c r="C21" s="310">
        <v>62</v>
      </c>
    </row>
    <row r="22" spans="1:3">
      <c r="A22" s="1200"/>
      <c r="B22" s="310"/>
      <c r="C22" s="310"/>
    </row>
    <row r="23" spans="1:3" ht="26.25" customHeight="1">
      <c r="A23" s="2369" t="s">
        <v>3646</v>
      </c>
      <c r="B23" s="2369"/>
      <c r="C23" s="2369"/>
    </row>
    <row r="24" spans="1:3">
      <c r="A24" s="299" t="s">
        <v>1753</v>
      </c>
      <c r="B24" s="310"/>
      <c r="C24" s="310"/>
    </row>
  </sheetData>
  <mergeCells count="4">
    <mergeCell ref="A2:C2"/>
    <mergeCell ref="A4:A5"/>
    <mergeCell ref="B4:C4"/>
    <mergeCell ref="A23:C23"/>
  </mergeCells>
  <pageMargins left="0.7" right="0.7" top="0.75" bottom="0.75" header="0.3" footer="0.3"/>
</worksheet>
</file>

<file path=xl/worksheets/sheet178.xml><?xml version="1.0" encoding="utf-8"?>
<worksheet xmlns="http://schemas.openxmlformats.org/spreadsheetml/2006/main" xmlns:r="http://schemas.openxmlformats.org/officeDocument/2006/relationships">
  <dimension ref="A2:G30"/>
  <sheetViews>
    <sheetView zoomScaleNormal="100" workbookViewId="0">
      <selection activeCell="E35" sqref="E35"/>
    </sheetView>
  </sheetViews>
  <sheetFormatPr baseColWidth="10" defaultRowHeight="12"/>
  <cols>
    <col min="1" max="1" width="21.85546875" style="50" customWidth="1"/>
    <col min="2" max="2" width="14.140625" style="50" customWidth="1"/>
    <col min="3" max="4" width="13.5703125" style="50" customWidth="1"/>
    <col min="5" max="5" width="12.140625" style="50" customWidth="1"/>
    <col min="6" max="6" width="13.28515625" style="50" customWidth="1"/>
    <col min="7" max="16384" width="11.42578125" style="50"/>
  </cols>
  <sheetData>
    <row r="2" spans="1:7" ht="34.5" customHeight="1">
      <c r="A2" s="2370" t="s">
        <v>1754</v>
      </c>
      <c r="B2" s="2370"/>
      <c r="C2" s="2370"/>
      <c r="D2" s="2370"/>
      <c r="E2" s="2370"/>
      <c r="F2" s="2370"/>
      <c r="G2" s="2370"/>
    </row>
    <row r="3" spans="1:7" ht="10.5" customHeight="1">
      <c r="A3" s="1182"/>
      <c r="B3" s="1182"/>
      <c r="C3" s="1182"/>
      <c r="D3" s="1182"/>
      <c r="E3" s="1182"/>
      <c r="F3" s="1182"/>
      <c r="G3" s="1182"/>
    </row>
    <row r="4" spans="1:7">
      <c r="A4" s="2371" t="s">
        <v>1755</v>
      </c>
      <c r="B4" s="2371">
        <v>2012</v>
      </c>
      <c r="C4" s="2371"/>
      <c r="D4" s="2371">
        <v>2013</v>
      </c>
      <c r="E4" s="2371"/>
      <c r="F4" s="2371">
        <v>2014</v>
      </c>
      <c r="G4" s="2371"/>
    </row>
    <row r="5" spans="1:7">
      <c r="A5" s="2371"/>
      <c r="B5" s="1180" t="s">
        <v>1756</v>
      </c>
      <c r="C5" s="1180" t="s">
        <v>1757</v>
      </c>
      <c r="D5" s="1180" t="s">
        <v>1756</v>
      </c>
      <c r="E5" s="1180" t="s">
        <v>1757</v>
      </c>
      <c r="F5" s="1180" t="s">
        <v>1756</v>
      </c>
      <c r="G5" s="1180" t="s">
        <v>1757</v>
      </c>
    </row>
    <row r="6" spans="1:7">
      <c r="A6" s="1183" t="s">
        <v>6</v>
      </c>
      <c r="B6" s="1184">
        <f t="shared" ref="B6:G6" si="0">SUM(B7:B21)</f>
        <v>5614</v>
      </c>
      <c r="C6" s="1185">
        <f t="shared" si="0"/>
        <v>25</v>
      </c>
      <c r="D6" s="1184">
        <f t="shared" si="0"/>
        <v>2967</v>
      </c>
      <c r="E6" s="1185">
        <f t="shared" si="0"/>
        <v>14</v>
      </c>
      <c r="F6" s="1184">
        <f t="shared" si="0"/>
        <v>5116</v>
      </c>
      <c r="G6" s="1185">
        <f t="shared" si="0"/>
        <v>15</v>
      </c>
    </row>
    <row r="7" spans="1:7">
      <c r="A7" s="1186" t="s">
        <v>7</v>
      </c>
      <c r="B7" s="1187">
        <v>62</v>
      </c>
      <c r="C7" s="1188">
        <v>0</v>
      </c>
      <c r="D7" s="1187">
        <v>41</v>
      </c>
      <c r="E7" s="1188">
        <v>0</v>
      </c>
      <c r="F7" s="1187">
        <v>43</v>
      </c>
      <c r="G7" s="1188">
        <v>1</v>
      </c>
    </row>
    <row r="8" spans="1:7">
      <c r="A8" s="1186" t="s">
        <v>8</v>
      </c>
      <c r="B8" s="1189">
        <v>186</v>
      </c>
      <c r="C8" s="1188">
        <v>0</v>
      </c>
      <c r="D8" s="1187">
        <v>153</v>
      </c>
      <c r="E8" s="1188">
        <v>0</v>
      </c>
      <c r="F8" s="1187">
        <v>247</v>
      </c>
      <c r="G8" s="1188">
        <v>0</v>
      </c>
    </row>
    <row r="9" spans="1:7">
      <c r="A9" s="1186" t="s">
        <v>9</v>
      </c>
      <c r="B9" s="1187">
        <v>55</v>
      </c>
      <c r="C9" s="1188">
        <v>0</v>
      </c>
      <c r="D9" s="1187">
        <v>352</v>
      </c>
      <c r="E9" s="1190">
        <v>1</v>
      </c>
      <c r="F9" s="1187">
        <v>312</v>
      </c>
      <c r="G9" s="1190">
        <v>1</v>
      </c>
    </row>
    <row r="10" spans="1:7">
      <c r="A10" s="1186" t="s">
        <v>10</v>
      </c>
      <c r="B10" s="1189">
        <v>13</v>
      </c>
      <c r="C10" s="1188">
        <v>0</v>
      </c>
      <c r="D10" s="1187">
        <v>16</v>
      </c>
      <c r="E10" s="1188">
        <v>0</v>
      </c>
      <c r="F10" s="1187">
        <v>57</v>
      </c>
      <c r="G10" s="1188">
        <v>0</v>
      </c>
    </row>
    <row r="11" spans="1:7">
      <c r="A11" s="1186" t="s">
        <v>11</v>
      </c>
      <c r="B11" s="1189">
        <v>708</v>
      </c>
      <c r="C11" s="1188">
        <v>0</v>
      </c>
      <c r="D11" s="1187">
        <v>82</v>
      </c>
      <c r="E11" s="1188">
        <v>0</v>
      </c>
      <c r="F11" s="1187">
        <v>197</v>
      </c>
      <c r="G11" s="1188">
        <v>1</v>
      </c>
    </row>
    <row r="12" spans="1:7">
      <c r="A12" s="1186" t="s">
        <v>12</v>
      </c>
      <c r="B12" s="1189">
        <v>570</v>
      </c>
      <c r="C12" s="1190">
        <v>2</v>
      </c>
      <c r="D12" s="1187">
        <v>206</v>
      </c>
      <c r="E12" s="1190">
        <v>2</v>
      </c>
      <c r="F12" s="1187">
        <v>404</v>
      </c>
      <c r="G12" s="1190">
        <v>2</v>
      </c>
    </row>
    <row r="13" spans="1:7">
      <c r="A13" s="1186" t="s">
        <v>14</v>
      </c>
      <c r="B13" s="1187">
        <v>252</v>
      </c>
      <c r="C13" s="1190">
        <v>5</v>
      </c>
      <c r="D13" s="1187">
        <v>107</v>
      </c>
      <c r="E13" s="1190">
        <v>2</v>
      </c>
      <c r="F13" s="1187">
        <v>410</v>
      </c>
      <c r="G13" s="1190">
        <v>2</v>
      </c>
    </row>
    <row r="14" spans="1:7">
      <c r="A14" s="1186" t="s">
        <v>15</v>
      </c>
      <c r="B14" s="1187">
        <v>371</v>
      </c>
      <c r="C14" s="1188">
        <v>0</v>
      </c>
      <c r="D14" s="1187">
        <v>87</v>
      </c>
      <c r="E14" s="1190">
        <v>1</v>
      </c>
      <c r="F14" s="1187">
        <v>322</v>
      </c>
      <c r="G14" s="1190">
        <v>0</v>
      </c>
    </row>
    <row r="15" spans="1:7">
      <c r="A15" s="1186" t="s">
        <v>16</v>
      </c>
      <c r="B15" s="1187">
        <v>598</v>
      </c>
      <c r="C15" s="1190">
        <v>4</v>
      </c>
      <c r="D15" s="1187">
        <v>620</v>
      </c>
      <c r="E15" s="1190">
        <v>2</v>
      </c>
      <c r="F15" s="1187">
        <v>811</v>
      </c>
      <c r="G15" s="1190">
        <v>2</v>
      </c>
    </row>
    <row r="16" spans="1:7">
      <c r="A16" s="1186" t="s">
        <v>17</v>
      </c>
      <c r="B16" s="1187">
        <v>109</v>
      </c>
      <c r="C16" s="1188">
        <v>0</v>
      </c>
      <c r="D16" s="1187">
        <v>130</v>
      </c>
      <c r="E16" s="1191">
        <v>1</v>
      </c>
      <c r="F16" s="1187">
        <v>93</v>
      </c>
      <c r="G16" s="1191">
        <v>0</v>
      </c>
    </row>
    <row r="17" spans="1:7">
      <c r="A17" s="1186" t="s">
        <v>18</v>
      </c>
      <c r="B17" s="1187">
        <v>113</v>
      </c>
      <c r="C17" s="1190">
        <v>1</v>
      </c>
      <c r="D17" s="1187">
        <v>19</v>
      </c>
      <c r="E17" s="1188">
        <v>0</v>
      </c>
      <c r="F17" s="1187">
        <v>148</v>
      </c>
      <c r="G17" s="1188">
        <v>0</v>
      </c>
    </row>
    <row r="18" spans="1:7">
      <c r="A18" s="1186" t="s">
        <v>19</v>
      </c>
      <c r="B18" s="1189">
        <v>281</v>
      </c>
      <c r="C18" s="1190">
        <v>3</v>
      </c>
      <c r="D18" s="1187">
        <v>191</v>
      </c>
      <c r="E18" s="1190">
        <v>1</v>
      </c>
      <c r="F18" s="53">
        <v>145</v>
      </c>
      <c r="G18" s="1190">
        <v>1</v>
      </c>
    </row>
    <row r="19" spans="1:7">
      <c r="A19" s="1186" t="s">
        <v>20</v>
      </c>
      <c r="B19" s="1189">
        <v>64</v>
      </c>
      <c r="C19" s="1188">
        <v>0</v>
      </c>
      <c r="D19" s="1187">
        <v>11</v>
      </c>
      <c r="E19" s="1188">
        <v>0</v>
      </c>
      <c r="F19" s="1187">
        <v>27</v>
      </c>
      <c r="G19" s="1188">
        <v>0</v>
      </c>
    </row>
    <row r="20" spans="1:7">
      <c r="A20" s="1186" t="s">
        <v>21</v>
      </c>
      <c r="B20" s="1189">
        <v>80</v>
      </c>
      <c r="C20" s="1188">
        <v>0</v>
      </c>
      <c r="D20" s="1187">
        <v>25</v>
      </c>
      <c r="E20" s="1188">
        <v>0</v>
      </c>
      <c r="F20" s="1187">
        <v>48</v>
      </c>
      <c r="G20" s="1188">
        <v>0</v>
      </c>
    </row>
    <row r="21" spans="1:7">
      <c r="A21" s="1186" t="s">
        <v>13</v>
      </c>
      <c r="B21" s="1187">
        <v>2152</v>
      </c>
      <c r="C21" s="1192">
        <v>10</v>
      </c>
      <c r="D21" s="1193">
        <v>927</v>
      </c>
      <c r="E21" s="1192">
        <v>4</v>
      </c>
      <c r="F21" s="1193">
        <v>1852</v>
      </c>
      <c r="G21" s="1192">
        <v>5</v>
      </c>
    </row>
    <row r="22" spans="1:7">
      <c r="A22" s="1183" t="s">
        <v>1062</v>
      </c>
      <c r="B22" s="1194">
        <f t="shared" ref="B22:G22" si="1">SUM(B23:B24)</f>
        <v>5614</v>
      </c>
      <c r="C22" s="1195">
        <f t="shared" si="1"/>
        <v>25</v>
      </c>
      <c r="D22" s="1194">
        <f t="shared" si="1"/>
        <v>2967</v>
      </c>
      <c r="E22" s="1195">
        <f t="shared" si="1"/>
        <v>14</v>
      </c>
      <c r="F22" s="1194">
        <f t="shared" si="1"/>
        <v>5116</v>
      </c>
      <c r="G22" s="1195">
        <f t="shared" si="1"/>
        <v>15</v>
      </c>
    </row>
    <row r="23" spans="1:7">
      <c r="A23" s="1182" t="s">
        <v>163</v>
      </c>
      <c r="B23" s="1189">
        <v>2339</v>
      </c>
      <c r="C23" s="1190">
        <v>12</v>
      </c>
      <c r="D23" s="1187">
        <v>1412</v>
      </c>
      <c r="E23" s="1190">
        <v>5</v>
      </c>
      <c r="F23" s="1187">
        <v>1966</v>
      </c>
      <c r="G23" s="1190">
        <v>7</v>
      </c>
    </row>
    <row r="24" spans="1:7">
      <c r="A24" s="1182" t="s">
        <v>164</v>
      </c>
      <c r="B24" s="1189">
        <v>3275</v>
      </c>
      <c r="C24" s="1190">
        <v>13</v>
      </c>
      <c r="D24" s="1187">
        <v>1555</v>
      </c>
      <c r="E24" s="1190">
        <v>9</v>
      </c>
      <c r="F24" s="1187">
        <v>3150</v>
      </c>
      <c r="G24" s="1190">
        <v>8</v>
      </c>
    </row>
    <row r="25" spans="1:7">
      <c r="A25" s="1183" t="s">
        <v>1758</v>
      </c>
      <c r="B25" s="1194">
        <f t="shared" ref="B25:G25" si="2">SUM(B26:B27)</f>
        <v>5614</v>
      </c>
      <c r="C25" s="1195">
        <f t="shared" si="2"/>
        <v>25</v>
      </c>
      <c r="D25" s="1194">
        <f t="shared" si="2"/>
        <v>2967</v>
      </c>
      <c r="E25" s="1195">
        <f t="shared" si="2"/>
        <v>14</v>
      </c>
      <c r="F25" s="1194">
        <f t="shared" si="2"/>
        <v>5116</v>
      </c>
      <c r="G25" s="1195">
        <f t="shared" si="2"/>
        <v>15</v>
      </c>
    </row>
    <row r="26" spans="1:7">
      <c r="A26" s="1182" t="s">
        <v>1759</v>
      </c>
      <c r="B26" s="1189">
        <v>2303</v>
      </c>
      <c r="C26" s="1190">
        <v>14</v>
      </c>
      <c r="D26" s="1187">
        <v>1132</v>
      </c>
      <c r="E26" s="1191">
        <v>7</v>
      </c>
      <c r="F26" s="1187">
        <v>2358</v>
      </c>
      <c r="G26" s="1191">
        <v>11</v>
      </c>
    </row>
    <row r="27" spans="1:7">
      <c r="A27" s="1182" t="s">
        <v>1760</v>
      </c>
      <c r="B27" s="1187">
        <v>3311</v>
      </c>
      <c r="C27" s="1190">
        <v>11</v>
      </c>
      <c r="D27" s="1187">
        <v>1835</v>
      </c>
      <c r="E27" s="1191">
        <v>7</v>
      </c>
      <c r="F27" s="1187">
        <v>2758</v>
      </c>
      <c r="G27" s="1191">
        <v>4</v>
      </c>
    </row>
    <row r="28" spans="1:7">
      <c r="A28" s="1182"/>
      <c r="B28" s="1191"/>
      <c r="C28" s="1190"/>
      <c r="D28" s="1191"/>
      <c r="E28" s="1191"/>
      <c r="F28" s="1196"/>
      <c r="G28" s="1196"/>
    </row>
    <row r="29" spans="1:7">
      <c r="A29" s="2131" t="s">
        <v>22</v>
      </c>
      <c r="B29" s="2131"/>
      <c r="C29" s="2131"/>
      <c r="D29" s="2131"/>
      <c r="E29" s="2131"/>
      <c r="F29" s="1196"/>
      <c r="G29" s="1196"/>
    </row>
    <row r="30" spans="1:7">
      <c r="A30" s="299" t="s">
        <v>1753</v>
      </c>
      <c r="B30" s="1196"/>
      <c r="C30" s="1196"/>
      <c r="D30" s="1196"/>
      <c r="E30" s="1196"/>
      <c r="F30" s="1196"/>
      <c r="G30" s="1196"/>
    </row>
  </sheetData>
  <mergeCells count="6">
    <mergeCell ref="A29:E29"/>
    <mergeCell ref="A2:G2"/>
    <mergeCell ref="A4:A5"/>
    <mergeCell ref="B4:C4"/>
    <mergeCell ref="D4:E4"/>
    <mergeCell ref="F4:G4"/>
  </mergeCells>
  <pageMargins left="0.7" right="0.7" top="0.75" bottom="0.75" header="0.3" footer="0.3"/>
</worksheet>
</file>

<file path=xl/worksheets/sheet179.xml><?xml version="1.0" encoding="utf-8"?>
<worksheet xmlns="http://schemas.openxmlformats.org/spreadsheetml/2006/main" xmlns:r="http://schemas.openxmlformats.org/officeDocument/2006/relationships">
  <dimension ref="A1:C12"/>
  <sheetViews>
    <sheetView zoomScaleNormal="100" workbookViewId="0">
      <selection activeCell="B18" sqref="B18"/>
    </sheetView>
  </sheetViews>
  <sheetFormatPr baseColWidth="10" defaultRowHeight="12"/>
  <cols>
    <col min="1" max="1" width="23" style="50" customWidth="1"/>
    <col min="2" max="2" width="17.28515625" style="50" customWidth="1"/>
    <col min="3" max="3" width="17.140625" style="50" customWidth="1"/>
    <col min="4" max="16384" width="11.42578125" style="50"/>
  </cols>
  <sheetData>
    <row r="1" spans="1:3" ht="15.75" customHeight="1"/>
    <row r="2" spans="1:3" ht="39" customHeight="1">
      <c r="A2" s="2370" t="s">
        <v>3186</v>
      </c>
      <c r="B2" s="2370"/>
      <c r="C2" s="2370"/>
    </row>
    <row r="3" spans="1:3" ht="8.25" customHeight="1">
      <c r="A3" s="39"/>
      <c r="B3" s="39"/>
      <c r="C3" s="39"/>
    </row>
    <row r="4" spans="1:3" ht="33.75">
      <c r="A4" s="1180" t="s">
        <v>1092</v>
      </c>
      <c r="B4" s="1180" t="s">
        <v>3644</v>
      </c>
      <c r="C4" s="1180" t="s">
        <v>1761</v>
      </c>
    </row>
    <row r="5" spans="1:3">
      <c r="A5" s="1181">
        <v>2010</v>
      </c>
      <c r="B5" s="1181">
        <v>120</v>
      </c>
      <c r="C5" s="298">
        <v>6</v>
      </c>
    </row>
    <row r="6" spans="1:3">
      <c r="A6" s="1181">
        <v>2011</v>
      </c>
      <c r="B6" s="1181">
        <v>180</v>
      </c>
      <c r="C6" s="298">
        <v>8</v>
      </c>
    </row>
    <row r="7" spans="1:3">
      <c r="A7" s="1181">
        <v>2012</v>
      </c>
      <c r="B7" s="1181">
        <v>211</v>
      </c>
      <c r="C7" s="298">
        <v>10</v>
      </c>
    </row>
    <row r="8" spans="1:3">
      <c r="A8" s="1181">
        <v>2013</v>
      </c>
      <c r="B8" s="1181">
        <v>225</v>
      </c>
      <c r="C8" s="298">
        <v>11</v>
      </c>
    </row>
    <row r="9" spans="1:3">
      <c r="A9" s="1181">
        <v>2014</v>
      </c>
      <c r="B9" s="1181">
        <v>278</v>
      </c>
      <c r="C9" s="298">
        <v>12</v>
      </c>
    </row>
    <row r="10" spans="1:3" ht="7.5" customHeight="1">
      <c r="A10" s="1181"/>
      <c r="B10" s="1181"/>
      <c r="C10" s="298"/>
    </row>
    <row r="11" spans="1:3" ht="34.5" customHeight="1">
      <c r="A11" s="2106" t="s">
        <v>3645</v>
      </c>
      <c r="B11" s="2106"/>
      <c r="C11" s="2106"/>
    </row>
    <row r="12" spans="1:3">
      <c r="A12" s="299" t="s">
        <v>1753</v>
      </c>
      <c r="B12" s="53"/>
      <c r="C12" s="53"/>
    </row>
  </sheetData>
  <mergeCells count="2">
    <mergeCell ref="A2:C2"/>
    <mergeCell ref="A11:C11"/>
  </mergeCell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2:F11"/>
  <sheetViews>
    <sheetView zoomScaleNormal="100" workbookViewId="0"/>
  </sheetViews>
  <sheetFormatPr baseColWidth="10" defaultColWidth="11.42578125" defaultRowHeight="11.25"/>
  <cols>
    <col min="1" max="1" width="36.140625" style="117" customWidth="1"/>
    <col min="2" max="2" width="11.7109375" style="117" bestFit="1" customWidth="1"/>
    <col min="3" max="3" width="13" style="117" customWidth="1"/>
    <col min="4" max="4" width="11.7109375" style="117" bestFit="1" customWidth="1"/>
    <col min="5" max="6" width="14.28515625" style="117" customWidth="1"/>
    <col min="7" max="16384" width="11.42578125" style="117"/>
  </cols>
  <sheetData>
    <row r="2" spans="1:6" ht="26.25" customHeight="1">
      <c r="A2" s="2033" t="s">
        <v>947</v>
      </c>
      <c r="B2" s="2033"/>
      <c r="C2" s="2033"/>
      <c r="D2" s="2033"/>
      <c r="E2" s="2033"/>
      <c r="F2" s="2033"/>
    </row>
    <row r="4" spans="1:6">
      <c r="A4" s="2041" t="s">
        <v>796</v>
      </c>
      <c r="B4" s="2041" t="s">
        <v>26</v>
      </c>
      <c r="C4" s="2041" t="s">
        <v>788</v>
      </c>
      <c r="D4" s="2041"/>
      <c r="E4" s="2041"/>
      <c r="F4" s="2041"/>
    </row>
    <row r="5" spans="1:6" ht="54" customHeight="1">
      <c r="A5" s="2041"/>
      <c r="B5" s="2041"/>
      <c r="C5" s="1806" t="s">
        <v>789</v>
      </c>
      <c r="D5" s="1806" t="s">
        <v>760</v>
      </c>
      <c r="E5" s="1806" t="s">
        <v>761</v>
      </c>
      <c r="F5" s="1806" t="s">
        <v>762</v>
      </c>
    </row>
    <row r="6" spans="1:6" s="115" customFormat="1">
      <c r="A6" s="115" t="s">
        <v>679</v>
      </c>
      <c r="B6" s="114">
        <f>SUM(C6:F6)</f>
        <v>1836608</v>
      </c>
      <c r="C6" s="114">
        <f>SUM(C7:C8)</f>
        <v>152537</v>
      </c>
      <c r="D6" s="114">
        <f>SUM(D7:D8)</f>
        <v>634019</v>
      </c>
      <c r="E6" s="114">
        <f>SUM(E7:E8)</f>
        <v>335915</v>
      </c>
      <c r="F6" s="114">
        <f>SUM(F7:F8)</f>
        <v>714137</v>
      </c>
    </row>
    <row r="7" spans="1:6" ht="12.75" customHeight="1">
      <c r="A7" s="117" t="s">
        <v>797</v>
      </c>
      <c r="B7" s="1299">
        <f>SUM(C7:F7)</f>
        <v>263727</v>
      </c>
      <c r="C7" s="1910">
        <v>28535</v>
      </c>
      <c r="D7" s="1910">
        <v>29167</v>
      </c>
      <c r="E7" s="1910">
        <v>79285</v>
      </c>
      <c r="F7" s="1911">
        <v>126740</v>
      </c>
    </row>
    <row r="8" spans="1:6">
      <c r="A8" s="117" t="s">
        <v>798</v>
      </c>
      <c r="B8" s="1299">
        <f>SUM(C8:F8)</f>
        <v>1572881</v>
      </c>
      <c r="C8" s="1255">
        <v>124002</v>
      </c>
      <c r="D8" s="1255">
        <v>604852</v>
      </c>
      <c r="E8" s="1255">
        <v>256630</v>
      </c>
      <c r="F8" s="1255">
        <v>587397</v>
      </c>
    </row>
    <row r="9" spans="1:6" ht="6.75" customHeight="1">
      <c r="C9" s="1912"/>
      <c r="D9" s="1912"/>
      <c r="E9" s="1912"/>
      <c r="F9" s="1912"/>
    </row>
    <row r="10" spans="1:6">
      <c r="A10" s="2027" t="s">
        <v>680</v>
      </c>
      <c r="B10" s="2027"/>
      <c r="C10" s="2027"/>
      <c r="D10" s="2027"/>
      <c r="E10" s="2027"/>
      <c r="F10" s="2027"/>
    </row>
    <row r="11" spans="1:6" ht="11.25" customHeight="1"/>
  </sheetData>
  <mergeCells count="5">
    <mergeCell ref="A2:F2"/>
    <mergeCell ref="A4:A5"/>
    <mergeCell ref="B4:B5"/>
    <mergeCell ref="C4:F4"/>
    <mergeCell ref="A10:F10"/>
  </mergeCells>
  <pageMargins left="0.7" right="0.7" top="0.75" bottom="0.75" header="0.3" footer="0.3"/>
</worksheet>
</file>

<file path=xl/worksheets/sheet180.xml><?xml version="1.0" encoding="utf-8"?>
<worksheet xmlns="http://schemas.openxmlformats.org/spreadsheetml/2006/main" xmlns:r="http://schemas.openxmlformats.org/officeDocument/2006/relationships">
  <dimension ref="A1:W35"/>
  <sheetViews>
    <sheetView zoomScaleNormal="100" workbookViewId="0">
      <selection activeCell="B35" sqref="B35"/>
    </sheetView>
  </sheetViews>
  <sheetFormatPr baseColWidth="10" defaultRowHeight="11.25"/>
  <cols>
    <col min="1" max="1" width="23.42578125" style="1173" customWidth="1"/>
    <col min="2" max="2" width="11.28515625" style="1173" customWidth="1"/>
    <col min="3" max="3" width="16.5703125" style="1173" bestFit="1" customWidth="1"/>
    <col min="4" max="4" width="10.5703125" style="1173" bestFit="1" customWidth="1"/>
    <col min="5" max="5" width="14.5703125" style="1173" bestFit="1" customWidth="1"/>
    <col min="6" max="6" width="10.5703125" style="1173" bestFit="1" customWidth="1"/>
    <col min="7" max="7" width="14.5703125" style="1173" bestFit="1" customWidth="1"/>
    <col min="8" max="8" width="10.5703125" style="1173" bestFit="1" customWidth="1"/>
    <col min="9" max="9" width="13.28515625" style="1173" bestFit="1" customWidth="1"/>
    <col min="10" max="10" width="10.5703125" style="1173" bestFit="1" customWidth="1"/>
    <col min="11" max="11" width="14.5703125" style="1173" bestFit="1" customWidth="1"/>
    <col min="12" max="12" width="10.5703125" style="1173" customWidth="1"/>
    <col min="13" max="13" width="14.5703125" style="1173" bestFit="1" customWidth="1"/>
    <col min="14" max="14" width="9.5703125" style="1173" bestFit="1" customWidth="1"/>
    <col min="15" max="15" width="16.5703125" style="1173" bestFit="1" customWidth="1"/>
    <col min="16" max="16" width="9.5703125" style="1173" bestFit="1" customWidth="1"/>
    <col min="17" max="17" width="13.28515625" style="1173" bestFit="1" customWidth="1"/>
    <col min="18" max="18" width="9.5703125" style="1173" bestFit="1" customWidth="1"/>
    <col min="19" max="19" width="14.5703125" style="1173" bestFit="1" customWidth="1"/>
    <col min="20" max="20" width="10.5703125" style="1173" bestFit="1" customWidth="1"/>
    <col min="21" max="21" width="14.5703125" style="1173" bestFit="1" customWidth="1"/>
    <col min="22" max="22" width="9.5703125" style="1173" bestFit="1" customWidth="1"/>
    <col min="23" max="23" width="14.5703125" style="1173" bestFit="1" customWidth="1"/>
    <col min="24" max="24" width="14.28515625" style="1173" customWidth="1"/>
    <col min="25" max="16384" width="11.42578125" style="1173"/>
  </cols>
  <sheetData>
    <row r="1" spans="1:23" ht="7.5" customHeight="1"/>
    <row r="2" spans="1:23" ht="20.25" customHeight="1">
      <c r="A2" s="111" t="s">
        <v>1762</v>
      </c>
      <c r="B2" s="112"/>
      <c r="C2" s="112"/>
      <c r="D2" s="112"/>
      <c r="E2" s="112"/>
      <c r="F2" s="112"/>
      <c r="G2" s="112"/>
      <c r="H2" s="112"/>
      <c r="I2" s="112"/>
      <c r="J2" s="112"/>
      <c r="K2" s="112"/>
      <c r="L2" s="112"/>
      <c r="M2" s="112"/>
      <c r="N2" s="112"/>
      <c r="O2" s="112"/>
      <c r="P2" s="112"/>
      <c r="Q2" s="112"/>
      <c r="R2" s="112"/>
      <c r="S2" s="112"/>
      <c r="T2" s="112"/>
      <c r="U2" s="112"/>
      <c r="V2" s="112"/>
    </row>
    <row r="3" spans="1:23">
      <c r="C3" s="1174"/>
      <c r="D3" s="1174"/>
    </row>
    <row r="4" spans="1:23" ht="68.25" customHeight="1">
      <c r="A4" s="2243" t="s">
        <v>1207</v>
      </c>
      <c r="B4" s="2244" t="s">
        <v>26</v>
      </c>
      <c r="C4" s="2244"/>
      <c r="D4" s="2741" t="s">
        <v>1763</v>
      </c>
      <c r="E4" s="2741"/>
      <c r="F4" s="2741" t="s">
        <v>1764</v>
      </c>
      <c r="G4" s="2741"/>
      <c r="H4" s="2741" t="s">
        <v>4620</v>
      </c>
      <c r="I4" s="2741"/>
      <c r="J4" s="2741" t="s">
        <v>4621</v>
      </c>
      <c r="K4" s="2741"/>
      <c r="L4" s="2741" t="s">
        <v>4622</v>
      </c>
      <c r="M4" s="2741"/>
      <c r="N4" s="2741" t="s">
        <v>4623</v>
      </c>
      <c r="O4" s="2741"/>
      <c r="P4" s="2741" t="s">
        <v>4624</v>
      </c>
      <c r="Q4" s="2741"/>
      <c r="R4" s="2741" t="s">
        <v>4625</v>
      </c>
      <c r="S4" s="2741"/>
      <c r="T4" s="2742" t="s">
        <v>1765</v>
      </c>
      <c r="U4" s="2742"/>
      <c r="V4" s="2742" t="s">
        <v>1766</v>
      </c>
      <c r="W4" s="2742"/>
    </row>
    <row r="5" spans="1:23" ht="48" customHeight="1">
      <c r="A5" s="2243"/>
      <c r="B5" s="2011" t="s">
        <v>1216</v>
      </c>
      <c r="C5" s="2011" t="s">
        <v>1217</v>
      </c>
      <c r="D5" s="2011" t="s">
        <v>1216</v>
      </c>
      <c r="E5" s="2011" t="s">
        <v>1217</v>
      </c>
      <c r="F5" s="2011" t="s">
        <v>1216</v>
      </c>
      <c r="G5" s="2011" t="s">
        <v>1217</v>
      </c>
      <c r="H5" s="2011" t="s">
        <v>1216</v>
      </c>
      <c r="I5" s="2011" t="s">
        <v>1217</v>
      </c>
      <c r="J5" s="2011" t="s">
        <v>1216</v>
      </c>
      <c r="K5" s="2011" t="s">
        <v>1217</v>
      </c>
      <c r="L5" s="2011" t="s">
        <v>1216</v>
      </c>
      <c r="M5" s="2011" t="s">
        <v>1217</v>
      </c>
      <c r="N5" s="2011" t="s">
        <v>1216</v>
      </c>
      <c r="O5" s="2011" t="s">
        <v>1217</v>
      </c>
      <c r="P5" s="2011" t="s">
        <v>1216</v>
      </c>
      <c r="Q5" s="2011" t="s">
        <v>1217</v>
      </c>
      <c r="R5" s="2011" t="s">
        <v>1216</v>
      </c>
      <c r="S5" s="2011" t="s">
        <v>1217</v>
      </c>
      <c r="T5" s="2011" t="s">
        <v>1216</v>
      </c>
      <c r="U5" s="2011" t="s">
        <v>1217</v>
      </c>
      <c r="V5" s="2011" t="s">
        <v>1216</v>
      </c>
      <c r="W5" s="2011" t="s">
        <v>1217</v>
      </c>
    </row>
    <row r="6" spans="1:23" s="1986" customFormat="1">
      <c r="A6" s="111" t="s">
        <v>6</v>
      </c>
      <c r="B6" s="2736">
        <f>SUM(D6+F6+H6+J6+L6+N6+P6+R6+T6+V6)</f>
        <v>244</v>
      </c>
      <c r="C6" s="2736">
        <f>SUM(E6+G6+I6+K6+M6+O6+Q6+S6+U6+W6)</f>
        <v>4322652052</v>
      </c>
      <c r="D6" s="2736">
        <f>SUM(D7:D22)</f>
        <v>32</v>
      </c>
      <c r="E6" s="2736">
        <f t="shared" ref="E6:W6" si="0">SUM(E7:E22)</f>
        <v>659273878</v>
      </c>
      <c r="F6" s="2736">
        <f t="shared" si="0"/>
        <v>30</v>
      </c>
      <c r="G6" s="2736">
        <f t="shared" si="0"/>
        <v>149984261</v>
      </c>
      <c r="H6" s="2736">
        <f t="shared" si="0"/>
        <v>4</v>
      </c>
      <c r="I6" s="2736">
        <f t="shared" si="0"/>
        <v>78450415</v>
      </c>
      <c r="J6" s="2736">
        <f t="shared" si="0"/>
        <v>3</v>
      </c>
      <c r="K6" s="2736">
        <f t="shared" si="0"/>
        <v>511622785</v>
      </c>
      <c r="L6" s="2736">
        <f t="shared" si="0"/>
        <v>20</v>
      </c>
      <c r="M6" s="2736">
        <f t="shared" si="0"/>
        <v>379303474</v>
      </c>
      <c r="N6" s="2736">
        <f t="shared" si="0"/>
        <v>18</v>
      </c>
      <c r="O6" s="2736">
        <f t="shared" si="0"/>
        <v>1643981445</v>
      </c>
      <c r="P6" s="2736">
        <f t="shared" si="0"/>
        <v>6</v>
      </c>
      <c r="Q6" s="2736">
        <f t="shared" si="0"/>
        <v>66382128</v>
      </c>
      <c r="R6" s="2736">
        <f t="shared" si="0"/>
        <v>73</v>
      </c>
      <c r="S6" s="2736">
        <f t="shared" si="0"/>
        <v>521781763</v>
      </c>
      <c r="T6" s="2736">
        <f t="shared" si="0"/>
        <v>11</v>
      </c>
      <c r="U6" s="2736">
        <f t="shared" si="0"/>
        <v>177343422</v>
      </c>
      <c r="V6" s="2736">
        <f t="shared" si="0"/>
        <v>47</v>
      </c>
      <c r="W6" s="2736">
        <f t="shared" si="0"/>
        <v>134528481</v>
      </c>
    </row>
    <row r="7" spans="1:23" s="1986" customFormat="1">
      <c r="A7" s="2676" t="s">
        <v>7</v>
      </c>
      <c r="B7" s="2736">
        <f t="shared" ref="B7:B22" si="1">SUM(D7+F7+H7+J7+L7+N7+P7+R7+T7+V7)</f>
        <v>2</v>
      </c>
      <c r="C7" s="2736">
        <f t="shared" ref="C7:C22" si="2">SUM(E7+G7+I7+K7+M7+O7+Q7+S7+U7+W7)</f>
        <v>48102655</v>
      </c>
      <c r="D7" s="2737">
        <v>1</v>
      </c>
      <c r="E7" s="2737">
        <v>18291562</v>
      </c>
      <c r="F7" s="2737">
        <v>0</v>
      </c>
      <c r="G7" s="2737">
        <v>0</v>
      </c>
      <c r="H7" s="2737">
        <v>0</v>
      </c>
      <c r="I7" s="2737">
        <v>0</v>
      </c>
      <c r="J7" s="2738">
        <v>0</v>
      </c>
      <c r="K7" s="2738">
        <v>0</v>
      </c>
      <c r="L7" s="2738">
        <v>1</v>
      </c>
      <c r="M7" s="2738">
        <v>29811093</v>
      </c>
      <c r="N7" s="2738">
        <v>0</v>
      </c>
      <c r="O7" s="2738">
        <v>0</v>
      </c>
      <c r="P7" s="2738">
        <v>0</v>
      </c>
      <c r="Q7" s="2738">
        <v>0</v>
      </c>
      <c r="R7" s="2738">
        <v>0</v>
      </c>
      <c r="S7" s="2738">
        <v>0</v>
      </c>
      <c r="T7" s="2738">
        <v>0</v>
      </c>
      <c r="U7" s="2738">
        <v>0</v>
      </c>
      <c r="V7" s="2739">
        <v>0</v>
      </c>
      <c r="W7" s="2739">
        <v>0</v>
      </c>
    </row>
    <row r="8" spans="1:23" s="1986" customFormat="1">
      <c r="A8" s="2676" t="s">
        <v>8</v>
      </c>
      <c r="B8" s="2736">
        <f t="shared" si="1"/>
        <v>1</v>
      </c>
      <c r="C8" s="2736">
        <f t="shared" si="2"/>
        <v>14935277</v>
      </c>
      <c r="D8" s="2737">
        <v>1</v>
      </c>
      <c r="E8" s="2737">
        <v>14935277</v>
      </c>
      <c r="F8" s="2737">
        <v>0</v>
      </c>
      <c r="G8" s="2737">
        <v>0</v>
      </c>
      <c r="H8" s="2737">
        <v>0</v>
      </c>
      <c r="I8" s="2737">
        <v>0</v>
      </c>
      <c r="J8" s="2738">
        <v>0</v>
      </c>
      <c r="K8" s="2738">
        <v>0</v>
      </c>
      <c r="L8" s="2738">
        <v>0</v>
      </c>
      <c r="M8" s="2738">
        <v>0</v>
      </c>
      <c r="N8" s="2738">
        <v>0</v>
      </c>
      <c r="O8" s="2738">
        <v>0</v>
      </c>
      <c r="P8" s="2738">
        <v>0</v>
      </c>
      <c r="Q8" s="2738">
        <v>0</v>
      </c>
      <c r="R8" s="2738">
        <v>0</v>
      </c>
      <c r="S8" s="2738">
        <v>0</v>
      </c>
      <c r="T8" s="2738">
        <v>0</v>
      </c>
      <c r="U8" s="2738">
        <v>0</v>
      </c>
      <c r="V8" s="2739">
        <v>0</v>
      </c>
      <c r="W8" s="2739">
        <v>0</v>
      </c>
    </row>
    <row r="9" spans="1:23" s="1986" customFormat="1">
      <c r="A9" s="2676" t="s">
        <v>9</v>
      </c>
      <c r="B9" s="2736">
        <f t="shared" si="1"/>
        <v>2</v>
      </c>
      <c r="C9" s="2736">
        <f t="shared" si="2"/>
        <v>25927900</v>
      </c>
      <c r="D9" s="2737">
        <v>1</v>
      </c>
      <c r="E9" s="2737">
        <v>19934200</v>
      </c>
      <c r="F9" s="2737">
        <v>0</v>
      </c>
      <c r="G9" s="2737">
        <v>0</v>
      </c>
      <c r="H9" s="2737">
        <v>0</v>
      </c>
      <c r="I9" s="2737">
        <v>0</v>
      </c>
      <c r="J9" s="2738">
        <v>0</v>
      </c>
      <c r="K9" s="2738">
        <v>0</v>
      </c>
      <c r="L9" s="2738">
        <v>0</v>
      </c>
      <c r="M9" s="2738">
        <v>0</v>
      </c>
      <c r="N9" s="2738">
        <v>0</v>
      </c>
      <c r="O9" s="2738">
        <v>0</v>
      </c>
      <c r="P9" s="2738">
        <v>0</v>
      </c>
      <c r="Q9" s="2738">
        <v>0</v>
      </c>
      <c r="R9" s="2738">
        <v>1</v>
      </c>
      <c r="S9" s="2738">
        <v>5993700</v>
      </c>
      <c r="T9" s="2739">
        <v>0</v>
      </c>
      <c r="U9" s="2739">
        <v>0</v>
      </c>
      <c r="V9" s="2739">
        <v>0</v>
      </c>
      <c r="W9" s="2739">
        <v>0</v>
      </c>
    </row>
    <row r="10" spans="1:23" s="1986" customFormat="1">
      <c r="A10" s="2676" t="s">
        <v>10</v>
      </c>
      <c r="B10" s="2736">
        <f t="shared" si="1"/>
        <v>4</v>
      </c>
      <c r="C10" s="2736">
        <f t="shared" si="2"/>
        <v>84885840</v>
      </c>
      <c r="D10" s="2737">
        <v>1</v>
      </c>
      <c r="E10" s="2737">
        <v>19981600</v>
      </c>
      <c r="F10" s="2737">
        <v>0</v>
      </c>
      <c r="G10" s="2737">
        <v>0</v>
      </c>
      <c r="H10" s="2737">
        <v>0</v>
      </c>
      <c r="I10" s="2737">
        <v>0</v>
      </c>
      <c r="J10" s="2738">
        <v>0</v>
      </c>
      <c r="K10" s="2738">
        <v>0</v>
      </c>
      <c r="L10" s="2738">
        <v>1</v>
      </c>
      <c r="M10" s="2738">
        <v>26307160</v>
      </c>
      <c r="N10" s="2738">
        <v>0</v>
      </c>
      <c r="O10" s="2738">
        <v>0</v>
      </c>
      <c r="P10" s="2738">
        <v>0</v>
      </c>
      <c r="Q10" s="2738">
        <v>0</v>
      </c>
      <c r="R10" s="2738">
        <v>1</v>
      </c>
      <c r="S10" s="2738">
        <v>18713160</v>
      </c>
      <c r="T10" s="2739">
        <v>1</v>
      </c>
      <c r="U10" s="2739">
        <v>19883920</v>
      </c>
      <c r="V10" s="2739">
        <v>0</v>
      </c>
      <c r="W10" s="2739">
        <v>0</v>
      </c>
    </row>
    <row r="11" spans="1:23" s="1986" customFormat="1">
      <c r="A11" s="2676" t="s">
        <v>11</v>
      </c>
      <c r="B11" s="2736">
        <f t="shared" si="1"/>
        <v>6</v>
      </c>
      <c r="C11" s="2736">
        <f t="shared" si="2"/>
        <v>91767775</v>
      </c>
      <c r="D11" s="2737">
        <v>1</v>
      </c>
      <c r="E11" s="2737">
        <v>19959400</v>
      </c>
      <c r="F11" s="2737">
        <v>0</v>
      </c>
      <c r="G11" s="2737">
        <v>0</v>
      </c>
      <c r="H11" s="2737">
        <v>0</v>
      </c>
      <c r="I11" s="2737">
        <v>0</v>
      </c>
      <c r="J11" s="2738">
        <v>0</v>
      </c>
      <c r="K11" s="2738">
        <v>0</v>
      </c>
      <c r="L11" s="2738">
        <v>2</v>
      </c>
      <c r="M11" s="2738">
        <v>35000000</v>
      </c>
      <c r="N11" s="2738">
        <v>0</v>
      </c>
      <c r="O11" s="2738">
        <v>0</v>
      </c>
      <c r="P11" s="2738">
        <v>0</v>
      </c>
      <c r="Q11" s="2738">
        <v>0</v>
      </c>
      <c r="R11" s="2738">
        <v>2</v>
      </c>
      <c r="S11" s="2738">
        <v>17824187</v>
      </c>
      <c r="T11" s="2739">
        <v>1</v>
      </c>
      <c r="U11" s="2739">
        <v>18984188</v>
      </c>
      <c r="V11" s="2739">
        <v>0</v>
      </c>
      <c r="W11" s="2739">
        <v>0</v>
      </c>
    </row>
    <row r="12" spans="1:23" s="1986" customFormat="1">
      <c r="A12" s="2676" t="s">
        <v>12</v>
      </c>
      <c r="B12" s="2736">
        <f t="shared" si="1"/>
        <v>34</v>
      </c>
      <c r="C12" s="2736">
        <f t="shared" si="2"/>
        <v>488817706</v>
      </c>
      <c r="D12" s="2737">
        <v>6</v>
      </c>
      <c r="E12" s="2737">
        <v>122391973</v>
      </c>
      <c r="F12" s="2737">
        <v>5</v>
      </c>
      <c r="G12" s="2737">
        <v>26525000</v>
      </c>
      <c r="H12" s="2737">
        <v>0</v>
      </c>
      <c r="I12" s="2737">
        <v>0</v>
      </c>
      <c r="J12" s="2738">
        <v>0</v>
      </c>
      <c r="K12" s="2738">
        <v>0</v>
      </c>
      <c r="L12" s="2738">
        <v>1</v>
      </c>
      <c r="M12" s="2738">
        <v>22618172</v>
      </c>
      <c r="N12" s="2738">
        <v>1</v>
      </c>
      <c r="O12" s="2738">
        <v>79830000</v>
      </c>
      <c r="P12" s="2738">
        <v>0</v>
      </c>
      <c r="Q12" s="2738">
        <v>0</v>
      </c>
      <c r="R12" s="2738">
        <v>19</v>
      </c>
      <c r="S12" s="2738">
        <v>204100215</v>
      </c>
      <c r="T12" s="2739">
        <v>2</v>
      </c>
      <c r="U12" s="2739">
        <v>33352346</v>
      </c>
      <c r="V12" s="2739">
        <v>0</v>
      </c>
      <c r="W12" s="2739">
        <v>0</v>
      </c>
    </row>
    <row r="13" spans="1:23" s="1986" customFormat="1">
      <c r="A13" s="2676" t="s">
        <v>13</v>
      </c>
      <c r="B13" s="2736">
        <f t="shared" si="1"/>
        <v>158</v>
      </c>
      <c r="C13" s="2736">
        <f t="shared" si="2"/>
        <v>3032629840</v>
      </c>
      <c r="D13" s="2737">
        <v>12</v>
      </c>
      <c r="E13" s="2737">
        <v>277860785</v>
      </c>
      <c r="F13" s="2737">
        <v>22</v>
      </c>
      <c r="G13" s="2737">
        <v>106879545</v>
      </c>
      <c r="H13" s="2737">
        <v>4</v>
      </c>
      <c r="I13" s="2737">
        <v>78450415</v>
      </c>
      <c r="J13" s="2738">
        <v>3</v>
      </c>
      <c r="K13" s="2738">
        <v>511622785</v>
      </c>
      <c r="L13" s="2738">
        <v>10</v>
      </c>
      <c r="M13" s="2738">
        <v>193701846</v>
      </c>
      <c r="N13" s="2738">
        <v>16</v>
      </c>
      <c r="O13" s="2738">
        <v>1438699581</v>
      </c>
      <c r="P13" s="2738">
        <v>5</v>
      </c>
      <c r="Q13" s="2738">
        <v>53062128</v>
      </c>
      <c r="R13" s="2738">
        <v>42</v>
      </c>
      <c r="S13" s="2738">
        <v>231641121</v>
      </c>
      <c r="T13" s="2739">
        <v>2</v>
      </c>
      <c r="U13" s="2739">
        <v>25978214</v>
      </c>
      <c r="V13" s="2738">
        <v>42</v>
      </c>
      <c r="W13" s="2738">
        <v>114733420</v>
      </c>
    </row>
    <row r="14" spans="1:23" s="1986" customFormat="1">
      <c r="A14" s="2676" t="s">
        <v>14</v>
      </c>
      <c r="B14" s="2736">
        <f t="shared" si="1"/>
        <v>6</v>
      </c>
      <c r="C14" s="2736">
        <f t="shared" si="2"/>
        <v>59708994</v>
      </c>
      <c r="D14" s="2737">
        <v>1</v>
      </c>
      <c r="E14" s="2737">
        <v>19957954</v>
      </c>
      <c r="F14" s="2737">
        <v>1</v>
      </c>
      <c r="G14" s="2737">
        <v>5600000</v>
      </c>
      <c r="H14" s="2737">
        <v>0</v>
      </c>
      <c r="I14" s="2737">
        <v>0</v>
      </c>
      <c r="J14" s="2738">
        <v>0</v>
      </c>
      <c r="K14" s="2738">
        <v>0</v>
      </c>
      <c r="L14" s="2738">
        <v>0</v>
      </c>
      <c r="M14" s="2738">
        <v>0</v>
      </c>
      <c r="N14" s="2738">
        <v>0</v>
      </c>
      <c r="O14" s="2738">
        <v>0</v>
      </c>
      <c r="P14" s="2738">
        <v>0</v>
      </c>
      <c r="Q14" s="2738">
        <v>0</v>
      </c>
      <c r="R14" s="2738">
        <v>2</v>
      </c>
      <c r="S14" s="2738">
        <v>4420240</v>
      </c>
      <c r="T14" s="2739">
        <v>2</v>
      </c>
      <c r="U14" s="2739">
        <v>29730800</v>
      </c>
      <c r="V14" s="2739">
        <v>0</v>
      </c>
      <c r="W14" s="2739">
        <v>0</v>
      </c>
    </row>
    <row r="15" spans="1:23" s="1986" customFormat="1">
      <c r="A15" s="2676" t="s">
        <v>15</v>
      </c>
      <c r="B15" s="2736">
        <f t="shared" si="1"/>
        <v>3</v>
      </c>
      <c r="C15" s="2736">
        <f t="shared" si="2"/>
        <v>35354224</v>
      </c>
      <c r="D15" s="2737">
        <v>1</v>
      </c>
      <c r="E15" s="2737">
        <v>18420000</v>
      </c>
      <c r="F15" s="2737">
        <v>0</v>
      </c>
      <c r="G15" s="2737">
        <v>0</v>
      </c>
      <c r="H15" s="2737">
        <v>0</v>
      </c>
      <c r="I15" s="2737">
        <v>0</v>
      </c>
      <c r="J15" s="2738">
        <v>0</v>
      </c>
      <c r="K15" s="2738">
        <v>0</v>
      </c>
      <c r="L15" s="2738">
        <v>0</v>
      </c>
      <c r="M15" s="2738">
        <v>0</v>
      </c>
      <c r="N15" s="2738">
        <v>0</v>
      </c>
      <c r="O15" s="2738">
        <v>0</v>
      </c>
      <c r="P15" s="2738">
        <v>0</v>
      </c>
      <c r="Q15" s="2738">
        <v>0</v>
      </c>
      <c r="R15" s="2738">
        <v>1</v>
      </c>
      <c r="S15" s="2738">
        <v>2150900</v>
      </c>
      <c r="T15" s="2739">
        <v>1</v>
      </c>
      <c r="U15" s="2739">
        <v>14783324</v>
      </c>
      <c r="V15" s="2739">
        <v>0</v>
      </c>
      <c r="W15" s="2739">
        <v>0</v>
      </c>
    </row>
    <row r="16" spans="1:23" s="1986" customFormat="1">
      <c r="A16" s="2676" t="s">
        <v>16</v>
      </c>
      <c r="B16" s="2736">
        <f t="shared" si="1"/>
        <v>5</v>
      </c>
      <c r="C16" s="2736">
        <f t="shared" si="2"/>
        <v>50486118</v>
      </c>
      <c r="D16" s="2737">
        <v>1</v>
      </c>
      <c r="E16" s="2737">
        <v>19992000</v>
      </c>
      <c r="F16" s="2737">
        <v>1</v>
      </c>
      <c r="G16" s="2737">
        <v>4980000</v>
      </c>
      <c r="H16" s="2737">
        <v>0</v>
      </c>
      <c r="I16" s="2737">
        <v>0</v>
      </c>
      <c r="J16" s="2738">
        <v>0</v>
      </c>
      <c r="K16" s="2738">
        <v>0</v>
      </c>
      <c r="L16" s="2738">
        <v>1</v>
      </c>
      <c r="M16" s="2738">
        <v>9904118</v>
      </c>
      <c r="N16" s="2738">
        <v>0</v>
      </c>
      <c r="O16" s="2738">
        <v>0</v>
      </c>
      <c r="P16" s="2738">
        <v>1</v>
      </c>
      <c r="Q16" s="2738">
        <v>13320000</v>
      </c>
      <c r="R16" s="2738">
        <v>1</v>
      </c>
      <c r="S16" s="2738">
        <v>2290000</v>
      </c>
      <c r="T16" s="2739">
        <v>0</v>
      </c>
      <c r="U16" s="2739">
        <v>0</v>
      </c>
      <c r="V16" s="2739">
        <v>0</v>
      </c>
      <c r="W16" s="2739">
        <v>0</v>
      </c>
    </row>
    <row r="17" spans="1:23" s="1986" customFormat="1">
      <c r="A17" s="2676" t="s">
        <v>17</v>
      </c>
      <c r="B17" s="2736">
        <f t="shared" si="1"/>
        <v>4</v>
      </c>
      <c r="C17" s="2736">
        <f t="shared" si="2"/>
        <v>66583110</v>
      </c>
      <c r="D17" s="2737">
        <v>2</v>
      </c>
      <c r="E17" s="2737">
        <v>39819410</v>
      </c>
      <c r="F17" s="2737">
        <v>0</v>
      </c>
      <c r="G17" s="2737">
        <v>0</v>
      </c>
      <c r="H17" s="2737">
        <v>0</v>
      </c>
      <c r="I17" s="2737">
        <v>0</v>
      </c>
      <c r="J17" s="2738">
        <v>0</v>
      </c>
      <c r="K17" s="2738">
        <v>0</v>
      </c>
      <c r="L17" s="2738">
        <v>2</v>
      </c>
      <c r="M17" s="2738">
        <v>26763700</v>
      </c>
      <c r="N17" s="2738">
        <v>0</v>
      </c>
      <c r="O17" s="2738">
        <v>0</v>
      </c>
      <c r="P17" s="2738">
        <v>0</v>
      </c>
      <c r="Q17" s="2738">
        <v>0</v>
      </c>
      <c r="R17" s="2738">
        <v>0</v>
      </c>
      <c r="S17" s="2738">
        <v>0</v>
      </c>
      <c r="T17" s="2739">
        <v>0</v>
      </c>
      <c r="U17" s="2739">
        <v>0</v>
      </c>
      <c r="V17" s="2739">
        <v>0</v>
      </c>
      <c r="W17" s="2739">
        <v>0</v>
      </c>
    </row>
    <row r="18" spans="1:23" s="1986" customFormat="1">
      <c r="A18" s="2676" t="s">
        <v>18</v>
      </c>
      <c r="B18" s="2736">
        <f t="shared" si="1"/>
        <v>8</v>
      </c>
      <c r="C18" s="2736">
        <f t="shared" si="2"/>
        <v>74425691</v>
      </c>
      <c r="D18" s="2737">
        <v>1</v>
      </c>
      <c r="E18" s="2737">
        <v>20000000</v>
      </c>
      <c r="F18" s="2737">
        <v>0</v>
      </c>
      <c r="G18" s="2737">
        <v>0</v>
      </c>
      <c r="H18" s="2737">
        <v>0</v>
      </c>
      <c r="I18" s="2737">
        <v>0</v>
      </c>
      <c r="J18" s="2738">
        <v>0</v>
      </c>
      <c r="K18" s="2738">
        <v>0</v>
      </c>
      <c r="L18" s="2738">
        <v>0</v>
      </c>
      <c r="M18" s="2738">
        <v>0</v>
      </c>
      <c r="N18" s="2738">
        <v>0</v>
      </c>
      <c r="O18" s="2738">
        <v>0</v>
      </c>
      <c r="P18" s="2738">
        <v>0</v>
      </c>
      <c r="Q18" s="2738">
        <v>0</v>
      </c>
      <c r="R18" s="2738">
        <v>0</v>
      </c>
      <c r="S18" s="2738">
        <v>0</v>
      </c>
      <c r="T18" s="2739">
        <v>2</v>
      </c>
      <c r="U18" s="2739">
        <v>34630630</v>
      </c>
      <c r="V18" s="2738">
        <v>5</v>
      </c>
      <c r="W18" s="2738">
        <v>19795061</v>
      </c>
    </row>
    <row r="19" spans="1:23" s="1986" customFormat="1">
      <c r="A19" s="2676" t="s">
        <v>19</v>
      </c>
      <c r="B19" s="2736">
        <f t="shared" si="1"/>
        <v>5</v>
      </c>
      <c r="C19" s="2736">
        <f t="shared" si="2"/>
        <v>186310305</v>
      </c>
      <c r="D19" s="2737">
        <v>1</v>
      </c>
      <c r="E19" s="2737">
        <v>18966878</v>
      </c>
      <c r="F19" s="2737">
        <v>0</v>
      </c>
      <c r="G19" s="2737">
        <v>0</v>
      </c>
      <c r="H19" s="2737">
        <v>0</v>
      </c>
      <c r="I19" s="2737">
        <v>0</v>
      </c>
      <c r="J19" s="2738">
        <v>0</v>
      </c>
      <c r="K19" s="2738">
        <v>0</v>
      </c>
      <c r="L19" s="2738">
        <v>1</v>
      </c>
      <c r="M19" s="2738">
        <v>25201563</v>
      </c>
      <c r="N19" s="2738">
        <v>1</v>
      </c>
      <c r="O19" s="2738">
        <v>125451864</v>
      </c>
      <c r="P19" s="2738">
        <v>0</v>
      </c>
      <c r="Q19" s="2738">
        <v>0</v>
      </c>
      <c r="R19" s="2738">
        <v>2</v>
      </c>
      <c r="S19" s="2738">
        <v>16690000</v>
      </c>
      <c r="T19" s="2739">
        <v>0</v>
      </c>
      <c r="U19" s="2739">
        <v>0</v>
      </c>
      <c r="V19" s="2739">
        <v>0</v>
      </c>
      <c r="W19" s="2739">
        <v>0</v>
      </c>
    </row>
    <row r="20" spans="1:23" s="1986" customFormat="1">
      <c r="A20" s="2676" t="s">
        <v>20</v>
      </c>
      <c r="B20" s="2736">
        <f t="shared" si="1"/>
        <v>1</v>
      </c>
      <c r="C20" s="2736">
        <f t="shared" si="2"/>
        <v>8780890</v>
      </c>
      <c r="D20" s="2737">
        <v>1</v>
      </c>
      <c r="E20" s="2737">
        <v>8780890</v>
      </c>
      <c r="F20" s="2737">
        <v>0</v>
      </c>
      <c r="G20" s="2737">
        <v>0</v>
      </c>
      <c r="H20" s="2737">
        <v>0</v>
      </c>
      <c r="I20" s="2737">
        <v>0</v>
      </c>
      <c r="J20" s="2738">
        <v>0</v>
      </c>
      <c r="K20" s="2738">
        <v>0</v>
      </c>
      <c r="L20" s="2738">
        <v>0</v>
      </c>
      <c r="M20" s="2738">
        <v>0</v>
      </c>
      <c r="N20" s="2738">
        <v>0</v>
      </c>
      <c r="O20" s="2738">
        <v>0</v>
      </c>
      <c r="P20" s="2738">
        <v>0</v>
      </c>
      <c r="Q20" s="2738">
        <v>0</v>
      </c>
      <c r="R20" s="2738">
        <v>0</v>
      </c>
      <c r="S20" s="2738">
        <v>0</v>
      </c>
      <c r="T20" s="2739">
        <v>0</v>
      </c>
      <c r="U20" s="2739">
        <v>0</v>
      </c>
      <c r="V20" s="2739">
        <v>0</v>
      </c>
      <c r="W20" s="2739">
        <v>0</v>
      </c>
    </row>
    <row r="21" spans="1:23" s="1986" customFormat="1">
      <c r="A21" s="2676" t="s">
        <v>21</v>
      </c>
      <c r="B21" s="2736">
        <f t="shared" si="1"/>
        <v>4</v>
      </c>
      <c r="C21" s="2736">
        <f t="shared" si="2"/>
        <v>47936011</v>
      </c>
      <c r="D21" s="2737">
        <v>1</v>
      </c>
      <c r="E21" s="2737">
        <v>19981949</v>
      </c>
      <c r="F21" s="2737">
        <v>0</v>
      </c>
      <c r="G21" s="2737">
        <v>0</v>
      </c>
      <c r="H21" s="2737">
        <v>0</v>
      </c>
      <c r="I21" s="2737">
        <v>0</v>
      </c>
      <c r="J21" s="2738">
        <v>0</v>
      </c>
      <c r="K21" s="2738">
        <v>0</v>
      </c>
      <c r="L21" s="2738">
        <v>1</v>
      </c>
      <c r="M21" s="2738">
        <v>9995822</v>
      </c>
      <c r="N21" s="2738">
        <v>0</v>
      </c>
      <c r="O21" s="2738">
        <v>0</v>
      </c>
      <c r="P21" s="2738">
        <v>0</v>
      </c>
      <c r="Q21" s="2738">
        <v>0</v>
      </c>
      <c r="R21" s="2738">
        <v>2</v>
      </c>
      <c r="S21" s="2738">
        <v>17958240</v>
      </c>
      <c r="T21" s="2739">
        <v>0</v>
      </c>
      <c r="U21" s="2739">
        <v>0</v>
      </c>
      <c r="V21" s="2739">
        <v>0</v>
      </c>
      <c r="W21" s="2739">
        <v>0</v>
      </c>
    </row>
    <row r="22" spans="1:23" s="1986" customFormat="1" ht="12.75">
      <c r="A22" s="2740" t="s">
        <v>4626</v>
      </c>
      <c r="B22" s="2736">
        <f t="shared" si="1"/>
        <v>1</v>
      </c>
      <c r="C22" s="2736">
        <f t="shared" si="2"/>
        <v>5999716</v>
      </c>
      <c r="D22" s="2737">
        <v>0</v>
      </c>
      <c r="E22" s="2737">
        <v>0</v>
      </c>
      <c r="F22" s="2737">
        <v>1</v>
      </c>
      <c r="G22" s="2737">
        <v>5999716</v>
      </c>
      <c r="H22" s="2737">
        <v>0</v>
      </c>
      <c r="I22" s="2737">
        <v>0</v>
      </c>
      <c r="J22" s="2738">
        <v>0</v>
      </c>
      <c r="K22" s="2738">
        <v>0</v>
      </c>
      <c r="L22" s="2738">
        <v>0</v>
      </c>
      <c r="M22" s="2738">
        <v>0</v>
      </c>
      <c r="N22" s="2738">
        <v>0</v>
      </c>
      <c r="O22" s="2738">
        <v>0</v>
      </c>
      <c r="P22" s="2738">
        <v>0</v>
      </c>
      <c r="Q22" s="2738">
        <v>0</v>
      </c>
      <c r="R22" s="2738">
        <v>0</v>
      </c>
      <c r="S22" s="2738">
        <v>0</v>
      </c>
      <c r="T22" s="2739">
        <v>0</v>
      </c>
      <c r="U22" s="2739">
        <v>0</v>
      </c>
      <c r="V22" s="2739">
        <v>0</v>
      </c>
      <c r="W22" s="2739">
        <v>0</v>
      </c>
    </row>
    <row r="23" spans="1:23">
      <c r="A23" s="1178"/>
      <c r="B23" s="1178"/>
      <c r="C23" s="1178"/>
      <c r="D23" s="1178"/>
      <c r="E23" s="1178"/>
      <c r="F23" s="1178"/>
      <c r="G23" s="1178"/>
      <c r="H23" s="1178"/>
      <c r="I23" s="1178"/>
      <c r="J23" s="1178"/>
      <c r="K23" s="1178"/>
      <c r="L23" s="1178"/>
      <c r="M23" s="1178"/>
      <c r="N23" s="1178"/>
      <c r="O23" s="1178"/>
      <c r="P23" s="1178"/>
      <c r="Q23" s="1178"/>
      <c r="R23" s="1178"/>
      <c r="S23" s="1178"/>
      <c r="T23" s="1178"/>
    </row>
    <row r="24" spans="1:23">
      <c r="A24" s="1175" t="s">
        <v>3637</v>
      </c>
      <c r="B24" s="453"/>
      <c r="C24" s="453"/>
      <c r="D24" s="453"/>
      <c r="E24" s="453"/>
      <c r="F24" s="453"/>
      <c r="G24" s="453"/>
      <c r="H24" s="453"/>
      <c r="I24" s="453"/>
      <c r="J24" s="453"/>
      <c r="K24" s="453"/>
      <c r="L24" s="453"/>
      <c r="M24" s="453"/>
      <c r="N24" s="453"/>
      <c r="O24" s="453"/>
      <c r="P24" s="453"/>
      <c r="Q24" s="453"/>
      <c r="R24" s="453"/>
    </row>
    <row r="25" spans="1:23">
      <c r="A25" s="1176" t="s">
        <v>3638</v>
      </c>
      <c r="B25" s="453"/>
      <c r="C25" s="453"/>
      <c r="D25" s="1177"/>
      <c r="E25" s="453"/>
      <c r="F25" s="453"/>
      <c r="G25" s="453"/>
      <c r="H25" s="453"/>
      <c r="I25" s="453"/>
      <c r="J25" s="453"/>
      <c r="K25" s="453"/>
      <c r="L25" s="453"/>
      <c r="M25" s="453"/>
      <c r="N25" s="453"/>
      <c r="O25" s="453"/>
      <c r="P25" s="453"/>
      <c r="Q25" s="453"/>
      <c r="R25" s="453"/>
    </row>
    <row r="26" spans="1:23">
      <c r="A26" s="453" t="s">
        <v>3639</v>
      </c>
      <c r="B26" s="453"/>
      <c r="C26" s="453"/>
      <c r="D26" s="1175"/>
      <c r="E26" s="453"/>
      <c r="F26" s="453"/>
      <c r="G26" s="453"/>
      <c r="H26" s="453"/>
      <c r="I26" s="453"/>
      <c r="J26" s="453"/>
      <c r="K26" s="453"/>
      <c r="L26" s="453"/>
      <c r="M26" s="453"/>
      <c r="N26" s="453"/>
      <c r="O26" s="453"/>
      <c r="P26" s="453"/>
      <c r="Q26" s="453"/>
      <c r="R26" s="453"/>
    </row>
    <row r="27" spans="1:23">
      <c r="A27" s="1175" t="s">
        <v>3640</v>
      </c>
      <c r="B27" s="453"/>
      <c r="C27" s="453"/>
      <c r="D27" s="1175"/>
      <c r="E27" s="453"/>
      <c r="F27" s="453"/>
      <c r="G27" s="453"/>
      <c r="H27" s="453"/>
      <c r="I27" s="453"/>
      <c r="J27" s="453"/>
      <c r="K27" s="453"/>
      <c r="L27" s="453"/>
      <c r="M27" s="453"/>
      <c r="N27" s="453"/>
      <c r="O27" s="453"/>
      <c r="P27" s="453"/>
      <c r="Q27" s="453"/>
      <c r="R27" s="453"/>
      <c r="S27" s="453"/>
      <c r="T27" s="453"/>
    </row>
    <row r="28" spans="1:23">
      <c r="A28" s="1175" t="s">
        <v>3641</v>
      </c>
      <c r="B28" s="453"/>
      <c r="C28" s="453"/>
      <c r="D28" s="1175"/>
      <c r="E28" s="453"/>
      <c r="F28" s="453"/>
      <c r="G28" s="453"/>
      <c r="H28" s="453"/>
      <c r="I28" s="453"/>
      <c r="J28" s="453"/>
      <c r="K28" s="453"/>
      <c r="L28" s="453"/>
      <c r="M28" s="453"/>
      <c r="N28" s="453"/>
      <c r="O28" s="453"/>
      <c r="P28" s="453"/>
    </row>
    <row r="29" spans="1:23">
      <c r="A29" s="1175" t="s">
        <v>3642</v>
      </c>
      <c r="B29" s="453"/>
      <c r="C29" s="453"/>
      <c r="D29" s="1175"/>
      <c r="E29" s="453"/>
      <c r="F29" s="453"/>
      <c r="G29" s="453"/>
      <c r="H29" s="453"/>
      <c r="I29" s="453"/>
      <c r="J29" s="453"/>
      <c r="K29" s="453"/>
      <c r="L29" s="453"/>
      <c r="M29" s="453"/>
      <c r="N29" s="453"/>
      <c r="O29" s="453"/>
      <c r="P29" s="453"/>
    </row>
    <row r="30" spans="1:23">
      <c r="A30" s="1178" t="s">
        <v>3643</v>
      </c>
      <c r="B30" s="1178"/>
      <c r="C30" s="1178"/>
      <c r="D30" s="1178"/>
      <c r="E30" s="1178"/>
      <c r="F30" s="1178"/>
      <c r="G30" s="1178"/>
      <c r="H30" s="1178"/>
      <c r="I30" s="1178"/>
      <c r="J30" s="1178"/>
      <c r="K30" s="1178"/>
      <c r="L30" s="1178"/>
      <c r="M30" s="1178"/>
      <c r="N30" s="1178"/>
      <c r="O30" s="1178"/>
      <c r="P30" s="1178"/>
      <c r="Q30" s="1178"/>
      <c r="R30" s="1178"/>
      <c r="S30" s="1178"/>
      <c r="T30" s="1178"/>
    </row>
    <row r="31" spans="1:23">
      <c r="A31" s="428" t="s">
        <v>1218</v>
      </c>
      <c r="B31" s="453"/>
      <c r="C31" s="453"/>
      <c r="D31" s="1175"/>
      <c r="E31" s="453"/>
      <c r="F31" s="453"/>
      <c r="G31" s="453"/>
      <c r="H31" s="453"/>
      <c r="I31" s="453"/>
      <c r="J31" s="453"/>
      <c r="K31" s="453"/>
      <c r="L31" s="453"/>
      <c r="M31" s="453"/>
      <c r="N31" s="453"/>
      <c r="O31" s="453"/>
      <c r="P31" s="453"/>
    </row>
    <row r="32" spans="1:23">
      <c r="A32" s="1175"/>
      <c r="B32" s="453"/>
      <c r="C32" s="453"/>
      <c r="D32" s="1175"/>
      <c r="E32" s="453"/>
      <c r="F32" s="453"/>
      <c r="G32" s="453"/>
      <c r="H32" s="453"/>
      <c r="I32" s="453"/>
      <c r="J32" s="453"/>
      <c r="K32" s="453"/>
      <c r="L32" s="453"/>
      <c r="M32" s="453"/>
      <c r="N32" s="453"/>
      <c r="O32" s="453"/>
      <c r="P32" s="453"/>
    </row>
    <row r="34" spans="1:12">
      <c r="A34" s="453"/>
      <c r="B34" s="453"/>
      <c r="C34" s="453"/>
      <c r="D34" s="453"/>
      <c r="E34" s="453"/>
      <c r="F34" s="453"/>
      <c r="G34" s="453"/>
      <c r="H34" s="453"/>
      <c r="I34" s="453"/>
      <c r="J34" s="453"/>
      <c r="K34" s="453"/>
      <c r="L34" s="1179"/>
    </row>
    <row r="35" spans="1:12">
      <c r="A35" s="453"/>
      <c r="B35" s="453"/>
      <c r="C35" s="453"/>
      <c r="D35" s="453"/>
      <c r="E35" s="453"/>
      <c r="F35" s="453"/>
      <c r="G35" s="453"/>
      <c r="H35" s="453"/>
      <c r="I35" s="453"/>
      <c r="J35" s="453"/>
      <c r="K35" s="453"/>
      <c r="L35" s="1179"/>
    </row>
  </sheetData>
  <mergeCells count="12">
    <mergeCell ref="T4:U4"/>
    <mergeCell ref="V4:W4"/>
    <mergeCell ref="A4:A5"/>
    <mergeCell ref="D4:E4"/>
    <mergeCell ref="F4:G4"/>
    <mergeCell ref="H4:I4"/>
    <mergeCell ref="J4:K4"/>
    <mergeCell ref="B4:C4"/>
    <mergeCell ref="L4:M4"/>
    <mergeCell ref="N4:O4"/>
    <mergeCell ref="P4:Q4"/>
    <mergeCell ref="R4:S4"/>
  </mergeCells>
  <pageMargins left="0.7" right="0.7" top="0.75" bottom="0.75" header="0.3" footer="0.3"/>
  <pageSetup paperSize="9" orientation="portrait" r:id="rId1"/>
</worksheet>
</file>

<file path=xl/worksheets/sheet181.xml><?xml version="1.0" encoding="utf-8"?>
<worksheet xmlns="http://schemas.openxmlformats.org/spreadsheetml/2006/main" xmlns:r="http://schemas.openxmlformats.org/officeDocument/2006/relationships">
  <dimension ref="A1:T24"/>
  <sheetViews>
    <sheetView zoomScaleNormal="100" workbookViewId="0">
      <selection activeCell="D34" sqref="D34"/>
    </sheetView>
  </sheetViews>
  <sheetFormatPr baseColWidth="10" defaultRowHeight="12"/>
  <cols>
    <col min="1" max="1" width="18.85546875" style="831" customWidth="1"/>
    <col min="2" max="18" width="9.5703125" style="831" customWidth="1"/>
    <col min="19" max="19" width="1.85546875" style="831" customWidth="1"/>
    <col min="20" max="16384" width="11.42578125" style="831"/>
  </cols>
  <sheetData>
    <row r="1" spans="1:19">
      <c r="A1" s="1164"/>
    </row>
    <row r="2" spans="1:19" s="88" customFormat="1" ht="30" customHeight="1">
      <c r="A2" s="2375" t="s">
        <v>1767</v>
      </c>
      <c r="B2" s="2375"/>
      <c r="C2" s="2375"/>
      <c r="D2" s="2375"/>
      <c r="E2" s="2375"/>
      <c r="F2" s="2375"/>
      <c r="G2" s="2375"/>
      <c r="H2" s="2375"/>
      <c r="I2" s="2375"/>
      <c r="J2" s="2375"/>
      <c r="K2" s="2375"/>
      <c r="L2" s="2375"/>
      <c r="M2" s="2375"/>
      <c r="N2" s="2375"/>
      <c r="O2" s="2375"/>
      <c r="P2" s="2375"/>
      <c r="Q2" s="2375"/>
    </row>
    <row r="3" spans="1:19" s="129" customFormat="1" ht="11.25">
      <c r="A3" s="1165"/>
      <c r="B3" s="1165"/>
      <c r="C3" s="1165"/>
      <c r="D3" s="1165"/>
      <c r="E3" s="1165"/>
      <c r="F3" s="1165"/>
      <c r="G3" s="1165"/>
      <c r="H3" s="1165"/>
      <c r="I3" s="1165"/>
      <c r="J3" s="1165"/>
      <c r="K3" s="1165"/>
      <c r="L3" s="1165"/>
      <c r="M3" s="1165"/>
    </row>
    <row r="4" spans="1:19" s="780" customFormat="1" ht="21.75" customHeight="1">
      <c r="A4" s="2376" t="s">
        <v>0</v>
      </c>
      <c r="B4" s="2376">
        <v>2011</v>
      </c>
      <c r="C4" s="2376"/>
      <c r="D4" s="2376"/>
      <c r="E4" s="2376"/>
      <c r="F4" s="2376">
        <v>2012</v>
      </c>
      <c r="G4" s="2376"/>
      <c r="H4" s="2376"/>
      <c r="I4" s="2376"/>
      <c r="J4" s="2376">
        <v>2013</v>
      </c>
      <c r="K4" s="2376"/>
      <c r="L4" s="2376"/>
      <c r="M4" s="2376"/>
      <c r="N4" s="2372" t="s">
        <v>3634</v>
      </c>
      <c r="O4" s="2373"/>
      <c r="P4" s="2373"/>
      <c r="Q4" s="2374"/>
    </row>
    <row r="5" spans="1:19" s="780" customFormat="1" ht="21.75" customHeight="1">
      <c r="A5" s="2376"/>
      <c r="B5" s="894" t="s">
        <v>6</v>
      </c>
      <c r="C5" s="894" t="s">
        <v>1768</v>
      </c>
      <c r="D5" s="894" t="s">
        <v>1769</v>
      </c>
      <c r="E5" s="894" t="s">
        <v>1770</v>
      </c>
      <c r="F5" s="894" t="s">
        <v>6</v>
      </c>
      <c r="G5" s="894" t="s">
        <v>1768</v>
      </c>
      <c r="H5" s="894" t="s">
        <v>1769</v>
      </c>
      <c r="I5" s="894" t="s">
        <v>1770</v>
      </c>
      <c r="J5" s="894" t="s">
        <v>6</v>
      </c>
      <c r="K5" s="894" t="s">
        <v>1768</v>
      </c>
      <c r="L5" s="894" t="s">
        <v>1769</v>
      </c>
      <c r="M5" s="894" t="s">
        <v>1770</v>
      </c>
      <c r="N5" s="894" t="s">
        <v>6</v>
      </c>
      <c r="O5" s="894" t="s">
        <v>1768</v>
      </c>
      <c r="P5" s="894" t="s">
        <v>1769</v>
      </c>
      <c r="Q5" s="894" t="s">
        <v>1770</v>
      </c>
    </row>
    <row r="6" spans="1:19" s="88" customFormat="1" ht="11.25">
      <c r="A6" s="1166" t="s">
        <v>6</v>
      </c>
      <c r="B6" s="1034">
        <f t="shared" ref="B6:Q6" si="0">SUM(B7:B21)</f>
        <v>2014</v>
      </c>
      <c r="C6" s="1034">
        <f t="shared" si="0"/>
        <v>167</v>
      </c>
      <c r="D6" s="1034">
        <f t="shared" si="0"/>
        <v>1459</v>
      </c>
      <c r="E6" s="1034">
        <f t="shared" si="0"/>
        <v>388</v>
      </c>
      <c r="F6" s="1034">
        <f t="shared" si="0"/>
        <v>1962</v>
      </c>
      <c r="G6" s="1034">
        <f t="shared" si="0"/>
        <v>153</v>
      </c>
      <c r="H6" s="1034">
        <f t="shared" si="0"/>
        <v>1520</v>
      </c>
      <c r="I6" s="1034">
        <f t="shared" si="0"/>
        <v>289</v>
      </c>
      <c r="J6" s="1034">
        <f t="shared" si="0"/>
        <v>2075</v>
      </c>
      <c r="K6" s="1034">
        <f t="shared" si="0"/>
        <v>150</v>
      </c>
      <c r="L6" s="1034">
        <f t="shared" si="0"/>
        <v>1569</v>
      </c>
      <c r="M6" s="1034">
        <f t="shared" si="0"/>
        <v>356</v>
      </c>
      <c r="N6" s="1034">
        <f t="shared" si="0"/>
        <v>2056</v>
      </c>
      <c r="O6" s="1034">
        <f t="shared" si="0"/>
        <v>150</v>
      </c>
      <c r="P6" s="1034">
        <f t="shared" si="0"/>
        <v>1599</v>
      </c>
      <c r="Q6" s="1034">
        <f t="shared" si="0"/>
        <v>307</v>
      </c>
      <c r="R6" s="902"/>
      <c r="S6" s="902"/>
    </row>
    <row r="7" spans="1:19" s="88" customFormat="1" ht="11.25">
      <c r="A7" s="1167" t="s">
        <v>7</v>
      </c>
      <c r="B7" s="1034">
        <f t="shared" ref="B7:B21" si="1">SUM(C7:E7)</f>
        <v>44</v>
      </c>
      <c r="C7" s="1168">
        <v>4</v>
      </c>
      <c r="D7" s="1168">
        <v>39</v>
      </c>
      <c r="E7" s="1168">
        <v>1</v>
      </c>
      <c r="F7" s="1034">
        <f t="shared" ref="F7:F21" si="2">SUM(G7:I7)</f>
        <v>44</v>
      </c>
      <c r="G7" s="1168">
        <v>4</v>
      </c>
      <c r="H7" s="1168">
        <v>39</v>
      </c>
      <c r="I7" s="1168">
        <v>1</v>
      </c>
      <c r="J7" s="1034">
        <f t="shared" ref="J7:J21" si="3">SUM(K7:M7)</f>
        <v>44</v>
      </c>
      <c r="K7" s="743">
        <v>4</v>
      </c>
      <c r="L7" s="743">
        <v>39</v>
      </c>
      <c r="M7" s="743">
        <v>1</v>
      </c>
      <c r="N7" s="1034">
        <f t="shared" ref="N7:N21" si="4">SUM(O7:Q7)</f>
        <v>42</v>
      </c>
      <c r="O7" s="743">
        <v>2</v>
      </c>
      <c r="P7" s="743">
        <v>39</v>
      </c>
      <c r="Q7" s="743">
        <v>1</v>
      </c>
      <c r="R7" s="1169"/>
      <c r="S7" s="1169"/>
    </row>
    <row r="8" spans="1:19" s="88" customFormat="1" ht="11.25">
      <c r="A8" s="1167" t="s">
        <v>8</v>
      </c>
      <c r="B8" s="1034">
        <f t="shared" si="1"/>
        <v>54</v>
      </c>
      <c r="C8" s="1168">
        <v>4</v>
      </c>
      <c r="D8" s="1168">
        <v>42</v>
      </c>
      <c r="E8" s="1168">
        <v>8</v>
      </c>
      <c r="F8" s="1034">
        <f t="shared" si="2"/>
        <v>48</v>
      </c>
      <c r="G8" s="1168">
        <v>2</v>
      </c>
      <c r="H8" s="1168">
        <v>42</v>
      </c>
      <c r="I8" s="1168">
        <v>4</v>
      </c>
      <c r="J8" s="1034">
        <f t="shared" si="3"/>
        <v>51</v>
      </c>
      <c r="K8" s="743">
        <v>2</v>
      </c>
      <c r="L8" s="743">
        <v>42</v>
      </c>
      <c r="M8" s="743">
        <v>7</v>
      </c>
      <c r="N8" s="1034">
        <f t="shared" si="4"/>
        <v>48</v>
      </c>
      <c r="O8" s="743">
        <v>2</v>
      </c>
      <c r="P8" s="743">
        <v>42</v>
      </c>
      <c r="Q8" s="743">
        <v>4</v>
      </c>
      <c r="R8" s="1170"/>
      <c r="S8" s="1171"/>
    </row>
    <row r="9" spans="1:19" s="88" customFormat="1" ht="11.25">
      <c r="A9" s="1167" t="s">
        <v>9</v>
      </c>
      <c r="B9" s="1034">
        <f t="shared" si="1"/>
        <v>123</v>
      </c>
      <c r="C9" s="1168">
        <v>7</v>
      </c>
      <c r="D9" s="1168">
        <v>109</v>
      </c>
      <c r="E9" s="1168">
        <v>7</v>
      </c>
      <c r="F9" s="1034">
        <f t="shared" si="2"/>
        <v>114</v>
      </c>
      <c r="G9" s="1168">
        <v>2</v>
      </c>
      <c r="H9" s="1168">
        <v>108</v>
      </c>
      <c r="I9" s="1168">
        <v>4</v>
      </c>
      <c r="J9" s="1034">
        <f t="shared" si="3"/>
        <v>119</v>
      </c>
      <c r="K9" s="743">
        <v>2</v>
      </c>
      <c r="L9" s="743">
        <v>111</v>
      </c>
      <c r="M9" s="743">
        <v>6</v>
      </c>
      <c r="N9" s="1034">
        <f t="shared" si="4"/>
        <v>120</v>
      </c>
      <c r="O9" s="743">
        <v>2</v>
      </c>
      <c r="P9" s="743">
        <v>113</v>
      </c>
      <c r="Q9" s="743">
        <v>5</v>
      </c>
      <c r="R9" s="1170"/>
      <c r="S9" s="1171"/>
    </row>
    <row r="10" spans="1:19" s="88" customFormat="1" ht="11.25">
      <c r="A10" s="1167" t="s">
        <v>10</v>
      </c>
      <c r="B10" s="1034">
        <f t="shared" si="1"/>
        <v>121</v>
      </c>
      <c r="C10" s="1168">
        <v>4</v>
      </c>
      <c r="D10" s="1168">
        <v>109</v>
      </c>
      <c r="E10" s="1168">
        <v>8</v>
      </c>
      <c r="F10" s="1034">
        <f t="shared" si="2"/>
        <v>121</v>
      </c>
      <c r="G10" s="1168">
        <v>2</v>
      </c>
      <c r="H10" s="1168">
        <v>111</v>
      </c>
      <c r="I10" s="1168">
        <v>8</v>
      </c>
      <c r="J10" s="1034">
        <f t="shared" si="3"/>
        <v>124</v>
      </c>
      <c r="K10" s="743">
        <v>2</v>
      </c>
      <c r="L10" s="743">
        <v>114</v>
      </c>
      <c r="M10" s="743">
        <v>8</v>
      </c>
      <c r="N10" s="1034">
        <f t="shared" si="4"/>
        <v>129</v>
      </c>
      <c r="O10" s="743">
        <v>2</v>
      </c>
      <c r="P10" s="743">
        <v>119</v>
      </c>
      <c r="Q10" s="743">
        <v>8</v>
      </c>
      <c r="R10" s="1170"/>
      <c r="S10" s="1171"/>
    </row>
    <row r="11" spans="1:19" s="88" customFormat="1" ht="11.25">
      <c r="A11" s="1167" t="s">
        <v>11</v>
      </c>
      <c r="B11" s="1034">
        <f t="shared" si="1"/>
        <v>146</v>
      </c>
      <c r="C11" s="1168">
        <v>8</v>
      </c>
      <c r="D11" s="1168">
        <v>125</v>
      </c>
      <c r="E11" s="1168">
        <v>13</v>
      </c>
      <c r="F11" s="1034">
        <f t="shared" si="2"/>
        <v>154</v>
      </c>
      <c r="G11" s="1168">
        <v>8</v>
      </c>
      <c r="H11" s="1168">
        <v>135</v>
      </c>
      <c r="I11" s="1168">
        <v>11</v>
      </c>
      <c r="J11" s="1034">
        <f t="shared" si="3"/>
        <v>157</v>
      </c>
      <c r="K11" s="743">
        <v>8</v>
      </c>
      <c r="L11" s="743">
        <v>136</v>
      </c>
      <c r="M11" s="743">
        <v>13</v>
      </c>
      <c r="N11" s="1034">
        <f t="shared" si="4"/>
        <v>159</v>
      </c>
      <c r="O11" s="743">
        <v>11</v>
      </c>
      <c r="P11" s="743">
        <v>137</v>
      </c>
      <c r="Q11" s="743">
        <v>11</v>
      </c>
      <c r="R11" s="1170"/>
      <c r="S11" s="1171"/>
    </row>
    <row r="12" spans="1:19" s="88" customFormat="1" ht="11.25">
      <c r="A12" s="1167" t="s">
        <v>12</v>
      </c>
      <c r="B12" s="1034">
        <f t="shared" si="1"/>
        <v>210</v>
      </c>
      <c r="C12" s="1168">
        <v>20</v>
      </c>
      <c r="D12" s="1168">
        <v>137</v>
      </c>
      <c r="E12" s="1168">
        <v>53</v>
      </c>
      <c r="F12" s="1034">
        <f t="shared" si="2"/>
        <v>199</v>
      </c>
      <c r="G12" s="1168">
        <v>20</v>
      </c>
      <c r="H12" s="1168">
        <v>138</v>
      </c>
      <c r="I12" s="1168">
        <v>41</v>
      </c>
      <c r="J12" s="1034">
        <f t="shared" si="3"/>
        <v>208</v>
      </c>
      <c r="K12" s="743">
        <v>20</v>
      </c>
      <c r="L12" s="743">
        <v>142</v>
      </c>
      <c r="M12" s="743">
        <v>46</v>
      </c>
      <c r="N12" s="1034">
        <f t="shared" si="4"/>
        <v>204</v>
      </c>
      <c r="O12" s="743">
        <v>20</v>
      </c>
      <c r="P12" s="743">
        <v>142</v>
      </c>
      <c r="Q12" s="743">
        <v>42</v>
      </c>
      <c r="R12" s="1170"/>
      <c r="S12" s="1171"/>
    </row>
    <row r="13" spans="1:19" s="88" customFormat="1" ht="11.25">
      <c r="A13" s="1167" t="s">
        <v>13</v>
      </c>
      <c r="B13" s="1034">
        <f t="shared" si="1"/>
        <v>185</v>
      </c>
      <c r="C13" s="1168">
        <v>23</v>
      </c>
      <c r="D13" s="1168">
        <v>61</v>
      </c>
      <c r="E13" s="1168">
        <v>101</v>
      </c>
      <c r="F13" s="1034">
        <f t="shared" si="2"/>
        <v>166</v>
      </c>
      <c r="G13" s="1168">
        <v>23</v>
      </c>
      <c r="H13" s="1168">
        <v>60</v>
      </c>
      <c r="I13" s="1168">
        <v>83</v>
      </c>
      <c r="J13" s="1034">
        <f t="shared" si="3"/>
        <v>184</v>
      </c>
      <c r="K13" s="743">
        <v>23</v>
      </c>
      <c r="L13" s="743">
        <v>61</v>
      </c>
      <c r="M13" s="743">
        <v>100</v>
      </c>
      <c r="N13" s="1034">
        <f t="shared" si="4"/>
        <v>171</v>
      </c>
      <c r="O13" s="743">
        <v>23</v>
      </c>
      <c r="P13" s="743">
        <v>61</v>
      </c>
      <c r="Q13" s="743">
        <v>87</v>
      </c>
      <c r="R13" s="1170"/>
      <c r="S13" s="1171"/>
    </row>
    <row r="14" spans="1:19" s="88" customFormat="1" ht="11.25">
      <c r="A14" s="1167" t="s">
        <v>14</v>
      </c>
      <c r="B14" s="1034">
        <f t="shared" si="1"/>
        <v>126</v>
      </c>
      <c r="C14" s="1168">
        <v>6</v>
      </c>
      <c r="D14" s="1168">
        <v>90</v>
      </c>
      <c r="E14" s="1168">
        <v>30</v>
      </c>
      <c r="F14" s="1034">
        <f t="shared" si="2"/>
        <v>119</v>
      </c>
      <c r="G14" s="1168">
        <v>6</v>
      </c>
      <c r="H14" s="1168">
        <v>93</v>
      </c>
      <c r="I14" s="1168">
        <v>20</v>
      </c>
      <c r="J14" s="1034">
        <f t="shared" si="3"/>
        <v>127</v>
      </c>
      <c r="K14" s="743">
        <v>6</v>
      </c>
      <c r="L14" s="743">
        <v>94</v>
      </c>
      <c r="M14" s="743">
        <v>27</v>
      </c>
      <c r="N14" s="1034">
        <f t="shared" si="4"/>
        <v>122</v>
      </c>
      <c r="O14" s="743">
        <v>6</v>
      </c>
      <c r="P14" s="743">
        <v>95</v>
      </c>
      <c r="Q14" s="743">
        <v>21</v>
      </c>
      <c r="R14" s="1170"/>
      <c r="S14" s="1171"/>
    </row>
    <row r="15" spans="1:19" s="88" customFormat="1" ht="11.25">
      <c r="A15" s="1167" t="s">
        <v>15</v>
      </c>
      <c r="B15" s="1034">
        <f t="shared" si="1"/>
        <v>171</v>
      </c>
      <c r="C15" s="1168">
        <v>13</v>
      </c>
      <c r="D15" s="1168">
        <v>126</v>
      </c>
      <c r="E15" s="1168">
        <v>32</v>
      </c>
      <c r="F15" s="1034">
        <f t="shared" si="2"/>
        <v>164</v>
      </c>
      <c r="G15" s="1168">
        <v>13</v>
      </c>
      <c r="H15" s="1168">
        <v>128</v>
      </c>
      <c r="I15" s="1168">
        <v>23</v>
      </c>
      <c r="J15" s="1034">
        <f t="shared" si="3"/>
        <v>173</v>
      </c>
      <c r="K15" s="743">
        <v>13</v>
      </c>
      <c r="L15" s="743">
        <v>130</v>
      </c>
      <c r="M15" s="743">
        <v>30</v>
      </c>
      <c r="N15" s="1034">
        <f t="shared" si="4"/>
        <v>172</v>
      </c>
      <c r="O15" s="743">
        <v>13</v>
      </c>
      <c r="P15" s="743">
        <v>132</v>
      </c>
      <c r="Q15" s="743">
        <v>27</v>
      </c>
      <c r="R15" s="1170"/>
      <c r="S15" s="1171"/>
    </row>
    <row r="16" spans="1:19" s="88" customFormat="1" ht="11.25">
      <c r="A16" s="1167" t="s">
        <v>16</v>
      </c>
      <c r="B16" s="1034">
        <f t="shared" si="1"/>
        <v>267</v>
      </c>
      <c r="C16" s="1168">
        <v>23</v>
      </c>
      <c r="D16" s="1168">
        <v>167</v>
      </c>
      <c r="E16" s="1168">
        <v>77</v>
      </c>
      <c r="F16" s="1034">
        <f t="shared" si="2"/>
        <v>251</v>
      </c>
      <c r="G16" s="1168">
        <v>22</v>
      </c>
      <c r="H16" s="1168">
        <v>173</v>
      </c>
      <c r="I16" s="1168">
        <v>56</v>
      </c>
      <c r="J16" s="1034">
        <f t="shared" si="3"/>
        <v>272</v>
      </c>
      <c r="K16" s="743">
        <v>22</v>
      </c>
      <c r="L16" s="743">
        <v>180</v>
      </c>
      <c r="M16" s="743">
        <v>70</v>
      </c>
      <c r="N16" s="1034">
        <f t="shared" si="4"/>
        <v>262</v>
      </c>
      <c r="O16" s="743">
        <v>22</v>
      </c>
      <c r="P16" s="743">
        <v>180</v>
      </c>
      <c r="Q16" s="743">
        <v>60</v>
      </c>
      <c r="R16" s="1170"/>
      <c r="S16" s="1171"/>
    </row>
    <row r="17" spans="1:20" s="88" customFormat="1" ht="11.25">
      <c r="A17" s="1167" t="s">
        <v>17</v>
      </c>
      <c r="B17" s="1034">
        <f t="shared" si="1"/>
        <v>177</v>
      </c>
      <c r="C17" s="1168">
        <v>20</v>
      </c>
      <c r="D17" s="1168">
        <v>133</v>
      </c>
      <c r="E17" s="1168">
        <v>24</v>
      </c>
      <c r="F17" s="1034">
        <f t="shared" si="2"/>
        <v>186</v>
      </c>
      <c r="G17" s="1168">
        <v>18</v>
      </c>
      <c r="H17" s="1168">
        <v>148</v>
      </c>
      <c r="I17" s="1168">
        <v>20</v>
      </c>
      <c r="J17" s="1034">
        <f t="shared" si="3"/>
        <v>192</v>
      </c>
      <c r="K17" s="743">
        <v>15</v>
      </c>
      <c r="L17" s="743">
        <v>153</v>
      </c>
      <c r="M17" s="743">
        <v>24</v>
      </c>
      <c r="N17" s="1034">
        <f t="shared" si="4"/>
        <v>194</v>
      </c>
      <c r="O17" s="743">
        <v>15</v>
      </c>
      <c r="P17" s="743">
        <v>158</v>
      </c>
      <c r="Q17" s="743">
        <v>21</v>
      </c>
      <c r="R17" s="1170"/>
      <c r="S17" s="1171"/>
    </row>
    <row r="18" spans="1:20" s="88" customFormat="1" ht="12.75">
      <c r="A18" s="1167" t="s">
        <v>3635</v>
      </c>
      <c r="B18" s="1034">
        <f t="shared" si="1"/>
        <v>85</v>
      </c>
      <c r="C18" s="1168">
        <v>9</v>
      </c>
      <c r="D18" s="1168">
        <v>71</v>
      </c>
      <c r="E18" s="1168">
        <v>5</v>
      </c>
      <c r="F18" s="1034">
        <f t="shared" si="2"/>
        <v>87</v>
      </c>
      <c r="G18" s="1168">
        <v>7</v>
      </c>
      <c r="H18" s="1168">
        <v>78</v>
      </c>
      <c r="I18" s="1168">
        <v>2</v>
      </c>
      <c r="J18" s="1034">
        <f t="shared" si="3"/>
        <v>92</v>
      </c>
      <c r="K18" s="743">
        <v>7</v>
      </c>
      <c r="L18" s="743">
        <v>82</v>
      </c>
      <c r="M18" s="743">
        <v>3</v>
      </c>
      <c r="N18" s="1034">
        <f t="shared" si="4"/>
        <v>93</v>
      </c>
      <c r="O18" s="743">
        <v>7</v>
      </c>
      <c r="P18" s="743">
        <v>83</v>
      </c>
      <c r="Q18" s="743">
        <v>3</v>
      </c>
      <c r="R18" s="1170"/>
      <c r="S18" s="1171"/>
    </row>
    <row r="19" spans="1:20" s="88" customFormat="1" ht="11.25">
      <c r="A19" s="1167" t="s">
        <v>19</v>
      </c>
      <c r="B19" s="1034">
        <f t="shared" si="1"/>
        <v>175</v>
      </c>
      <c r="C19" s="1168">
        <v>15</v>
      </c>
      <c r="D19" s="1168">
        <v>150</v>
      </c>
      <c r="E19" s="1168">
        <v>10</v>
      </c>
      <c r="F19" s="1034">
        <f t="shared" si="2"/>
        <v>185</v>
      </c>
      <c r="G19" s="1168">
        <v>15</v>
      </c>
      <c r="H19" s="1168">
        <v>162</v>
      </c>
      <c r="I19" s="1168">
        <v>8</v>
      </c>
      <c r="J19" s="1034">
        <f t="shared" si="3"/>
        <v>193</v>
      </c>
      <c r="K19" s="743">
        <v>15</v>
      </c>
      <c r="L19" s="743">
        <v>168</v>
      </c>
      <c r="M19" s="743">
        <v>10</v>
      </c>
      <c r="N19" s="1034">
        <f t="shared" si="4"/>
        <v>194</v>
      </c>
      <c r="O19" s="743">
        <v>14</v>
      </c>
      <c r="P19" s="743">
        <v>171</v>
      </c>
      <c r="Q19" s="743">
        <v>9</v>
      </c>
      <c r="R19" s="1170"/>
      <c r="S19" s="1171"/>
    </row>
    <row r="20" spans="1:20" s="88" customFormat="1" ht="11.25">
      <c r="A20" s="1167" t="s">
        <v>20</v>
      </c>
      <c r="B20" s="1034">
        <f t="shared" si="1"/>
        <v>69</v>
      </c>
      <c r="C20" s="1168">
        <v>3</v>
      </c>
      <c r="D20" s="1168">
        <v>50</v>
      </c>
      <c r="E20" s="1168">
        <v>16</v>
      </c>
      <c r="F20" s="1034">
        <f t="shared" si="2"/>
        <v>60</v>
      </c>
      <c r="G20" s="1168">
        <v>3</v>
      </c>
      <c r="H20" s="1168">
        <v>51</v>
      </c>
      <c r="I20" s="1168">
        <v>6</v>
      </c>
      <c r="J20" s="1034">
        <f t="shared" si="3"/>
        <v>71</v>
      </c>
      <c r="K20" s="743">
        <v>3</v>
      </c>
      <c r="L20" s="743">
        <v>60</v>
      </c>
      <c r="M20" s="743">
        <v>8</v>
      </c>
      <c r="N20" s="1034">
        <f t="shared" si="4"/>
        <v>78</v>
      </c>
      <c r="O20" s="743">
        <v>3</v>
      </c>
      <c r="P20" s="743">
        <v>69</v>
      </c>
      <c r="Q20" s="743">
        <v>6</v>
      </c>
      <c r="R20" s="1170"/>
      <c r="S20" s="1171"/>
    </row>
    <row r="21" spans="1:20" s="88" customFormat="1" ht="11.25">
      <c r="A21" s="1167" t="s">
        <v>21</v>
      </c>
      <c r="B21" s="1034">
        <f t="shared" si="1"/>
        <v>61</v>
      </c>
      <c r="C21" s="1168">
        <v>8</v>
      </c>
      <c r="D21" s="1168">
        <v>50</v>
      </c>
      <c r="E21" s="1168">
        <v>3</v>
      </c>
      <c r="F21" s="1034">
        <f t="shared" si="2"/>
        <v>64</v>
      </c>
      <c r="G21" s="1168">
        <v>8</v>
      </c>
      <c r="H21" s="1168">
        <v>54</v>
      </c>
      <c r="I21" s="1168">
        <v>2</v>
      </c>
      <c r="J21" s="1034">
        <f t="shared" si="3"/>
        <v>68</v>
      </c>
      <c r="K21" s="743">
        <v>8</v>
      </c>
      <c r="L21" s="743">
        <v>57</v>
      </c>
      <c r="M21" s="743">
        <v>3</v>
      </c>
      <c r="N21" s="1034">
        <f t="shared" si="4"/>
        <v>68</v>
      </c>
      <c r="O21" s="743">
        <v>8</v>
      </c>
      <c r="P21" s="743">
        <v>58</v>
      </c>
      <c r="Q21" s="743">
        <v>2</v>
      </c>
      <c r="R21" s="1170"/>
      <c r="S21" s="1171"/>
    </row>
    <row r="22" spans="1:20" s="88" customFormat="1" ht="6.75" customHeight="1">
      <c r="A22" s="862"/>
      <c r="B22" s="1034"/>
      <c r="C22" s="1168"/>
      <c r="D22" s="1168"/>
      <c r="E22" s="1168"/>
      <c r="F22" s="1034"/>
      <c r="G22" s="1168"/>
      <c r="H22" s="1168"/>
      <c r="I22" s="1168"/>
      <c r="J22" s="1034"/>
      <c r="K22" s="743"/>
      <c r="L22" s="743"/>
      <c r="M22" s="743"/>
      <c r="N22" s="1170"/>
      <c r="O22" s="1170"/>
      <c r="P22" s="1170"/>
      <c r="Q22" s="1170"/>
      <c r="R22" s="1170"/>
      <c r="S22" s="1170"/>
      <c r="T22" s="1171"/>
    </row>
    <row r="23" spans="1:20" s="88" customFormat="1" ht="10.5" customHeight="1">
      <c r="A23" s="833" t="s">
        <v>3636</v>
      </c>
      <c r="B23" s="842"/>
      <c r="C23" s="842"/>
      <c r="D23" s="842"/>
      <c r="E23" s="842"/>
      <c r="F23" s="35"/>
      <c r="G23" s="35"/>
      <c r="H23" s="35"/>
      <c r="I23" s="35"/>
      <c r="K23" s="1170"/>
      <c r="L23" s="1170"/>
      <c r="M23" s="1170"/>
      <c r="N23" s="1170"/>
      <c r="O23" s="1170"/>
      <c r="P23" s="1170"/>
      <c r="Q23" s="1170"/>
      <c r="R23" s="1170"/>
      <c r="S23" s="1170"/>
      <c r="T23" s="1171"/>
    </row>
    <row r="24" spans="1:20">
      <c r="A24" s="1172" t="s">
        <v>1771</v>
      </c>
    </row>
  </sheetData>
  <mergeCells count="6">
    <mergeCell ref="N4:Q4"/>
    <mergeCell ref="A4:A5"/>
    <mergeCell ref="B4:E4"/>
    <mergeCell ref="F4:I4"/>
    <mergeCell ref="J4:M4"/>
    <mergeCell ref="A2:Q2"/>
  </mergeCells>
  <pageMargins left="0.7" right="0.7" top="0.75" bottom="0.75" header="0.3" footer="0.3"/>
  <pageSetup paperSize="14" scale="90" orientation="landscape" r:id="rId1"/>
</worksheet>
</file>

<file path=xl/worksheets/sheet182.xml><?xml version="1.0" encoding="utf-8"?>
<worksheet xmlns="http://schemas.openxmlformats.org/spreadsheetml/2006/main" xmlns:r="http://schemas.openxmlformats.org/officeDocument/2006/relationships">
  <dimension ref="A1:C15"/>
  <sheetViews>
    <sheetView zoomScaleNormal="100" workbookViewId="0"/>
  </sheetViews>
  <sheetFormatPr baseColWidth="10" defaultRowHeight="12"/>
  <cols>
    <col min="1" max="1" width="64.5703125" style="100" customWidth="1"/>
    <col min="2" max="16384" width="11.42578125" style="100"/>
  </cols>
  <sheetData>
    <row r="1" spans="1:3">
      <c r="A1" s="843"/>
    </row>
    <row r="2" spans="1:3" ht="23.25" customHeight="1">
      <c r="A2" s="2377" t="s">
        <v>1772</v>
      </c>
      <c r="B2" s="2377"/>
    </row>
    <row r="3" spans="1:3">
      <c r="A3" s="31"/>
      <c r="B3" s="98"/>
      <c r="C3" s="98"/>
    </row>
    <row r="4" spans="1:3" ht="27.75" customHeight="1">
      <c r="A4" s="894" t="s">
        <v>1773</v>
      </c>
      <c r="B4" s="853" t="s">
        <v>26</v>
      </c>
      <c r="C4" s="98"/>
    </row>
    <row r="5" spans="1:3" ht="13.5">
      <c r="A5" s="98" t="s">
        <v>3628</v>
      </c>
      <c r="B5" s="108">
        <v>47</v>
      </c>
      <c r="C5" s="98"/>
    </row>
    <row r="6" spans="1:3" ht="13.5">
      <c r="A6" s="35" t="s">
        <v>3629</v>
      </c>
      <c r="B6" s="108">
        <v>200</v>
      </c>
      <c r="C6" s="98"/>
    </row>
    <row r="7" spans="1:3" ht="13.5">
      <c r="A7" s="98" t="s">
        <v>3630</v>
      </c>
      <c r="B7" s="108">
        <v>4</v>
      </c>
      <c r="C7" s="98"/>
    </row>
    <row r="8" spans="1:3">
      <c r="A8" s="98"/>
      <c r="B8" s="98"/>
      <c r="C8" s="98"/>
    </row>
    <row r="9" spans="1:3" ht="32.25" customHeight="1">
      <c r="A9" s="2201" t="s">
        <v>3631</v>
      </c>
      <c r="B9" s="2201"/>
    </row>
    <row r="10" spans="1:3">
      <c r="A10" s="2378" t="s">
        <v>3632</v>
      </c>
      <c r="B10" s="2378"/>
    </row>
    <row r="11" spans="1:3" ht="23.25" customHeight="1">
      <c r="A11" s="2379" t="s">
        <v>3633</v>
      </c>
      <c r="B11" s="2379"/>
    </row>
    <row r="12" spans="1:3">
      <c r="A12" s="35" t="s">
        <v>1151</v>
      </c>
    </row>
    <row r="15" spans="1:3">
      <c r="A15" s="1163"/>
    </row>
  </sheetData>
  <mergeCells count="4">
    <mergeCell ref="A2:B2"/>
    <mergeCell ref="A9:B9"/>
    <mergeCell ref="A10:B10"/>
    <mergeCell ref="A11:B11"/>
  </mergeCells>
  <pageMargins left="0.7" right="0.7" top="0.75" bottom="0.75" header="0.3" footer="0.3"/>
  <pageSetup paperSize="14" scale="90" orientation="landscape" r:id="rId1"/>
</worksheet>
</file>

<file path=xl/worksheets/sheet183.xml><?xml version="1.0" encoding="utf-8"?>
<worksheet xmlns="http://schemas.openxmlformats.org/spreadsheetml/2006/main" xmlns:r="http://schemas.openxmlformats.org/officeDocument/2006/relationships">
  <sheetPr>
    <outlinePr summaryBelow="0" summaryRight="0"/>
  </sheetPr>
  <dimension ref="A2:R46"/>
  <sheetViews>
    <sheetView zoomScaleNormal="100" workbookViewId="0"/>
  </sheetViews>
  <sheetFormatPr baseColWidth="10" defaultColWidth="9.140625" defaultRowHeight="12"/>
  <cols>
    <col min="1" max="1" width="20.28515625" style="11" customWidth="1"/>
    <col min="2" max="2" width="9.140625" style="11" customWidth="1"/>
    <col min="3" max="3" width="14.5703125" style="11" bestFit="1" customWidth="1"/>
    <col min="4" max="4" width="11.140625" style="11" bestFit="1" customWidth="1"/>
    <col min="5" max="5" width="7.85546875" style="11" bestFit="1" customWidth="1"/>
    <col min="6" max="6" width="9.28515625" style="11" customWidth="1"/>
    <col min="7" max="7" width="14.5703125" style="11" bestFit="1" customWidth="1"/>
    <col min="8" max="8" width="11.140625" style="11" bestFit="1" customWidth="1"/>
    <col min="9" max="9" width="6" style="11" bestFit="1" customWidth="1"/>
    <col min="10" max="10" width="9.7109375" style="11" customWidth="1"/>
    <col min="11" max="11" width="14.5703125" style="11" bestFit="1" customWidth="1"/>
    <col min="12" max="12" width="11.140625" style="11" bestFit="1" customWidth="1"/>
    <col min="13" max="13" width="6" style="11" bestFit="1" customWidth="1"/>
    <col min="14" max="14" width="9.42578125" style="11" customWidth="1"/>
    <col min="15" max="15" width="0.140625" style="11" customWidth="1"/>
    <col min="16" max="16" width="14.5703125" style="11" bestFit="1" customWidth="1"/>
    <col min="17" max="17" width="11.140625" style="11" bestFit="1" customWidth="1"/>
    <col min="18" max="18" width="6" style="11" bestFit="1" customWidth="1"/>
    <col min="19" max="256" width="9.140625" style="11"/>
    <col min="257" max="257" width="20.28515625" style="11" customWidth="1"/>
    <col min="258" max="258" width="9.140625" style="11" customWidth="1"/>
    <col min="259" max="259" width="14.85546875" style="11" customWidth="1"/>
    <col min="260" max="261" width="13.7109375" style="11" customWidth="1"/>
    <col min="262" max="262" width="9.28515625" style="11" customWidth="1"/>
    <col min="263" max="263" width="16.140625" style="11" customWidth="1"/>
    <col min="264" max="265" width="13.7109375" style="11" customWidth="1"/>
    <col min="266" max="266" width="9.7109375" style="11" customWidth="1"/>
    <col min="267" max="267" width="14.85546875" style="11" customWidth="1"/>
    <col min="268" max="269" width="13.7109375" style="11" customWidth="1"/>
    <col min="270" max="270" width="9.42578125" style="11" customWidth="1"/>
    <col min="271" max="271" width="0.140625" style="11" customWidth="1"/>
    <col min="272" max="272" width="16.140625" style="11" customWidth="1"/>
    <col min="273" max="274" width="13.7109375" style="11" customWidth="1"/>
    <col min="275" max="512" width="9.140625" style="11"/>
    <col min="513" max="513" width="20.28515625" style="11" customWidth="1"/>
    <col min="514" max="514" width="9.140625" style="11" customWidth="1"/>
    <col min="515" max="515" width="14.85546875" style="11" customWidth="1"/>
    <col min="516" max="517" width="13.7109375" style="11" customWidth="1"/>
    <col min="518" max="518" width="9.28515625" style="11" customWidth="1"/>
    <col min="519" max="519" width="16.140625" style="11" customWidth="1"/>
    <col min="520" max="521" width="13.7109375" style="11" customWidth="1"/>
    <col min="522" max="522" width="9.7109375" style="11" customWidth="1"/>
    <col min="523" max="523" width="14.85546875" style="11" customWidth="1"/>
    <col min="524" max="525" width="13.7109375" style="11" customWidth="1"/>
    <col min="526" max="526" width="9.42578125" style="11" customWidth="1"/>
    <col min="527" max="527" width="0.140625" style="11" customWidth="1"/>
    <col min="528" max="528" width="16.140625" style="11" customWidth="1"/>
    <col min="529" max="530" width="13.7109375" style="11" customWidth="1"/>
    <col min="531" max="768" width="9.140625" style="11"/>
    <col min="769" max="769" width="20.28515625" style="11" customWidth="1"/>
    <col min="770" max="770" width="9.140625" style="11" customWidth="1"/>
    <col min="771" max="771" width="14.85546875" style="11" customWidth="1"/>
    <col min="772" max="773" width="13.7109375" style="11" customWidth="1"/>
    <col min="774" max="774" width="9.28515625" style="11" customWidth="1"/>
    <col min="775" max="775" width="16.140625" style="11" customWidth="1"/>
    <col min="776" max="777" width="13.7109375" style="11" customWidth="1"/>
    <col min="778" max="778" width="9.7109375" style="11" customWidth="1"/>
    <col min="779" max="779" width="14.85546875" style="11" customWidth="1"/>
    <col min="780" max="781" width="13.7109375" style="11" customWidth="1"/>
    <col min="782" max="782" width="9.42578125" style="11" customWidth="1"/>
    <col min="783" max="783" width="0.140625" style="11" customWidth="1"/>
    <col min="784" max="784" width="16.140625" style="11" customWidth="1"/>
    <col min="785" max="786" width="13.7109375" style="11" customWidth="1"/>
    <col min="787" max="1024" width="9.140625" style="11"/>
    <col min="1025" max="1025" width="20.28515625" style="11" customWidth="1"/>
    <col min="1026" max="1026" width="9.140625" style="11" customWidth="1"/>
    <col min="1027" max="1027" width="14.85546875" style="11" customWidth="1"/>
    <col min="1028" max="1029" width="13.7109375" style="11" customWidth="1"/>
    <col min="1030" max="1030" width="9.28515625" style="11" customWidth="1"/>
    <col min="1031" max="1031" width="16.140625" style="11" customWidth="1"/>
    <col min="1032" max="1033" width="13.7109375" style="11" customWidth="1"/>
    <col min="1034" max="1034" width="9.7109375" style="11" customWidth="1"/>
    <col min="1035" max="1035" width="14.85546875" style="11" customWidth="1"/>
    <col min="1036" max="1037" width="13.7109375" style="11" customWidth="1"/>
    <col min="1038" max="1038" width="9.42578125" style="11" customWidth="1"/>
    <col min="1039" max="1039" width="0.140625" style="11" customWidth="1"/>
    <col min="1040" max="1040" width="16.140625" style="11" customWidth="1"/>
    <col min="1041" max="1042" width="13.7109375" style="11" customWidth="1"/>
    <col min="1043" max="1280" width="9.140625" style="11"/>
    <col min="1281" max="1281" width="20.28515625" style="11" customWidth="1"/>
    <col min="1282" max="1282" width="9.140625" style="11" customWidth="1"/>
    <col min="1283" max="1283" width="14.85546875" style="11" customWidth="1"/>
    <col min="1284" max="1285" width="13.7109375" style="11" customWidth="1"/>
    <col min="1286" max="1286" width="9.28515625" style="11" customWidth="1"/>
    <col min="1287" max="1287" width="16.140625" style="11" customWidth="1"/>
    <col min="1288" max="1289" width="13.7109375" style="11" customWidth="1"/>
    <col min="1290" max="1290" width="9.7109375" style="11" customWidth="1"/>
    <col min="1291" max="1291" width="14.85546875" style="11" customWidth="1"/>
    <col min="1292" max="1293" width="13.7109375" style="11" customWidth="1"/>
    <col min="1294" max="1294" width="9.42578125" style="11" customWidth="1"/>
    <col min="1295" max="1295" width="0.140625" style="11" customWidth="1"/>
    <col min="1296" max="1296" width="16.140625" style="11" customWidth="1"/>
    <col min="1297" max="1298" width="13.7109375" style="11" customWidth="1"/>
    <col min="1299" max="1536" width="9.140625" style="11"/>
    <col min="1537" max="1537" width="20.28515625" style="11" customWidth="1"/>
    <col min="1538" max="1538" width="9.140625" style="11" customWidth="1"/>
    <col min="1539" max="1539" width="14.85546875" style="11" customWidth="1"/>
    <col min="1540" max="1541" width="13.7109375" style="11" customWidth="1"/>
    <col min="1542" max="1542" width="9.28515625" style="11" customWidth="1"/>
    <col min="1543" max="1543" width="16.140625" style="11" customWidth="1"/>
    <col min="1544" max="1545" width="13.7109375" style="11" customWidth="1"/>
    <col min="1546" max="1546" width="9.7109375" style="11" customWidth="1"/>
    <col min="1547" max="1547" width="14.85546875" style="11" customWidth="1"/>
    <col min="1548" max="1549" width="13.7109375" style="11" customWidth="1"/>
    <col min="1550" max="1550" width="9.42578125" style="11" customWidth="1"/>
    <col min="1551" max="1551" width="0.140625" style="11" customWidth="1"/>
    <col min="1552" max="1552" width="16.140625" style="11" customWidth="1"/>
    <col min="1553" max="1554" width="13.7109375" style="11" customWidth="1"/>
    <col min="1555" max="1792" width="9.140625" style="11"/>
    <col min="1793" max="1793" width="20.28515625" style="11" customWidth="1"/>
    <col min="1794" max="1794" width="9.140625" style="11" customWidth="1"/>
    <col min="1795" max="1795" width="14.85546875" style="11" customWidth="1"/>
    <col min="1796" max="1797" width="13.7109375" style="11" customWidth="1"/>
    <col min="1798" max="1798" width="9.28515625" style="11" customWidth="1"/>
    <col min="1799" max="1799" width="16.140625" style="11" customWidth="1"/>
    <col min="1800" max="1801" width="13.7109375" style="11" customWidth="1"/>
    <col min="1802" max="1802" width="9.7109375" style="11" customWidth="1"/>
    <col min="1803" max="1803" width="14.85546875" style="11" customWidth="1"/>
    <col min="1804" max="1805" width="13.7109375" style="11" customWidth="1"/>
    <col min="1806" max="1806" width="9.42578125" style="11" customWidth="1"/>
    <col min="1807" max="1807" width="0.140625" style="11" customWidth="1"/>
    <col min="1808" max="1808" width="16.140625" style="11" customWidth="1"/>
    <col min="1809" max="1810" width="13.7109375" style="11" customWidth="1"/>
    <col min="1811" max="2048" width="9.140625" style="11"/>
    <col min="2049" max="2049" width="20.28515625" style="11" customWidth="1"/>
    <col min="2050" max="2050" width="9.140625" style="11" customWidth="1"/>
    <col min="2051" max="2051" width="14.85546875" style="11" customWidth="1"/>
    <col min="2052" max="2053" width="13.7109375" style="11" customWidth="1"/>
    <col min="2054" max="2054" width="9.28515625" style="11" customWidth="1"/>
    <col min="2055" max="2055" width="16.140625" style="11" customWidth="1"/>
    <col min="2056" max="2057" width="13.7109375" style="11" customWidth="1"/>
    <col min="2058" max="2058" width="9.7109375" style="11" customWidth="1"/>
    <col min="2059" max="2059" width="14.85546875" style="11" customWidth="1"/>
    <col min="2060" max="2061" width="13.7109375" style="11" customWidth="1"/>
    <col min="2062" max="2062" width="9.42578125" style="11" customWidth="1"/>
    <col min="2063" max="2063" width="0.140625" style="11" customWidth="1"/>
    <col min="2064" max="2064" width="16.140625" style="11" customWidth="1"/>
    <col min="2065" max="2066" width="13.7109375" style="11" customWidth="1"/>
    <col min="2067" max="2304" width="9.140625" style="11"/>
    <col min="2305" max="2305" width="20.28515625" style="11" customWidth="1"/>
    <col min="2306" max="2306" width="9.140625" style="11" customWidth="1"/>
    <col min="2307" max="2307" width="14.85546875" style="11" customWidth="1"/>
    <col min="2308" max="2309" width="13.7109375" style="11" customWidth="1"/>
    <col min="2310" max="2310" width="9.28515625" style="11" customWidth="1"/>
    <col min="2311" max="2311" width="16.140625" style="11" customWidth="1"/>
    <col min="2312" max="2313" width="13.7109375" style="11" customWidth="1"/>
    <col min="2314" max="2314" width="9.7109375" style="11" customWidth="1"/>
    <col min="2315" max="2315" width="14.85546875" style="11" customWidth="1"/>
    <col min="2316" max="2317" width="13.7109375" style="11" customWidth="1"/>
    <col min="2318" max="2318" width="9.42578125" style="11" customWidth="1"/>
    <col min="2319" max="2319" width="0.140625" style="11" customWidth="1"/>
    <col min="2320" max="2320" width="16.140625" style="11" customWidth="1"/>
    <col min="2321" max="2322" width="13.7109375" style="11" customWidth="1"/>
    <col min="2323" max="2560" width="9.140625" style="11"/>
    <col min="2561" max="2561" width="20.28515625" style="11" customWidth="1"/>
    <col min="2562" max="2562" width="9.140625" style="11" customWidth="1"/>
    <col min="2563" max="2563" width="14.85546875" style="11" customWidth="1"/>
    <col min="2564" max="2565" width="13.7109375" style="11" customWidth="1"/>
    <col min="2566" max="2566" width="9.28515625" style="11" customWidth="1"/>
    <col min="2567" max="2567" width="16.140625" style="11" customWidth="1"/>
    <col min="2568" max="2569" width="13.7109375" style="11" customWidth="1"/>
    <col min="2570" max="2570" width="9.7109375" style="11" customWidth="1"/>
    <col min="2571" max="2571" width="14.85546875" style="11" customWidth="1"/>
    <col min="2572" max="2573" width="13.7109375" style="11" customWidth="1"/>
    <col min="2574" max="2574" width="9.42578125" style="11" customWidth="1"/>
    <col min="2575" max="2575" width="0.140625" style="11" customWidth="1"/>
    <col min="2576" max="2576" width="16.140625" style="11" customWidth="1"/>
    <col min="2577" max="2578" width="13.7109375" style="11" customWidth="1"/>
    <col min="2579" max="2816" width="9.140625" style="11"/>
    <col min="2817" max="2817" width="20.28515625" style="11" customWidth="1"/>
    <col min="2818" max="2818" width="9.140625" style="11" customWidth="1"/>
    <col min="2819" max="2819" width="14.85546875" style="11" customWidth="1"/>
    <col min="2820" max="2821" width="13.7109375" style="11" customWidth="1"/>
    <col min="2822" max="2822" width="9.28515625" style="11" customWidth="1"/>
    <col min="2823" max="2823" width="16.140625" style="11" customWidth="1"/>
    <col min="2824" max="2825" width="13.7109375" style="11" customWidth="1"/>
    <col min="2826" max="2826" width="9.7109375" style="11" customWidth="1"/>
    <col min="2827" max="2827" width="14.85546875" style="11" customWidth="1"/>
    <col min="2828" max="2829" width="13.7109375" style="11" customWidth="1"/>
    <col min="2830" max="2830" width="9.42578125" style="11" customWidth="1"/>
    <col min="2831" max="2831" width="0.140625" style="11" customWidth="1"/>
    <col min="2832" max="2832" width="16.140625" style="11" customWidth="1"/>
    <col min="2833" max="2834" width="13.7109375" style="11" customWidth="1"/>
    <col min="2835" max="3072" width="9.140625" style="11"/>
    <col min="3073" max="3073" width="20.28515625" style="11" customWidth="1"/>
    <col min="3074" max="3074" width="9.140625" style="11" customWidth="1"/>
    <col min="3075" max="3075" width="14.85546875" style="11" customWidth="1"/>
    <col min="3076" max="3077" width="13.7109375" style="11" customWidth="1"/>
    <col min="3078" max="3078" width="9.28515625" style="11" customWidth="1"/>
    <col min="3079" max="3079" width="16.140625" style="11" customWidth="1"/>
    <col min="3080" max="3081" width="13.7109375" style="11" customWidth="1"/>
    <col min="3082" max="3082" width="9.7109375" style="11" customWidth="1"/>
    <col min="3083" max="3083" width="14.85546875" style="11" customWidth="1"/>
    <col min="3084" max="3085" width="13.7109375" style="11" customWidth="1"/>
    <col min="3086" max="3086" width="9.42578125" style="11" customWidth="1"/>
    <col min="3087" max="3087" width="0.140625" style="11" customWidth="1"/>
    <col min="3088" max="3088" width="16.140625" style="11" customWidth="1"/>
    <col min="3089" max="3090" width="13.7109375" style="11" customWidth="1"/>
    <col min="3091" max="3328" width="9.140625" style="11"/>
    <col min="3329" max="3329" width="20.28515625" style="11" customWidth="1"/>
    <col min="3330" max="3330" width="9.140625" style="11" customWidth="1"/>
    <col min="3331" max="3331" width="14.85546875" style="11" customWidth="1"/>
    <col min="3332" max="3333" width="13.7109375" style="11" customWidth="1"/>
    <col min="3334" max="3334" width="9.28515625" style="11" customWidth="1"/>
    <col min="3335" max="3335" width="16.140625" style="11" customWidth="1"/>
    <col min="3336" max="3337" width="13.7109375" style="11" customWidth="1"/>
    <col min="3338" max="3338" width="9.7109375" style="11" customWidth="1"/>
    <col min="3339" max="3339" width="14.85546875" style="11" customWidth="1"/>
    <col min="3340" max="3341" width="13.7109375" style="11" customWidth="1"/>
    <col min="3342" max="3342" width="9.42578125" style="11" customWidth="1"/>
    <col min="3343" max="3343" width="0.140625" style="11" customWidth="1"/>
    <col min="3344" max="3344" width="16.140625" style="11" customWidth="1"/>
    <col min="3345" max="3346" width="13.7109375" style="11" customWidth="1"/>
    <col min="3347" max="3584" width="9.140625" style="11"/>
    <col min="3585" max="3585" width="20.28515625" style="11" customWidth="1"/>
    <col min="3586" max="3586" width="9.140625" style="11" customWidth="1"/>
    <col min="3587" max="3587" width="14.85546875" style="11" customWidth="1"/>
    <col min="3588" max="3589" width="13.7109375" style="11" customWidth="1"/>
    <col min="3590" max="3590" width="9.28515625" style="11" customWidth="1"/>
    <col min="3591" max="3591" width="16.140625" style="11" customWidth="1"/>
    <col min="3592" max="3593" width="13.7109375" style="11" customWidth="1"/>
    <col min="3594" max="3594" width="9.7109375" style="11" customWidth="1"/>
    <col min="3595" max="3595" width="14.85546875" style="11" customWidth="1"/>
    <col min="3596" max="3597" width="13.7109375" style="11" customWidth="1"/>
    <col min="3598" max="3598" width="9.42578125" style="11" customWidth="1"/>
    <col min="3599" max="3599" width="0.140625" style="11" customWidth="1"/>
    <col min="3600" max="3600" width="16.140625" style="11" customWidth="1"/>
    <col min="3601" max="3602" width="13.7109375" style="11" customWidth="1"/>
    <col min="3603" max="3840" width="9.140625" style="11"/>
    <col min="3841" max="3841" width="20.28515625" style="11" customWidth="1"/>
    <col min="3842" max="3842" width="9.140625" style="11" customWidth="1"/>
    <col min="3843" max="3843" width="14.85546875" style="11" customWidth="1"/>
    <col min="3844" max="3845" width="13.7109375" style="11" customWidth="1"/>
    <col min="3846" max="3846" width="9.28515625" style="11" customWidth="1"/>
    <col min="3847" max="3847" width="16.140625" style="11" customWidth="1"/>
    <col min="3848" max="3849" width="13.7109375" style="11" customWidth="1"/>
    <col min="3850" max="3850" width="9.7109375" style="11" customWidth="1"/>
    <col min="3851" max="3851" width="14.85546875" style="11" customWidth="1"/>
    <col min="3852" max="3853" width="13.7109375" style="11" customWidth="1"/>
    <col min="3854" max="3854" width="9.42578125" style="11" customWidth="1"/>
    <col min="3855" max="3855" width="0.140625" style="11" customWidth="1"/>
    <col min="3856" max="3856" width="16.140625" style="11" customWidth="1"/>
    <col min="3857" max="3858" width="13.7109375" style="11" customWidth="1"/>
    <col min="3859" max="4096" width="9.140625" style="11"/>
    <col min="4097" max="4097" width="20.28515625" style="11" customWidth="1"/>
    <col min="4098" max="4098" width="9.140625" style="11" customWidth="1"/>
    <col min="4099" max="4099" width="14.85546875" style="11" customWidth="1"/>
    <col min="4100" max="4101" width="13.7109375" style="11" customWidth="1"/>
    <col min="4102" max="4102" width="9.28515625" style="11" customWidth="1"/>
    <col min="4103" max="4103" width="16.140625" style="11" customWidth="1"/>
    <col min="4104" max="4105" width="13.7109375" style="11" customWidth="1"/>
    <col min="4106" max="4106" width="9.7109375" style="11" customWidth="1"/>
    <col min="4107" max="4107" width="14.85546875" style="11" customWidth="1"/>
    <col min="4108" max="4109" width="13.7109375" style="11" customWidth="1"/>
    <col min="4110" max="4110" width="9.42578125" style="11" customWidth="1"/>
    <col min="4111" max="4111" width="0.140625" style="11" customWidth="1"/>
    <col min="4112" max="4112" width="16.140625" style="11" customWidth="1"/>
    <col min="4113" max="4114" width="13.7109375" style="11" customWidth="1"/>
    <col min="4115" max="4352" width="9.140625" style="11"/>
    <col min="4353" max="4353" width="20.28515625" style="11" customWidth="1"/>
    <col min="4354" max="4354" width="9.140625" style="11" customWidth="1"/>
    <col min="4355" max="4355" width="14.85546875" style="11" customWidth="1"/>
    <col min="4356" max="4357" width="13.7109375" style="11" customWidth="1"/>
    <col min="4358" max="4358" width="9.28515625" style="11" customWidth="1"/>
    <col min="4359" max="4359" width="16.140625" style="11" customWidth="1"/>
    <col min="4360" max="4361" width="13.7109375" style="11" customWidth="1"/>
    <col min="4362" max="4362" width="9.7109375" style="11" customWidth="1"/>
    <col min="4363" max="4363" width="14.85546875" style="11" customWidth="1"/>
    <col min="4364" max="4365" width="13.7109375" style="11" customWidth="1"/>
    <col min="4366" max="4366" width="9.42578125" style="11" customWidth="1"/>
    <col min="4367" max="4367" width="0.140625" style="11" customWidth="1"/>
    <col min="4368" max="4368" width="16.140625" style="11" customWidth="1"/>
    <col min="4369" max="4370" width="13.7109375" style="11" customWidth="1"/>
    <col min="4371" max="4608" width="9.140625" style="11"/>
    <col min="4609" max="4609" width="20.28515625" style="11" customWidth="1"/>
    <col min="4610" max="4610" width="9.140625" style="11" customWidth="1"/>
    <col min="4611" max="4611" width="14.85546875" style="11" customWidth="1"/>
    <col min="4612" max="4613" width="13.7109375" style="11" customWidth="1"/>
    <col min="4614" max="4614" width="9.28515625" style="11" customWidth="1"/>
    <col min="4615" max="4615" width="16.140625" style="11" customWidth="1"/>
    <col min="4616" max="4617" width="13.7109375" style="11" customWidth="1"/>
    <col min="4618" max="4618" width="9.7109375" style="11" customWidth="1"/>
    <col min="4619" max="4619" width="14.85546875" style="11" customWidth="1"/>
    <col min="4620" max="4621" width="13.7109375" style="11" customWidth="1"/>
    <col min="4622" max="4622" width="9.42578125" style="11" customWidth="1"/>
    <col min="4623" max="4623" width="0.140625" style="11" customWidth="1"/>
    <col min="4624" max="4624" width="16.140625" style="11" customWidth="1"/>
    <col min="4625" max="4626" width="13.7109375" style="11" customWidth="1"/>
    <col min="4627" max="4864" width="9.140625" style="11"/>
    <col min="4865" max="4865" width="20.28515625" style="11" customWidth="1"/>
    <col min="4866" max="4866" width="9.140625" style="11" customWidth="1"/>
    <col min="4867" max="4867" width="14.85546875" style="11" customWidth="1"/>
    <col min="4868" max="4869" width="13.7109375" style="11" customWidth="1"/>
    <col min="4870" max="4870" width="9.28515625" style="11" customWidth="1"/>
    <col min="4871" max="4871" width="16.140625" style="11" customWidth="1"/>
    <col min="4872" max="4873" width="13.7109375" style="11" customWidth="1"/>
    <col min="4874" max="4874" width="9.7109375" style="11" customWidth="1"/>
    <col min="4875" max="4875" width="14.85546875" style="11" customWidth="1"/>
    <col min="4876" max="4877" width="13.7109375" style="11" customWidth="1"/>
    <col min="4878" max="4878" width="9.42578125" style="11" customWidth="1"/>
    <col min="4879" max="4879" width="0.140625" style="11" customWidth="1"/>
    <col min="4880" max="4880" width="16.140625" style="11" customWidth="1"/>
    <col min="4881" max="4882" width="13.7109375" style="11" customWidth="1"/>
    <col min="4883" max="5120" width="9.140625" style="11"/>
    <col min="5121" max="5121" width="20.28515625" style="11" customWidth="1"/>
    <col min="5122" max="5122" width="9.140625" style="11" customWidth="1"/>
    <col min="5123" max="5123" width="14.85546875" style="11" customWidth="1"/>
    <col min="5124" max="5125" width="13.7109375" style="11" customWidth="1"/>
    <col min="5126" max="5126" width="9.28515625" style="11" customWidth="1"/>
    <col min="5127" max="5127" width="16.140625" style="11" customWidth="1"/>
    <col min="5128" max="5129" width="13.7109375" style="11" customWidth="1"/>
    <col min="5130" max="5130" width="9.7109375" style="11" customWidth="1"/>
    <col min="5131" max="5131" width="14.85546875" style="11" customWidth="1"/>
    <col min="5132" max="5133" width="13.7109375" style="11" customWidth="1"/>
    <col min="5134" max="5134" width="9.42578125" style="11" customWidth="1"/>
    <col min="5135" max="5135" width="0.140625" style="11" customWidth="1"/>
    <col min="5136" max="5136" width="16.140625" style="11" customWidth="1"/>
    <col min="5137" max="5138" width="13.7109375" style="11" customWidth="1"/>
    <col min="5139" max="5376" width="9.140625" style="11"/>
    <col min="5377" max="5377" width="20.28515625" style="11" customWidth="1"/>
    <col min="5378" max="5378" width="9.140625" style="11" customWidth="1"/>
    <col min="5379" max="5379" width="14.85546875" style="11" customWidth="1"/>
    <col min="5380" max="5381" width="13.7109375" style="11" customWidth="1"/>
    <col min="5382" max="5382" width="9.28515625" style="11" customWidth="1"/>
    <col min="5383" max="5383" width="16.140625" style="11" customWidth="1"/>
    <col min="5384" max="5385" width="13.7109375" style="11" customWidth="1"/>
    <col min="5386" max="5386" width="9.7109375" style="11" customWidth="1"/>
    <col min="5387" max="5387" width="14.85546875" style="11" customWidth="1"/>
    <col min="5388" max="5389" width="13.7109375" style="11" customWidth="1"/>
    <col min="5390" max="5390" width="9.42578125" style="11" customWidth="1"/>
    <col min="5391" max="5391" width="0.140625" style="11" customWidth="1"/>
    <col min="5392" max="5392" width="16.140625" style="11" customWidth="1"/>
    <col min="5393" max="5394" width="13.7109375" style="11" customWidth="1"/>
    <col min="5395" max="5632" width="9.140625" style="11"/>
    <col min="5633" max="5633" width="20.28515625" style="11" customWidth="1"/>
    <col min="5634" max="5634" width="9.140625" style="11" customWidth="1"/>
    <col min="5635" max="5635" width="14.85546875" style="11" customWidth="1"/>
    <col min="5636" max="5637" width="13.7109375" style="11" customWidth="1"/>
    <col min="5638" max="5638" width="9.28515625" style="11" customWidth="1"/>
    <col min="5639" max="5639" width="16.140625" style="11" customWidth="1"/>
    <col min="5640" max="5641" width="13.7109375" style="11" customWidth="1"/>
    <col min="5642" max="5642" width="9.7109375" style="11" customWidth="1"/>
    <col min="5643" max="5643" width="14.85546875" style="11" customWidth="1"/>
    <col min="5644" max="5645" width="13.7109375" style="11" customWidth="1"/>
    <col min="5646" max="5646" width="9.42578125" style="11" customWidth="1"/>
    <col min="5647" max="5647" width="0.140625" style="11" customWidth="1"/>
    <col min="5648" max="5648" width="16.140625" style="11" customWidth="1"/>
    <col min="5649" max="5650" width="13.7109375" style="11" customWidth="1"/>
    <col min="5651" max="5888" width="9.140625" style="11"/>
    <col min="5889" max="5889" width="20.28515625" style="11" customWidth="1"/>
    <col min="5890" max="5890" width="9.140625" style="11" customWidth="1"/>
    <col min="5891" max="5891" width="14.85546875" style="11" customWidth="1"/>
    <col min="5892" max="5893" width="13.7109375" style="11" customWidth="1"/>
    <col min="5894" max="5894" width="9.28515625" style="11" customWidth="1"/>
    <col min="5895" max="5895" width="16.140625" style="11" customWidth="1"/>
    <col min="5896" max="5897" width="13.7109375" style="11" customWidth="1"/>
    <col min="5898" max="5898" width="9.7109375" style="11" customWidth="1"/>
    <col min="5899" max="5899" width="14.85546875" style="11" customWidth="1"/>
    <col min="5900" max="5901" width="13.7109375" style="11" customWidth="1"/>
    <col min="5902" max="5902" width="9.42578125" style="11" customWidth="1"/>
    <col min="5903" max="5903" width="0.140625" style="11" customWidth="1"/>
    <col min="5904" max="5904" width="16.140625" style="11" customWidth="1"/>
    <col min="5905" max="5906" width="13.7109375" style="11" customWidth="1"/>
    <col min="5907" max="6144" width="9.140625" style="11"/>
    <col min="6145" max="6145" width="20.28515625" style="11" customWidth="1"/>
    <col min="6146" max="6146" width="9.140625" style="11" customWidth="1"/>
    <col min="6147" max="6147" width="14.85546875" style="11" customWidth="1"/>
    <col min="6148" max="6149" width="13.7109375" style="11" customWidth="1"/>
    <col min="6150" max="6150" width="9.28515625" style="11" customWidth="1"/>
    <col min="6151" max="6151" width="16.140625" style="11" customWidth="1"/>
    <col min="6152" max="6153" width="13.7109375" style="11" customWidth="1"/>
    <col min="6154" max="6154" width="9.7109375" style="11" customWidth="1"/>
    <col min="6155" max="6155" width="14.85546875" style="11" customWidth="1"/>
    <col min="6156" max="6157" width="13.7109375" style="11" customWidth="1"/>
    <col min="6158" max="6158" width="9.42578125" style="11" customWidth="1"/>
    <col min="6159" max="6159" width="0.140625" style="11" customWidth="1"/>
    <col min="6160" max="6160" width="16.140625" style="11" customWidth="1"/>
    <col min="6161" max="6162" width="13.7109375" style="11" customWidth="1"/>
    <col min="6163" max="6400" width="9.140625" style="11"/>
    <col min="6401" max="6401" width="20.28515625" style="11" customWidth="1"/>
    <col min="6402" max="6402" width="9.140625" style="11" customWidth="1"/>
    <col min="6403" max="6403" width="14.85546875" style="11" customWidth="1"/>
    <col min="6404" max="6405" width="13.7109375" style="11" customWidth="1"/>
    <col min="6406" max="6406" width="9.28515625" style="11" customWidth="1"/>
    <col min="6407" max="6407" width="16.140625" style="11" customWidth="1"/>
    <col min="6408" max="6409" width="13.7109375" style="11" customWidth="1"/>
    <col min="6410" max="6410" width="9.7109375" style="11" customWidth="1"/>
    <col min="6411" max="6411" width="14.85546875" style="11" customWidth="1"/>
    <col min="6412" max="6413" width="13.7109375" style="11" customWidth="1"/>
    <col min="6414" max="6414" width="9.42578125" style="11" customWidth="1"/>
    <col min="6415" max="6415" width="0.140625" style="11" customWidth="1"/>
    <col min="6416" max="6416" width="16.140625" style="11" customWidth="1"/>
    <col min="6417" max="6418" width="13.7109375" style="11" customWidth="1"/>
    <col min="6419" max="6656" width="9.140625" style="11"/>
    <col min="6657" max="6657" width="20.28515625" style="11" customWidth="1"/>
    <col min="6658" max="6658" width="9.140625" style="11" customWidth="1"/>
    <col min="6659" max="6659" width="14.85546875" style="11" customWidth="1"/>
    <col min="6660" max="6661" width="13.7109375" style="11" customWidth="1"/>
    <col min="6662" max="6662" width="9.28515625" style="11" customWidth="1"/>
    <col min="6663" max="6663" width="16.140625" style="11" customWidth="1"/>
    <col min="6664" max="6665" width="13.7109375" style="11" customWidth="1"/>
    <col min="6666" max="6666" width="9.7109375" style="11" customWidth="1"/>
    <col min="6667" max="6667" width="14.85546875" style="11" customWidth="1"/>
    <col min="6668" max="6669" width="13.7109375" style="11" customWidth="1"/>
    <col min="6670" max="6670" width="9.42578125" style="11" customWidth="1"/>
    <col min="6671" max="6671" width="0.140625" style="11" customWidth="1"/>
    <col min="6672" max="6672" width="16.140625" style="11" customWidth="1"/>
    <col min="6673" max="6674" width="13.7109375" style="11" customWidth="1"/>
    <col min="6675" max="6912" width="9.140625" style="11"/>
    <col min="6913" max="6913" width="20.28515625" style="11" customWidth="1"/>
    <col min="6914" max="6914" width="9.140625" style="11" customWidth="1"/>
    <col min="6915" max="6915" width="14.85546875" style="11" customWidth="1"/>
    <col min="6916" max="6917" width="13.7109375" style="11" customWidth="1"/>
    <col min="6918" max="6918" width="9.28515625" style="11" customWidth="1"/>
    <col min="6919" max="6919" width="16.140625" style="11" customWidth="1"/>
    <col min="6920" max="6921" width="13.7109375" style="11" customWidth="1"/>
    <col min="6922" max="6922" width="9.7109375" style="11" customWidth="1"/>
    <col min="6923" max="6923" width="14.85546875" style="11" customWidth="1"/>
    <col min="6924" max="6925" width="13.7109375" style="11" customWidth="1"/>
    <col min="6926" max="6926" width="9.42578125" style="11" customWidth="1"/>
    <col min="6927" max="6927" width="0.140625" style="11" customWidth="1"/>
    <col min="6928" max="6928" width="16.140625" style="11" customWidth="1"/>
    <col min="6929" max="6930" width="13.7109375" style="11" customWidth="1"/>
    <col min="6931" max="7168" width="9.140625" style="11"/>
    <col min="7169" max="7169" width="20.28515625" style="11" customWidth="1"/>
    <col min="7170" max="7170" width="9.140625" style="11" customWidth="1"/>
    <col min="7171" max="7171" width="14.85546875" style="11" customWidth="1"/>
    <col min="7172" max="7173" width="13.7109375" style="11" customWidth="1"/>
    <col min="7174" max="7174" width="9.28515625" style="11" customWidth="1"/>
    <col min="7175" max="7175" width="16.140625" style="11" customWidth="1"/>
    <col min="7176" max="7177" width="13.7109375" style="11" customWidth="1"/>
    <col min="7178" max="7178" width="9.7109375" style="11" customWidth="1"/>
    <col min="7179" max="7179" width="14.85546875" style="11" customWidth="1"/>
    <col min="7180" max="7181" width="13.7109375" style="11" customWidth="1"/>
    <col min="7182" max="7182" width="9.42578125" style="11" customWidth="1"/>
    <col min="7183" max="7183" width="0.140625" style="11" customWidth="1"/>
    <col min="7184" max="7184" width="16.140625" style="11" customWidth="1"/>
    <col min="7185" max="7186" width="13.7109375" style="11" customWidth="1"/>
    <col min="7187" max="7424" width="9.140625" style="11"/>
    <col min="7425" max="7425" width="20.28515625" style="11" customWidth="1"/>
    <col min="7426" max="7426" width="9.140625" style="11" customWidth="1"/>
    <col min="7427" max="7427" width="14.85546875" style="11" customWidth="1"/>
    <col min="7428" max="7429" width="13.7109375" style="11" customWidth="1"/>
    <col min="7430" max="7430" width="9.28515625" style="11" customWidth="1"/>
    <col min="7431" max="7431" width="16.140625" style="11" customWidth="1"/>
    <col min="7432" max="7433" width="13.7109375" style="11" customWidth="1"/>
    <col min="7434" max="7434" width="9.7109375" style="11" customWidth="1"/>
    <col min="7435" max="7435" width="14.85546875" style="11" customWidth="1"/>
    <col min="7436" max="7437" width="13.7109375" style="11" customWidth="1"/>
    <col min="7438" max="7438" width="9.42578125" style="11" customWidth="1"/>
    <col min="7439" max="7439" width="0.140625" style="11" customWidth="1"/>
    <col min="7440" max="7440" width="16.140625" style="11" customWidth="1"/>
    <col min="7441" max="7442" width="13.7109375" style="11" customWidth="1"/>
    <col min="7443" max="7680" width="9.140625" style="11"/>
    <col min="7681" max="7681" width="20.28515625" style="11" customWidth="1"/>
    <col min="7682" max="7682" width="9.140625" style="11" customWidth="1"/>
    <col min="7683" max="7683" width="14.85546875" style="11" customWidth="1"/>
    <col min="7684" max="7685" width="13.7109375" style="11" customWidth="1"/>
    <col min="7686" max="7686" width="9.28515625" style="11" customWidth="1"/>
    <col min="7687" max="7687" width="16.140625" style="11" customWidth="1"/>
    <col min="7688" max="7689" width="13.7109375" style="11" customWidth="1"/>
    <col min="7690" max="7690" width="9.7109375" style="11" customWidth="1"/>
    <col min="7691" max="7691" width="14.85546875" style="11" customWidth="1"/>
    <col min="7692" max="7693" width="13.7109375" style="11" customWidth="1"/>
    <col min="7694" max="7694" width="9.42578125" style="11" customWidth="1"/>
    <col min="7695" max="7695" width="0.140625" style="11" customWidth="1"/>
    <col min="7696" max="7696" width="16.140625" style="11" customWidth="1"/>
    <col min="7697" max="7698" width="13.7109375" style="11" customWidth="1"/>
    <col min="7699" max="7936" width="9.140625" style="11"/>
    <col min="7937" max="7937" width="20.28515625" style="11" customWidth="1"/>
    <col min="7938" max="7938" width="9.140625" style="11" customWidth="1"/>
    <col min="7939" max="7939" width="14.85546875" style="11" customWidth="1"/>
    <col min="7940" max="7941" width="13.7109375" style="11" customWidth="1"/>
    <col min="7942" max="7942" width="9.28515625" style="11" customWidth="1"/>
    <col min="7943" max="7943" width="16.140625" style="11" customWidth="1"/>
    <col min="7944" max="7945" width="13.7109375" style="11" customWidth="1"/>
    <col min="7946" max="7946" width="9.7109375" style="11" customWidth="1"/>
    <col min="7947" max="7947" width="14.85546875" style="11" customWidth="1"/>
    <col min="7948" max="7949" width="13.7109375" style="11" customWidth="1"/>
    <col min="7950" max="7950" width="9.42578125" style="11" customWidth="1"/>
    <col min="7951" max="7951" width="0.140625" style="11" customWidth="1"/>
    <col min="7952" max="7952" width="16.140625" style="11" customWidth="1"/>
    <col min="7953" max="7954" width="13.7109375" style="11" customWidth="1"/>
    <col min="7955" max="8192" width="9.140625" style="11"/>
    <col min="8193" max="8193" width="20.28515625" style="11" customWidth="1"/>
    <col min="8194" max="8194" width="9.140625" style="11" customWidth="1"/>
    <col min="8195" max="8195" width="14.85546875" style="11" customWidth="1"/>
    <col min="8196" max="8197" width="13.7109375" style="11" customWidth="1"/>
    <col min="8198" max="8198" width="9.28515625" style="11" customWidth="1"/>
    <col min="8199" max="8199" width="16.140625" style="11" customWidth="1"/>
    <col min="8200" max="8201" width="13.7109375" style="11" customWidth="1"/>
    <col min="8202" max="8202" width="9.7109375" style="11" customWidth="1"/>
    <col min="8203" max="8203" width="14.85546875" style="11" customWidth="1"/>
    <col min="8204" max="8205" width="13.7109375" style="11" customWidth="1"/>
    <col min="8206" max="8206" width="9.42578125" style="11" customWidth="1"/>
    <col min="8207" max="8207" width="0.140625" style="11" customWidth="1"/>
    <col min="8208" max="8208" width="16.140625" style="11" customWidth="1"/>
    <col min="8209" max="8210" width="13.7109375" style="11" customWidth="1"/>
    <col min="8211" max="8448" width="9.140625" style="11"/>
    <col min="8449" max="8449" width="20.28515625" style="11" customWidth="1"/>
    <col min="8450" max="8450" width="9.140625" style="11" customWidth="1"/>
    <col min="8451" max="8451" width="14.85546875" style="11" customWidth="1"/>
    <col min="8452" max="8453" width="13.7109375" style="11" customWidth="1"/>
    <col min="8454" max="8454" width="9.28515625" style="11" customWidth="1"/>
    <col min="8455" max="8455" width="16.140625" style="11" customWidth="1"/>
    <col min="8456" max="8457" width="13.7109375" style="11" customWidth="1"/>
    <col min="8458" max="8458" width="9.7109375" style="11" customWidth="1"/>
    <col min="8459" max="8459" width="14.85546875" style="11" customWidth="1"/>
    <col min="8460" max="8461" width="13.7109375" style="11" customWidth="1"/>
    <col min="8462" max="8462" width="9.42578125" style="11" customWidth="1"/>
    <col min="8463" max="8463" width="0.140625" style="11" customWidth="1"/>
    <col min="8464" max="8464" width="16.140625" style="11" customWidth="1"/>
    <col min="8465" max="8466" width="13.7109375" style="11" customWidth="1"/>
    <col min="8467" max="8704" width="9.140625" style="11"/>
    <col min="8705" max="8705" width="20.28515625" style="11" customWidth="1"/>
    <col min="8706" max="8706" width="9.140625" style="11" customWidth="1"/>
    <col min="8707" max="8707" width="14.85546875" style="11" customWidth="1"/>
    <col min="8708" max="8709" width="13.7109375" style="11" customWidth="1"/>
    <col min="8710" max="8710" width="9.28515625" style="11" customWidth="1"/>
    <col min="8711" max="8711" width="16.140625" style="11" customWidth="1"/>
    <col min="8712" max="8713" width="13.7109375" style="11" customWidth="1"/>
    <col min="8714" max="8714" width="9.7109375" style="11" customWidth="1"/>
    <col min="8715" max="8715" width="14.85546875" style="11" customWidth="1"/>
    <col min="8716" max="8717" width="13.7109375" style="11" customWidth="1"/>
    <col min="8718" max="8718" width="9.42578125" style="11" customWidth="1"/>
    <col min="8719" max="8719" width="0.140625" style="11" customWidth="1"/>
    <col min="8720" max="8720" width="16.140625" style="11" customWidth="1"/>
    <col min="8721" max="8722" width="13.7109375" style="11" customWidth="1"/>
    <col min="8723" max="8960" width="9.140625" style="11"/>
    <col min="8961" max="8961" width="20.28515625" style="11" customWidth="1"/>
    <col min="8962" max="8962" width="9.140625" style="11" customWidth="1"/>
    <col min="8963" max="8963" width="14.85546875" style="11" customWidth="1"/>
    <col min="8964" max="8965" width="13.7109375" style="11" customWidth="1"/>
    <col min="8966" max="8966" width="9.28515625" style="11" customWidth="1"/>
    <col min="8967" max="8967" width="16.140625" style="11" customWidth="1"/>
    <col min="8968" max="8969" width="13.7109375" style="11" customWidth="1"/>
    <col min="8970" max="8970" width="9.7109375" style="11" customWidth="1"/>
    <col min="8971" max="8971" width="14.85546875" style="11" customWidth="1"/>
    <col min="8972" max="8973" width="13.7109375" style="11" customWidth="1"/>
    <col min="8974" max="8974" width="9.42578125" style="11" customWidth="1"/>
    <col min="8975" max="8975" width="0.140625" style="11" customWidth="1"/>
    <col min="8976" max="8976" width="16.140625" style="11" customWidth="1"/>
    <col min="8977" max="8978" width="13.7109375" style="11" customWidth="1"/>
    <col min="8979" max="9216" width="9.140625" style="11"/>
    <col min="9217" max="9217" width="20.28515625" style="11" customWidth="1"/>
    <col min="9218" max="9218" width="9.140625" style="11" customWidth="1"/>
    <col min="9219" max="9219" width="14.85546875" style="11" customWidth="1"/>
    <col min="9220" max="9221" width="13.7109375" style="11" customWidth="1"/>
    <col min="9222" max="9222" width="9.28515625" style="11" customWidth="1"/>
    <col min="9223" max="9223" width="16.140625" style="11" customWidth="1"/>
    <col min="9224" max="9225" width="13.7109375" style="11" customWidth="1"/>
    <col min="9226" max="9226" width="9.7109375" style="11" customWidth="1"/>
    <col min="9227" max="9227" width="14.85546875" style="11" customWidth="1"/>
    <col min="9228" max="9229" width="13.7109375" style="11" customWidth="1"/>
    <col min="9230" max="9230" width="9.42578125" style="11" customWidth="1"/>
    <col min="9231" max="9231" width="0.140625" style="11" customWidth="1"/>
    <col min="9232" max="9232" width="16.140625" style="11" customWidth="1"/>
    <col min="9233" max="9234" width="13.7109375" style="11" customWidth="1"/>
    <col min="9235" max="9472" width="9.140625" style="11"/>
    <col min="9473" max="9473" width="20.28515625" style="11" customWidth="1"/>
    <col min="9474" max="9474" width="9.140625" style="11" customWidth="1"/>
    <col min="9475" max="9475" width="14.85546875" style="11" customWidth="1"/>
    <col min="9476" max="9477" width="13.7109375" style="11" customWidth="1"/>
    <col min="9478" max="9478" width="9.28515625" style="11" customWidth="1"/>
    <col min="9479" max="9479" width="16.140625" style="11" customWidth="1"/>
    <col min="9480" max="9481" width="13.7109375" style="11" customWidth="1"/>
    <col min="9482" max="9482" width="9.7109375" style="11" customWidth="1"/>
    <col min="9483" max="9483" width="14.85546875" style="11" customWidth="1"/>
    <col min="9484" max="9485" width="13.7109375" style="11" customWidth="1"/>
    <col min="9486" max="9486" width="9.42578125" style="11" customWidth="1"/>
    <col min="9487" max="9487" width="0.140625" style="11" customWidth="1"/>
    <col min="9488" max="9488" width="16.140625" style="11" customWidth="1"/>
    <col min="9489" max="9490" width="13.7109375" style="11" customWidth="1"/>
    <col min="9491" max="9728" width="9.140625" style="11"/>
    <col min="9729" max="9729" width="20.28515625" style="11" customWidth="1"/>
    <col min="9730" max="9730" width="9.140625" style="11" customWidth="1"/>
    <col min="9731" max="9731" width="14.85546875" style="11" customWidth="1"/>
    <col min="9732" max="9733" width="13.7109375" style="11" customWidth="1"/>
    <col min="9734" max="9734" width="9.28515625" style="11" customWidth="1"/>
    <col min="9735" max="9735" width="16.140625" style="11" customWidth="1"/>
    <col min="9736" max="9737" width="13.7109375" style="11" customWidth="1"/>
    <col min="9738" max="9738" width="9.7109375" style="11" customWidth="1"/>
    <col min="9739" max="9739" width="14.85546875" style="11" customWidth="1"/>
    <col min="9740" max="9741" width="13.7109375" style="11" customWidth="1"/>
    <col min="9742" max="9742" width="9.42578125" style="11" customWidth="1"/>
    <col min="9743" max="9743" width="0.140625" style="11" customWidth="1"/>
    <col min="9744" max="9744" width="16.140625" style="11" customWidth="1"/>
    <col min="9745" max="9746" width="13.7109375" style="11" customWidth="1"/>
    <col min="9747" max="9984" width="9.140625" style="11"/>
    <col min="9985" max="9985" width="20.28515625" style="11" customWidth="1"/>
    <col min="9986" max="9986" width="9.140625" style="11" customWidth="1"/>
    <col min="9987" max="9987" width="14.85546875" style="11" customWidth="1"/>
    <col min="9988" max="9989" width="13.7109375" style="11" customWidth="1"/>
    <col min="9990" max="9990" width="9.28515625" style="11" customWidth="1"/>
    <col min="9991" max="9991" width="16.140625" style="11" customWidth="1"/>
    <col min="9992" max="9993" width="13.7109375" style="11" customWidth="1"/>
    <col min="9994" max="9994" width="9.7109375" style="11" customWidth="1"/>
    <col min="9995" max="9995" width="14.85546875" style="11" customWidth="1"/>
    <col min="9996" max="9997" width="13.7109375" style="11" customWidth="1"/>
    <col min="9998" max="9998" width="9.42578125" style="11" customWidth="1"/>
    <col min="9999" max="9999" width="0.140625" style="11" customWidth="1"/>
    <col min="10000" max="10000" width="16.140625" style="11" customWidth="1"/>
    <col min="10001" max="10002" width="13.7109375" style="11" customWidth="1"/>
    <col min="10003" max="10240" width="9.140625" style="11"/>
    <col min="10241" max="10241" width="20.28515625" style="11" customWidth="1"/>
    <col min="10242" max="10242" width="9.140625" style="11" customWidth="1"/>
    <col min="10243" max="10243" width="14.85546875" style="11" customWidth="1"/>
    <col min="10244" max="10245" width="13.7109375" style="11" customWidth="1"/>
    <col min="10246" max="10246" width="9.28515625" style="11" customWidth="1"/>
    <col min="10247" max="10247" width="16.140625" style="11" customWidth="1"/>
    <col min="10248" max="10249" width="13.7109375" style="11" customWidth="1"/>
    <col min="10250" max="10250" width="9.7109375" style="11" customWidth="1"/>
    <col min="10251" max="10251" width="14.85546875" style="11" customWidth="1"/>
    <col min="10252" max="10253" width="13.7109375" style="11" customWidth="1"/>
    <col min="10254" max="10254" width="9.42578125" style="11" customWidth="1"/>
    <col min="10255" max="10255" width="0.140625" style="11" customWidth="1"/>
    <col min="10256" max="10256" width="16.140625" style="11" customWidth="1"/>
    <col min="10257" max="10258" width="13.7109375" style="11" customWidth="1"/>
    <col min="10259" max="10496" width="9.140625" style="11"/>
    <col min="10497" max="10497" width="20.28515625" style="11" customWidth="1"/>
    <col min="10498" max="10498" width="9.140625" style="11" customWidth="1"/>
    <col min="10499" max="10499" width="14.85546875" style="11" customWidth="1"/>
    <col min="10500" max="10501" width="13.7109375" style="11" customWidth="1"/>
    <col min="10502" max="10502" width="9.28515625" style="11" customWidth="1"/>
    <col min="10503" max="10503" width="16.140625" style="11" customWidth="1"/>
    <col min="10504" max="10505" width="13.7109375" style="11" customWidth="1"/>
    <col min="10506" max="10506" width="9.7109375" style="11" customWidth="1"/>
    <col min="10507" max="10507" width="14.85546875" style="11" customWidth="1"/>
    <col min="10508" max="10509" width="13.7109375" style="11" customWidth="1"/>
    <col min="10510" max="10510" width="9.42578125" style="11" customWidth="1"/>
    <col min="10511" max="10511" width="0.140625" style="11" customWidth="1"/>
    <col min="10512" max="10512" width="16.140625" style="11" customWidth="1"/>
    <col min="10513" max="10514" width="13.7109375" style="11" customWidth="1"/>
    <col min="10515" max="10752" width="9.140625" style="11"/>
    <col min="10753" max="10753" width="20.28515625" style="11" customWidth="1"/>
    <col min="10754" max="10754" width="9.140625" style="11" customWidth="1"/>
    <col min="10755" max="10755" width="14.85546875" style="11" customWidth="1"/>
    <col min="10756" max="10757" width="13.7109375" style="11" customWidth="1"/>
    <col min="10758" max="10758" width="9.28515625" style="11" customWidth="1"/>
    <col min="10759" max="10759" width="16.140625" style="11" customWidth="1"/>
    <col min="10760" max="10761" width="13.7109375" style="11" customWidth="1"/>
    <col min="10762" max="10762" width="9.7109375" style="11" customWidth="1"/>
    <col min="10763" max="10763" width="14.85546875" style="11" customWidth="1"/>
    <col min="10764" max="10765" width="13.7109375" style="11" customWidth="1"/>
    <col min="10766" max="10766" width="9.42578125" style="11" customWidth="1"/>
    <col min="10767" max="10767" width="0.140625" style="11" customWidth="1"/>
    <col min="10768" max="10768" width="16.140625" style="11" customWidth="1"/>
    <col min="10769" max="10770" width="13.7109375" style="11" customWidth="1"/>
    <col min="10771" max="11008" width="9.140625" style="11"/>
    <col min="11009" max="11009" width="20.28515625" style="11" customWidth="1"/>
    <col min="11010" max="11010" width="9.140625" style="11" customWidth="1"/>
    <col min="11011" max="11011" width="14.85546875" style="11" customWidth="1"/>
    <col min="11012" max="11013" width="13.7109375" style="11" customWidth="1"/>
    <col min="11014" max="11014" width="9.28515625" style="11" customWidth="1"/>
    <col min="11015" max="11015" width="16.140625" style="11" customWidth="1"/>
    <col min="11016" max="11017" width="13.7109375" style="11" customWidth="1"/>
    <col min="11018" max="11018" width="9.7109375" style="11" customWidth="1"/>
    <col min="11019" max="11019" width="14.85546875" style="11" customWidth="1"/>
    <col min="11020" max="11021" width="13.7109375" style="11" customWidth="1"/>
    <col min="11022" max="11022" width="9.42578125" style="11" customWidth="1"/>
    <col min="11023" max="11023" width="0.140625" style="11" customWidth="1"/>
    <col min="11024" max="11024" width="16.140625" style="11" customWidth="1"/>
    <col min="11025" max="11026" width="13.7109375" style="11" customWidth="1"/>
    <col min="11027" max="11264" width="9.140625" style="11"/>
    <col min="11265" max="11265" width="20.28515625" style="11" customWidth="1"/>
    <col min="11266" max="11266" width="9.140625" style="11" customWidth="1"/>
    <col min="11267" max="11267" width="14.85546875" style="11" customWidth="1"/>
    <col min="11268" max="11269" width="13.7109375" style="11" customWidth="1"/>
    <col min="11270" max="11270" width="9.28515625" style="11" customWidth="1"/>
    <col min="11271" max="11271" width="16.140625" style="11" customWidth="1"/>
    <col min="11272" max="11273" width="13.7109375" style="11" customWidth="1"/>
    <col min="11274" max="11274" width="9.7109375" style="11" customWidth="1"/>
    <col min="11275" max="11275" width="14.85546875" style="11" customWidth="1"/>
    <col min="11276" max="11277" width="13.7109375" style="11" customWidth="1"/>
    <col min="11278" max="11278" width="9.42578125" style="11" customWidth="1"/>
    <col min="11279" max="11279" width="0.140625" style="11" customWidth="1"/>
    <col min="11280" max="11280" width="16.140625" style="11" customWidth="1"/>
    <col min="11281" max="11282" width="13.7109375" style="11" customWidth="1"/>
    <col min="11283" max="11520" width="9.140625" style="11"/>
    <col min="11521" max="11521" width="20.28515625" style="11" customWidth="1"/>
    <col min="11522" max="11522" width="9.140625" style="11" customWidth="1"/>
    <col min="11523" max="11523" width="14.85546875" style="11" customWidth="1"/>
    <col min="11524" max="11525" width="13.7109375" style="11" customWidth="1"/>
    <col min="11526" max="11526" width="9.28515625" style="11" customWidth="1"/>
    <col min="11527" max="11527" width="16.140625" style="11" customWidth="1"/>
    <col min="11528" max="11529" width="13.7109375" style="11" customWidth="1"/>
    <col min="11530" max="11530" width="9.7109375" style="11" customWidth="1"/>
    <col min="11531" max="11531" width="14.85546875" style="11" customWidth="1"/>
    <col min="11532" max="11533" width="13.7109375" style="11" customWidth="1"/>
    <col min="11534" max="11534" width="9.42578125" style="11" customWidth="1"/>
    <col min="11535" max="11535" width="0.140625" style="11" customWidth="1"/>
    <col min="11536" max="11536" width="16.140625" style="11" customWidth="1"/>
    <col min="11537" max="11538" width="13.7109375" style="11" customWidth="1"/>
    <col min="11539" max="11776" width="9.140625" style="11"/>
    <col min="11777" max="11777" width="20.28515625" style="11" customWidth="1"/>
    <col min="11778" max="11778" width="9.140625" style="11" customWidth="1"/>
    <col min="11779" max="11779" width="14.85546875" style="11" customWidth="1"/>
    <col min="11780" max="11781" width="13.7109375" style="11" customWidth="1"/>
    <col min="11782" max="11782" width="9.28515625" style="11" customWidth="1"/>
    <col min="11783" max="11783" width="16.140625" style="11" customWidth="1"/>
    <col min="11784" max="11785" width="13.7109375" style="11" customWidth="1"/>
    <col min="11786" max="11786" width="9.7109375" style="11" customWidth="1"/>
    <col min="11787" max="11787" width="14.85546875" style="11" customWidth="1"/>
    <col min="11788" max="11789" width="13.7109375" style="11" customWidth="1"/>
    <col min="11790" max="11790" width="9.42578125" style="11" customWidth="1"/>
    <col min="11791" max="11791" width="0.140625" style="11" customWidth="1"/>
    <col min="11792" max="11792" width="16.140625" style="11" customWidth="1"/>
    <col min="11793" max="11794" width="13.7109375" style="11" customWidth="1"/>
    <col min="11795" max="12032" width="9.140625" style="11"/>
    <col min="12033" max="12033" width="20.28515625" style="11" customWidth="1"/>
    <col min="12034" max="12034" width="9.140625" style="11" customWidth="1"/>
    <col min="12035" max="12035" width="14.85546875" style="11" customWidth="1"/>
    <col min="12036" max="12037" width="13.7109375" style="11" customWidth="1"/>
    <col min="12038" max="12038" width="9.28515625" style="11" customWidth="1"/>
    <col min="12039" max="12039" width="16.140625" style="11" customWidth="1"/>
    <col min="12040" max="12041" width="13.7109375" style="11" customWidth="1"/>
    <col min="12042" max="12042" width="9.7109375" style="11" customWidth="1"/>
    <col min="12043" max="12043" width="14.85546875" style="11" customWidth="1"/>
    <col min="12044" max="12045" width="13.7109375" style="11" customWidth="1"/>
    <col min="12046" max="12046" width="9.42578125" style="11" customWidth="1"/>
    <col min="12047" max="12047" width="0.140625" style="11" customWidth="1"/>
    <col min="12048" max="12048" width="16.140625" style="11" customWidth="1"/>
    <col min="12049" max="12050" width="13.7109375" style="11" customWidth="1"/>
    <col min="12051" max="12288" width="9.140625" style="11"/>
    <col min="12289" max="12289" width="20.28515625" style="11" customWidth="1"/>
    <col min="12290" max="12290" width="9.140625" style="11" customWidth="1"/>
    <col min="12291" max="12291" width="14.85546875" style="11" customWidth="1"/>
    <col min="12292" max="12293" width="13.7109375" style="11" customWidth="1"/>
    <col min="12294" max="12294" width="9.28515625" style="11" customWidth="1"/>
    <col min="12295" max="12295" width="16.140625" style="11" customWidth="1"/>
    <col min="12296" max="12297" width="13.7109375" style="11" customWidth="1"/>
    <col min="12298" max="12298" width="9.7109375" style="11" customWidth="1"/>
    <col min="12299" max="12299" width="14.85546875" style="11" customWidth="1"/>
    <col min="12300" max="12301" width="13.7109375" style="11" customWidth="1"/>
    <col min="12302" max="12302" width="9.42578125" style="11" customWidth="1"/>
    <col min="12303" max="12303" width="0.140625" style="11" customWidth="1"/>
    <col min="12304" max="12304" width="16.140625" style="11" customWidth="1"/>
    <col min="12305" max="12306" width="13.7109375" style="11" customWidth="1"/>
    <col min="12307" max="12544" width="9.140625" style="11"/>
    <col min="12545" max="12545" width="20.28515625" style="11" customWidth="1"/>
    <col min="12546" max="12546" width="9.140625" style="11" customWidth="1"/>
    <col min="12547" max="12547" width="14.85546875" style="11" customWidth="1"/>
    <col min="12548" max="12549" width="13.7109375" style="11" customWidth="1"/>
    <col min="12550" max="12550" width="9.28515625" style="11" customWidth="1"/>
    <col min="12551" max="12551" width="16.140625" style="11" customWidth="1"/>
    <col min="12552" max="12553" width="13.7109375" style="11" customWidth="1"/>
    <col min="12554" max="12554" width="9.7109375" style="11" customWidth="1"/>
    <col min="12555" max="12555" width="14.85546875" style="11" customWidth="1"/>
    <col min="12556" max="12557" width="13.7109375" style="11" customWidth="1"/>
    <col min="12558" max="12558" width="9.42578125" style="11" customWidth="1"/>
    <col min="12559" max="12559" width="0.140625" style="11" customWidth="1"/>
    <col min="12560" max="12560" width="16.140625" style="11" customWidth="1"/>
    <col min="12561" max="12562" width="13.7109375" style="11" customWidth="1"/>
    <col min="12563" max="12800" width="9.140625" style="11"/>
    <col min="12801" max="12801" width="20.28515625" style="11" customWidth="1"/>
    <col min="12802" max="12802" width="9.140625" style="11" customWidth="1"/>
    <col min="12803" max="12803" width="14.85546875" style="11" customWidth="1"/>
    <col min="12804" max="12805" width="13.7109375" style="11" customWidth="1"/>
    <col min="12806" max="12806" width="9.28515625" style="11" customWidth="1"/>
    <col min="12807" max="12807" width="16.140625" style="11" customWidth="1"/>
    <col min="12808" max="12809" width="13.7109375" style="11" customWidth="1"/>
    <col min="12810" max="12810" width="9.7109375" style="11" customWidth="1"/>
    <col min="12811" max="12811" width="14.85546875" style="11" customWidth="1"/>
    <col min="12812" max="12813" width="13.7109375" style="11" customWidth="1"/>
    <col min="12814" max="12814" width="9.42578125" style="11" customWidth="1"/>
    <col min="12815" max="12815" width="0.140625" style="11" customWidth="1"/>
    <col min="12816" max="12816" width="16.140625" style="11" customWidth="1"/>
    <col min="12817" max="12818" width="13.7109375" style="11" customWidth="1"/>
    <col min="12819" max="13056" width="9.140625" style="11"/>
    <col min="13057" max="13057" width="20.28515625" style="11" customWidth="1"/>
    <col min="13058" max="13058" width="9.140625" style="11" customWidth="1"/>
    <col min="13059" max="13059" width="14.85546875" style="11" customWidth="1"/>
    <col min="13060" max="13061" width="13.7109375" style="11" customWidth="1"/>
    <col min="13062" max="13062" width="9.28515625" style="11" customWidth="1"/>
    <col min="13063" max="13063" width="16.140625" style="11" customWidth="1"/>
    <col min="13064" max="13065" width="13.7109375" style="11" customWidth="1"/>
    <col min="13066" max="13066" width="9.7109375" style="11" customWidth="1"/>
    <col min="13067" max="13067" width="14.85546875" style="11" customWidth="1"/>
    <col min="13068" max="13069" width="13.7109375" style="11" customWidth="1"/>
    <col min="13070" max="13070" width="9.42578125" style="11" customWidth="1"/>
    <col min="13071" max="13071" width="0.140625" style="11" customWidth="1"/>
    <col min="13072" max="13072" width="16.140625" style="11" customWidth="1"/>
    <col min="13073" max="13074" width="13.7109375" style="11" customWidth="1"/>
    <col min="13075" max="13312" width="9.140625" style="11"/>
    <col min="13313" max="13313" width="20.28515625" style="11" customWidth="1"/>
    <col min="13314" max="13314" width="9.140625" style="11" customWidth="1"/>
    <col min="13315" max="13315" width="14.85546875" style="11" customWidth="1"/>
    <col min="13316" max="13317" width="13.7109375" style="11" customWidth="1"/>
    <col min="13318" max="13318" width="9.28515625" style="11" customWidth="1"/>
    <col min="13319" max="13319" width="16.140625" style="11" customWidth="1"/>
    <col min="13320" max="13321" width="13.7109375" style="11" customWidth="1"/>
    <col min="13322" max="13322" width="9.7109375" style="11" customWidth="1"/>
    <col min="13323" max="13323" width="14.85546875" style="11" customWidth="1"/>
    <col min="13324" max="13325" width="13.7109375" style="11" customWidth="1"/>
    <col min="13326" max="13326" width="9.42578125" style="11" customWidth="1"/>
    <col min="13327" max="13327" width="0.140625" style="11" customWidth="1"/>
    <col min="13328" max="13328" width="16.140625" style="11" customWidth="1"/>
    <col min="13329" max="13330" width="13.7109375" style="11" customWidth="1"/>
    <col min="13331" max="13568" width="9.140625" style="11"/>
    <col min="13569" max="13569" width="20.28515625" style="11" customWidth="1"/>
    <col min="13570" max="13570" width="9.140625" style="11" customWidth="1"/>
    <col min="13571" max="13571" width="14.85546875" style="11" customWidth="1"/>
    <col min="13572" max="13573" width="13.7109375" style="11" customWidth="1"/>
    <col min="13574" max="13574" width="9.28515625" style="11" customWidth="1"/>
    <col min="13575" max="13575" width="16.140625" style="11" customWidth="1"/>
    <col min="13576" max="13577" width="13.7109375" style="11" customWidth="1"/>
    <col min="13578" max="13578" width="9.7109375" style="11" customWidth="1"/>
    <col min="13579" max="13579" width="14.85546875" style="11" customWidth="1"/>
    <col min="13580" max="13581" width="13.7109375" style="11" customWidth="1"/>
    <col min="13582" max="13582" width="9.42578125" style="11" customWidth="1"/>
    <col min="13583" max="13583" width="0.140625" style="11" customWidth="1"/>
    <col min="13584" max="13584" width="16.140625" style="11" customWidth="1"/>
    <col min="13585" max="13586" width="13.7109375" style="11" customWidth="1"/>
    <col min="13587" max="13824" width="9.140625" style="11"/>
    <col min="13825" max="13825" width="20.28515625" style="11" customWidth="1"/>
    <col min="13826" max="13826" width="9.140625" style="11" customWidth="1"/>
    <col min="13827" max="13827" width="14.85546875" style="11" customWidth="1"/>
    <col min="13828" max="13829" width="13.7109375" style="11" customWidth="1"/>
    <col min="13830" max="13830" width="9.28515625" style="11" customWidth="1"/>
    <col min="13831" max="13831" width="16.140625" style="11" customWidth="1"/>
    <col min="13832" max="13833" width="13.7109375" style="11" customWidth="1"/>
    <col min="13834" max="13834" width="9.7109375" style="11" customWidth="1"/>
    <col min="13835" max="13835" width="14.85546875" style="11" customWidth="1"/>
    <col min="13836" max="13837" width="13.7109375" style="11" customWidth="1"/>
    <col min="13838" max="13838" width="9.42578125" style="11" customWidth="1"/>
    <col min="13839" max="13839" width="0.140625" style="11" customWidth="1"/>
    <col min="13840" max="13840" width="16.140625" style="11" customWidth="1"/>
    <col min="13841" max="13842" width="13.7109375" style="11" customWidth="1"/>
    <col min="13843" max="14080" width="9.140625" style="11"/>
    <col min="14081" max="14081" width="20.28515625" style="11" customWidth="1"/>
    <col min="14082" max="14082" width="9.140625" style="11" customWidth="1"/>
    <col min="14083" max="14083" width="14.85546875" style="11" customWidth="1"/>
    <col min="14084" max="14085" width="13.7109375" style="11" customWidth="1"/>
    <col min="14086" max="14086" width="9.28515625" style="11" customWidth="1"/>
    <col min="14087" max="14087" width="16.140625" style="11" customWidth="1"/>
    <col min="14088" max="14089" width="13.7109375" style="11" customWidth="1"/>
    <col min="14090" max="14090" width="9.7109375" style="11" customWidth="1"/>
    <col min="14091" max="14091" width="14.85546875" style="11" customWidth="1"/>
    <col min="14092" max="14093" width="13.7109375" style="11" customWidth="1"/>
    <col min="14094" max="14094" width="9.42578125" style="11" customWidth="1"/>
    <col min="14095" max="14095" width="0.140625" style="11" customWidth="1"/>
    <col min="14096" max="14096" width="16.140625" style="11" customWidth="1"/>
    <col min="14097" max="14098" width="13.7109375" style="11" customWidth="1"/>
    <col min="14099" max="14336" width="9.140625" style="11"/>
    <col min="14337" max="14337" width="20.28515625" style="11" customWidth="1"/>
    <col min="14338" max="14338" width="9.140625" style="11" customWidth="1"/>
    <col min="14339" max="14339" width="14.85546875" style="11" customWidth="1"/>
    <col min="14340" max="14341" width="13.7109375" style="11" customWidth="1"/>
    <col min="14342" max="14342" width="9.28515625" style="11" customWidth="1"/>
    <col min="14343" max="14343" width="16.140625" style="11" customWidth="1"/>
    <col min="14344" max="14345" width="13.7109375" style="11" customWidth="1"/>
    <col min="14346" max="14346" width="9.7109375" style="11" customWidth="1"/>
    <col min="14347" max="14347" width="14.85546875" style="11" customWidth="1"/>
    <col min="14348" max="14349" width="13.7109375" style="11" customWidth="1"/>
    <col min="14350" max="14350" width="9.42578125" style="11" customWidth="1"/>
    <col min="14351" max="14351" width="0.140625" style="11" customWidth="1"/>
    <col min="14352" max="14352" width="16.140625" style="11" customWidth="1"/>
    <col min="14353" max="14354" width="13.7109375" style="11" customWidth="1"/>
    <col min="14355" max="14592" width="9.140625" style="11"/>
    <col min="14593" max="14593" width="20.28515625" style="11" customWidth="1"/>
    <col min="14594" max="14594" width="9.140625" style="11" customWidth="1"/>
    <col min="14595" max="14595" width="14.85546875" style="11" customWidth="1"/>
    <col min="14596" max="14597" width="13.7109375" style="11" customWidth="1"/>
    <col min="14598" max="14598" width="9.28515625" style="11" customWidth="1"/>
    <col min="14599" max="14599" width="16.140625" style="11" customWidth="1"/>
    <col min="14600" max="14601" width="13.7109375" style="11" customWidth="1"/>
    <col min="14602" max="14602" width="9.7109375" style="11" customWidth="1"/>
    <col min="14603" max="14603" width="14.85546875" style="11" customWidth="1"/>
    <col min="14604" max="14605" width="13.7109375" style="11" customWidth="1"/>
    <col min="14606" max="14606" width="9.42578125" style="11" customWidth="1"/>
    <col min="14607" max="14607" width="0.140625" style="11" customWidth="1"/>
    <col min="14608" max="14608" width="16.140625" style="11" customWidth="1"/>
    <col min="14609" max="14610" width="13.7109375" style="11" customWidth="1"/>
    <col min="14611" max="14848" width="9.140625" style="11"/>
    <col min="14849" max="14849" width="20.28515625" style="11" customWidth="1"/>
    <col min="14850" max="14850" width="9.140625" style="11" customWidth="1"/>
    <col min="14851" max="14851" width="14.85546875" style="11" customWidth="1"/>
    <col min="14852" max="14853" width="13.7109375" style="11" customWidth="1"/>
    <col min="14854" max="14854" width="9.28515625" style="11" customWidth="1"/>
    <col min="14855" max="14855" width="16.140625" style="11" customWidth="1"/>
    <col min="14856" max="14857" width="13.7109375" style="11" customWidth="1"/>
    <col min="14858" max="14858" width="9.7109375" style="11" customWidth="1"/>
    <col min="14859" max="14859" width="14.85546875" style="11" customWidth="1"/>
    <col min="14860" max="14861" width="13.7109375" style="11" customWidth="1"/>
    <col min="14862" max="14862" width="9.42578125" style="11" customWidth="1"/>
    <col min="14863" max="14863" width="0.140625" style="11" customWidth="1"/>
    <col min="14864" max="14864" width="16.140625" style="11" customWidth="1"/>
    <col min="14865" max="14866" width="13.7109375" style="11" customWidth="1"/>
    <col min="14867" max="15104" width="9.140625" style="11"/>
    <col min="15105" max="15105" width="20.28515625" style="11" customWidth="1"/>
    <col min="15106" max="15106" width="9.140625" style="11" customWidth="1"/>
    <col min="15107" max="15107" width="14.85546875" style="11" customWidth="1"/>
    <col min="15108" max="15109" width="13.7109375" style="11" customWidth="1"/>
    <col min="15110" max="15110" width="9.28515625" style="11" customWidth="1"/>
    <col min="15111" max="15111" width="16.140625" style="11" customWidth="1"/>
    <col min="15112" max="15113" width="13.7109375" style="11" customWidth="1"/>
    <col min="15114" max="15114" width="9.7109375" style="11" customWidth="1"/>
    <col min="15115" max="15115" width="14.85546875" style="11" customWidth="1"/>
    <col min="15116" max="15117" width="13.7109375" style="11" customWidth="1"/>
    <col min="15118" max="15118" width="9.42578125" style="11" customWidth="1"/>
    <col min="15119" max="15119" width="0.140625" style="11" customWidth="1"/>
    <col min="15120" max="15120" width="16.140625" style="11" customWidth="1"/>
    <col min="15121" max="15122" width="13.7109375" style="11" customWidth="1"/>
    <col min="15123" max="15360" width="9.140625" style="11"/>
    <col min="15361" max="15361" width="20.28515625" style="11" customWidth="1"/>
    <col min="15362" max="15362" width="9.140625" style="11" customWidth="1"/>
    <col min="15363" max="15363" width="14.85546875" style="11" customWidth="1"/>
    <col min="15364" max="15365" width="13.7109375" style="11" customWidth="1"/>
    <col min="15366" max="15366" width="9.28515625" style="11" customWidth="1"/>
    <col min="15367" max="15367" width="16.140625" style="11" customWidth="1"/>
    <col min="15368" max="15369" width="13.7109375" style="11" customWidth="1"/>
    <col min="15370" max="15370" width="9.7109375" style="11" customWidth="1"/>
    <col min="15371" max="15371" width="14.85546875" style="11" customWidth="1"/>
    <col min="15372" max="15373" width="13.7109375" style="11" customWidth="1"/>
    <col min="15374" max="15374" width="9.42578125" style="11" customWidth="1"/>
    <col min="15375" max="15375" width="0.140625" style="11" customWidth="1"/>
    <col min="15376" max="15376" width="16.140625" style="11" customWidth="1"/>
    <col min="15377" max="15378" width="13.7109375" style="11" customWidth="1"/>
    <col min="15379" max="15616" width="9.140625" style="11"/>
    <col min="15617" max="15617" width="20.28515625" style="11" customWidth="1"/>
    <col min="15618" max="15618" width="9.140625" style="11" customWidth="1"/>
    <col min="15619" max="15619" width="14.85546875" style="11" customWidth="1"/>
    <col min="15620" max="15621" width="13.7109375" style="11" customWidth="1"/>
    <col min="15622" max="15622" width="9.28515625" style="11" customWidth="1"/>
    <col min="15623" max="15623" width="16.140625" style="11" customWidth="1"/>
    <col min="15624" max="15625" width="13.7109375" style="11" customWidth="1"/>
    <col min="15626" max="15626" width="9.7109375" style="11" customWidth="1"/>
    <col min="15627" max="15627" width="14.85546875" style="11" customWidth="1"/>
    <col min="15628" max="15629" width="13.7109375" style="11" customWidth="1"/>
    <col min="15630" max="15630" width="9.42578125" style="11" customWidth="1"/>
    <col min="15631" max="15631" width="0.140625" style="11" customWidth="1"/>
    <col min="15632" max="15632" width="16.140625" style="11" customWidth="1"/>
    <col min="15633" max="15634" width="13.7109375" style="11" customWidth="1"/>
    <col min="15635" max="15872" width="9.140625" style="11"/>
    <col min="15873" max="15873" width="20.28515625" style="11" customWidth="1"/>
    <col min="15874" max="15874" width="9.140625" style="11" customWidth="1"/>
    <col min="15875" max="15875" width="14.85546875" style="11" customWidth="1"/>
    <col min="15876" max="15877" width="13.7109375" style="11" customWidth="1"/>
    <col min="15878" max="15878" width="9.28515625" style="11" customWidth="1"/>
    <col min="15879" max="15879" width="16.140625" style="11" customWidth="1"/>
    <col min="15880" max="15881" width="13.7109375" style="11" customWidth="1"/>
    <col min="15882" max="15882" width="9.7109375" style="11" customWidth="1"/>
    <col min="15883" max="15883" width="14.85546875" style="11" customWidth="1"/>
    <col min="15884" max="15885" width="13.7109375" style="11" customWidth="1"/>
    <col min="15886" max="15886" width="9.42578125" style="11" customWidth="1"/>
    <col min="15887" max="15887" width="0.140625" style="11" customWidth="1"/>
    <col min="15888" max="15888" width="16.140625" style="11" customWidth="1"/>
    <col min="15889" max="15890" width="13.7109375" style="11" customWidth="1"/>
    <col min="15891" max="16128" width="9.140625" style="11"/>
    <col min="16129" max="16129" width="20.28515625" style="11" customWidth="1"/>
    <col min="16130" max="16130" width="9.140625" style="11" customWidth="1"/>
    <col min="16131" max="16131" width="14.85546875" style="11" customWidth="1"/>
    <col min="16132" max="16133" width="13.7109375" style="11" customWidth="1"/>
    <col min="16134" max="16134" width="9.28515625" style="11" customWidth="1"/>
    <col min="16135" max="16135" width="16.140625" style="11" customWidth="1"/>
    <col min="16136" max="16137" width="13.7109375" style="11" customWidth="1"/>
    <col min="16138" max="16138" width="9.7109375" style="11" customWidth="1"/>
    <col min="16139" max="16139" width="14.85546875" style="11" customWidth="1"/>
    <col min="16140" max="16141" width="13.7109375" style="11" customWidth="1"/>
    <col min="16142" max="16142" width="9.42578125" style="11" customWidth="1"/>
    <col min="16143" max="16143" width="0.140625" style="11" customWidth="1"/>
    <col min="16144" max="16144" width="16.140625" style="11" customWidth="1"/>
    <col min="16145" max="16146" width="13.7109375" style="11" customWidth="1"/>
    <col min="16147" max="16384" width="9.140625" style="11"/>
  </cols>
  <sheetData>
    <row r="2" spans="1:18" ht="12.75" customHeight="1">
      <c r="A2" s="2380" t="s">
        <v>1774</v>
      </c>
      <c r="B2" s="2380"/>
      <c r="C2" s="2380"/>
      <c r="D2" s="2380"/>
      <c r="E2" s="2380"/>
      <c r="F2" s="2380"/>
      <c r="G2" s="2380"/>
      <c r="H2" s="2380"/>
      <c r="I2" s="2380"/>
      <c r="J2" s="2380"/>
      <c r="K2" s="2380"/>
      <c r="L2" s="2380"/>
      <c r="M2" s="2380"/>
      <c r="N2" s="2380"/>
      <c r="O2" s="2380"/>
      <c r="P2" s="2380"/>
      <c r="Q2" s="2380"/>
      <c r="R2" s="2380"/>
    </row>
    <row r="3" spans="1:18">
      <c r="A3" s="44"/>
      <c r="B3" s="44"/>
      <c r="C3" s="44"/>
      <c r="D3" s="44"/>
      <c r="E3" s="44"/>
      <c r="F3" s="44"/>
      <c r="G3" s="44"/>
      <c r="H3" s="44"/>
      <c r="I3" s="44"/>
      <c r="J3" s="44"/>
      <c r="K3" s="44"/>
      <c r="L3" s="44"/>
      <c r="M3" s="44"/>
      <c r="N3" s="44"/>
      <c r="O3" s="44"/>
      <c r="P3" s="44"/>
      <c r="Q3" s="44"/>
      <c r="R3" s="44"/>
    </row>
    <row r="4" spans="1:18">
      <c r="A4" s="2381" t="s">
        <v>0</v>
      </c>
      <c r="B4" s="2384" t="s">
        <v>3624</v>
      </c>
      <c r="C4" s="2384"/>
      <c r="D4" s="2384"/>
      <c r="E4" s="2384"/>
      <c r="F4" s="2384"/>
      <c r="G4" s="2384"/>
      <c r="H4" s="2384"/>
      <c r="I4" s="2384"/>
      <c r="J4" s="2384"/>
      <c r="K4" s="2384"/>
      <c r="L4" s="2384"/>
      <c r="M4" s="2384"/>
      <c r="N4" s="2384"/>
      <c r="O4" s="2384"/>
      <c r="P4" s="2384"/>
      <c r="Q4" s="2384"/>
      <c r="R4" s="2384"/>
    </row>
    <row r="5" spans="1:18" ht="12.75" customHeight="1">
      <c r="A5" s="2382"/>
      <c r="B5" s="2385" t="s">
        <v>6</v>
      </c>
      <c r="C5" s="2384" t="s">
        <v>3610</v>
      </c>
      <c r="D5" s="2384"/>
      <c r="E5" s="2384"/>
      <c r="F5" s="2384" t="s">
        <v>1775</v>
      </c>
      <c r="G5" s="2384"/>
      <c r="H5" s="2384"/>
      <c r="I5" s="2384"/>
      <c r="J5" s="2384" t="s">
        <v>1776</v>
      </c>
      <c r="K5" s="2384"/>
      <c r="L5" s="2384"/>
      <c r="M5" s="2384"/>
      <c r="N5" s="2384" t="s">
        <v>3622</v>
      </c>
      <c r="O5" s="2384"/>
      <c r="P5" s="2384"/>
      <c r="Q5" s="2384"/>
      <c r="R5" s="2384"/>
    </row>
    <row r="6" spans="1:18" ht="22.5">
      <c r="A6" s="2383"/>
      <c r="B6" s="2386"/>
      <c r="C6" s="1107" t="s">
        <v>1777</v>
      </c>
      <c r="D6" s="1107" t="s">
        <v>1778</v>
      </c>
      <c r="E6" s="1107" t="s">
        <v>1779</v>
      </c>
      <c r="F6" s="1107" t="s">
        <v>6</v>
      </c>
      <c r="G6" s="1107" t="s">
        <v>1780</v>
      </c>
      <c r="H6" s="1107" t="s">
        <v>1781</v>
      </c>
      <c r="I6" s="1107" t="s">
        <v>1782</v>
      </c>
      <c r="J6" s="1107" t="s">
        <v>6</v>
      </c>
      <c r="K6" s="1107" t="s">
        <v>1777</v>
      </c>
      <c r="L6" s="1107" t="s">
        <v>1781</v>
      </c>
      <c r="M6" s="1107" t="s">
        <v>1782</v>
      </c>
      <c r="N6" s="2384" t="s">
        <v>6</v>
      </c>
      <c r="O6" s="2384"/>
      <c r="P6" s="1107" t="s">
        <v>1780</v>
      </c>
      <c r="Q6" s="1107" t="s">
        <v>1778</v>
      </c>
      <c r="R6" s="1107" t="s">
        <v>1782</v>
      </c>
    </row>
    <row r="7" spans="1:18" ht="12.75" customHeight="1">
      <c r="A7" s="44" t="s">
        <v>6</v>
      </c>
      <c r="B7" s="1145">
        <f t="shared" ref="B7:M7" si="0">SUM(B8:B22)</f>
        <v>1603</v>
      </c>
      <c r="C7" s="1145">
        <f t="shared" si="0"/>
        <v>643</v>
      </c>
      <c r="D7" s="1145">
        <f t="shared" si="0"/>
        <v>694</v>
      </c>
      <c r="E7" s="1145">
        <f t="shared" si="0"/>
        <v>266</v>
      </c>
      <c r="F7" s="1145">
        <f t="shared" si="0"/>
        <v>112</v>
      </c>
      <c r="G7" s="1145">
        <f t="shared" si="0"/>
        <v>55</v>
      </c>
      <c r="H7" s="1145">
        <f t="shared" si="0"/>
        <v>29</v>
      </c>
      <c r="I7" s="1145">
        <f t="shared" si="0"/>
        <v>28</v>
      </c>
      <c r="J7" s="1145">
        <f t="shared" si="0"/>
        <v>1296</v>
      </c>
      <c r="K7" s="1145">
        <f t="shared" si="0"/>
        <v>441</v>
      </c>
      <c r="L7" s="1145">
        <f t="shared" si="0"/>
        <v>650</v>
      </c>
      <c r="M7" s="1145">
        <f t="shared" si="0"/>
        <v>205</v>
      </c>
      <c r="N7" s="2387">
        <f>SUM(N8:O22)</f>
        <v>195</v>
      </c>
      <c r="O7" s="2387"/>
      <c r="P7" s="1145">
        <f>SUM(P8:P22)</f>
        <v>147</v>
      </c>
      <c r="Q7" s="1145">
        <f>SUM(Q8:Q22)</f>
        <v>15</v>
      </c>
      <c r="R7" s="1145">
        <f>SUM(R8:R22)</f>
        <v>33</v>
      </c>
    </row>
    <row r="8" spans="1:18" ht="12.75" customHeight="1">
      <c r="A8" s="1146" t="s">
        <v>7</v>
      </c>
      <c r="B8" s="1145">
        <f>SUM(C8:E8)</f>
        <v>35</v>
      </c>
      <c r="C8" s="1147">
        <v>12</v>
      </c>
      <c r="D8" s="1147">
        <v>18</v>
      </c>
      <c r="E8" s="1147">
        <v>5</v>
      </c>
      <c r="F8" s="1145">
        <f>SUM(G8:I8)</f>
        <v>0</v>
      </c>
      <c r="G8" s="1147">
        <v>0</v>
      </c>
      <c r="H8" s="1147">
        <v>0</v>
      </c>
      <c r="I8" s="1147">
        <v>0</v>
      </c>
      <c r="J8" s="1145">
        <f>SUM(K8:M8)</f>
        <v>35</v>
      </c>
      <c r="K8" s="1147">
        <v>12</v>
      </c>
      <c r="L8" s="1147">
        <v>18</v>
      </c>
      <c r="M8" s="1147">
        <v>5</v>
      </c>
      <c r="N8" s="2387">
        <f>SUM(P8:R8)</f>
        <v>0</v>
      </c>
      <c r="O8" s="2387"/>
      <c r="P8" s="1147">
        <v>0</v>
      </c>
      <c r="Q8" s="1147">
        <v>0</v>
      </c>
      <c r="R8" s="1147">
        <v>0</v>
      </c>
    </row>
    <row r="9" spans="1:18" ht="12.75" customHeight="1">
      <c r="A9" s="1146" t="s">
        <v>8</v>
      </c>
      <c r="B9" s="1145">
        <f t="shared" ref="B9:B22" si="1">SUM(C9:E9)</f>
        <v>39</v>
      </c>
      <c r="C9" s="1147">
        <v>10</v>
      </c>
      <c r="D9" s="1147">
        <v>24</v>
      </c>
      <c r="E9" s="1147">
        <v>5</v>
      </c>
      <c r="F9" s="1145">
        <f t="shared" ref="F9:F22" si="2">SUM(G9:I9)</f>
        <v>1</v>
      </c>
      <c r="G9" s="1147">
        <v>0</v>
      </c>
      <c r="H9" s="1147">
        <v>1</v>
      </c>
      <c r="I9" s="1147">
        <v>0</v>
      </c>
      <c r="J9" s="1145">
        <f t="shared" ref="J9:J22" si="3">SUM(K9:M9)</f>
        <v>36</v>
      </c>
      <c r="K9" s="1147">
        <v>8</v>
      </c>
      <c r="L9" s="1147">
        <v>23</v>
      </c>
      <c r="M9" s="1147">
        <v>5</v>
      </c>
      <c r="N9" s="2387">
        <f t="shared" ref="N9:N22" si="4">SUM(P9:R9)</f>
        <v>2</v>
      </c>
      <c r="O9" s="2387"/>
      <c r="P9" s="1147">
        <v>2</v>
      </c>
      <c r="Q9" s="1147">
        <v>0</v>
      </c>
      <c r="R9" s="1147">
        <v>0</v>
      </c>
    </row>
    <row r="10" spans="1:18" ht="12.75" customHeight="1">
      <c r="A10" s="1146" t="s">
        <v>9</v>
      </c>
      <c r="B10" s="1145">
        <f t="shared" si="1"/>
        <v>105</v>
      </c>
      <c r="C10" s="1147">
        <v>26</v>
      </c>
      <c r="D10" s="1147">
        <v>59</v>
      </c>
      <c r="E10" s="1147">
        <v>20</v>
      </c>
      <c r="F10" s="1145">
        <f t="shared" si="2"/>
        <v>1</v>
      </c>
      <c r="G10" s="1147">
        <v>0</v>
      </c>
      <c r="H10" s="1147">
        <v>1</v>
      </c>
      <c r="I10" s="1147">
        <v>0</v>
      </c>
      <c r="J10" s="1145">
        <f t="shared" si="3"/>
        <v>101</v>
      </c>
      <c r="K10" s="1147">
        <v>25</v>
      </c>
      <c r="L10" s="1147">
        <v>58</v>
      </c>
      <c r="M10" s="1147">
        <v>18</v>
      </c>
      <c r="N10" s="2387">
        <f t="shared" si="4"/>
        <v>3</v>
      </c>
      <c r="O10" s="2387"/>
      <c r="P10" s="1147">
        <v>1</v>
      </c>
      <c r="Q10" s="1147">
        <v>0</v>
      </c>
      <c r="R10" s="1147">
        <v>2</v>
      </c>
    </row>
    <row r="11" spans="1:18" ht="12.75" customHeight="1">
      <c r="A11" s="1146" t="s">
        <v>10</v>
      </c>
      <c r="B11" s="1145">
        <f t="shared" si="1"/>
        <v>97</v>
      </c>
      <c r="C11" s="1147">
        <v>27</v>
      </c>
      <c r="D11" s="1147">
        <v>60</v>
      </c>
      <c r="E11" s="1147">
        <v>10</v>
      </c>
      <c r="F11" s="1145">
        <f t="shared" si="2"/>
        <v>1</v>
      </c>
      <c r="G11" s="1147">
        <v>0</v>
      </c>
      <c r="H11" s="1147">
        <v>1</v>
      </c>
      <c r="I11" s="1147">
        <v>0</v>
      </c>
      <c r="J11" s="1145">
        <f t="shared" si="3"/>
        <v>92</v>
      </c>
      <c r="K11" s="1147">
        <v>24</v>
      </c>
      <c r="L11" s="1147">
        <v>59</v>
      </c>
      <c r="M11" s="1147">
        <v>9</v>
      </c>
      <c r="N11" s="2387">
        <f t="shared" si="4"/>
        <v>4</v>
      </c>
      <c r="O11" s="2387"/>
      <c r="P11" s="1147">
        <v>3</v>
      </c>
      <c r="Q11" s="1147">
        <v>0</v>
      </c>
      <c r="R11" s="1147">
        <v>1</v>
      </c>
    </row>
    <row r="12" spans="1:18" ht="12.75" customHeight="1">
      <c r="A12" s="1146" t="s">
        <v>11</v>
      </c>
      <c r="B12" s="1145">
        <f t="shared" si="1"/>
        <v>120</v>
      </c>
      <c r="C12" s="1147">
        <v>36</v>
      </c>
      <c r="D12" s="1147">
        <v>64</v>
      </c>
      <c r="E12" s="1147">
        <v>20</v>
      </c>
      <c r="F12" s="1145">
        <f t="shared" si="2"/>
        <v>7</v>
      </c>
      <c r="G12" s="1147">
        <v>2</v>
      </c>
      <c r="H12" s="1147">
        <v>2</v>
      </c>
      <c r="I12" s="1147">
        <v>3</v>
      </c>
      <c r="J12" s="1145">
        <f t="shared" si="3"/>
        <v>106</v>
      </c>
      <c r="K12" s="1147">
        <v>29</v>
      </c>
      <c r="L12" s="1147">
        <v>62</v>
      </c>
      <c r="M12" s="1147">
        <v>15</v>
      </c>
      <c r="N12" s="2387">
        <f t="shared" si="4"/>
        <v>7</v>
      </c>
      <c r="O12" s="2387"/>
      <c r="P12" s="1147">
        <v>5</v>
      </c>
      <c r="Q12" s="1147">
        <v>0</v>
      </c>
      <c r="R12" s="1147">
        <v>2</v>
      </c>
    </row>
    <row r="13" spans="1:18" ht="12.75" customHeight="1">
      <c r="A13" s="1146" t="s">
        <v>12</v>
      </c>
      <c r="B13" s="1145">
        <f t="shared" si="1"/>
        <v>164</v>
      </c>
      <c r="C13" s="1147">
        <v>57</v>
      </c>
      <c r="D13" s="1147">
        <v>85</v>
      </c>
      <c r="E13" s="1147">
        <v>22</v>
      </c>
      <c r="F13" s="1145">
        <f t="shared" si="2"/>
        <v>16</v>
      </c>
      <c r="G13" s="1147">
        <v>7</v>
      </c>
      <c r="H13" s="1147">
        <v>5</v>
      </c>
      <c r="I13" s="1147">
        <v>4</v>
      </c>
      <c r="J13" s="1145">
        <f t="shared" si="3"/>
        <v>118</v>
      </c>
      <c r="K13" s="1147">
        <v>32</v>
      </c>
      <c r="L13" s="1147">
        <v>75</v>
      </c>
      <c r="M13" s="1147">
        <v>11</v>
      </c>
      <c r="N13" s="2387">
        <f t="shared" si="4"/>
        <v>30</v>
      </c>
      <c r="O13" s="2387"/>
      <c r="P13" s="1147">
        <v>18</v>
      </c>
      <c r="Q13" s="1147">
        <v>5</v>
      </c>
      <c r="R13" s="1147">
        <v>7</v>
      </c>
    </row>
    <row r="14" spans="1:18" ht="12.75" customHeight="1">
      <c r="A14" s="1146" t="s">
        <v>13</v>
      </c>
      <c r="B14" s="1145">
        <f t="shared" si="1"/>
        <v>110</v>
      </c>
      <c r="C14" s="1147">
        <v>90</v>
      </c>
      <c r="D14" s="1147">
        <v>8</v>
      </c>
      <c r="E14" s="1147">
        <v>12</v>
      </c>
      <c r="F14" s="1145">
        <f t="shared" si="2"/>
        <v>18</v>
      </c>
      <c r="G14" s="1147">
        <v>13</v>
      </c>
      <c r="H14" s="1147">
        <v>4</v>
      </c>
      <c r="I14" s="1147">
        <v>1</v>
      </c>
      <c r="J14" s="1145">
        <f t="shared" si="3"/>
        <v>48</v>
      </c>
      <c r="K14" s="1147">
        <v>40</v>
      </c>
      <c r="L14" s="1147">
        <v>4</v>
      </c>
      <c r="M14" s="1147">
        <v>4</v>
      </c>
      <c r="N14" s="2387">
        <f t="shared" si="4"/>
        <v>44</v>
      </c>
      <c r="O14" s="2387"/>
      <c r="P14" s="1147">
        <v>37</v>
      </c>
      <c r="Q14" s="1147">
        <v>0</v>
      </c>
      <c r="R14" s="1147">
        <v>7</v>
      </c>
    </row>
    <row r="15" spans="1:18" ht="12.75" customHeight="1">
      <c r="A15" s="1146" t="s">
        <v>14</v>
      </c>
      <c r="B15" s="1145">
        <f t="shared" si="1"/>
        <v>108</v>
      </c>
      <c r="C15" s="1147">
        <v>67</v>
      </c>
      <c r="D15" s="1147">
        <v>32</v>
      </c>
      <c r="E15" s="1147">
        <v>9</v>
      </c>
      <c r="F15" s="1145">
        <f t="shared" si="2"/>
        <v>5</v>
      </c>
      <c r="G15" s="1147">
        <v>3</v>
      </c>
      <c r="H15" s="1147">
        <v>2</v>
      </c>
      <c r="I15" s="1147">
        <v>0</v>
      </c>
      <c r="J15" s="1145">
        <f t="shared" si="3"/>
        <v>79</v>
      </c>
      <c r="K15" s="1147">
        <v>43</v>
      </c>
      <c r="L15" s="1147">
        <v>29</v>
      </c>
      <c r="M15" s="1147">
        <v>7</v>
      </c>
      <c r="N15" s="2387">
        <f t="shared" si="4"/>
        <v>24</v>
      </c>
      <c r="O15" s="2387"/>
      <c r="P15" s="1147">
        <v>21</v>
      </c>
      <c r="Q15" s="1147">
        <v>1</v>
      </c>
      <c r="R15" s="1147">
        <v>2</v>
      </c>
    </row>
    <row r="16" spans="1:18" ht="12.75" customHeight="1">
      <c r="A16" s="1146" t="s">
        <v>15</v>
      </c>
      <c r="B16" s="1145">
        <f t="shared" si="1"/>
        <v>128</v>
      </c>
      <c r="C16" s="1147">
        <v>56</v>
      </c>
      <c r="D16" s="1147">
        <v>61</v>
      </c>
      <c r="E16" s="1147">
        <v>11</v>
      </c>
      <c r="F16" s="1145">
        <f t="shared" si="2"/>
        <v>10</v>
      </c>
      <c r="G16" s="1147">
        <v>3</v>
      </c>
      <c r="H16" s="1147">
        <v>4</v>
      </c>
      <c r="I16" s="1147">
        <v>3</v>
      </c>
      <c r="J16" s="1145">
        <f t="shared" si="3"/>
        <v>105</v>
      </c>
      <c r="K16" s="1147">
        <v>42</v>
      </c>
      <c r="L16" s="1147">
        <v>56</v>
      </c>
      <c r="M16" s="1147">
        <v>7</v>
      </c>
      <c r="N16" s="2387">
        <f t="shared" si="4"/>
        <v>13</v>
      </c>
      <c r="O16" s="2387"/>
      <c r="P16" s="1147">
        <v>11</v>
      </c>
      <c r="Q16" s="1147">
        <v>1</v>
      </c>
      <c r="R16" s="1147">
        <v>1</v>
      </c>
    </row>
    <row r="17" spans="1:18" ht="12.75" customHeight="1">
      <c r="A17" s="1146" t="s">
        <v>16</v>
      </c>
      <c r="B17" s="1145">
        <f t="shared" si="1"/>
        <v>201</v>
      </c>
      <c r="C17" s="1147">
        <v>118</v>
      </c>
      <c r="D17" s="1147">
        <v>50</v>
      </c>
      <c r="E17" s="1147">
        <v>33</v>
      </c>
      <c r="F17" s="1145">
        <f t="shared" si="2"/>
        <v>19</v>
      </c>
      <c r="G17" s="1147">
        <v>8</v>
      </c>
      <c r="H17" s="1147">
        <v>3</v>
      </c>
      <c r="I17" s="1147">
        <v>8</v>
      </c>
      <c r="J17" s="1145">
        <f t="shared" si="3"/>
        <v>149</v>
      </c>
      <c r="K17" s="1147">
        <v>81</v>
      </c>
      <c r="L17" s="1147">
        <v>46</v>
      </c>
      <c r="M17" s="1147">
        <v>22</v>
      </c>
      <c r="N17" s="2387">
        <f t="shared" si="4"/>
        <v>33</v>
      </c>
      <c r="O17" s="2387"/>
      <c r="P17" s="1147">
        <v>29</v>
      </c>
      <c r="Q17" s="1147">
        <v>1</v>
      </c>
      <c r="R17" s="1147">
        <v>3</v>
      </c>
    </row>
    <row r="18" spans="1:18" ht="12.75" customHeight="1">
      <c r="A18" s="1146" t="s">
        <v>17</v>
      </c>
      <c r="B18" s="1145">
        <f t="shared" si="1"/>
        <v>165</v>
      </c>
      <c r="C18" s="1147">
        <v>51</v>
      </c>
      <c r="D18" s="1147">
        <v>79</v>
      </c>
      <c r="E18" s="1147">
        <v>35</v>
      </c>
      <c r="F18" s="1145">
        <f t="shared" si="2"/>
        <v>11</v>
      </c>
      <c r="G18" s="1147">
        <v>7</v>
      </c>
      <c r="H18" s="1147">
        <v>2</v>
      </c>
      <c r="I18" s="1147">
        <v>2</v>
      </c>
      <c r="J18" s="1145">
        <f t="shared" si="3"/>
        <v>132</v>
      </c>
      <c r="K18" s="1147">
        <v>31</v>
      </c>
      <c r="L18" s="1147">
        <v>73</v>
      </c>
      <c r="M18" s="1147">
        <v>28</v>
      </c>
      <c r="N18" s="2387">
        <f t="shared" si="4"/>
        <v>22</v>
      </c>
      <c r="O18" s="2387"/>
      <c r="P18" s="1147">
        <v>13</v>
      </c>
      <c r="Q18" s="1147">
        <v>4</v>
      </c>
      <c r="R18" s="1147">
        <v>5</v>
      </c>
    </row>
    <row r="19" spans="1:18" ht="12.75" customHeight="1">
      <c r="A19" s="1146" t="s">
        <v>18</v>
      </c>
      <c r="B19" s="1145">
        <f t="shared" si="1"/>
        <v>66</v>
      </c>
      <c r="C19" s="1147">
        <v>27</v>
      </c>
      <c r="D19" s="1147">
        <v>25</v>
      </c>
      <c r="E19" s="1147">
        <v>14</v>
      </c>
      <c r="F19" s="1145">
        <f t="shared" si="2"/>
        <v>5</v>
      </c>
      <c r="G19" s="1147">
        <v>3</v>
      </c>
      <c r="H19" s="1147">
        <v>0</v>
      </c>
      <c r="I19" s="1147">
        <v>2</v>
      </c>
      <c r="J19" s="1145">
        <f t="shared" si="3"/>
        <v>59</v>
      </c>
      <c r="K19" s="1147">
        <v>23</v>
      </c>
      <c r="L19" s="1147">
        <v>25</v>
      </c>
      <c r="M19" s="1147">
        <v>11</v>
      </c>
      <c r="N19" s="2387">
        <f t="shared" si="4"/>
        <v>2</v>
      </c>
      <c r="O19" s="2387"/>
      <c r="P19" s="1147">
        <v>1</v>
      </c>
      <c r="Q19" s="1147">
        <v>0</v>
      </c>
      <c r="R19" s="1147">
        <v>1</v>
      </c>
    </row>
    <row r="20" spans="1:18" ht="12.75" customHeight="1">
      <c r="A20" s="1146" t="s">
        <v>19</v>
      </c>
      <c r="B20" s="1145">
        <f t="shared" si="1"/>
        <v>154</v>
      </c>
      <c r="C20" s="1147">
        <v>41</v>
      </c>
      <c r="D20" s="1147">
        <v>72</v>
      </c>
      <c r="E20" s="1147">
        <v>41</v>
      </c>
      <c r="F20" s="1145">
        <f t="shared" si="2"/>
        <v>10</v>
      </c>
      <c r="G20" s="1147">
        <v>5</v>
      </c>
      <c r="H20" s="1147">
        <v>3</v>
      </c>
      <c r="I20" s="1147">
        <v>2</v>
      </c>
      <c r="J20" s="1145">
        <f t="shared" si="3"/>
        <v>138</v>
      </c>
      <c r="K20" s="1147">
        <v>33</v>
      </c>
      <c r="L20" s="1147">
        <v>67</v>
      </c>
      <c r="M20" s="1147">
        <v>38</v>
      </c>
      <c r="N20" s="2387">
        <f t="shared" si="4"/>
        <v>6</v>
      </c>
      <c r="O20" s="2387"/>
      <c r="P20" s="1147">
        <v>3</v>
      </c>
      <c r="Q20" s="1147">
        <v>2</v>
      </c>
      <c r="R20" s="1147">
        <v>1</v>
      </c>
    </row>
    <row r="21" spans="1:18" ht="12.75" customHeight="1">
      <c r="A21" s="1146" t="s">
        <v>20</v>
      </c>
      <c r="B21" s="1145">
        <f t="shared" si="1"/>
        <v>58</v>
      </c>
      <c r="C21" s="1147">
        <v>12</v>
      </c>
      <c r="D21" s="1147">
        <v>27</v>
      </c>
      <c r="E21" s="1147">
        <v>19</v>
      </c>
      <c r="F21" s="1145">
        <f t="shared" si="2"/>
        <v>2</v>
      </c>
      <c r="G21" s="1147">
        <v>2</v>
      </c>
      <c r="H21" s="1147">
        <v>0</v>
      </c>
      <c r="I21" s="1147">
        <v>0</v>
      </c>
      <c r="J21" s="1145">
        <f t="shared" si="3"/>
        <v>52</v>
      </c>
      <c r="K21" s="1147">
        <v>8</v>
      </c>
      <c r="L21" s="1147">
        <v>26</v>
      </c>
      <c r="M21" s="1147">
        <v>18</v>
      </c>
      <c r="N21" s="2387">
        <f t="shared" si="4"/>
        <v>4</v>
      </c>
      <c r="O21" s="2387"/>
      <c r="P21" s="1147">
        <v>2</v>
      </c>
      <c r="Q21" s="1147">
        <v>1</v>
      </c>
      <c r="R21" s="1147">
        <v>1</v>
      </c>
    </row>
    <row r="22" spans="1:18" ht="12.75" customHeight="1">
      <c r="A22" s="1146" t="s">
        <v>21</v>
      </c>
      <c r="B22" s="1145">
        <f t="shared" si="1"/>
        <v>53</v>
      </c>
      <c r="C22" s="1147">
        <v>13</v>
      </c>
      <c r="D22" s="1147">
        <v>30</v>
      </c>
      <c r="E22" s="1147">
        <v>10</v>
      </c>
      <c r="F22" s="1145">
        <f t="shared" si="2"/>
        <v>6</v>
      </c>
      <c r="G22" s="1147">
        <v>2</v>
      </c>
      <c r="H22" s="1147">
        <v>1</v>
      </c>
      <c r="I22" s="1147">
        <v>3</v>
      </c>
      <c r="J22" s="1145">
        <f t="shared" si="3"/>
        <v>46</v>
      </c>
      <c r="K22" s="1147">
        <v>10</v>
      </c>
      <c r="L22" s="1147">
        <v>29</v>
      </c>
      <c r="M22" s="1147">
        <v>7</v>
      </c>
      <c r="N22" s="2387">
        <f t="shared" si="4"/>
        <v>1</v>
      </c>
      <c r="O22" s="2387"/>
      <c r="P22" s="1147">
        <v>1</v>
      </c>
      <c r="Q22" s="1147">
        <v>0</v>
      </c>
      <c r="R22" s="1147">
        <v>0</v>
      </c>
    </row>
    <row r="23" spans="1:18" ht="7.5" customHeight="1">
      <c r="A23" s="1112"/>
      <c r="B23" s="1149"/>
      <c r="C23" s="1150"/>
      <c r="D23" s="1150"/>
      <c r="E23" s="1150"/>
      <c r="F23" s="1149"/>
      <c r="G23" s="1150"/>
      <c r="H23" s="1150"/>
      <c r="I23" s="1150"/>
      <c r="J23" s="1149"/>
      <c r="K23" s="1150"/>
      <c r="L23" s="1150"/>
      <c r="M23" s="1150"/>
      <c r="N23" s="1149"/>
      <c r="O23" s="1149"/>
      <c r="P23" s="1150"/>
      <c r="Q23" s="1150"/>
      <c r="R23" s="1150"/>
    </row>
    <row r="24" spans="1:18" ht="15" customHeight="1">
      <c r="A24" s="2388" t="s">
        <v>3608</v>
      </c>
      <c r="B24" s="2388"/>
      <c r="C24" s="2388"/>
      <c r="D24" s="2388"/>
      <c r="E24" s="2388"/>
      <c r="F24" s="2388"/>
      <c r="G24" s="2388"/>
      <c r="H24" s="2388"/>
      <c r="I24" s="2388"/>
      <c r="J24" s="2388"/>
      <c r="K24" s="2388"/>
      <c r="L24" s="2388"/>
      <c r="M24" s="2388"/>
      <c r="N24" s="2388"/>
      <c r="O24" s="2388"/>
      <c r="P24" s="2388"/>
      <c r="Q24" s="2388"/>
      <c r="R24" s="2388"/>
    </row>
    <row r="25" spans="1:18" ht="21" customHeight="1">
      <c r="A25" s="2388" t="s">
        <v>3606</v>
      </c>
      <c r="B25" s="2388"/>
      <c r="C25" s="2388"/>
      <c r="D25" s="2388"/>
      <c r="E25" s="2388"/>
      <c r="F25" s="2388"/>
      <c r="G25" s="2388"/>
      <c r="H25" s="2388"/>
      <c r="I25" s="2388"/>
      <c r="J25" s="2388"/>
      <c r="K25" s="2388"/>
      <c r="L25" s="2388"/>
      <c r="M25" s="2388"/>
      <c r="N25" s="2388"/>
      <c r="O25" s="2388"/>
      <c r="P25" s="2388"/>
      <c r="Q25" s="2388"/>
      <c r="R25" s="2388"/>
    </row>
    <row r="26" spans="1:18">
      <c r="A26" s="2388" t="s">
        <v>3623</v>
      </c>
      <c r="B26" s="2388"/>
      <c r="C26" s="2388"/>
      <c r="D26" s="2388"/>
      <c r="E26" s="2388"/>
      <c r="F26" s="2388"/>
      <c r="G26" s="2388"/>
      <c r="H26" s="2388"/>
      <c r="I26" s="2388"/>
      <c r="J26" s="2388"/>
      <c r="K26" s="2388"/>
      <c r="L26" s="2388"/>
      <c r="M26" s="2388"/>
      <c r="N26" s="2388"/>
      <c r="O26" s="2388"/>
      <c r="P26" s="2388"/>
      <c r="Q26" s="2388"/>
      <c r="R26" s="2388"/>
    </row>
    <row r="27" spans="1:18" ht="12.75" customHeight="1">
      <c r="A27" s="1138" t="s">
        <v>22</v>
      </c>
      <c r="B27" s="1159"/>
      <c r="C27" s="1159"/>
      <c r="D27" s="1159"/>
      <c r="E27" s="1159"/>
      <c r="F27" s="1159"/>
      <c r="G27" s="1159"/>
      <c r="H27" s="1159"/>
      <c r="I27" s="1159"/>
      <c r="J27" s="1159"/>
      <c r="K27" s="1159"/>
      <c r="L27" s="1159"/>
      <c r="M27" s="1159"/>
      <c r="N27" s="2388"/>
      <c r="O27" s="2388"/>
      <c r="P27" s="1159"/>
      <c r="Q27" s="1159"/>
      <c r="R27" s="1159"/>
    </row>
    <row r="28" spans="1:18" ht="15.75" customHeight="1">
      <c r="A28" s="1160" t="s">
        <v>1783</v>
      </c>
      <c r="B28" s="1161"/>
      <c r="C28" s="1161"/>
      <c r="D28" s="1161"/>
      <c r="E28" s="1161"/>
      <c r="F28" s="1159"/>
      <c r="G28" s="1159"/>
      <c r="H28" s="1159"/>
      <c r="I28" s="1159"/>
      <c r="J28" s="1159"/>
      <c r="K28" s="1159"/>
      <c r="L28" s="1159"/>
      <c r="M28" s="1159"/>
      <c r="N28" s="2388"/>
      <c r="O28" s="2388"/>
      <c r="P28" s="1159"/>
      <c r="Q28" s="1159"/>
      <c r="R28" s="1159"/>
    </row>
    <row r="29" spans="1:18" ht="16.350000000000001" customHeight="1">
      <c r="A29" s="44"/>
      <c r="B29" s="44"/>
      <c r="C29" s="44"/>
      <c r="D29" s="44"/>
      <c r="E29" s="44"/>
      <c r="F29" s="44"/>
      <c r="G29" s="44"/>
      <c r="H29" s="44"/>
      <c r="I29" s="44"/>
      <c r="J29" s="44"/>
      <c r="K29" s="44"/>
      <c r="L29" s="44"/>
      <c r="M29" s="44"/>
      <c r="N29" s="44"/>
      <c r="O29" s="44"/>
      <c r="P29" s="44"/>
      <c r="Q29" s="44"/>
      <c r="R29" s="44"/>
    </row>
    <row r="30" spans="1:18" ht="7.15" customHeight="1">
      <c r="A30" s="44"/>
      <c r="B30" s="44"/>
      <c r="C30" s="44"/>
      <c r="D30" s="44"/>
      <c r="E30" s="44"/>
      <c r="F30" s="44"/>
      <c r="G30" s="44"/>
      <c r="H30" s="44"/>
      <c r="I30" s="44"/>
      <c r="J30" s="44"/>
      <c r="K30" s="44"/>
      <c r="L30" s="44"/>
      <c r="M30" s="44"/>
      <c r="N30" s="44"/>
      <c r="O30" s="44"/>
      <c r="P30" s="44"/>
      <c r="Q30" s="44"/>
      <c r="R30" s="44"/>
    </row>
    <row r="32" spans="1:18">
      <c r="A32" s="1146"/>
      <c r="K32" s="1162"/>
    </row>
    <row r="33" spans="1:14">
      <c r="A33" s="9"/>
      <c r="B33" s="10"/>
      <c r="C33" s="10"/>
      <c r="D33" s="10"/>
      <c r="E33" s="10"/>
      <c r="F33" s="10"/>
      <c r="G33" s="10"/>
      <c r="H33" s="10"/>
      <c r="I33" s="10"/>
      <c r="J33" s="10"/>
      <c r="K33" s="10"/>
      <c r="L33" s="10"/>
      <c r="M33" s="10"/>
      <c r="N33" s="10"/>
    </row>
    <row r="34" spans="1:14">
      <c r="A34" s="9"/>
      <c r="B34" s="10"/>
      <c r="C34" s="9"/>
      <c r="D34" s="9"/>
      <c r="E34" s="12"/>
      <c r="F34" s="10"/>
      <c r="G34" s="10"/>
      <c r="H34" s="10"/>
      <c r="I34" s="9"/>
      <c r="J34" s="10"/>
      <c r="K34" s="10"/>
      <c r="L34" s="10"/>
      <c r="M34" s="10"/>
      <c r="N34" s="10"/>
    </row>
    <row r="35" spans="1:14">
      <c r="A35" s="13"/>
      <c r="B35" s="10"/>
      <c r="C35" s="10"/>
      <c r="D35" s="10"/>
      <c r="E35" s="10"/>
      <c r="F35" s="10"/>
      <c r="G35" s="10"/>
      <c r="H35" s="10"/>
      <c r="I35" s="10"/>
      <c r="J35" s="10"/>
      <c r="K35" s="10"/>
      <c r="L35" s="10"/>
      <c r="M35" s="10"/>
      <c r="N35" s="10"/>
    </row>
    <row r="36" spans="1:14">
      <c r="A36" s="1146"/>
    </row>
    <row r="37" spans="1:14">
      <c r="A37" s="1146"/>
    </row>
    <row r="38" spans="1:14">
      <c r="A38" s="1146"/>
    </row>
    <row r="39" spans="1:14">
      <c r="A39" s="1146"/>
    </row>
    <row r="40" spans="1:14">
      <c r="A40" s="1146"/>
    </row>
    <row r="41" spans="1:14">
      <c r="A41" s="1146"/>
    </row>
    <row r="42" spans="1:14">
      <c r="A42" s="1146"/>
    </row>
    <row r="43" spans="1:14">
      <c r="A43" s="1146"/>
    </row>
    <row r="44" spans="1:14">
      <c r="A44" s="1146"/>
    </row>
    <row r="45" spans="1:14">
      <c r="A45" s="1146"/>
    </row>
    <row r="46" spans="1:14">
      <c r="A46" s="1146"/>
    </row>
  </sheetData>
  <mergeCells count="30">
    <mergeCell ref="A26:R26"/>
    <mergeCell ref="N27:O27"/>
    <mergeCell ref="N28:O28"/>
    <mergeCell ref="N19:O19"/>
    <mergeCell ref="N20:O20"/>
    <mergeCell ref="N21:O21"/>
    <mergeCell ref="N22:O22"/>
    <mergeCell ref="A24:R24"/>
    <mergeCell ref="A25:R25"/>
    <mergeCell ref="N18:O18"/>
    <mergeCell ref="N7:O7"/>
    <mergeCell ref="N8:O8"/>
    <mergeCell ref="N9:O9"/>
    <mergeCell ref="N10:O10"/>
    <mergeCell ref="N11:O11"/>
    <mergeCell ref="N12:O12"/>
    <mergeCell ref="N13:O13"/>
    <mergeCell ref="N14:O14"/>
    <mergeCell ref="N15:O15"/>
    <mergeCell ref="N16:O16"/>
    <mergeCell ref="N17:O17"/>
    <mergeCell ref="A2:R2"/>
    <mergeCell ref="A4:A6"/>
    <mergeCell ref="B4:R4"/>
    <mergeCell ref="B5:B6"/>
    <mergeCell ref="C5:E5"/>
    <mergeCell ref="F5:I5"/>
    <mergeCell ref="J5:M5"/>
    <mergeCell ref="N5:R5"/>
    <mergeCell ref="N6:O6"/>
  </mergeCells>
  <pageMargins left="0.98425196850393704" right="0.98425196850393704" top="0.98425196850393704" bottom="0.98425196850393704" header="0.98425196850393704" footer="0.98425196850393704"/>
  <pageSetup paperSize="9" orientation="portrait" r:id="rId1"/>
  <headerFooter alignWithMargins="0"/>
</worksheet>
</file>

<file path=xl/worksheets/sheet184.xml><?xml version="1.0" encoding="utf-8"?>
<worksheet xmlns="http://schemas.openxmlformats.org/spreadsheetml/2006/main" xmlns:r="http://schemas.openxmlformats.org/officeDocument/2006/relationships">
  <sheetPr>
    <outlinePr summaryBelow="0" summaryRight="0"/>
  </sheetPr>
  <dimension ref="A1:E17"/>
  <sheetViews>
    <sheetView zoomScaleNormal="100" workbookViewId="0">
      <selection activeCell="A24" sqref="A24"/>
    </sheetView>
  </sheetViews>
  <sheetFormatPr baseColWidth="10" defaultColWidth="9.140625" defaultRowHeight="12"/>
  <cols>
    <col min="1" max="1" width="39.7109375" style="110" customWidth="1"/>
    <col min="2" max="3" width="17.28515625" style="110" customWidth="1"/>
    <col min="4" max="4" width="7.5703125" style="110" customWidth="1"/>
    <col min="5" max="256" width="9.140625" style="110"/>
    <col min="257" max="257" width="39.7109375" style="110" customWidth="1"/>
    <col min="258" max="259" width="17.28515625" style="110" customWidth="1"/>
    <col min="260" max="260" width="7.5703125" style="110" customWidth="1"/>
    <col min="261" max="512" width="9.140625" style="110"/>
    <col min="513" max="513" width="39.7109375" style="110" customWidth="1"/>
    <col min="514" max="515" width="17.28515625" style="110" customWidth="1"/>
    <col min="516" max="516" width="7.5703125" style="110" customWidth="1"/>
    <col min="517" max="768" width="9.140625" style="110"/>
    <col min="769" max="769" width="39.7109375" style="110" customWidth="1"/>
    <col min="770" max="771" width="17.28515625" style="110" customWidth="1"/>
    <col min="772" max="772" width="7.5703125" style="110" customWidth="1"/>
    <col min="773" max="1024" width="9.140625" style="110"/>
    <col min="1025" max="1025" width="39.7109375" style="110" customWidth="1"/>
    <col min="1026" max="1027" width="17.28515625" style="110" customWidth="1"/>
    <col min="1028" max="1028" width="7.5703125" style="110" customWidth="1"/>
    <col min="1029" max="1280" width="9.140625" style="110"/>
    <col min="1281" max="1281" width="39.7109375" style="110" customWidth="1"/>
    <col min="1282" max="1283" width="17.28515625" style="110" customWidth="1"/>
    <col min="1284" max="1284" width="7.5703125" style="110" customWidth="1"/>
    <col min="1285" max="1536" width="9.140625" style="110"/>
    <col min="1537" max="1537" width="39.7109375" style="110" customWidth="1"/>
    <col min="1538" max="1539" width="17.28515625" style="110" customWidth="1"/>
    <col min="1540" max="1540" width="7.5703125" style="110" customWidth="1"/>
    <col min="1541" max="1792" width="9.140625" style="110"/>
    <col min="1793" max="1793" width="39.7109375" style="110" customWidth="1"/>
    <col min="1794" max="1795" width="17.28515625" style="110" customWidth="1"/>
    <col min="1796" max="1796" width="7.5703125" style="110" customWidth="1"/>
    <col min="1797" max="2048" width="9.140625" style="110"/>
    <col min="2049" max="2049" width="39.7109375" style="110" customWidth="1"/>
    <col min="2050" max="2051" width="17.28515625" style="110" customWidth="1"/>
    <col min="2052" max="2052" width="7.5703125" style="110" customWidth="1"/>
    <col min="2053" max="2304" width="9.140625" style="110"/>
    <col min="2305" max="2305" width="39.7109375" style="110" customWidth="1"/>
    <col min="2306" max="2307" width="17.28515625" style="110" customWidth="1"/>
    <col min="2308" max="2308" width="7.5703125" style="110" customWidth="1"/>
    <col min="2309" max="2560" width="9.140625" style="110"/>
    <col min="2561" max="2561" width="39.7109375" style="110" customWidth="1"/>
    <col min="2562" max="2563" width="17.28515625" style="110" customWidth="1"/>
    <col min="2564" max="2564" width="7.5703125" style="110" customWidth="1"/>
    <col min="2565" max="2816" width="9.140625" style="110"/>
    <col min="2817" max="2817" width="39.7109375" style="110" customWidth="1"/>
    <col min="2818" max="2819" width="17.28515625" style="110" customWidth="1"/>
    <col min="2820" max="2820" width="7.5703125" style="110" customWidth="1"/>
    <col min="2821" max="3072" width="9.140625" style="110"/>
    <col min="3073" max="3073" width="39.7109375" style="110" customWidth="1"/>
    <col min="3074" max="3075" width="17.28515625" style="110" customWidth="1"/>
    <col min="3076" max="3076" width="7.5703125" style="110" customWidth="1"/>
    <col min="3077" max="3328" width="9.140625" style="110"/>
    <col min="3329" max="3329" width="39.7109375" style="110" customWidth="1"/>
    <col min="3330" max="3331" width="17.28515625" style="110" customWidth="1"/>
    <col min="3332" max="3332" width="7.5703125" style="110" customWidth="1"/>
    <col min="3333" max="3584" width="9.140625" style="110"/>
    <col min="3585" max="3585" width="39.7109375" style="110" customWidth="1"/>
    <col min="3586" max="3587" width="17.28515625" style="110" customWidth="1"/>
    <col min="3588" max="3588" width="7.5703125" style="110" customWidth="1"/>
    <col min="3589" max="3840" width="9.140625" style="110"/>
    <col min="3841" max="3841" width="39.7109375" style="110" customWidth="1"/>
    <col min="3842" max="3843" width="17.28515625" style="110" customWidth="1"/>
    <col min="3844" max="3844" width="7.5703125" style="110" customWidth="1"/>
    <col min="3845" max="4096" width="9.140625" style="110"/>
    <col min="4097" max="4097" width="39.7109375" style="110" customWidth="1"/>
    <col min="4098" max="4099" width="17.28515625" style="110" customWidth="1"/>
    <col min="4100" max="4100" width="7.5703125" style="110" customWidth="1"/>
    <col min="4101" max="4352" width="9.140625" style="110"/>
    <col min="4353" max="4353" width="39.7109375" style="110" customWidth="1"/>
    <col min="4354" max="4355" width="17.28515625" style="110" customWidth="1"/>
    <col min="4356" max="4356" width="7.5703125" style="110" customWidth="1"/>
    <col min="4357" max="4608" width="9.140625" style="110"/>
    <col min="4609" max="4609" width="39.7109375" style="110" customWidth="1"/>
    <col min="4610" max="4611" width="17.28515625" style="110" customWidth="1"/>
    <col min="4612" max="4612" width="7.5703125" style="110" customWidth="1"/>
    <col min="4613" max="4864" width="9.140625" style="110"/>
    <col min="4865" max="4865" width="39.7109375" style="110" customWidth="1"/>
    <col min="4866" max="4867" width="17.28515625" style="110" customWidth="1"/>
    <col min="4868" max="4868" width="7.5703125" style="110" customWidth="1"/>
    <col min="4869" max="5120" width="9.140625" style="110"/>
    <col min="5121" max="5121" width="39.7109375" style="110" customWidth="1"/>
    <col min="5122" max="5123" width="17.28515625" style="110" customWidth="1"/>
    <col min="5124" max="5124" width="7.5703125" style="110" customWidth="1"/>
    <col min="5125" max="5376" width="9.140625" style="110"/>
    <col min="5377" max="5377" width="39.7109375" style="110" customWidth="1"/>
    <col min="5378" max="5379" width="17.28515625" style="110" customWidth="1"/>
    <col min="5380" max="5380" width="7.5703125" style="110" customWidth="1"/>
    <col min="5381" max="5632" width="9.140625" style="110"/>
    <col min="5633" max="5633" width="39.7109375" style="110" customWidth="1"/>
    <col min="5634" max="5635" width="17.28515625" style="110" customWidth="1"/>
    <col min="5636" max="5636" width="7.5703125" style="110" customWidth="1"/>
    <col min="5637" max="5888" width="9.140625" style="110"/>
    <col min="5889" max="5889" width="39.7109375" style="110" customWidth="1"/>
    <col min="5890" max="5891" width="17.28515625" style="110" customWidth="1"/>
    <col min="5892" max="5892" width="7.5703125" style="110" customWidth="1"/>
    <col min="5893" max="6144" width="9.140625" style="110"/>
    <col min="6145" max="6145" width="39.7109375" style="110" customWidth="1"/>
    <col min="6146" max="6147" width="17.28515625" style="110" customWidth="1"/>
    <col min="6148" max="6148" width="7.5703125" style="110" customWidth="1"/>
    <col min="6149" max="6400" width="9.140625" style="110"/>
    <col min="6401" max="6401" width="39.7109375" style="110" customWidth="1"/>
    <col min="6402" max="6403" width="17.28515625" style="110" customWidth="1"/>
    <col min="6404" max="6404" width="7.5703125" style="110" customWidth="1"/>
    <col min="6405" max="6656" width="9.140625" style="110"/>
    <col min="6657" max="6657" width="39.7109375" style="110" customWidth="1"/>
    <col min="6658" max="6659" width="17.28515625" style="110" customWidth="1"/>
    <col min="6660" max="6660" width="7.5703125" style="110" customWidth="1"/>
    <col min="6661" max="6912" width="9.140625" style="110"/>
    <col min="6913" max="6913" width="39.7109375" style="110" customWidth="1"/>
    <col min="6914" max="6915" width="17.28515625" style="110" customWidth="1"/>
    <col min="6916" max="6916" width="7.5703125" style="110" customWidth="1"/>
    <col min="6917" max="7168" width="9.140625" style="110"/>
    <col min="7169" max="7169" width="39.7109375" style="110" customWidth="1"/>
    <col min="7170" max="7171" width="17.28515625" style="110" customWidth="1"/>
    <col min="7172" max="7172" width="7.5703125" style="110" customWidth="1"/>
    <col min="7173" max="7424" width="9.140625" style="110"/>
    <col min="7425" max="7425" width="39.7109375" style="110" customWidth="1"/>
    <col min="7426" max="7427" width="17.28515625" style="110" customWidth="1"/>
    <col min="7428" max="7428" width="7.5703125" style="110" customWidth="1"/>
    <col min="7429" max="7680" width="9.140625" style="110"/>
    <col min="7681" max="7681" width="39.7109375" style="110" customWidth="1"/>
    <col min="7682" max="7683" width="17.28515625" style="110" customWidth="1"/>
    <col min="7684" max="7684" width="7.5703125" style="110" customWidth="1"/>
    <col min="7685" max="7936" width="9.140625" style="110"/>
    <col min="7937" max="7937" width="39.7109375" style="110" customWidth="1"/>
    <col min="7938" max="7939" width="17.28515625" style="110" customWidth="1"/>
    <col min="7940" max="7940" width="7.5703125" style="110" customWidth="1"/>
    <col min="7941" max="8192" width="9.140625" style="110"/>
    <col min="8193" max="8193" width="39.7109375" style="110" customWidth="1"/>
    <col min="8194" max="8195" width="17.28515625" style="110" customWidth="1"/>
    <col min="8196" max="8196" width="7.5703125" style="110" customWidth="1"/>
    <col min="8197" max="8448" width="9.140625" style="110"/>
    <col min="8449" max="8449" width="39.7109375" style="110" customWidth="1"/>
    <col min="8450" max="8451" width="17.28515625" style="110" customWidth="1"/>
    <col min="8452" max="8452" width="7.5703125" style="110" customWidth="1"/>
    <col min="8453" max="8704" width="9.140625" style="110"/>
    <col min="8705" max="8705" width="39.7109375" style="110" customWidth="1"/>
    <col min="8706" max="8707" width="17.28515625" style="110" customWidth="1"/>
    <col min="8708" max="8708" width="7.5703125" style="110" customWidth="1"/>
    <col min="8709" max="8960" width="9.140625" style="110"/>
    <col min="8961" max="8961" width="39.7109375" style="110" customWidth="1"/>
    <col min="8962" max="8963" width="17.28515625" style="110" customWidth="1"/>
    <col min="8964" max="8964" width="7.5703125" style="110" customWidth="1"/>
    <col min="8965" max="9216" width="9.140625" style="110"/>
    <col min="9217" max="9217" width="39.7109375" style="110" customWidth="1"/>
    <col min="9218" max="9219" width="17.28515625" style="110" customWidth="1"/>
    <col min="9220" max="9220" width="7.5703125" style="110" customWidth="1"/>
    <col min="9221" max="9472" width="9.140625" style="110"/>
    <col min="9473" max="9473" width="39.7109375" style="110" customWidth="1"/>
    <col min="9474" max="9475" width="17.28515625" style="110" customWidth="1"/>
    <col min="9476" max="9476" width="7.5703125" style="110" customWidth="1"/>
    <col min="9477" max="9728" width="9.140625" style="110"/>
    <col min="9729" max="9729" width="39.7109375" style="110" customWidth="1"/>
    <col min="9730" max="9731" width="17.28515625" style="110" customWidth="1"/>
    <col min="9732" max="9732" width="7.5703125" style="110" customWidth="1"/>
    <col min="9733" max="9984" width="9.140625" style="110"/>
    <col min="9985" max="9985" width="39.7109375" style="110" customWidth="1"/>
    <col min="9986" max="9987" width="17.28515625" style="110" customWidth="1"/>
    <col min="9988" max="9988" width="7.5703125" style="110" customWidth="1"/>
    <col min="9989" max="10240" width="9.140625" style="110"/>
    <col min="10241" max="10241" width="39.7109375" style="110" customWidth="1"/>
    <col min="10242" max="10243" width="17.28515625" style="110" customWidth="1"/>
    <col min="10244" max="10244" width="7.5703125" style="110" customWidth="1"/>
    <col min="10245" max="10496" width="9.140625" style="110"/>
    <col min="10497" max="10497" width="39.7109375" style="110" customWidth="1"/>
    <col min="10498" max="10499" width="17.28515625" style="110" customWidth="1"/>
    <col min="10500" max="10500" width="7.5703125" style="110" customWidth="1"/>
    <col min="10501" max="10752" width="9.140625" style="110"/>
    <col min="10753" max="10753" width="39.7109375" style="110" customWidth="1"/>
    <col min="10754" max="10755" width="17.28515625" style="110" customWidth="1"/>
    <col min="10756" max="10756" width="7.5703125" style="110" customWidth="1"/>
    <col min="10757" max="11008" width="9.140625" style="110"/>
    <col min="11009" max="11009" width="39.7109375" style="110" customWidth="1"/>
    <col min="11010" max="11011" width="17.28515625" style="110" customWidth="1"/>
    <col min="11012" max="11012" width="7.5703125" style="110" customWidth="1"/>
    <col min="11013" max="11264" width="9.140625" style="110"/>
    <col min="11265" max="11265" width="39.7109375" style="110" customWidth="1"/>
    <col min="11266" max="11267" width="17.28515625" style="110" customWidth="1"/>
    <col min="11268" max="11268" width="7.5703125" style="110" customWidth="1"/>
    <col min="11269" max="11520" width="9.140625" style="110"/>
    <col min="11521" max="11521" width="39.7109375" style="110" customWidth="1"/>
    <col min="11522" max="11523" width="17.28515625" style="110" customWidth="1"/>
    <col min="11524" max="11524" width="7.5703125" style="110" customWidth="1"/>
    <col min="11525" max="11776" width="9.140625" style="110"/>
    <col min="11777" max="11777" width="39.7109375" style="110" customWidth="1"/>
    <col min="11778" max="11779" width="17.28515625" style="110" customWidth="1"/>
    <col min="11780" max="11780" width="7.5703125" style="110" customWidth="1"/>
    <col min="11781" max="12032" width="9.140625" style="110"/>
    <col min="12033" max="12033" width="39.7109375" style="110" customWidth="1"/>
    <col min="12034" max="12035" width="17.28515625" style="110" customWidth="1"/>
    <col min="12036" max="12036" width="7.5703125" style="110" customWidth="1"/>
    <col min="12037" max="12288" width="9.140625" style="110"/>
    <col min="12289" max="12289" width="39.7109375" style="110" customWidth="1"/>
    <col min="12290" max="12291" width="17.28515625" style="110" customWidth="1"/>
    <col min="12292" max="12292" width="7.5703125" style="110" customWidth="1"/>
    <col min="12293" max="12544" width="9.140625" style="110"/>
    <col min="12545" max="12545" width="39.7109375" style="110" customWidth="1"/>
    <col min="12546" max="12547" width="17.28515625" style="110" customWidth="1"/>
    <col min="12548" max="12548" width="7.5703125" style="110" customWidth="1"/>
    <col min="12549" max="12800" width="9.140625" style="110"/>
    <col min="12801" max="12801" width="39.7109375" style="110" customWidth="1"/>
    <col min="12802" max="12803" width="17.28515625" style="110" customWidth="1"/>
    <col min="12804" max="12804" width="7.5703125" style="110" customWidth="1"/>
    <col min="12805" max="13056" width="9.140625" style="110"/>
    <col min="13057" max="13057" width="39.7109375" style="110" customWidth="1"/>
    <col min="13058" max="13059" width="17.28515625" style="110" customWidth="1"/>
    <col min="13060" max="13060" width="7.5703125" style="110" customWidth="1"/>
    <col min="13061" max="13312" width="9.140625" style="110"/>
    <col min="13313" max="13313" width="39.7109375" style="110" customWidth="1"/>
    <col min="13314" max="13315" width="17.28515625" style="110" customWidth="1"/>
    <col min="13316" max="13316" width="7.5703125" style="110" customWidth="1"/>
    <col min="13317" max="13568" width="9.140625" style="110"/>
    <col min="13569" max="13569" width="39.7109375" style="110" customWidth="1"/>
    <col min="13570" max="13571" width="17.28515625" style="110" customWidth="1"/>
    <col min="13572" max="13572" width="7.5703125" style="110" customWidth="1"/>
    <col min="13573" max="13824" width="9.140625" style="110"/>
    <col min="13825" max="13825" width="39.7109375" style="110" customWidth="1"/>
    <col min="13826" max="13827" width="17.28515625" style="110" customWidth="1"/>
    <col min="13828" max="13828" width="7.5703125" style="110" customWidth="1"/>
    <col min="13829" max="14080" width="9.140625" style="110"/>
    <col min="14081" max="14081" width="39.7109375" style="110" customWidth="1"/>
    <col min="14082" max="14083" width="17.28515625" style="110" customWidth="1"/>
    <col min="14084" max="14084" width="7.5703125" style="110" customWidth="1"/>
    <col min="14085" max="14336" width="9.140625" style="110"/>
    <col min="14337" max="14337" width="39.7109375" style="110" customWidth="1"/>
    <col min="14338" max="14339" width="17.28515625" style="110" customWidth="1"/>
    <col min="14340" max="14340" width="7.5703125" style="110" customWidth="1"/>
    <col min="14341" max="14592" width="9.140625" style="110"/>
    <col min="14593" max="14593" width="39.7109375" style="110" customWidth="1"/>
    <col min="14594" max="14595" width="17.28515625" style="110" customWidth="1"/>
    <col min="14596" max="14596" width="7.5703125" style="110" customWidth="1"/>
    <col min="14597" max="14848" width="9.140625" style="110"/>
    <col min="14849" max="14849" width="39.7109375" style="110" customWidth="1"/>
    <col min="14850" max="14851" width="17.28515625" style="110" customWidth="1"/>
    <col min="14852" max="14852" width="7.5703125" style="110" customWidth="1"/>
    <col min="14853" max="15104" width="9.140625" style="110"/>
    <col min="15105" max="15105" width="39.7109375" style="110" customWidth="1"/>
    <col min="15106" max="15107" width="17.28515625" style="110" customWidth="1"/>
    <col min="15108" max="15108" width="7.5703125" style="110" customWidth="1"/>
    <col min="15109" max="15360" width="9.140625" style="110"/>
    <col min="15361" max="15361" width="39.7109375" style="110" customWidth="1"/>
    <col min="15362" max="15363" width="17.28515625" style="110" customWidth="1"/>
    <col min="15364" max="15364" width="7.5703125" style="110" customWidth="1"/>
    <col min="15365" max="15616" width="9.140625" style="110"/>
    <col min="15617" max="15617" width="39.7109375" style="110" customWidth="1"/>
    <col min="15618" max="15619" width="17.28515625" style="110" customWidth="1"/>
    <col min="15620" max="15620" width="7.5703125" style="110" customWidth="1"/>
    <col min="15621" max="15872" width="9.140625" style="110"/>
    <col min="15873" max="15873" width="39.7109375" style="110" customWidth="1"/>
    <col min="15874" max="15875" width="17.28515625" style="110" customWidth="1"/>
    <col min="15876" max="15876" width="7.5703125" style="110" customWidth="1"/>
    <col min="15877" max="16128" width="9.140625" style="110"/>
    <col min="16129" max="16129" width="39.7109375" style="110" customWidth="1"/>
    <col min="16130" max="16131" width="17.28515625" style="110" customWidth="1"/>
    <col min="16132" max="16132" width="7.5703125" style="110" customWidth="1"/>
    <col min="16133" max="16384" width="9.140625" style="110"/>
  </cols>
  <sheetData>
    <row r="1" spans="1:5">
      <c r="A1" s="1105"/>
      <c r="B1" s="1105"/>
      <c r="C1" s="1105"/>
      <c r="D1" s="1105"/>
    </row>
    <row r="2" spans="1:5" ht="22.5" customHeight="1">
      <c r="A2" s="2389" t="s">
        <v>1784</v>
      </c>
      <c r="B2" s="2389"/>
      <c r="C2" s="2389"/>
      <c r="D2" s="44"/>
    </row>
    <row r="3" spans="1:5" ht="9.6" customHeight="1">
      <c r="A3" s="1105"/>
      <c r="B3" s="1106"/>
      <c r="C3" s="1106"/>
      <c r="D3" s="1105"/>
    </row>
    <row r="4" spans="1:5">
      <c r="A4" s="2385" t="s">
        <v>1785</v>
      </c>
      <c r="B4" s="2390" t="s">
        <v>3625</v>
      </c>
      <c r="C4" s="2390"/>
      <c r="D4" s="1105"/>
    </row>
    <row r="5" spans="1:5" s="1127" customFormat="1">
      <c r="A5" s="2386"/>
      <c r="B5" s="1091" t="s">
        <v>1173</v>
      </c>
      <c r="C5" s="1155" t="s">
        <v>1786</v>
      </c>
      <c r="D5" s="1140"/>
    </row>
    <row r="6" spans="1:5" ht="12.75" customHeight="1">
      <c r="A6" s="1093" t="s">
        <v>3523</v>
      </c>
      <c r="B6" s="1156">
        <f>SUM(B7:B9)</f>
        <v>1603</v>
      </c>
      <c r="C6" s="1157">
        <f>SUM(C7:C9)</f>
        <v>100</v>
      </c>
      <c r="D6" s="1105"/>
    </row>
    <row r="7" spans="1:5" ht="12.75" customHeight="1">
      <c r="A7" s="1100" t="s">
        <v>1787</v>
      </c>
      <c r="B7" s="1143">
        <v>1163</v>
      </c>
      <c r="C7" s="1158">
        <v>72.551466001247661</v>
      </c>
      <c r="D7" s="1105"/>
    </row>
    <row r="8" spans="1:5" ht="12.75" customHeight="1">
      <c r="A8" s="1100" t="s">
        <v>1788</v>
      </c>
      <c r="B8" s="1143">
        <v>135</v>
      </c>
      <c r="C8" s="1158">
        <v>8.4217092950717412</v>
      </c>
      <c r="D8" s="1105"/>
    </row>
    <row r="9" spans="1:5" ht="12.75" customHeight="1">
      <c r="A9" s="1100" t="s">
        <v>1789</v>
      </c>
      <c r="B9" s="1143">
        <v>305</v>
      </c>
      <c r="C9" s="1158">
        <v>19.0268247036806</v>
      </c>
      <c r="D9" s="1105"/>
    </row>
    <row r="10" spans="1:5" ht="13.5" customHeight="1">
      <c r="A10" s="1100"/>
      <c r="B10" s="1125"/>
      <c r="C10" s="1158"/>
      <c r="D10" s="1105"/>
    </row>
    <row r="11" spans="1:5" ht="26.25" customHeight="1">
      <c r="A11" s="2391" t="s">
        <v>3626</v>
      </c>
      <c r="B11" s="2391"/>
      <c r="C11" s="2391"/>
      <c r="D11" s="1105"/>
    </row>
    <row r="12" spans="1:5" ht="24" customHeight="1">
      <c r="A12" s="2388" t="s">
        <v>3627</v>
      </c>
      <c r="B12" s="2388"/>
      <c r="C12" s="2388"/>
      <c r="D12" s="1105"/>
    </row>
    <row r="13" spans="1:5" ht="49.5" customHeight="1">
      <c r="A13" s="2388" t="s">
        <v>3619</v>
      </c>
      <c r="B13" s="2388"/>
      <c r="C13" s="2388"/>
      <c r="D13" s="1089"/>
      <c r="E13" s="1089"/>
    </row>
    <row r="14" spans="1:5">
      <c r="A14" s="2388" t="s">
        <v>1783</v>
      </c>
      <c r="B14" s="2388"/>
      <c r="C14" s="2388"/>
      <c r="D14" s="1105"/>
    </row>
    <row r="15" spans="1:5" ht="7.15" customHeight="1">
      <c r="A15" s="1105"/>
      <c r="B15" s="1106"/>
      <c r="C15" s="1106"/>
      <c r="D15" s="1105"/>
    </row>
    <row r="16" spans="1:5">
      <c r="A16" s="1105"/>
      <c r="B16" s="1105"/>
      <c r="C16" s="1105"/>
    </row>
    <row r="17" spans="2:2">
      <c r="B17" s="1144"/>
    </row>
  </sheetData>
  <mergeCells count="7">
    <mergeCell ref="A14:C14"/>
    <mergeCell ref="A2:C2"/>
    <mergeCell ref="A4:A5"/>
    <mergeCell ref="B4:C4"/>
    <mergeCell ref="A11:C11"/>
    <mergeCell ref="A12:C12"/>
    <mergeCell ref="A13:C13"/>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85.xml><?xml version="1.0" encoding="utf-8"?>
<worksheet xmlns="http://schemas.openxmlformats.org/spreadsheetml/2006/main" xmlns:r="http://schemas.openxmlformats.org/officeDocument/2006/relationships">
  <sheetPr>
    <outlinePr summaryBelow="0" summaryRight="0"/>
  </sheetPr>
  <dimension ref="A1:R77"/>
  <sheetViews>
    <sheetView zoomScaleNormal="100" workbookViewId="0">
      <selection activeCell="K8" sqref="K8"/>
    </sheetView>
  </sheetViews>
  <sheetFormatPr baseColWidth="10" defaultColWidth="9.140625" defaultRowHeight="12"/>
  <cols>
    <col min="1" max="1" width="24.42578125" style="110" customWidth="1"/>
    <col min="2" max="9" width="13.7109375" style="110" customWidth="1"/>
    <col min="10" max="256" width="9.140625" style="110"/>
    <col min="257" max="257" width="49.42578125" style="110" customWidth="1"/>
    <col min="258" max="265" width="13.7109375" style="110" customWidth="1"/>
    <col min="266" max="512" width="9.140625" style="110"/>
    <col min="513" max="513" width="49.42578125" style="110" customWidth="1"/>
    <col min="514" max="521" width="13.7109375" style="110" customWidth="1"/>
    <col min="522" max="768" width="9.140625" style="110"/>
    <col min="769" max="769" width="49.42578125" style="110" customWidth="1"/>
    <col min="770" max="777" width="13.7109375" style="110" customWidth="1"/>
    <col min="778" max="1024" width="9.140625" style="110"/>
    <col min="1025" max="1025" width="49.42578125" style="110" customWidth="1"/>
    <col min="1026" max="1033" width="13.7109375" style="110" customWidth="1"/>
    <col min="1034" max="1280" width="9.140625" style="110"/>
    <col min="1281" max="1281" width="49.42578125" style="110" customWidth="1"/>
    <col min="1282" max="1289" width="13.7109375" style="110" customWidth="1"/>
    <col min="1290" max="1536" width="9.140625" style="110"/>
    <col min="1537" max="1537" width="49.42578125" style="110" customWidth="1"/>
    <col min="1538" max="1545" width="13.7109375" style="110" customWidth="1"/>
    <col min="1546" max="1792" width="9.140625" style="110"/>
    <col min="1793" max="1793" width="49.42578125" style="110" customWidth="1"/>
    <col min="1794" max="1801" width="13.7109375" style="110" customWidth="1"/>
    <col min="1802" max="2048" width="9.140625" style="110"/>
    <col min="2049" max="2049" width="49.42578125" style="110" customWidth="1"/>
    <col min="2050" max="2057" width="13.7109375" style="110" customWidth="1"/>
    <col min="2058" max="2304" width="9.140625" style="110"/>
    <col min="2305" max="2305" width="49.42578125" style="110" customWidth="1"/>
    <col min="2306" max="2313" width="13.7109375" style="110" customWidth="1"/>
    <col min="2314" max="2560" width="9.140625" style="110"/>
    <col min="2561" max="2561" width="49.42578125" style="110" customWidth="1"/>
    <col min="2562" max="2569" width="13.7109375" style="110" customWidth="1"/>
    <col min="2570" max="2816" width="9.140625" style="110"/>
    <col min="2817" max="2817" width="49.42578125" style="110" customWidth="1"/>
    <col min="2818" max="2825" width="13.7109375" style="110" customWidth="1"/>
    <col min="2826" max="3072" width="9.140625" style="110"/>
    <col min="3073" max="3073" width="49.42578125" style="110" customWidth="1"/>
    <col min="3074" max="3081" width="13.7109375" style="110" customWidth="1"/>
    <col min="3082" max="3328" width="9.140625" style="110"/>
    <col min="3329" max="3329" width="49.42578125" style="110" customWidth="1"/>
    <col min="3330" max="3337" width="13.7109375" style="110" customWidth="1"/>
    <col min="3338" max="3584" width="9.140625" style="110"/>
    <col min="3585" max="3585" width="49.42578125" style="110" customWidth="1"/>
    <col min="3586" max="3593" width="13.7109375" style="110" customWidth="1"/>
    <col min="3594" max="3840" width="9.140625" style="110"/>
    <col min="3841" max="3841" width="49.42578125" style="110" customWidth="1"/>
    <col min="3842" max="3849" width="13.7109375" style="110" customWidth="1"/>
    <col min="3850" max="4096" width="9.140625" style="110"/>
    <col min="4097" max="4097" width="49.42578125" style="110" customWidth="1"/>
    <col min="4098" max="4105" width="13.7109375" style="110" customWidth="1"/>
    <col min="4106" max="4352" width="9.140625" style="110"/>
    <col min="4353" max="4353" width="49.42578125" style="110" customWidth="1"/>
    <col min="4354" max="4361" width="13.7109375" style="110" customWidth="1"/>
    <col min="4362" max="4608" width="9.140625" style="110"/>
    <col min="4609" max="4609" width="49.42578125" style="110" customWidth="1"/>
    <col min="4610" max="4617" width="13.7109375" style="110" customWidth="1"/>
    <col min="4618" max="4864" width="9.140625" style="110"/>
    <col min="4865" max="4865" width="49.42578125" style="110" customWidth="1"/>
    <col min="4866" max="4873" width="13.7109375" style="110" customWidth="1"/>
    <col min="4874" max="5120" width="9.140625" style="110"/>
    <col min="5121" max="5121" width="49.42578125" style="110" customWidth="1"/>
    <col min="5122" max="5129" width="13.7109375" style="110" customWidth="1"/>
    <col min="5130" max="5376" width="9.140625" style="110"/>
    <col min="5377" max="5377" width="49.42578125" style="110" customWidth="1"/>
    <col min="5378" max="5385" width="13.7109375" style="110" customWidth="1"/>
    <col min="5386" max="5632" width="9.140625" style="110"/>
    <col min="5633" max="5633" width="49.42578125" style="110" customWidth="1"/>
    <col min="5634" max="5641" width="13.7109375" style="110" customWidth="1"/>
    <col min="5642" max="5888" width="9.140625" style="110"/>
    <col min="5889" max="5889" width="49.42578125" style="110" customWidth="1"/>
    <col min="5890" max="5897" width="13.7109375" style="110" customWidth="1"/>
    <col min="5898" max="6144" width="9.140625" style="110"/>
    <col min="6145" max="6145" width="49.42578125" style="110" customWidth="1"/>
    <col min="6146" max="6153" width="13.7109375" style="110" customWidth="1"/>
    <col min="6154" max="6400" width="9.140625" style="110"/>
    <col min="6401" max="6401" width="49.42578125" style="110" customWidth="1"/>
    <col min="6402" max="6409" width="13.7109375" style="110" customWidth="1"/>
    <col min="6410" max="6656" width="9.140625" style="110"/>
    <col min="6657" max="6657" width="49.42578125" style="110" customWidth="1"/>
    <col min="6658" max="6665" width="13.7109375" style="110" customWidth="1"/>
    <col min="6666" max="6912" width="9.140625" style="110"/>
    <col min="6913" max="6913" width="49.42578125" style="110" customWidth="1"/>
    <col min="6914" max="6921" width="13.7109375" style="110" customWidth="1"/>
    <col min="6922" max="7168" width="9.140625" style="110"/>
    <col min="7169" max="7169" width="49.42578125" style="110" customWidth="1"/>
    <col min="7170" max="7177" width="13.7109375" style="110" customWidth="1"/>
    <col min="7178" max="7424" width="9.140625" style="110"/>
    <col min="7425" max="7425" width="49.42578125" style="110" customWidth="1"/>
    <col min="7426" max="7433" width="13.7109375" style="110" customWidth="1"/>
    <col min="7434" max="7680" width="9.140625" style="110"/>
    <col min="7681" max="7681" width="49.42578125" style="110" customWidth="1"/>
    <col min="7682" max="7689" width="13.7109375" style="110" customWidth="1"/>
    <col min="7690" max="7936" width="9.140625" style="110"/>
    <col min="7937" max="7937" width="49.42578125" style="110" customWidth="1"/>
    <col min="7938" max="7945" width="13.7109375" style="110" customWidth="1"/>
    <col min="7946" max="8192" width="9.140625" style="110"/>
    <col min="8193" max="8193" width="49.42578125" style="110" customWidth="1"/>
    <col min="8194" max="8201" width="13.7109375" style="110" customWidth="1"/>
    <col min="8202" max="8448" width="9.140625" style="110"/>
    <col min="8449" max="8449" width="49.42578125" style="110" customWidth="1"/>
    <col min="8450" max="8457" width="13.7109375" style="110" customWidth="1"/>
    <col min="8458" max="8704" width="9.140625" style="110"/>
    <col min="8705" max="8705" width="49.42578125" style="110" customWidth="1"/>
    <col min="8706" max="8713" width="13.7109375" style="110" customWidth="1"/>
    <col min="8714" max="8960" width="9.140625" style="110"/>
    <col min="8961" max="8961" width="49.42578125" style="110" customWidth="1"/>
    <col min="8962" max="8969" width="13.7109375" style="110" customWidth="1"/>
    <col min="8970" max="9216" width="9.140625" style="110"/>
    <col min="9217" max="9217" width="49.42578125" style="110" customWidth="1"/>
    <col min="9218" max="9225" width="13.7109375" style="110" customWidth="1"/>
    <col min="9226" max="9472" width="9.140625" style="110"/>
    <col min="9473" max="9473" width="49.42578125" style="110" customWidth="1"/>
    <col min="9474" max="9481" width="13.7109375" style="110" customWidth="1"/>
    <col min="9482" max="9728" width="9.140625" style="110"/>
    <col min="9729" max="9729" width="49.42578125" style="110" customWidth="1"/>
    <col min="9730" max="9737" width="13.7109375" style="110" customWidth="1"/>
    <col min="9738" max="9984" width="9.140625" style="110"/>
    <col min="9985" max="9985" width="49.42578125" style="110" customWidth="1"/>
    <col min="9986" max="9993" width="13.7109375" style="110" customWidth="1"/>
    <col min="9994" max="10240" width="9.140625" style="110"/>
    <col min="10241" max="10241" width="49.42578125" style="110" customWidth="1"/>
    <col min="10242" max="10249" width="13.7109375" style="110" customWidth="1"/>
    <col min="10250" max="10496" width="9.140625" style="110"/>
    <col min="10497" max="10497" width="49.42578125" style="110" customWidth="1"/>
    <col min="10498" max="10505" width="13.7109375" style="110" customWidth="1"/>
    <col min="10506" max="10752" width="9.140625" style="110"/>
    <col min="10753" max="10753" width="49.42578125" style="110" customWidth="1"/>
    <col min="10754" max="10761" width="13.7109375" style="110" customWidth="1"/>
    <col min="10762" max="11008" width="9.140625" style="110"/>
    <col min="11009" max="11009" width="49.42578125" style="110" customWidth="1"/>
    <col min="11010" max="11017" width="13.7109375" style="110" customWidth="1"/>
    <col min="11018" max="11264" width="9.140625" style="110"/>
    <col min="11265" max="11265" width="49.42578125" style="110" customWidth="1"/>
    <col min="11266" max="11273" width="13.7109375" style="110" customWidth="1"/>
    <col min="11274" max="11520" width="9.140625" style="110"/>
    <col min="11521" max="11521" width="49.42578125" style="110" customWidth="1"/>
    <col min="11522" max="11529" width="13.7109375" style="110" customWidth="1"/>
    <col min="11530" max="11776" width="9.140625" style="110"/>
    <col min="11777" max="11777" width="49.42578125" style="110" customWidth="1"/>
    <col min="11778" max="11785" width="13.7109375" style="110" customWidth="1"/>
    <col min="11786" max="12032" width="9.140625" style="110"/>
    <col min="12033" max="12033" width="49.42578125" style="110" customWidth="1"/>
    <col min="12034" max="12041" width="13.7109375" style="110" customWidth="1"/>
    <col min="12042" max="12288" width="9.140625" style="110"/>
    <col min="12289" max="12289" width="49.42578125" style="110" customWidth="1"/>
    <col min="12290" max="12297" width="13.7109375" style="110" customWidth="1"/>
    <col min="12298" max="12544" width="9.140625" style="110"/>
    <col min="12545" max="12545" width="49.42578125" style="110" customWidth="1"/>
    <col min="12546" max="12553" width="13.7109375" style="110" customWidth="1"/>
    <col min="12554" max="12800" width="9.140625" style="110"/>
    <col min="12801" max="12801" width="49.42578125" style="110" customWidth="1"/>
    <col min="12802" max="12809" width="13.7109375" style="110" customWidth="1"/>
    <col min="12810" max="13056" width="9.140625" style="110"/>
    <col min="13057" max="13057" width="49.42578125" style="110" customWidth="1"/>
    <col min="13058" max="13065" width="13.7109375" style="110" customWidth="1"/>
    <col min="13066" max="13312" width="9.140625" style="110"/>
    <col min="13313" max="13313" width="49.42578125" style="110" customWidth="1"/>
    <col min="13314" max="13321" width="13.7109375" style="110" customWidth="1"/>
    <col min="13322" max="13568" width="9.140625" style="110"/>
    <col min="13569" max="13569" width="49.42578125" style="110" customWidth="1"/>
    <col min="13570" max="13577" width="13.7109375" style="110" customWidth="1"/>
    <col min="13578" max="13824" width="9.140625" style="110"/>
    <col min="13825" max="13825" width="49.42578125" style="110" customWidth="1"/>
    <col min="13826" max="13833" width="13.7109375" style="110" customWidth="1"/>
    <col min="13834" max="14080" width="9.140625" style="110"/>
    <col min="14081" max="14081" width="49.42578125" style="110" customWidth="1"/>
    <col min="14082" max="14089" width="13.7109375" style="110" customWidth="1"/>
    <col min="14090" max="14336" width="9.140625" style="110"/>
    <col min="14337" max="14337" width="49.42578125" style="110" customWidth="1"/>
    <col min="14338" max="14345" width="13.7109375" style="110" customWidth="1"/>
    <col min="14346" max="14592" width="9.140625" style="110"/>
    <col min="14593" max="14593" width="49.42578125" style="110" customWidth="1"/>
    <col min="14594" max="14601" width="13.7109375" style="110" customWidth="1"/>
    <col min="14602" max="14848" width="9.140625" style="110"/>
    <col min="14849" max="14849" width="49.42578125" style="110" customWidth="1"/>
    <col min="14850" max="14857" width="13.7109375" style="110" customWidth="1"/>
    <col min="14858" max="15104" width="9.140625" style="110"/>
    <col min="15105" max="15105" width="49.42578125" style="110" customWidth="1"/>
    <col min="15106" max="15113" width="13.7109375" style="110" customWidth="1"/>
    <col min="15114" max="15360" width="9.140625" style="110"/>
    <col min="15361" max="15361" width="49.42578125" style="110" customWidth="1"/>
    <col min="15362" max="15369" width="13.7109375" style="110" customWidth="1"/>
    <col min="15370" max="15616" width="9.140625" style="110"/>
    <col min="15617" max="15617" width="49.42578125" style="110" customWidth="1"/>
    <col min="15618" max="15625" width="13.7109375" style="110" customWidth="1"/>
    <col min="15626" max="15872" width="9.140625" style="110"/>
    <col min="15873" max="15873" width="49.42578125" style="110" customWidth="1"/>
    <col min="15874" max="15881" width="13.7109375" style="110" customWidth="1"/>
    <col min="15882" max="16128" width="9.140625" style="110"/>
    <col min="16129" max="16129" width="49.42578125" style="110" customWidth="1"/>
    <col min="16130" max="16137" width="13.7109375" style="110" customWidth="1"/>
    <col min="16138" max="16384" width="9.140625" style="110"/>
  </cols>
  <sheetData>
    <row r="1" spans="1:9" ht="18.75" customHeight="1">
      <c r="A1" s="1105"/>
      <c r="B1" s="1105"/>
      <c r="C1" s="1105"/>
      <c r="D1" s="1105"/>
      <c r="E1" s="1105"/>
      <c r="F1" s="1105"/>
      <c r="G1" s="1105"/>
      <c r="H1" s="1105"/>
      <c r="I1" s="1105"/>
    </row>
    <row r="2" spans="1:9" ht="25.5" customHeight="1">
      <c r="A2" s="2393" t="s">
        <v>1790</v>
      </c>
      <c r="B2" s="2393"/>
      <c r="C2" s="2393"/>
      <c r="D2" s="2393"/>
      <c r="E2" s="2393"/>
      <c r="F2" s="2393"/>
      <c r="G2" s="2393"/>
      <c r="H2" s="2393"/>
      <c r="I2" s="2393"/>
    </row>
    <row r="3" spans="1:9">
      <c r="A3" s="1105"/>
      <c r="B3" s="1106"/>
      <c r="C3" s="1106"/>
      <c r="D3" s="1106"/>
      <c r="E3" s="1106"/>
      <c r="F3" s="1106"/>
      <c r="G3" s="1106"/>
      <c r="H3" s="1106"/>
      <c r="I3" s="1106"/>
    </row>
    <row r="4" spans="1:9">
      <c r="A4" s="2394" t="s">
        <v>1791</v>
      </c>
      <c r="B4" s="2384" t="s">
        <v>3624</v>
      </c>
      <c r="C4" s="2384"/>
      <c r="D4" s="2384"/>
      <c r="E4" s="2384"/>
      <c r="F4" s="2384"/>
      <c r="G4" s="2384"/>
      <c r="H4" s="2384"/>
      <c r="I4" s="2384"/>
    </row>
    <row r="5" spans="1:9">
      <c r="A5" s="2382"/>
      <c r="B5" s="1107"/>
      <c r="C5" s="2384" t="s">
        <v>1792</v>
      </c>
      <c r="D5" s="2384"/>
      <c r="E5" s="2384"/>
      <c r="F5" s="2384"/>
      <c r="G5" s="2384"/>
      <c r="H5" s="2384"/>
      <c r="I5" s="2384"/>
    </row>
    <row r="6" spans="1:9" ht="26.25" customHeight="1">
      <c r="A6" s="2383"/>
      <c r="B6" s="1107" t="s">
        <v>3604</v>
      </c>
      <c r="C6" s="1107" t="s">
        <v>1793</v>
      </c>
      <c r="D6" s="1107" t="s">
        <v>1794</v>
      </c>
      <c r="E6" s="1107" t="s">
        <v>1795</v>
      </c>
      <c r="F6" s="1107" t="s">
        <v>1796</v>
      </c>
      <c r="G6" s="1107" t="s">
        <v>1797</v>
      </c>
      <c r="H6" s="1107" t="s">
        <v>1798</v>
      </c>
      <c r="I6" s="1107" t="s">
        <v>1799</v>
      </c>
    </row>
    <row r="7" spans="1:9">
      <c r="A7" s="44" t="s">
        <v>6</v>
      </c>
      <c r="B7" s="1145">
        <f>SUM(B8:B22)</f>
        <v>1603</v>
      </c>
      <c r="C7" s="1145">
        <f t="shared" ref="C7:H7" si="0">SUM(C8:C22)</f>
        <v>245</v>
      </c>
      <c r="D7" s="1145">
        <f t="shared" si="0"/>
        <v>711</v>
      </c>
      <c r="E7" s="1145">
        <f t="shared" si="0"/>
        <v>552</v>
      </c>
      <c r="F7" s="1145">
        <f t="shared" si="0"/>
        <v>15</v>
      </c>
      <c r="G7" s="1145">
        <f t="shared" si="0"/>
        <v>74</v>
      </c>
      <c r="H7" s="1145">
        <f t="shared" si="0"/>
        <v>5</v>
      </c>
      <c r="I7" s="1152">
        <f>SUM(I8:I22)</f>
        <v>1</v>
      </c>
    </row>
    <row r="8" spans="1:9" ht="12.75" customHeight="1">
      <c r="A8" s="1146" t="s">
        <v>7</v>
      </c>
      <c r="B8" s="1145">
        <f t="shared" ref="B8:B22" si="1">SUM(C8:I8)</f>
        <v>35</v>
      </c>
      <c r="C8" s="1147">
        <v>0</v>
      </c>
      <c r="D8" s="1147">
        <v>4</v>
      </c>
      <c r="E8" s="1147">
        <v>30</v>
      </c>
      <c r="F8" s="1147">
        <v>1</v>
      </c>
      <c r="G8" s="1147">
        <v>0</v>
      </c>
      <c r="H8" s="1147">
        <v>0</v>
      </c>
      <c r="I8" s="1147">
        <v>0</v>
      </c>
    </row>
    <row r="9" spans="1:9" ht="12.75" customHeight="1">
      <c r="A9" s="1146" t="s">
        <v>8</v>
      </c>
      <c r="B9" s="1145">
        <f t="shared" si="1"/>
        <v>39</v>
      </c>
      <c r="C9" s="1147">
        <v>2</v>
      </c>
      <c r="D9" s="1147">
        <v>6</v>
      </c>
      <c r="E9" s="1147">
        <v>31</v>
      </c>
      <c r="F9" s="1147">
        <v>0</v>
      </c>
      <c r="G9" s="1147">
        <v>0</v>
      </c>
      <c r="H9" s="1147">
        <v>0</v>
      </c>
      <c r="I9" s="1147">
        <v>0</v>
      </c>
    </row>
    <row r="10" spans="1:9" ht="12.75" customHeight="1">
      <c r="A10" s="1146" t="s">
        <v>9</v>
      </c>
      <c r="B10" s="1145">
        <f t="shared" si="1"/>
        <v>105</v>
      </c>
      <c r="C10" s="1147">
        <v>3</v>
      </c>
      <c r="D10" s="1147">
        <v>40</v>
      </c>
      <c r="E10" s="1147">
        <v>61</v>
      </c>
      <c r="F10" s="1147">
        <v>1</v>
      </c>
      <c r="G10" s="1147">
        <v>0</v>
      </c>
      <c r="H10" s="1147">
        <v>0</v>
      </c>
      <c r="I10" s="1147">
        <v>0</v>
      </c>
    </row>
    <row r="11" spans="1:9" ht="12.75" customHeight="1">
      <c r="A11" s="1146" t="s">
        <v>10</v>
      </c>
      <c r="B11" s="1145">
        <f t="shared" si="1"/>
        <v>97</v>
      </c>
      <c r="C11" s="1147">
        <v>5</v>
      </c>
      <c r="D11" s="1147">
        <v>64</v>
      </c>
      <c r="E11" s="1147">
        <v>28</v>
      </c>
      <c r="F11" s="1147">
        <v>0</v>
      </c>
      <c r="G11" s="1147">
        <v>0</v>
      </c>
      <c r="H11" s="1147">
        <v>0</v>
      </c>
      <c r="I11" s="1147">
        <v>0</v>
      </c>
    </row>
    <row r="12" spans="1:9" ht="12.75" customHeight="1">
      <c r="A12" s="1146" t="s">
        <v>11</v>
      </c>
      <c r="B12" s="1145">
        <f t="shared" si="1"/>
        <v>120</v>
      </c>
      <c r="C12" s="1147">
        <v>12</v>
      </c>
      <c r="D12" s="1147">
        <v>59</v>
      </c>
      <c r="E12" s="1147">
        <v>48</v>
      </c>
      <c r="F12" s="1147">
        <v>0</v>
      </c>
      <c r="G12" s="1147">
        <v>1</v>
      </c>
      <c r="H12" s="1147">
        <v>0</v>
      </c>
      <c r="I12" s="1147">
        <v>0</v>
      </c>
    </row>
    <row r="13" spans="1:9" ht="12.75" customHeight="1">
      <c r="A13" s="1146" t="s">
        <v>12</v>
      </c>
      <c r="B13" s="1145">
        <f t="shared" si="1"/>
        <v>164</v>
      </c>
      <c r="C13" s="1147">
        <v>33</v>
      </c>
      <c r="D13" s="1147">
        <v>65</v>
      </c>
      <c r="E13" s="1147">
        <v>50</v>
      </c>
      <c r="F13" s="1147">
        <v>1</v>
      </c>
      <c r="G13" s="1147">
        <v>15</v>
      </c>
      <c r="H13" s="1147">
        <v>0</v>
      </c>
      <c r="I13" s="1147">
        <v>0</v>
      </c>
    </row>
    <row r="14" spans="1:9">
      <c r="A14" s="1146" t="s">
        <v>13</v>
      </c>
      <c r="B14" s="1145">
        <f t="shared" si="1"/>
        <v>110</v>
      </c>
      <c r="C14" s="1147">
        <v>46</v>
      </c>
      <c r="D14" s="1147">
        <v>7</v>
      </c>
      <c r="E14" s="1147">
        <v>17</v>
      </c>
      <c r="F14" s="1147">
        <v>0</v>
      </c>
      <c r="G14" s="1147">
        <v>34</v>
      </c>
      <c r="H14" s="1147">
        <v>5</v>
      </c>
      <c r="I14" s="1147">
        <v>1</v>
      </c>
    </row>
    <row r="15" spans="1:9" ht="12.75" customHeight="1">
      <c r="A15" s="1146" t="s">
        <v>14</v>
      </c>
      <c r="B15" s="1145">
        <f t="shared" si="1"/>
        <v>108</v>
      </c>
      <c r="C15" s="1147">
        <v>29</v>
      </c>
      <c r="D15" s="1147">
        <v>40</v>
      </c>
      <c r="E15" s="1147">
        <v>39</v>
      </c>
      <c r="F15" s="1147">
        <v>0</v>
      </c>
      <c r="G15" s="1147">
        <v>0</v>
      </c>
      <c r="H15" s="1147">
        <v>0</v>
      </c>
      <c r="I15" s="1147">
        <v>0</v>
      </c>
    </row>
    <row r="16" spans="1:9" ht="12.75" customHeight="1">
      <c r="A16" s="1146" t="s">
        <v>15</v>
      </c>
      <c r="B16" s="1145">
        <f t="shared" si="1"/>
        <v>128</v>
      </c>
      <c r="C16" s="1147">
        <v>18</v>
      </c>
      <c r="D16" s="1147">
        <v>64</v>
      </c>
      <c r="E16" s="1147">
        <v>42</v>
      </c>
      <c r="F16" s="1147">
        <v>4</v>
      </c>
      <c r="G16" s="1147">
        <v>0</v>
      </c>
      <c r="H16" s="1147">
        <v>0</v>
      </c>
      <c r="I16" s="1147">
        <v>0</v>
      </c>
    </row>
    <row r="17" spans="1:9" ht="12.75" customHeight="1">
      <c r="A17" s="1146" t="s">
        <v>16</v>
      </c>
      <c r="B17" s="1145">
        <f t="shared" si="1"/>
        <v>201</v>
      </c>
      <c r="C17" s="1147">
        <v>41</v>
      </c>
      <c r="D17" s="1147">
        <v>99</v>
      </c>
      <c r="E17" s="1147">
        <v>48</v>
      </c>
      <c r="F17" s="1147">
        <v>3</v>
      </c>
      <c r="G17" s="1147">
        <v>10</v>
      </c>
      <c r="H17" s="1147">
        <v>0</v>
      </c>
      <c r="I17" s="1147">
        <v>0</v>
      </c>
    </row>
    <row r="18" spans="1:9" ht="12.75" customHeight="1">
      <c r="A18" s="1146" t="s">
        <v>17</v>
      </c>
      <c r="B18" s="1145">
        <f t="shared" si="1"/>
        <v>165</v>
      </c>
      <c r="C18" s="1147">
        <v>33</v>
      </c>
      <c r="D18" s="1147">
        <v>83</v>
      </c>
      <c r="E18" s="1147">
        <v>42</v>
      </c>
      <c r="F18" s="1147">
        <v>2</v>
      </c>
      <c r="G18" s="1147">
        <v>5</v>
      </c>
      <c r="H18" s="1147">
        <v>0</v>
      </c>
      <c r="I18" s="1147">
        <v>0</v>
      </c>
    </row>
    <row r="19" spans="1:9" ht="12.75" customHeight="1">
      <c r="A19" s="1146" t="s">
        <v>18</v>
      </c>
      <c r="B19" s="1145">
        <f t="shared" si="1"/>
        <v>66</v>
      </c>
      <c r="C19" s="1147">
        <v>3</v>
      </c>
      <c r="D19" s="1147">
        <v>37</v>
      </c>
      <c r="E19" s="1147">
        <v>25</v>
      </c>
      <c r="F19" s="1147">
        <v>0</v>
      </c>
      <c r="G19" s="1147">
        <v>1</v>
      </c>
      <c r="H19" s="1147">
        <v>0</v>
      </c>
      <c r="I19" s="1147">
        <v>0</v>
      </c>
    </row>
    <row r="20" spans="1:9" ht="12.75" customHeight="1">
      <c r="A20" s="1146" t="s">
        <v>19</v>
      </c>
      <c r="B20" s="1145">
        <f t="shared" si="1"/>
        <v>154</v>
      </c>
      <c r="C20" s="1147">
        <v>13</v>
      </c>
      <c r="D20" s="1147">
        <v>82</v>
      </c>
      <c r="E20" s="1147">
        <v>53</v>
      </c>
      <c r="F20" s="1147">
        <v>1</v>
      </c>
      <c r="G20" s="1147">
        <v>5</v>
      </c>
      <c r="H20" s="1147">
        <v>0</v>
      </c>
      <c r="I20" s="1147">
        <v>0</v>
      </c>
    </row>
    <row r="21" spans="1:9" ht="12.75" customHeight="1">
      <c r="A21" s="1146" t="s">
        <v>20</v>
      </c>
      <c r="B21" s="1145">
        <f t="shared" si="1"/>
        <v>58</v>
      </c>
      <c r="C21" s="1147">
        <v>5</v>
      </c>
      <c r="D21" s="1147">
        <v>40</v>
      </c>
      <c r="E21" s="1147">
        <v>12</v>
      </c>
      <c r="F21" s="1147">
        <v>0</v>
      </c>
      <c r="G21" s="1147">
        <v>1</v>
      </c>
      <c r="H21" s="1147">
        <v>0</v>
      </c>
      <c r="I21" s="1147">
        <v>0</v>
      </c>
    </row>
    <row r="22" spans="1:9" ht="12.75" customHeight="1">
      <c r="A22" s="1146" t="s">
        <v>21</v>
      </c>
      <c r="B22" s="1145">
        <f t="shared" si="1"/>
        <v>53</v>
      </c>
      <c r="C22" s="1147">
        <v>2</v>
      </c>
      <c r="D22" s="1147">
        <v>21</v>
      </c>
      <c r="E22" s="1147">
        <v>26</v>
      </c>
      <c r="F22" s="1147">
        <v>2</v>
      </c>
      <c r="G22" s="1147">
        <v>2</v>
      </c>
      <c r="H22" s="1147">
        <v>0</v>
      </c>
      <c r="I22" s="1147">
        <v>0</v>
      </c>
    </row>
    <row r="23" spans="1:9">
      <c r="A23" s="1110" t="s">
        <v>1768</v>
      </c>
      <c r="B23" s="1145">
        <f t="shared" ref="B23:H23" si="2">SUM(B24:B38)</f>
        <v>112</v>
      </c>
      <c r="C23" s="1148">
        <f t="shared" si="2"/>
        <v>0</v>
      </c>
      <c r="D23" s="1148">
        <f t="shared" si="2"/>
        <v>8</v>
      </c>
      <c r="E23" s="1148">
        <f t="shared" si="2"/>
        <v>60</v>
      </c>
      <c r="F23" s="1148">
        <f t="shared" si="2"/>
        <v>11</v>
      </c>
      <c r="G23" s="1148">
        <f t="shared" si="2"/>
        <v>27</v>
      </c>
      <c r="H23" s="1148">
        <f t="shared" si="2"/>
        <v>5</v>
      </c>
      <c r="I23" s="1148">
        <f>SUM(I24:I38)</f>
        <v>1</v>
      </c>
    </row>
    <row r="24" spans="1:9" ht="12.75" customHeight="1">
      <c r="A24" s="1146" t="s">
        <v>7</v>
      </c>
      <c r="B24" s="1145">
        <f t="shared" ref="B24:B38" si="3">SUM(C24:I24)</f>
        <v>0</v>
      </c>
      <c r="C24" s="1147">
        <v>0</v>
      </c>
      <c r="D24" s="1147">
        <v>0</v>
      </c>
      <c r="E24" s="1147">
        <v>0</v>
      </c>
      <c r="F24" s="1147">
        <v>0</v>
      </c>
      <c r="G24" s="1147">
        <v>0</v>
      </c>
      <c r="H24" s="1147">
        <v>0</v>
      </c>
      <c r="I24" s="1147">
        <v>0</v>
      </c>
    </row>
    <row r="25" spans="1:9" ht="12.75" customHeight="1">
      <c r="A25" s="1146" t="s">
        <v>8</v>
      </c>
      <c r="B25" s="1145">
        <f t="shared" si="3"/>
        <v>1</v>
      </c>
      <c r="C25" s="1147">
        <v>0</v>
      </c>
      <c r="D25" s="1147">
        <v>0</v>
      </c>
      <c r="E25" s="1147">
        <v>1</v>
      </c>
      <c r="F25" s="1147">
        <v>0</v>
      </c>
      <c r="G25" s="1147">
        <v>0</v>
      </c>
      <c r="H25" s="1147">
        <v>0</v>
      </c>
      <c r="I25" s="1147">
        <v>0</v>
      </c>
    </row>
    <row r="26" spans="1:9" ht="12.75" customHeight="1">
      <c r="A26" s="1146" t="s">
        <v>9</v>
      </c>
      <c r="B26" s="1145">
        <f t="shared" si="3"/>
        <v>1</v>
      </c>
      <c r="C26" s="1147">
        <v>0</v>
      </c>
      <c r="D26" s="1147">
        <v>1</v>
      </c>
      <c r="E26" s="1147">
        <v>0</v>
      </c>
      <c r="F26" s="1147">
        <v>0</v>
      </c>
      <c r="G26" s="1147">
        <v>0</v>
      </c>
      <c r="H26" s="1147">
        <v>0</v>
      </c>
      <c r="I26" s="1147">
        <v>0</v>
      </c>
    </row>
    <row r="27" spans="1:9" ht="12.75" customHeight="1">
      <c r="A27" s="1146" t="s">
        <v>10</v>
      </c>
      <c r="B27" s="1145">
        <f t="shared" si="3"/>
        <v>1</v>
      </c>
      <c r="C27" s="1147">
        <v>0</v>
      </c>
      <c r="D27" s="1147">
        <v>0</v>
      </c>
      <c r="E27" s="1147">
        <v>1</v>
      </c>
      <c r="F27" s="1147">
        <v>0</v>
      </c>
      <c r="G27" s="1147">
        <v>0</v>
      </c>
      <c r="H27" s="1147">
        <v>0</v>
      </c>
      <c r="I27" s="1147">
        <v>0</v>
      </c>
    </row>
    <row r="28" spans="1:9" ht="12.75" customHeight="1">
      <c r="A28" s="1146" t="s">
        <v>11</v>
      </c>
      <c r="B28" s="1145">
        <f t="shared" si="3"/>
        <v>7</v>
      </c>
      <c r="C28" s="1147">
        <v>0</v>
      </c>
      <c r="D28" s="1147">
        <v>0</v>
      </c>
      <c r="E28" s="1147">
        <v>6</v>
      </c>
      <c r="F28" s="1147">
        <v>0</v>
      </c>
      <c r="G28" s="1147">
        <v>1</v>
      </c>
      <c r="H28" s="1147">
        <v>0</v>
      </c>
      <c r="I28" s="1147">
        <v>0</v>
      </c>
    </row>
    <row r="29" spans="1:9" ht="12.75" customHeight="1">
      <c r="A29" s="1146" t="s">
        <v>12</v>
      </c>
      <c r="B29" s="1145">
        <f t="shared" si="3"/>
        <v>16</v>
      </c>
      <c r="C29" s="1147">
        <v>0</v>
      </c>
      <c r="D29" s="1147">
        <v>0</v>
      </c>
      <c r="E29" s="1147">
        <v>8</v>
      </c>
      <c r="F29" s="1147">
        <v>1</v>
      </c>
      <c r="G29" s="1147">
        <v>7</v>
      </c>
      <c r="H29" s="1147">
        <v>0</v>
      </c>
      <c r="I29" s="1147">
        <v>0</v>
      </c>
    </row>
    <row r="30" spans="1:9">
      <c r="A30" s="1146" t="s">
        <v>13</v>
      </c>
      <c r="B30" s="1145">
        <f t="shared" si="3"/>
        <v>18</v>
      </c>
      <c r="C30" s="1147">
        <v>0</v>
      </c>
      <c r="D30" s="1147">
        <v>2</v>
      </c>
      <c r="E30" s="1147">
        <v>5</v>
      </c>
      <c r="F30" s="1147">
        <v>0</v>
      </c>
      <c r="G30" s="1147">
        <v>5</v>
      </c>
      <c r="H30" s="1147">
        <v>5</v>
      </c>
      <c r="I30" s="1147">
        <v>1</v>
      </c>
    </row>
    <row r="31" spans="1:9" ht="12.75" customHeight="1">
      <c r="A31" s="1146" t="s">
        <v>14</v>
      </c>
      <c r="B31" s="1145">
        <f t="shared" si="3"/>
        <v>5</v>
      </c>
      <c r="C31" s="1147">
        <v>0</v>
      </c>
      <c r="D31" s="1147">
        <v>1</v>
      </c>
      <c r="E31" s="1147">
        <v>4</v>
      </c>
      <c r="F31" s="1147">
        <v>0</v>
      </c>
      <c r="G31" s="1147">
        <v>0</v>
      </c>
      <c r="H31" s="1147">
        <v>0</v>
      </c>
      <c r="I31" s="1147">
        <v>0</v>
      </c>
    </row>
    <row r="32" spans="1:9" ht="12.75" customHeight="1">
      <c r="A32" s="1146" t="s">
        <v>15</v>
      </c>
      <c r="B32" s="1145">
        <f t="shared" si="3"/>
        <v>10</v>
      </c>
      <c r="C32" s="1147">
        <v>0</v>
      </c>
      <c r="D32" s="1147">
        <v>2</v>
      </c>
      <c r="E32" s="1147">
        <v>5</v>
      </c>
      <c r="F32" s="1147">
        <v>3</v>
      </c>
      <c r="G32" s="1147">
        <v>0</v>
      </c>
      <c r="H32" s="1147">
        <v>0</v>
      </c>
      <c r="I32" s="1147">
        <v>0</v>
      </c>
    </row>
    <row r="33" spans="1:9" ht="12.75" customHeight="1">
      <c r="A33" s="1146" t="s">
        <v>16</v>
      </c>
      <c r="B33" s="1145">
        <f t="shared" si="3"/>
        <v>19</v>
      </c>
      <c r="C33" s="1147">
        <v>0</v>
      </c>
      <c r="D33" s="1147">
        <v>1</v>
      </c>
      <c r="E33" s="1147">
        <v>11</v>
      </c>
      <c r="F33" s="1147">
        <v>2</v>
      </c>
      <c r="G33" s="1147">
        <v>5</v>
      </c>
      <c r="H33" s="1147">
        <v>0</v>
      </c>
      <c r="I33" s="1147">
        <v>0</v>
      </c>
    </row>
    <row r="34" spans="1:9" ht="12.75" customHeight="1">
      <c r="A34" s="1146" t="s">
        <v>17</v>
      </c>
      <c r="B34" s="1145">
        <f t="shared" si="3"/>
        <v>11</v>
      </c>
      <c r="C34" s="1147">
        <v>0</v>
      </c>
      <c r="D34" s="1147">
        <v>0</v>
      </c>
      <c r="E34" s="1147">
        <v>7</v>
      </c>
      <c r="F34" s="1147">
        <v>2</v>
      </c>
      <c r="G34" s="1147">
        <v>2</v>
      </c>
      <c r="H34" s="1147">
        <v>0</v>
      </c>
      <c r="I34" s="1147">
        <v>0</v>
      </c>
    </row>
    <row r="35" spans="1:9" ht="12.75" customHeight="1">
      <c r="A35" s="1146" t="s">
        <v>18</v>
      </c>
      <c r="B35" s="1145">
        <f t="shared" si="3"/>
        <v>5</v>
      </c>
      <c r="C35" s="1147">
        <v>0</v>
      </c>
      <c r="D35" s="1147">
        <v>0</v>
      </c>
      <c r="E35" s="1147">
        <v>4</v>
      </c>
      <c r="F35" s="1147">
        <v>0</v>
      </c>
      <c r="G35" s="1147">
        <v>1</v>
      </c>
      <c r="H35" s="1147">
        <v>0</v>
      </c>
      <c r="I35" s="1147">
        <v>0</v>
      </c>
    </row>
    <row r="36" spans="1:9" ht="12.75" customHeight="1">
      <c r="A36" s="1146" t="s">
        <v>19</v>
      </c>
      <c r="B36" s="1145">
        <f t="shared" si="3"/>
        <v>10</v>
      </c>
      <c r="C36" s="1147">
        <v>0</v>
      </c>
      <c r="D36" s="1147">
        <v>1</v>
      </c>
      <c r="E36" s="1147">
        <v>5</v>
      </c>
      <c r="F36" s="1147">
        <v>1</v>
      </c>
      <c r="G36" s="1147">
        <v>3</v>
      </c>
      <c r="H36" s="1147">
        <v>0</v>
      </c>
      <c r="I36" s="1147">
        <v>0</v>
      </c>
    </row>
    <row r="37" spans="1:9" ht="12.75" customHeight="1">
      <c r="A37" s="1146" t="s">
        <v>20</v>
      </c>
      <c r="B37" s="1145">
        <f t="shared" si="3"/>
        <v>2</v>
      </c>
      <c r="C37" s="1147">
        <v>0</v>
      </c>
      <c r="D37" s="1147">
        <v>0</v>
      </c>
      <c r="E37" s="1147">
        <v>1</v>
      </c>
      <c r="F37" s="1147">
        <v>0</v>
      </c>
      <c r="G37" s="1147">
        <v>1</v>
      </c>
      <c r="H37" s="1147">
        <v>0</v>
      </c>
      <c r="I37" s="1147">
        <v>0</v>
      </c>
    </row>
    <row r="38" spans="1:9" ht="12.75" customHeight="1">
      <c r="A38" s="1146" t="s">
        <v>21</v>
      </c>
      <c r="B38" s="1145">
        <f t="shared" si="3"/>
        <v>6</v>
      </c>
      <c r="C38" s="1147">
        <v>0</v>
      </c>
      <c r="D38" s="1147">
        <v>0</v>
      </c>
      <c r="E38" s="1147">
        <v>2</v>
      </c>
      <c r="F38" s="1147">
        <v>2</v>
      </c>
      <c r="G38" s="1147">
        <v>2</v>
      </c>
      <c r="H38" s="1147">
        <v>0</v>
      </c>
      <c r="I38" s="1147">
        <v>0</v>
      </c>
    </row>
    <row r="39" spans="1:9">
      <c r="A39" s="1110" t="s">
        <v>1769</v>
      </c>
      <c r="B39" s="1145">
        <f t="shared" ref="B39:I39" si="4">SUM(B40:B54)</f>
        <v>1296</v>
      </c>
      <c r="C39" s="1148">
        <f t="shared" si="4"/>
        <v>50</v>
      </c>
      <c r="D39" s="1148">
        <f t="shared" si="4"/>
        <v>703</v>
      </c>
      <c r="E39" s="1148">
        <f t="shared" si="4"/>
        <v>492</v>
      </c>
      <c r="F39" s="1148">
        <f t="shared" si="4"/>
        <v>4</v>
      </c>
      <c r="G39" s="1148">
        <f t="shared" si="4"/>
        <v>47</v>
      </c>
      <c r="H39" s="1148">
        <f t="shared" si="4"/>
        <v>0</v>
      </c>
      <c r="I39" s="1148">
        <f t="shared" si="4"/>
        <v>0</v>
      </c>
    </row>
    <row r="40" spans="1:9" ht="12.75" customHeight="1">
      <c r="A40" s="1146" t="s">
        <v>7</v>
      </c>
      <c r="B40" s="1145">
        <f t="shared" ref="B40:B54" si="5">SUM(C40:I40)</f>
        <v>35</v>
      </c>
      <c r="C40" s="1147">
        <v>0</v>
      </c>
      <c r="D40" s="1147">
        <v>4</v>
      </c>
      <c r="E40" s="1147">
        <v>30</v>
      </c>
      <c r="F40" s="1147">
        <v>1</v>
      </c>
      <c r="G40" s="1147">
        <v>0</v>
      </c>
      <c r="H40" s="1147">
        <v>0</v>
      </c>
      <c r="I40" s="1147">
        <v>0</v>
      </c>
    </row>
    <row r="41" spans="1:9" ht="12.75" customHeight="1">
      <c r="A41" s="1146" t="s">
        <v>8</v>
      </c>
      <c r="B41" s="1145">
        <f t="shared" si="5"/>
        <v>36</v>
      </c>
      <c r="C41" s="1147">
        <v>0</v>
      </c>
      <c r="D41" s="1147">
        <v>6</v>
      </c>
      <c r="E41" s="1147">
        <v>30</v>
      </c>
      <c r="F41" s="1147">
        <v>0</v>
      </c>
      <c r="G41" s="1147">
        <v>0</v>
      </c>
      <c r="H41" s="1147">
        <v>0</v>
      </c>
      <c r="I41" s="1147">
        <v>0</v>
      </c>
    </row>
    <row r="42" spans="1:9" ht="12.75" customHeight="1">
      <c r="A42" s="1146" t="s">
        <v>9</v>
      </c>
      <c r="B42" s="1145">
        <f t="shared" si="5"/>
        <v>101</v>
      </c>
      <c r="C42" s="1147">
        <v>0</v>
      </c>
      <c r="D42" s="1147">
        <v>39</v>
      </c>
      <c r="E42" s="1147">
        <v>61</v>
      </c>
      <c r="F42" s="1147">
        <v>1</v>
      </c>
      <c r="G42" s="1147">
        <v>0</v>
      </c>
      <c r="H42" s="1147">
        <v>0</v>
      </c>
      <c r="I42" s="1147">
        <v>0</v>
      </c>
    </row>
    <row r="43" spans="1:9" ht="12.75" customHeight="1">
      <c r="A43" s="1146" t="s">
        <v>10</v>
      </c>
      <c r="B43" s="1145">
        <f t="shared" si="5"/>
        <v>92</v>
      </c>
      <c r="C43" s="1147">
        <v>1</v>
      </c>
      <c r="D43" s="1147">
        <v>64</v>
      </c>
      <c r="E43" s="1147">
        <v>27</v>
      </c>
      <c r="F43" s="1147">
        <v>0</v>
      </c>
      <c r="G43" s="1147">
        <v>0</v>
      </c>
      <c r="H43" s="1147">
        <v>0</v>
      </c>
      <c r="I43" s="1147">
        <v>0</v>
      </c>
    </row>
    <row r="44" spans="1:9" ht="12.75" customHeight="1">
      <c r="A44" s="1146" t="s">
        <v>11</v>
      </c>
      <c r="B44" s="1145">
        <f t="shared" si="5"/>
        <v>106</v>
      </c>
      <c r="C44" s="1147">
        <v>5</v>
      </c>
      <c r="D44" s="1147">
        <v>59</v>
      </c>
      <c r="E44" s="1147">
        <v>42</v>
      </c>
      <c r="F44" s="1147">
        <v>0</v>
      </c>
      <c r="G44" s="1147">
        <v>0</v>
      </c>
      <c r="H44" s="1147">
        <v>0</v>
      </c>
      <c r="I44" s="1147">
        <v>0</v>
      </c>
    </row>
    <row r="45" spans="1:9" ht="12.75" customHeight="1">
      <c r="A45" s="1146" t="s">
        <v>12</v>
      </c>
      <c r="B45" s="1145">
        <f t="shared" si="5"/>
        <v>118</v>
      </c>
      <c r="C45" s="1147">
        <v>3</v>
      </c>
      <c r="D45" s="1147">
        <v>65</v>
      </c>
      <c r="E45" s="1147">
        <v>42</v>
      </c>
      <c r="F45" s="1147">
        <v>0</v>
      </c>
      <c r="G45" s="1147">
        <v>8</v>
      </c>
      <c r="H45" s="1147">
        <v>0</v>
      </c>
      <c r="I45" s="1147">
        <v>0</v>
      </c>
    </row>
    <row r="46" spans="1:9">
      <c r="A46" s="1146" t="s">
        <v>13</v>
      </c>
      <c r="B46" s="1145">
        <f t="shared" si="5"/>
        <v>48</v>
      </c>
      <c r="C46" s="1147">
        <v>2</v>
      </c>
      <c r="D46" s="1147">
        <v>5</v>
      </c>
      <c r="E46" s="1147">
        <v>12</v>
      </c>
      <c r="F46" s="1147">
        <v>0</v>
      </c>
      <c r="G46" s="1147">
        <v>29</v>
      </c>
      <c r="H46" s="1147">
        <v>0</v>
      </c>
      <c r="I46" s="1147">
        <v>0</v>
      </c>
    </row>
    <row r="47" spans="1:9" ht="12.75" customHeight="1">
      <c r="A47" s="1146" t="s">
        <v>14</v>
      </c>
      <c r="B47" s="1145">
        <f t="shared" si="5"/>
        <v>79</v>
      </c>
      <c r="C47" s="1147">
        <v>5</v>
      </c>
      <c r="D47" s="1147">
        <v>39</v>
      </c>
      <c r="E47" s="1147">
        <v>35</v>
      </c>
      <c r="F47" s="1147">
        <v>0</v>
      </c>
      <c r="G47" s="1147">
        <v>0</v>
      </c>
      <c r="H47" s="1147">
        <v>0</v>
      </c>
      <c r="I47" s="1147">
        <v>0</v>
      </c>
    </row>
    <row r="48" spans="1:9" ht="12.75" customHeight="1">
      <c r="A48" s="1146" t="s">
        <v>15</v>
      </c>
      <c r="B48" s="1145">
        <f t="shared" si="5"/>
        <v>105</v>
      </c>
      <c r="C48" s="1147">
        <v>5</v>
      </c>
      <c r="D48" s="1147">
        <v>62</v>
      </c>
      <c r="E48" s="1147">
        <v>37</v>
      </c>
      <c r="F48" s="1147">
        <v>1</v>
      </c>
      <c r="G48" s="1147">
        <v>0</v>
      </c>
      <c r="H48" s="1147">
        <v>0</v>
      </c>
      <c r="I48" s="1147">
        <v>0</v>
      </c>
    </row>
    <row r="49" spans="1:9" ht="12.75" customHeight="1">
      <c r="A49" s="1146" t="s">
        <v>16</v>
      </c>
      <c r="B49" s="1145">
        <f t="shared" si="5"/>
        <v>149</v>
      </c>
      <c r="C49" s="1147">
        <v>8</v>
      </c>
      <c r="D49" s="1147">
        <v>98</v>
      </c>
      <c r="E49" s="1147">
        <v>37</v>
      </c>
      <c r="F49" s="1147">
        <v>1</v>
      </c>
      <c r="G49" s="1147">
        <v>5</v>
      </c>
      <c r="H49" s="1147">
        <v>0</v>
      </c>
      <c r="I49" s="1147">
        <v>0</v>
      </c>
    </row>
    <row r="50" spans="1:9" ht="12.75" customHeight="1">
      <c r="A50" s="1146" t="s">
        <v>17</v>
      </c>
      <c r="B50" s="1145">
        <f t="shared" si="5"/>
        <v>132</v>
      </c>
      <c r="C50" s="1147">
        <v>11</v>
      </c>
      <c r="D50" s="1147">
        <v>83</v>
      </c>
      <c r="E50" s="1147">
        <v>35</v>
      </c>
      <c r="F50" s="1147">
        <v>0</v>
      </c>
      <c r="G50" s="1147">
        <v>3</v>
      </c>
      <c r="H50" s="1147">
        <v>0</v>
      </c>
      <c r="I50" s="1147">
        <v>0</v>
      </c>
    </row>
    <row r="51" spans="1:9" ht="12.75" customHeight="1">
      <c r="A51" s="1146" t="s">
        <v>18</v>
      </c>
      <c r="B51" s="1145">
        <f t="shared" si="5"/>
        <v>59</v>
      </c>
      <c r="C51" s="1147">
        <v>1</v>
      </c>
      <c r="D51" s="1147">
        <v>37</v>
      </c>
      <c r="E51" s="1147">
        <v>21</v>
      </c>
      <c r="F51" s="1147">
        <v>0</v>
      </c>
      <c r="G51" s="1147">
        <v>0</v>
      </c>
      <c r="H51" s="1147">
        <v>0</v>
      </c>
      <c r="I51" s="1147">
        <v>0</v>
      </c>
    </row>
    <row r="52" spans="1:9" ht="12.75" customHeight="1">
      <c r="A52" s="1146" t="s">
        <v>19</v>
      </c>
      <c r="B52" s="1145">
        <f t="shared" si="5"/>
        <v>138</v>
      </c>
      <c r="C52" s="1147">
        <v>7</v>
      </c>
      <c r="D52" s="1147">
        <v>81</v>
      </c>
      <c r="E52" s="1147">
        <v>48</v>
      </c>
      <c r="F52" s="1147">
        <v>0</v>
      </c>
      <c r="G52" s="1147">
        <v>2</v>
      </c>
      <c r="H52" s="1147">
        <v>0</v>
      </c>
      <c r="I52" s="1147">
        <v>0</v>
      </c>
    </row>
    <row r="53" spans="1:9" ht="12.75" customHeight="1">
      <c r="A53" s="1146" t="s">
        <v>20</v>
      </c>
      <c r="B53" s="1145">
        <f t="shared" si="5"/>
        <v>52</v>
      </c>
      <c r="C53" s="1147">
        <v>1</v>
      </c>
      <c r="D53" s="1147">
        <v>40</v>
      </c>
      <c r="E53" s="1147">
        <v>11</v>
      </c>
      <c r="F53" s="1147">
        <v>0</v>
      </c>
      <c r="G53" s="1147">
        <v>0</v>
      </c>
      <c r="H53" s="1147">
        <v>0</v>
      </c>
      <c r="I53" s="1147">
        <v>0</v>
      </c>
    </row>
    <row r="54" spans="1:9" ht="12.75" customHeight="1">
      <c r="A54" s="1146" t="s">
        <v>21</v>
      </c>
      <c r="B54" s="1145">
        <f t="shared" si="5"/>
        <v>46</v>
      </c>
      <c r="C54" s="1147">
        <v>1</v>
      </c>
      <c r="D54" s="1147">
        <v>21</v>
      </c>
      <c r="E54" s="1147">
        <v>24</v>
      </c>
      <c r="F54" s="1147">
        <v>0</v>
      </c>
      <c r="G54" s="1147">
        <v>0</v>
      </c>
      <c r="H54" s="1147">
        <v>0</v>
      </c>
      <c r="I54" s="1147">
        <v>0</v>
      </c>
    </row>
    <row r="55" spans="1:9" ht="12.75" customHeight="1">
      <c r="A55" s="1110" t="s">
        <v>3622</v>
      </c>
      <c r="B55" s="1145">
        <f>SUM(B56:B70)</f>
        <v>195</v>
      </c>
      <c r="C55" s="1148">
        <f t="shared" ref="C55:H55" si="6">SUM(C56:C70)</f>
        <v>195</v>
      </c>
      <c r="D55" s="1148">
        <f t="shared" si="6"/>
        <v>0</v>
      </c>
      <c r="E55" s="1148">
        <f t="shared" si="6"/>
        <v>0</v>
      </c>
      <c r="F55" s="1148">
        <f t="shared" si="6"/>
        <v>0</v>
      </c>
      <c r="G55" s="1148">
        <f t="shared" si="6"/>
        <v>0</v>
      </c>
      <c r="H55" s="1148">
        <f t="shared" si="6"/>
        <v>0</v>
      </c>
      <c r="I55" s="1148">
        <f>SUM(I56:I70)</f>
        <v>0</v>
      </c>
    </row>
    <row r="56" spans="1:9" ht="12.75" customHeight="1">
      <c r="A56" s="1146" t="s">
        <v>7</v>
      </c>
      <c r="B56" s="1145">
        <f>SUM(C56:I56)</f>
        <v>0</v>
      </c>
      <c r="C56" s="1147">
        <v>0</v>
      </c>
      <c r="D56" s="1147">
        <v>0</v>
      </c>
      <c r="E56" s="1147">
        <v>0</v>
      </c>
      <c r="F56" s="1147">
        <v>0</v>
      </c>
      <c r="G56" s="1147">
        <v>0</v>
      </c>
      <c r="H56" s="1147">
        <v>0</v>
      </c>
      <c r="I56" s="1147">
        <v>0</v>
      </c>
    </row>
    <row r="57" spans="1:9" ht="12.75" customHeight="1">
      <c r="A57" s="1146" t="s">
        <v>8</v>
      </c>
      <c r="B57" s="1145">
        <f t="shared" ref="B57:B70" si="7">SUM(C57:I57)</f>
        <v>2</v>
      </c>
      <c r="C57" s="1147">
        <v>2</v>
      </c>
      <c r="D57" s="1147">
        <v>0</v>
      </c>
      <c r="E57" s="1147">
        <v>0</v>
      </c>
      <c r="F57" s="1147">
        <v>0</v>
      </c>
      <c r="G57" s="1147">
        <v>0</v>
      </c>
      <c r="H57" s="1147">
        <v>0</v>
      </c>
      <c r="I57" s="1147">
        <v>0</v>
      </c>
    </row>
    <row r="58" spans="1:9" ht="12.75" customHeight="1">
      <c r="A58" s="1146" t="s">
        <v>9</v>
      </c>
      <c r="B58" s="1145">
        <f t="shared" si="7"/>
        <v>3</v>
      </c>
      <c r="C58" s="1147">
        <v>3</v>
      </c>
      <c r="D58" s="1147">
        <v>0</v>
      </c>
      <c r="E58" s="1147">
        <v>0</v>
      </c>
      <c r="F58" s="1147">
        <v>0</v>
      </c>
      <c r="G58" s="1147">
        <v>0</v>
      </c>
      <c r="H58" s="1147">
        <v>0</v>
      </c>
      <c r="I58" s="1147">
        <v>0</v>
      </c>
    </row>
    <row r="59" spans="1:9" ht="12.75" customHeight="1">
      <c r="A59" s="1146" t="s">
        <v>10</v>
      </c>
      <c r="B59" s="1145">
        <f t="shared" si="7"/>
        <v>4</v>
      </c>
      <c r="C59" s="1147">
        <v>4</v>
      </c>
      <c r="D59" s="1147">
        <v>0</v>
      </c>
      <c r="E59" s="1147">
        <v>0</v>
      </c>
      <c r="F59" s="1147">
        <v>0</v>
      </c>
      <c r="G59" s="1147">
        <v>0</v>
      </c>
      <c r="H59" s="1147">
        <v>0</v>
      </c>
      <c r="I59" s="1147">
        <v>0</v>
      </c>
    </row>
    <row r="60" spans="1:9" ht="12.75" customHeight="1">
      <c r="A60" s="1146" t="s">
        <v>11</v>
      </c>
      <c r="B60" s="1145">
        <f t="shared" si="7"/>
        <v>7</v>
      </c>
      <c r="C60" s="1147">
        <v>7</v>
      </c>
      <c r="D60" s="1147">
        <v>0</v>
      </c>
      <c r="E60" s="1147">
        <v>0</v>
      </c>
      <c r="F60" s="1147">
        <v>0</v>
      </c>
      <c r="G60" s="1147">
        <v>0</v>
      </c>
      <c r="H60" s="1147">
        <v>0</v>
      </c>
      <c r="I60" s="1147">
        <v>0</v>
      </c>
    </row>
    <row r="61" spans="1:9" ht="12.75" customHeight="1">
      <c r="A61" s="1146" t="s">
        <v>12</v>
      </c>
      <c r="B61" s="1145">
        <f t="shared" si="7"/>
        <v>30</v>
      </c>
      <c r="C61" s="1147">
        <v>30</v>
      </c>
      <c r="D61" s="1147">
        <v>0</v>
      </c>
      <c r="E61" s="1147">
        <v>0</v>
      </c>
      <c r="F61" s="1147">
        <v>0</v>
      </c>
      <c r="G61" s="1147">
        <v>0</v>
      </c>
      <c r="H61" s="1147">
        <v>0</v>
      </c>
      <c r="I61" s="1147">
        <v>0</v>
      </c>
    </row>
    <row r="62" spans="1:9">
      <c r="A62" s="1146" t="s">
        <v>13</v>
      </c>
      <c r="B62" s="1145">
        <f t="shared" si="7"/>
        <v>44</v>
      </c>
      <c r="C62" s="1147">
        <v>44</v>
      </c>
      <c r="D62" s="1147">
        <v>0</v>
      </c>
      <c r="E62" s="1147">
        <v>0</v>
      </c>
      <c r="F62" s="1147">
        <v>0</v>
      </c>
      <c r="G62" s="1147">
        <v>0</v>
      </c>
      <c r="H62" s="1147">
        <v>0</v>
      </c>
      <c r="I62" s="1147">
        <v>0</v>
      </c>
    </row>
    <row r="63" spans="1:9" ht="12.75" customHeight="1">
      <c r="A63" s="1146" t="s">
        <v>14</v>
      </c>
      <c r="B63" s="1145">
        <f t="shared" si="7"/>
        <v>24</v>
      </c>
      <c r="C63" s="1147">
        <v>24</v>
      </c>
      <c r="D63" s="1147">
        <v>0</v>
      </c>
      <c r="E63" s="1147">
        <v>0</v>
      </c>
      <c r="F63" s="1147">
        <v>0</v>
      </c>
      <c r="G63" s="1147">
        <v>0</v>
      </c>
      <c r="H63" s="1147">
        <v>0</v>
      </c>
      <c r="I63" s="1147">
        <v>0</v>
      </c>
    </row>
    <row r="64" spans="1:9" ht="12.75" customHeight="1">
      <c r="A64" s="1146" t="s">
        <v>15</v>
      </c>
      <c r="B64" s="1145">
        <f t="shared" si="7"/>
        <v>13</v>
      </c>
      <c r="C64" s="1147">
        <v>13</v>
      </c>
      <c r="D64" s="1147">
        <v>0</v>
      </c>
      <c r="E64" s="1147">
        <v>0</v>
      </c>
      <c r="F64" s="1147">
        <v>0</v>
      </c>
      <c r="G64" s="1147">
        <v>0</v>
      </c>
      <c r="H64" s="1147">
        <v>0</v>
      </c>
      <c r="I64" s="1147">
        <v>0</v>
      </c>
    </row>
    <row r="65" spans="1:18" ht="12.75" customHeight="1">
      <c r="A65" s="1146" t="s">
        <v>16</v>
      </c>
      <c r="B65" s="1145">
        <f t="shared" si="7"/>
        <v>33</v>
      </c>
      <c r="C65" s="1147">
        <v>33</v>
      </c>
      <c r="D65" s="1147">
        <v>0</v>
      </c>
      <c r="E65" s="1147">
        <v>0</v>
      </c>
      <c r="F65" s="1147">
        <v>0</v>
      </c>
      <c r="G65" s="1147">
        <v>0</v>
      </c>
      <c r="H65" s="1147">
        <v>0</v>
      </c>
      <c r="I65" s="1147">
        <v>0</v>
      </c>
    </row>
    <row r="66" spans="1:18" ht="12.75" customHeight="1">
      <c r="A66" s="1146" t="s">
        <v>17</v>
      </c>
      <c r="B66" s="1145">
        <f t="shared" si="7"/>
        <v>22</v>
      </c>
      <c r="C66" s="1147">
        <v>22</v>
      </c>
      <c r="D66" s="1147">
        <v>0</v>
      </c>
      <c r="E66" s="1147">
        <v>0</v>
      </c>
      <c r="F66" s="1147">
        <v>0</v>
      </c>
      <c r="G66" s="1147">
        <v>0</v>
      </c>
      <c r="H66" s="1147">
        <v>0</v>
      </c>
      <c r="I66" s="1147">
        <v>0</v>
      </c>
    </row>
    <row r="67" spans="1:18" ht="12.75" customHeight="1">
      <c r="A67" s="1146" t="s">
        <v>18</v>
      </c>
      <c r="B67" s="1145">
        <f t="shared" si="7"/>
        <v>2</v>
      </c>
      <c r="C67" s="1147">
        <v>2</v>
      </c>
      <c r="D67" s="1147">
        <v>0</v>
      </c>
      <c r="E67" s="1147">
        <v>0</v>
      </c>
      <c r="F67" s="1147">
        <v>0</v>
      </c>
      <c r="G67" s="1147">
        <v>0</v>
      </c>
      <c r="H67" s="1147">
        <v>0</v>
      </c>
      <c r="I67" s="1147">
        <v>0</v>
      </c>
    </row>
    <row r="68" spans="1:18" ht="12.75" customHeight="1">
      <c r="A68" s="1146" t="s">
        <v>19</v>
      </c>
      <c r="B68" s="1145">
        <f t="shared" si="7"/>
        <v>6</v>
      </c>
      <c r="C68" s="1147">
        <v>6</v>
      </c>
      <c r="D68" s="1147">
        <v>0</v>
      </c>
      <c r="E68" s="1147">
        <v>0</v>
      </c>
      <c r="F68" s="1147">
        <v>0</v>
      </c>
      <c r="G68" s="1147">
        <v>0</v>
      </c>
      <c r="H68" s="1147">
        <v>0</v>
      </c>
      <c r="I68" s="1147">
        <v>0</v>
      </c>
    </row>
    <row r="69" spans="1:18" ht="12.75" customHeight="1">
      <c r="A69" s="1146" t="s">
        <v>20</v>
      </c>
      <c r="B69" s="1145">
        <f t="shared" si="7"/>
        <v>4</v>
      </c>
      <c r="C69" s="1147">
        <v>4</v>
      </c>
      <c r="D69" s="1147">
        <v>0</v>
      </c>
      <c r="E69" s="1147">
        <v>0</v>
      </c>
      <c r="F69" s="1147">
        <v>0</v>
      </c>
      <c r="G69" s="1147">
        <v>0</v>
      </c>
      <c r="H69" s="1147">
        <v>0</v>
      </c>
      <c r="I69" s="1147">
        <v>0</v>
      </c>
    </row>
    <row r="70" spans="1:18" ht="12.75" customHeight="1">
      <c r="A70" s="1146" t="s">
        <v>21</v>
      </c>
      <c r="B70" s="1145">
        <f t="shared" si="7"/>
        <v>1</v>
      </c>
      <c r="C70" s="1147">
        <v>1</v>
      </c>
      <c r="D70" s="1147">
        <v>0</v>
      </c>
      <c r="E70" s="1147">
        <v>0</v>
      </c>
      <c r="F70" s="1147">
        <v>0</v>
      </c>
      <c r="G70" s="1147">
        <v>0</v>
      </c>
      <c r="H70" s="1147">
        <v>0</v>
      </c>
      <c r="I70" s="1147">
        <v>0</v>
      </c>
    </row>
    <row r="71" spans="1:18" ht="6.75" customHeight="1">
      <c r="A71" s="1105"/>
      <c r="B71" s="1105"/>
      <c r="C71" s="1105"/>
      <c r="D71" s="1105"/>
      <c r="E71" s="1105"/>
      <c r="F71" s="1105"/>
      <c r="G71" s="1105"/>
      <c r="H71" s="1105"/>
      <c r="I71" s="1105"/>
    </row>
    <row r="72" spans="1:18" ht="12.75" customHeight="1">
      <c r="A72" s="2388" t="s">
        <v>3608</v>
      </c>
      <c r="B72" s="2388"/>
      <c r="C72" s="2388"/>
      <c r="D72" s="2388"/>
      <c r="E72" s="2388"/>
      <c r="F72" s="2388"/>
      <c r="G72" s="2388"/>
      <c r="H72" s="2388"/>
      <c r="I72" s="2388"/>
      <c r="J72" s="2388"/>
      <c r="K72" s="2388"/>
      <c r="L72" s="2388"/>
      <c r="M72" s="2388"/>
      <c r="N72" s="2388"/>
      <c r="O72" s="2388"/>
      <c r="P72" s="2388"/>
      <c r="Q72" s="2388"/>
      <c r="R72" s="2388"/>
    </row>
    <row r="73" spans="1:18" ht="24.75" customHeight="1">
      <c r="A73" s="2395" t="s">
        <v>3606</v>
      </c>
      <c r="B73" s="2395"/>
      <c r="C73" s="2395"/>
      <c r="D73" s="2395"/>
      <c r="E73" s="2395"/>
      <c r="F73" s="2395"/>
      <c r="G73" s="2395"/>
      <c r="H73" s="2395"/>
      <c r="I73" s="2395"/>
      <c r="J73" s="1089"/>
      <c r="K73" s="1089"/>
      <c r="L73" s="1089"/>
      <c r="M73" s="1089"/>
      <c r="N73" s="1089"/>
      <c r="O73" s="1089"/>
      <c r="P73" s="1089"/>
      <c r="Q73" s="1089"/>
      <c r="R73" s="1089"/>
    </row>
    <row r="74" spans="1:18">
      <c r="A74" s="2388" t="s">
        <v>3623</v>
      </c>
      <c r="B74" s="2388"/>
      <c r="C74" s="2388"/>
      <c r="D74" s="2388"/>
      <c r="E74" s="2388"/>
      <c r="F74" s="2388"/>
      <c r="G74" s="2388"/>
      <c r="H74" s="2388"/>
      <c r="I74" s="2388"/>
      <c r="J74" s="2388"/>
      <c r="K74" s="2388"/>
      <c r="L74" s="2388"/>
      <c r="M74" s="2388"/>
      <c r="N74" s="2388"/>
      <c r="O74" s="2388"/>
      <c r="P74" s="2388"/>
      <c r="Q74" s="2388"/>
      <c r="R74" s="2388"/>
    </row>
    <row r="75" spans="1:18">
      <c r="A75" s="1138" t="s">
        <v>22</v>
      </c>
      <c r="B75" s="1153"/>
      <c r="C75" s="1154"/>
      <c r="D75" s="1154"/>
      <c r="E75" s="1154"/>
      <c r="F75" s="1154"/>
      <c r="G75" s="1154"/>
      <c r="H75" s="1154"/>
      <c r="I75" s="1154"/>
    </row>
    <row r="76" spans="1:18">
      <c r="A76" s="2392" t="s">
        <v>1783</v>
      </c>
      <c r="B76" s="2392"/>
      <c r="C76" s="2392"/>
      <c r="D76" s="2392"/>
      <c r="E76" s="2392"/>
      <c r="F76" s="2392"/>
      <c r="G76" s="2392"/>
      <c r="H76" s="2392"/>
      <c r="I76" s="2392"/>
    </row>
    <row r="77" spans="1:18" ht="7.15" customHeight="1">
      <c r="A77" s="1105"/>
      <c r="B77" s="1105"/>
      <c r="C77" s="1105"/>
      <c r="D77" s="1105"/>
      <c r="E77" s="1105"/>
      <c r="F77" s="1105"/>
      <c r="G77" s="1105"/>
      <c r="H77" s="1105"/>
      <c r="I77" s="1105"/>
    </row>
  </sheetData>
  <mergeCells count="8">
    <mergeCell ref="A74:R74"/>
    <mergeCell ref="A76:I76"/>
    <mergeCell ref="A2:I2"/>
    <mergeCell ref="A4:A6"/>
    <mergeCell ref="B4:I4"/>
    <mergeCell ref="C5:I5"/>
    <mergeCell ref="A72:R72"/>
    <mergeCell ref="A73:I73"/>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86.xml><?xml version="1.0" encoding="utf-8"?>
<worksheet xmlns="http://schemas.openxmlformats.org/spreadsheetml/2006/main" xmlns:r="http://schemas.openxmlformats.org/officeDocument/2006/relationships">
  <sheetPr>
    <outlinePr summaryBelow="0" summaryRight="0"/>
  </sheetPr>
  <dimension ref="A1:R67"/>
  <sheetViews>
    <sheetView zoomScaleNormal="100" workbookViewId="0"/>
  </sheetViews>
  <sheetFormatPr baseColWidth="10" defaultColWidth="9.140625" defaultRowHeight="12"/>
  <cols>
    <col min="1" max="1" width="31.42578125" style="110" customWidth="1"/>
    <col min="2" max="2" width="10.85546875" style="110" customWidth="1"/>
    <col min="3" max="7" width="15.140625" style="110" customWidth="1"/>
    <col min="8" max="8" width="14.85546875" style="110" customWidth="1"/>
    <col min="9" max="256" width="9.140625" style="110"/>
    <col min="257" max="257" width="31.42578125" style="110" customWidth="1"/>
    <col min="258" max="258" width="10.85546875" style="110" customWidth="1"/>
    <col min="259" max="263" width="15.140625" style="110" customWidth="1"/>
    <col min="264" max="264" width="14.85546875" style="110" customWidth="1"/>
    <col min="265" max="512" width="9.140625" style="110"/>
    <col min="513" max="513" width="31.42578125" style="110" customWidth="1"/>
    <col min="514" max="514" width="10.85546875" style="110" customWidth="1"/>
    <col min="515" max="519" width="15.140625" style="110" customWidth="1"/>
    <col min="520" max="520" width="14.85546875" style="110" customWidth="1"/>
    <col min="521" max="768" width="9.140625" style="110"/>
    <col min="769" max="769" width="31.42578125" style="110" customWidth="1"/>
    <col min="770" max="770" width="10.85546875" style="110" customWidth="1"/>
    <col min="771" max="775" width="15.140625" style="110" customWidth="1"/>
    <col min="776" max="776" width="14.85546875" style="110" customWidth="1"/>
    <col min="777" max="1024" width="9.140625" style="110"/>
    <col min="1025" max="1025" width="31.42578125" style="110" customWidth="1"/>
    <col min="1026" max="1026" width="10.85546875" style="110" customWidth="1"/>
    <col min="1027" max="1031" width="15.140625" style="110" customWidth="1"/>
    <col min="1032" max="1032" width="14.85546875" style="110" customWidth="1"/>
    <col min="1033" max="1280" width="9.140625" style="110"/>
    <col min="1281" max="1281" width="31.42578125" style="110" customWidth="1"/>
    <col min="1282" max="1282" width="10.85546875" style="110" customWidth="1"/>
    <col min="1283" max="1287" width="15.140625" style="110" customWidth="1"/>
    <col min="1288" max="1288" width="14.85546875" style="110" customWidth="1"/>
    <col min="1289" max="1536" width="9.140625" style="110"/>
    <col min="1537" max="1537" width="31.42578125" style="110" customWidth="1"/>
    <col min="1538" max="1538" width="10.85546875" style="110" customWidth="1"/>
    <col min="1539" max="1543" width="15.140625" style="110" customWidth="1"/>
    <col min="1544" max="1544" width="14.85546875" style="110" customWidth="1"/>
    <col min="1545" max="1792" width="9.140625" style="110"/>
    <col min="1793" max="1793" width="31.42578125" style="110" customWidth="1"/>
    <col min="1794" max="1794" width="10.85546875" style="110" customWidth="1"/>
    <col min="1795" max="1799" width="15.140625" style="110" customWidth="1"/>
    <col min="1800" max="1800" width="14.85546875" style="110" customWidth="1"/>
    <col min="1801" max="2048" width="9.140625" style="110"/>
    <col min="2049" max="2049" width="31.42578125" style="110" customWidth="1"/>
    <col min="2050" max="2050" width="10.85546875" style="110" customWidth="1"/>
    <col min="2051" max="2055" width="15.140625" style="110" customWidth="1"/>
    <col min="2056" max="2056" width="14.85546875" style="110" customWidth="1"/>
    <col min="2057" max="2304" width="9.140625" style="110"/>
    <col min="2305" max="2305" width="31.42578125" style="110" customWidth="1"/>
    <col min="2306" max="2306" width="10.85546875" style="110" customWidth="1"/>
    <col min="2307" max="2311" width="15.140625" style="110" customWidth="1"/>
    <col min="2312" max="2312" width="14.85546875" style="110" customWidth="1"/>
    <col min="2313" max="2560" width="9.140625" style="110"/>
    <col min="2561" max="2561" width="31.42578125" style="110" customWidth="1"/>
    <col min="2562" max="2562" width="10.85546875" style="110" customWidth="1"/>
    <col min="2563" max="2567" width="15.140625" style="110" customWidth="1"/>
    <col min="2568" max="2568" width="14.85546875" style="110" customWidth="1"/>
    <col min="2569" max="2816" width="9.140625" style="110"/>
    <col min="2817" max="2817" width="31.42578125" style="110" customWidth="1"/>
    <col min="2818" max="2818" width="10.85546875" style="110" customWidth="1"/>
    <col min="2819" max="2823" width="15.140625" style="110" customWidth="1"/>
    <col min="2824" max="2824" width="14.85546875" style="110" customWidth="1"/>
    <col min="2825" max="3072" width="9.140625" style="110"/>
    <col min="3073" max="3073" width="31.42578125" style="110" customWidth="1"/>
    <col min="3074" max="3074" width="10.85546875" style="110" customWidth="1"/>
    <col min="3075" max="3079" width="15.140625" style="110" customWidth="1"/>
    <col min="3080" max="3080" width="14.85546875" style="110" customWidth="1"/>
    <col min="3081" max="3328" width="9.140625" style="110"/>
    <col min="3329" max="3329" width="31.42578125" style="110" customWidth="1"/>
    <col min="3330" max="3330" width="10.85546875" style="110" customWidth="1"/>
    <col min="3331" max="3335" width="15.140625" style="110" customWidth="1"/>
    <col min="3336" max="3336" width="14.85546875" style="110" customWidth="1"/>
    <col min="3337" max="3584" width="9.140625" style="110"/>
    <col min="3585" max="3585" width="31.42578125" style="110" customWidth="1"/>
    <col min="3586" max="3586" width="10.85546875" style="110" customWidth="1"/>
    <col min="3587" max="3591" width="15.140625" style="110" customWidth="1"/>
    <col min="3592" max="3592" width="14.85546875" style="110" customWidth="1"/>
    <col min="3593" max="3840" width="9.140625" style="110"/>
    <col min="3841" max="3841" width="31.42578125" style="110" customWidth="1"/>
    <col min="3842" max="3842" width="10.85546875" style="110" customWidth="1"/>
    <col min="3843" max="3847" width="15.140625" style="110" customWidth="1"/>
    <col min="3848" max="3848" width="14.85546875" style="110" customWidth="1"/>
    <col min="3849" max="4096" width="9.140625" style="110"/>
    <col min="4097" max="4097" width="31.42578125" style="110" customWidth="1"/>
    <col min="4098" max="4098" width="10.85546875" style="110" customWidth="1"/>
    <col min="4099" max="4103" width="15.140625" style="110" customWidth="1"/>
    <col min="4104" max="4104" width="14.85546875" style="110" customWidth="1"/>
    <col min="4105" max="4352" width="9.140625" style="110"/>
    <col min="4353" max="4353" width="31.42578125" style="110" customWidth="1"/>
    <col min="4354" max="4354" width="10.85546875" style="110" customWidth="1"/>
    <col min="4355" max="4359" width="15.140625" style="110" customWidth="1"/>
    <col min="4360" max="4360" width="14.85546875" style="110" customWidth="1"/>
    <col min="4361" max="4608" width="9.140625" style="110"/>
    <col min="4609" max="4609" width="31.42578125" style="110" customWidth="1"/>
    <col min="4610" max="4610" width="10.85546875" style="110" customWidth="1"/>
    <col min="4611" max="4615" width="15.140625" style="110" customWidth="1"/>
    <col min="4616" max="4616" width="14.85546875" style="110" customWidth="1"/>
    <col min="4617" max="4864" width="9.140625" style="110"/>
    <col min="4865" max="4865" width="31.42578125" style="110" customWidth="1"/>
    <col min="4866" max="4866" width="10.85546875" style="110" customWidth="1"/>
    <col min="4867" max="4871" width="15.140625" style="110" customWidth="1"/>
    <col min="4872" max="4872" width="14.85546875" style="110" customWidth="1"/>
    <col min="4873" max="5120" width="9.140625" style="110"/>
    <col min="5121" max="5121" width="31.42578125" style="110" customWidth="1"/>
    <col min="5122" max="5122" width="10.85546875" style="110" customWidth="1"/>
    <col min="5123" max="5127" width="15.140625" style="110" customWidth="1"/>
    <col min="5128" max="5128" width="14.85546875" style="110" customWidth="1"/>
    <col min="5129" max="5376" width="9.140625" style="110"/>
    <col min="5377" max="5377" width="31.42578125" style="110" customWidth="1"/>
    <col min="5378" max="5378" width="10.85546875" style="110" customWidth="1"/>
    <col min="5379" max="5383" width="15.140625" style="110" customWidth="1"/>
    <col min="5384" max="5384" width="14.85546875" style="110" customWidth="1"/>
    <col min="5385" max="5632" width="9.140625" style="110"/>
    <col min="5633" max="5633" width="31.42578125" style="110" customWidth="1"/>
    <col min="5634" max="5634" width="10.85546875" style="110" customWidth="1"/>
    <col min="5635" max="5639" width="15.140625" style="110" customWidth="1"/>
    <col min="5640" max="5640" width="14.85546875" style="110" customWidth="1"/>
    <col min="5641" max="5888" width="9.140625" style="110"/>
    <col min="5889" max="5889" width="31.42578125" style="110" customWidth="1"/>
    <col min="5890" max="5890" width="10.85546875" style="110" customWidth="1"/>
    <col min="5891" max="5895" width="15.140625" style="110" customWidth="1"/>
    <col min="5896" max="5896" width="14.85546875" style="110" customWidth="1"/>
    <col min="5897" max="6144" width="9.140625" style="110"/>
    <col min="6145" max="6145" width="31.42578125" style="110" customWidth="1"/>
    <col min="6146" max="6146" width="10.85546875" style="110" customWidth="1"/>
    <col min="6147" max="6151" width="15.140625" style="110" customWidth="1"/>
    <col min="6152" max="6152" width="14.85546875" style="110" customWidth="1"/>
    <col min="6153" max="6400" width="9.140625" style="110"/>
    <col min="6401" max="6401" width="31.42578125" style="110" customWidth="1"/>
    <col min="6402" max="6402" width="10.85546875" style="110" customWidth="1"/>
    <col min="6403" max="6407" width="15.140625" style="110" customWidth="1"/>
    <col min="6408" max="6408" width="14.85546875" style="110" customWidth="1"/>
    <col min="6409" max="6656" width="9.140625" style="110"/>
    <col min="6657" max="6657" width="31.42578125" style="110" customWidth="1"/>
    <col min="6658" max="6658" width="10.85546875" style="110" customWidth="1"/>
    <col min="6659" max="6663" width="15.140625" style="110" customWidth="1"/>
    <col min="6664" max="6664" width="14.85546875" style="110" customWidth="1"/>
    <col min="6665" max="6912" width="9.140625" style="110"/>
    <col min="6913" max="6913" width="31.42578125" style="110" customWidth="1"/>
    <col min="6914" max="6914" width="10.85546875" style="110" customWidth="1"/>
    <col min="6915" max="6919" width="15.140625" style="110" customWidth="1"/>
    <col min="6920" max="6920" width="14.85546875" style="110" customWidth="1"/>
    <col min="6921" max="7168" width="9.140625" style="110"/>
    <col min="7169" max="7169" width="31.42578125" style="110" customWidth="1"/>
    <col min="7170" max="7170" width="10.85546875" style="110" customWidth="1"/>
    <col min="7171" max="7175" width="15.140625" style="110" customWidth="1"/>
    <col min="7176" max="7176" width="14.85546875" style="110" customWidth="1"/>
    <col min="7177" max="7424" width="9.140625" style="110"/>
    <col min="7425" max="7425" width="31.42578125" style="110" customWidth="1"/>
    <col min="7426" max="7426" width="10.85546875" style="110" customWidth="1"/>
    <col min="7427" max="7431" width="15.140625" style="110" customWidth="1"/>
    <col min="7432" max="7432" width="14.85546875" style="110" customWidth="1"/>
    <col min="7433" max="7680" width="9.140625" style="110"/>
    <col min="7681" max="7681" width="31.42578125" style="110" customWidth="1"/>
    <col min="7682" max="7682" width="10.85546875" style="110" customWidth="1"/>
    <col min="7683" max="7687" width="15.140625" style="110" customWidth="1"/>
    <col min="7688" max="7688" width="14.85546875" style="110" customWidth="1"/>
    <col min="7689" max="7936" width="9.140625" style="110"/>
    <col min="7937" max="7937" width="31.42578125" style="110" customWidth="1"/>
    <col min="7938" max="7938" width="10.85546875" style="110" customWidth="1"/>
    <col min="7939" max="7943" width="15.140625" style="110" customWidth="1"/>
    <col min="7944" max="7944" width="14.85546875" style="110" customWidth="1"/>
    <col min="7945" max="8192" width="9.140625" style="110"/>
    <col min="8193" max="8193" width="31.42578125" style="110" customWidth="1"/>
    <col min="8194" max="8194" width="10.85546875" style="110" customWidth="1"/>
    <col min="8195" max="8199" width="15.140625" style="110" customWidth="1"/>
    <col min="8200" max="8200" width="14.85546875" style="110" customWidth="1"/>
    <col min="8201" max="8448" width="9.140625" style="110"/>
    <col min="8449" max="8449" width="31.42578125" style="110" customWidth="1"/>
    <col min="8450" max="8450" width="10.85546875" style="110" customWidth="1"/>
    <col min="8451" max="8455" width="15.140625" style="110" customWidth="1"/>
    <col min="8456" max="8456" width="14.85546875" style="110" customWidth="1"/>
    <col min="8457" max="8704" width="9.140625" style="110"/>
    <col min="8705" max="8705" width="31.42578125" style="110" customWidth="1"/>
    <col min="8706" max="8706" width="10.85546875" style="110" customWidth="1"/>
    <col min="8707" max="8711" width="15.140625" style="110" customWidth="1"/>
    <col min="8712" max="8712" width="14.85546875" style="110" customWidth="1"/>
    <col min="8713" max="8960" width="9.140625" style="110"/>
    <col min="8961" max="8961" width="31.42578125" style="110" customWidth="1"/>
    <col min="8962" max="8962" width="10.85546875" style="110" customWidth="1"/>
    <col min="8963" max="8967" width="15.140625" style="110" customWidth="1"/>
    <col min="8968" max="8968" width="14.85546875" style="110" customWidth="1"/>
    <col min="8969" max="9216" width="9.140625" style="110"/>
    <col min="9217" max="9217" width="31.42578125" style="110" customWidth="1"/>
    <col min="9218" max="9218" width="10.85546875" style="110" customWidth="1"/>
    <col min="9219" max="9223" width="15.140625" style="110" customWidth="1"/>
    <col min="9224" max="9224" width="14.85546875" style="110" customWidth="1"/>
    <col min="9225" max="9472" width="9.140625" style="110"/>
    <col min="9473" max="9473" width="31.42578125" style="110" customWidth="1"/>
    <col min="9474" max="9474" width="10.85546875" style="110" customWidth="1"/>
    <col min="9475" max="9479" width="15.140625" style="110" customWidth="1"/>
    <col min="9480" max="9480" width="14.85546875" style="110" customWidth="1"/>
    <col min="9481" max="9728" width="9.140625" style="110"/>
    <col min="9729" max="9729" width="31.42578125" style="110" customWidth="1"/>
    <col min="9730" max="9730" width="10.85546875" style="110" customWidth="1"/>
    <col min="9731" max="9735" width="15.140625" style="110" customWidth="1"/>
    <col min="9736" max="9736" width="14.85546875" style="110" customWidth="1"/>
    <col min="9737" max="9984" width="9.140625" style="110"/>
    <col min="9985" max="9985" width="31.42578125" style="110" customWidth="1"/>
    <col min="9986" max="9986" width="10.85546875" style="110" customWidth="1"/>
    <col min="9987" max="9991" width="15.140625" style="110" customWidth="1"/>
    <col min="9992" max="9992" width="14.85546875" style="110" customWidth="1"/>
    <col min="9993" max="10240" width="9.140625" style="110"/>
    <col min="10241" max="10241" width="31.42578125" style="110" customWidth="1"/>
    <col min="10242" max="10242" width="10.85546875" style="110" customWidth="1"/>
    <col min="10243" max="10247" width="15.140625" style="110" customWidth="1"/>
    <col min="10248" max="10248" width="14.85546875" style="110" customWidth="1"/>
    <col min="10249" max="10496" width="9.140625" style="110"/>
    <col min="10497" max="10497" width="31.42578125" style="110" customWidth="1"/>
    <col min="10498" max="10498" width="10.85546875" style="110" customWidth="1"/>
    <col min="10499" max="10503" width="15.140625" style="110" customWidth="1"/>
    <col min="10504" max="10504" width="14.85546875" style="110" customWidth="1"/>
    <col min="10505" max="10752" width="9.140625" style="110"/>
    <col min="10753" max="10753" width="31.42578125" style="110" customWidth="1"/>
    <col min="10754" max="10754" width="10.85546875" style="110" customWidth="1"/>
    <col min="10755" max="10759" width="15.140625" style="110" customWidth="1"/>
    <col min="10760" max="10760" width="14.85546875" style="110" customWidth="1"/>
    <col min="10761" max="11008" width="9.140625" style="110"/>
    <col min="11009" max="11009" width="31.42578125" style="110" customWidth="1"/>
    <col min="11010" max="11010" width="10.85546875" style="110" customWidth="1"/>
    <col min="11011" max="11015" width="15.140625" style="110" customWidth="1"/>
    <col min="11016" max="11016" width="14.85546875" style="110" customWidth="1"/>
    <col min="11017" max="11264" width="9.140625" style="110"/>
    <col min="11265" max="11265" width="31.42578125" style="110" customWidth="1"/>
    <col min="11266" max="11266" width="10.85546875" style="110" customWidth="1"/>
    <col min="11267" max="11271" width="15.140625" style="110" customWidth="1"/>
    <col min="11272" max="11272" width="14.85546875" style="110" customWidth="1"/>
    <col min="11273" max="11520" width="9.140625" style="110"/>
    <col min="11521" max="11521" width="31.42578125" style="110" customWidth="1"/>
    <col min="11522" max="11522" width="10.85546875" style="110" customWidth="1"/>
    <col min="11523" max="11527" width="15.140625" style="110" customWidth="1"/>
    <col min="11528" max="11528" width="14.85546875" style="110" customWidth="1"/>
    <col min="11529" max="11776" width="9.140625" style="110"/>
    <col min="11777" max="11777" width="31.42578125" style="110" customWidth="1"/>
    <col min="11778" max="11778" width="10.85546875" style="110" customWidth="1"/>
    <col min="11779" max="11783" width="15.140625" style="110" customWidth="1"/>
    <col min="11784" max="11784" width="14.85546875" style="110" customWidth="1"/>
    <col min="11785" max="12032" width="9.140625" style="110"/>
    <col min="12033" max="12033" width="31.42578125" style="110" customWidth="1"/>
    <col min="12034" max="12034" width="10.85546875" style="110" customWidth="1"/>
    <col min="12035" max="12039" width="15.140625" style="110" customWidth="1"/>
    <col min="12040" max="12040" width="14.85546875" style="110" customWidth="1"/>
    <col min="12041" max="12288" width="9.140625" style="110"/>
    <col min="12289" max="12289" width="31.42578125" style="110" customWidth="1"/>
    <col min="12290" max="12290" width="10.85546875" style="110" customWidth="1"/>
    <col min="12291" max="12295" width="15.140625" style="110" customWidth="1"/>
    <col min="12296" max="12296" width="14.85546875" style="110" customWidth="1"/>
    <col min="12297" max="12544" width="9.140625" style="110"/>
    <col min="12545" max="12545" width="31.42578125" style="110" customWidth="1"/>
    <col min="12546" max="12546" width="10.85546875" style="110" customWidth="1"/>
    <col min="12547" max="12551" width="15.140625" style="110" customWidth="1"/>
    <col min="12552" max="12552" width="14.85546875" style="110" customWidth="1"/>
    <col min="12553" max="12800" width="9.140625" style="110"/>
    <col min="12801" max="12801" width="31.42578125" style="110" customWidth="1"/>
    <col min="12802" max="12802" width="10.85546875" style="110" customWidth="1"/>
    <col min="12803" max="12807" width="15.140625" style="110" customWidth="1"/>
    <col min="12808" max="12808" width="14.85546875" style="110" customWidth="1"/>
    <col min="12809" max="13056" width="9.140625" style="110"/>
    <col min="13057" max="13057" width="31.42578125" style="110" customWidth="1"/>
    <col min="13058" max="13058" width="10.85546875" style="110" customWidth="1"/>
    <col min="13059" max="13063" width="15.140625" style="110" customWidth="1"/>
    <col min="13064" max="13064" width="14.85546875" style="110" customWidth="1"/>
    <col min="13065" max="13312" width="9.140625" style="110"/>
    <col min="13313" max="13313" width="31.42578125" style="110" customWidth="1"/>
    <col min="13314" max="13314" width="10.85546875" style="110" customWidth="1"/>
    <col min="13315" max="13319" width="15.140625" style="110" customWidth="1"/>
    <col min="13320" max="13320" width="14.85546875" style="110" customWidth="1"/>
    <col min="13321" max="13568" width="9.140625" style="110"/>
    <col min="13569" max="13569" width="31.42578125" style="110" customWidth="1"/>
    <col min="13570" max="13570" width="10.85546875" style="110" customWidth="1"/>
    <col min="13571" max="13575" width="15.140625" style="110" customWidth="1"/>
    <col min="13576" max="13576" width="14.85546875" style="110" customWidth="1"/>
    <col min="13577" max="13824" width="9.140625" style="110"/>
    <col min="13825" max="13825" width="31.42578125" style="110" customWidth="1"/>
    <col min="13826" max="13826" width="10.85546875" style="110" customWidth="1"/>
    <col min="13827" max="13831" width="15.140625" style="110" customWidth="1"/>
    <col min="13832" max="13832" width="14.85546875" style="110" customWidth="1"/>
    <col min="13833" max="14080" width="9.140625" style="110"/>
    <col min="14081" max="14081" width="31.42578125" style="110" customWidth="1"/>
    <col min="14082" max="14082" width="10.85546875" style="110" customWidth="1"/>
    <col min="14083" max="14087" width="15.140625" style="110" customWidth="1"/>
    <col min="14088" max="14088" width="14.85546875" style="110" customWidth="1"/>
    <col min="14089" max="14336" width="9.140625" style="110"/>
    <col min="14337" max="14337" width="31.42578125" style="110" customWidth="1"/>
    <col min="14338" max="14338" width="10.85546875" style="110" customWidth="1"/>
    <col min="14339" max="14343" width="15.140625" style="110" customWidth="1"/>
    <col min="14344" max="14344" width="14.85546875" style="110" customWidth="1"/>
    <col min="14345" max="14592" width="9.140625" style="110"/>
    <col min="14593" max="14593" width="31.42578125" style="110" customWidth="1"/>
    <col min="14594" max="14594" width="10.85546875" style="110" customWidth="1"/>
    <col min="14595" max="14599" width="15.140625" style="110" customWidth="1"/>
    <col min="14600" max="14600" width="14.85546875" style="110" customWidth="1"/>
    <col min="14601" max="14848" width="9.140625" style="110"/>
    <col min="14849" max="14849" width="31.42578125" style="110" customWidth="1"/>
    <col min="14850" max="14850" width="10.85546875" style="110" customWidth="1"/>
    <col min="14851" max="14855" width="15.140625" style="110" customWidth="1"/>
    <col min="14856" max="14856" width="14.85546875" style="110" customWidth="1"/>
    <col min="14857" max="15104" width="9.140625" style="110"/>
    <col min="15105" max="15105" width="31.42578125" style="110" customWidth="1"/>
    <col min="15106" max="15106" width="10.85546875" style="110" customWidth="1"/>
    <col min="15107" max="15111" width="15.140625" style="110" customWidth="1"/>
    <col min="15112" max="15112" width="14.85546875" style="110" customWidth="1"/>
    <col min="15113" max="15360" width="9.140625" style="110"/>
    <col min="15361" max="15361" width="31.42578125" style="110" customWidth="1"/>
    <col min="15362" max="15362" width="10.85546875" style="110" customWidth="1"/>
    <col min="15363" max="15367" width="15.140625" style="110" customWidth="1"/>
    <col min="15368" max="15368" width="14.85546875" style="110" customWidth="1"/>
    <col min="15369" max="15616" width="9.140625" style="110"/>
    <col min="15617" max="15617" width="31.42578125" style="110" customWidth="1"/>
    <col min="15618" max="15618" width="10.85546875" style="110" customWidth="1"/>
    <col min="15619" max="15623" width="15.140625" style="110" customWidth="1"/>
    <col min="15624" max="15624" width="14.85546875" style="110" customWidth="1"/>
    <col min="15625" max="15872" width="9.140625" style="110"/>
    <col min="15873" max="15873" width="31.42578125" style="110" customWidth="1"/>
    <col min="15874" max="15874" width="10.85546875" style="110" customWidth="1"/>
    <col min="15875" max="15879" width="15.140625" style="110" customWidth="1"/>
    <col min="15880" max="15880" width="14.85546875" style="110" customWidth="1"/>
    <col min="15881" max="16128" width="9.140625" style="110"/>
    <col min="16129" max="16129" width="31.42578125" style="110" customWidth="1"/>
    <col min="16130" max="16130" width="10.85546875" style="110" customWidth="1"/>
    <col min="16131" max="16135" width="15.140625" style="110" customWidth="1"/>
    <col min="16136" max="16136" width="14.85546875" style="110" customWidth="1"/>
    <col min="16137" max="16384" width="9.140625" style="110"/>
  </cols>
  <sheetData>
    <row r="1" spans="1:8">
      <c r="A1" s="1105"/>
      <c r="B1" s="1105"/>
      <c r="C1" s="1105"/>
      <c r="D1" s="1105"/>
      <c r="E1" s="1105"/>
      <c r="F1" s="1105"/>
      <c r="G1" s="1105"/>
      <c r="H1" s="1105"/>
    </row>
    <row r="2" spans="1:8" ht="24.75" customHeight="1">
      <c r="A2" s="2389" t="s">
        <v>1800</v>
      </c>
      <c r="B2" s="2389"/>
      <c r="C2" s="2389"/>
      <c r="D2" s="2389"/>
      <c r="E2" s="2389"/>
      <c r="F2" s="2389"/>
      <c r="G2" s="2389"/>
      <c r="H2" s="44"/>
    </row>
    <row r="3" spans="1:8">
      <c r="A3" s="44"/>
      <c r="B3" s="44"/>
      <c r="C3" s="44"/>
      <c r="D3" s="44"/>
      <c r="E3" s="44"/>
      <c r="F3" s="44"/>
      <c r="G3" s="44"/>
      <c r="H3" s="44"/>
    </row>
    <row r="4" spans="1:8" s="1137" customFormat="1">
      <c r="A4" s="2394" t="s">
        <v>1801</v>
      </c>
      <c r="B4" s="2397" t="s">
        <v>3624</v>
      </c>
      <c r="C4" s="2397"/>
      <c r="D4" s="2397"/>
      <c r="E4" s="2397"/>
      <c r="F4" s="2397"/>
      <c r="G4" s="2398" t="s">
        <v>1802</v>
      </c>
      <c r="H4" s="1136"/>
    </row>
    <row r="5" spans="1:8">
      <c r="A5" s="2382"/>
      <c r="B5" s="2398" t="s">
        <v>3604</v>
      </c>
      <c r="C5" s="2384" t="s">
        <v>1803</v>
      </c>
      <c r="D5" s="2384"/>
      <c r="E5" s="2384"/>
      <c r="F5" s="2384"/>
      <c r="G5" s="2399"/>
      <c r="H5" s="1105"/>
    </row>
    <row r="6" spans="1:8" s="1127" customFormat="1" ht="20.25" customHeight="1">
      <c r="A6" s="2383"/>
      <c r="B6" s="2386"/>
      <c r="C6" s="1091" t="s">
        <v>1804</v>
      </c>
      <c r="D6" s="1091" t="s">
        <v>1805</v>
      </c>
      <c r="E6" s="1091" t="s">
        <v>1806</v>
      </c>
      <c r="F6" s="1091">
        <v>24</v>
      </c>
      <c r="G6" s="2386"/>
      <c r="H6" s="1140"/>
    </row>
    <row r="7" spans="1:8" ht="12.75" customHeight="1">
      <c r="A7" s="44" t="s">
        <v>1807</v>
      </c>
      <c r="B7" s="1145">
        <f>SUM(B8:B22)</f>
        <v>1603</v>
      </c>
      <c r="C7" s="1145">
        <f>SUM(C8:C22)</f>
        <v>41</v>
      </c>
      <c r="D7" s="1145">
        <f>SUM(D8:D22)</f>
        <v>185</v>
      </c>
      <c r="E7" s="1145">
        <f>SUM(E8:E22)</f>
        <v>121</v>
      </c>
      <c r="F7" s="1145">
        <f>SUM(F8:F22)</f>
        <v>1255</v>
      </c>
      <c r="G7" s="1145">
        <v>1</v>
      </c>
      <c r="H7" s="1105"/>
    </row>
    <row r="8" spans="1:8" ht="12.75" customHeight="1">
      <c r="A8" s="1146" t="s">
        <v>7</v>
      </c>
      <c r="B8" s="1145">
        <f>SUM(C8:G8)</f>
        <v>35</v>
      </c>
      <c r="C8" s="1147">
        <v>0</v>
      </c>
      <c r="D8" s="1147">
        <v>3</v>
      </c>
      <c r="E8" s="1147">
        <v>2</v>
      </c>
      <c r="F8" s="1147">
        <v>30</v>
      </c>
      <c r="G8" s="1147">
        <v>0</v>
      </c>
      <c r="H8" s="1105"/>
    </row>
    <row r="9" spans="1:8" ht="12.75" customHeight="1">
      <c r="A9" s="1146" t="s">
        <v>8</v>
      </c>
      <c r="B9" s="1145">
        <f t="shared" ref="B9:B22" si="0">SUM(C9:G9)</f>
        <v>39</v>
      </c>
      <c r="C9" s="1147">
        <v>0</v>
      </c>
      <c r="D9" s="1147">
        <v>1</v>
      </c>
      <c r="E9" s="1147">
        <v>2</v>
      </c>
      <c r="F9" s="1147">
        <v>36</v>
      </c>
      <c r="G9" s="1147">
        <v>0</v>
      </c>
      <c r="H9" s="1105"/>
    </row>
    <row r="10" spans="1:8" ht="12.75" customHeight="1">
      <c r="A10" s="1146" t="s">
        <v>9</v>
      </c>
      <c r="B10" s="1145">
        <f t="shared" si="0"/>
        <v>105</v>
      </c>
      <c r="C10" s="1147">
        <v>1</v>
      </c>
      <c r="D10" s="1147">
        <v>6</v>
      </c>
      <c r="E10" s="1147">
        <v>6</v>
      </c>
      <c r="F10" s="1147">
        <v>92</v>
      </c>
      <c r="G10" s="1147">
        <v>0</v>
      </c>
      <c r="H10" s="1105"/>
    </row>
    <row r="11" spans="1:8" ht="12.75" customHeight="1">
      <c r="A11" s="1146" t="s">
        <v>10</v>
      </c>
      <c r="B11" s="1145">
        <f t="shared" si="0"/>
        <v>97</v>
      </c>
      <c r="C11" s="1147">
        <v>0</v>
      </c>
      <c r="D11" s="1147">
        <v>5</v>
      </c>
      <c r="E11" s="1147">
        <v>5</v>
      </c>
      <c r="F11" s="1147">
        <v>87</v>
      </c>
      <c r="G11" s="1147">
        <v>0</v>
      </c>
      <c r="H11" s="1105"/>
    </row>
    <row r="12" spans="1:8" ht="12.75" customHeight="1">
      <c r="A12" s="1146" t="s">
        <v>11</v>
      </c>
      <c r="B12" s="1145">
        <f t="shared" si="0"/>
        <v>120</v>
      </c>
      <c r="C12" s="1147">
        <v>1</v>
      </c>
      <c r="D12" s="1147">
        <v>6</v>
      </c>
      <c r="E12" s="1147">
        <v>8</v>
      </c>
      <c r="F12" s="1147">
        <v>105</v>
      </c>
      <c r="G12" s="1147">
        <v>0</v>
      </c>
      <c r="H12" s="1105"/>
    </row>
    <row r="13" spans="1:8" ht="12.75" customHeight="1">
      <c r="A13" s="1146" t="s">
        <v>12</v>
      </c>
      <c r="B13" s="1145">
        <f t="shared" si="0"/>
        <v>164</v>
      </c>
      <c r="C13" s="1147">
        <v>5</v>
      </c>
      <c r="D13" s="1147">
        <v>14</v>
      </c>
      <c r="E13" s="1147">
        <v>9</v>
      </c>
      <c r="F13" s="1147">
        <v>136</v>
      </c>
      <c r="G13" s="1147">
        <v>0</v>
      </c>
      <c r="H13" s="1105"/>
    </row>
    <row r="14" spans="1:8">
      <c r="A14" s="1146" t="s">
        <v>13</v>
      </c>
      <c r="B14" s="1145">
        <f t="shared" si="0"/>
        <v>110</v>
      </c>
      <c r="C14" s="1147">
        <v>5</v>
      </c>
      <c r="D14" s="1147">
        <v>13</v>
      </c>
      <c r="E14" s="1147">
        <v>6</v>
      </c>
      <c r="F14" s="1147">
        <v>85</v>
      </c>
      <c r="G14" s="1147">
        <v>1</v>
      </c>
      <c r="H14" s="1105"/>
    </row>
    <row r="15" spans="1:8" ht="12.75" customHeight="1">
      <c r="A15" s="1146" t="s">
        <v>14</v>
      </c>
      <c r="B15" s="1145">
        <f t="shared" si="0"/>
        <v>108</v>
      </c>
      <c r="C15" s="1147">
        <v>6</v>
      </c>
      <c r="D15" s="1147">
        <v>19</v>
      </c>
      <c r="E15" s="1147">
        <v>15</v>
      </c>
      <c r="F15" s="1147">
        <v>68</v>
      </c>
      <c r="G15" s="1147">
        <v>0</v>
      </c>
      <c r="H15" s="1105"/>
    </row>
    <row r="16" spans="1:8" ht="12.75" customHeight="1">
      <c r="A16" s="1146" t="s">
        <v>15</v>
      </c>
      <c r="B16" s="1145">
        <f t="shared" si="0"/>
        <v>128</v>
      </c>
      <c r="C16" s="1147">
        <v>4</v>
      </c>
      <c r="D16" s="1147">
        <v>15</v>
      </c>
      <c r="E16" s="1147">
        <v>10</v>
      </c>
      <c r="F16" s="1147">
        <v>99</v>
      </c>
      <c r="G16" s="1147">
        <v>0</v>
      </c>
      <c r="H16" s="1105"/>
    </row>
    <row r="17" spans="1:8" ht="12.75" customHeight="1">
      <c r="A17" s="1146" t="s">
        <v>16</v>
      </c>
      <c r="B17" s="1145">
        <f t="shared" si="0"/>
        <v>201</v>
      </c>
      <c r="C17" s="1147">
        <v>8</v>
      </c>
      <c r="D17" s="1147">
        <v>46</v>
      </c>
      <c r="E17" s="1147">
        <v>14</v>
      </c>
      <c r="F17" s="1147">
        <v>133</v>
      </c>
      <c r="G17" s="1147">
        <v>0</v>
      </c>
      <c r="H17" s="1105"/>
    </row>
    <row r="18" spans="1:8" ht="12.75" customHeight="1">
      <c r="A18" s="1146" t="s">
        <v>17</v>
      </c>
      <c r="B18" s="1145">
        <f t="shared" si="0"/>
        <v>165</v>
      </c>
      <c r="C18" s="1147">
        <v>3</v>
      </c>
      <c r="D18" s="1147">
        <v>33</v>
      </c>
      <c r="E18" s="1147">
        <v>11</v>
      </c>
      <c r="F18" s="1147">
        <v>118</v>
      </c>
      <c r="G18" s="1147">
        <v>0</v>
      </c>
      <c r="H18" s="1105"/>
    </row>
    <row r="19" spans="1:8" ht="12.75" customHeight="1">
      <c r="A19" s="1146" t="s">
        <v>18</v>
      </c>
      <c r="B19" s="1145">
        <f t="shared" si="0"/>
        <v>66</v>
      </c>
      <c r="C19" s="1147">
        <v>2</v>
      </c>
      <c r="D19" s="1147">
        <v>11</v>
      </c>
      <c r="E19" s="1147">
        <v>9</v>
      </c>
      <c r="F19" s="1147">
        <v>44</v>
      </c>
      <c r="G19" s="1147">
        <v>0</v>
      </c>
      <c r="H19" s="1105"/>
    </row>
    <row r="20" spans="1:8" ht="12.75" customHeight="1">
      <c r="A20" s="1146" t="s">
        <v>19</v>
      </c>
      <c r="B20" s="1145">
        <f t="shared" si="0"/>
        <v>154</v>
      </c>
      <c r="C20" s="1147">
        <v>4</v>
      </c>
      <c r="D20" s="1147">
        <v>11</v>
      </c>
      <c r="E20" s="1147">
        <v>19</v>
      </c>
      <c r="F20" s="1147">
        <v>120</v>
      </c>
      <c r="G20" s="1147">
        <v>0</v>
      </c>
      <c r="H20" s="1105"/>
    </row>
    <row r="21" spans="1:8" ht="12.75" customHeight="1">
      <c r="A21" s="1146" t="s">
        <v>20</v>
      </c>
      <c r="B21" s="1145">
        <f t="shared" si="0"/>
        <v>58</v>
      </c>
      <c r="C21" s="1147">
        <v>0</v>
      </c>
      <c r="D21" s="1147">
        <v>1</v>
      </c>
      <c r="E21" s="1147">
        <v>2</v>
      </c>
      <c r="F21" s="1147">
        <v>55</v>
      </c>
      <c r="G21" s="1147">
        <v>0</v>
      </c>
      <c r="H21" s="1105"/>
    </row>
    <row r="22" spans="1:8" ht="12.75" customHeight="1">
      <c r="A22" s="1146" t="s">
        <v>21</v>
      </c>
      <c r="B22" s="1145">
        <f t="shared" si="0"/>
        <v>53</v>
      </c>
      <c r="C22" s="1147">
        <v>2</v>
      </c>
      <c r="D22" s="1147">
        <v>1</v>
      </c>
      <c r="E22" s="1147">
        <v>3</v>
      </c>
      <c r="F22" s="1147">
        <v>47</v>
      </c>
      <c r="G22" s="1147">
        <v>0</v>
      </c>
      <c r="H22" s="1105"/>
    </row>
    <row r="23" spans="1:8">
      <c r="A23" s="1110" t="s">
        <v>1808</v>
      </c>
      <c r="B23" s="1145">
        <f t="shared" ref="B23:G23" si="1">SUM(B24:B38)</f>
        <v>1603</v>
      </c>
      <c r="C23" s="1148">
        <f t="shared" si="1"/>
        <v>35</v>
      </c>
      <c r="D23" s="1148">
        <f t="shared" si="1"/>
        <v>193</v>
      </c>
      <c r="E23" s="1148">
        <f t="shared" si="1"/>
        <v>104</v>
      </c>
      <c r="F23" s="1148">
        <f t="shared" si="1"/>
        <v>1265</v>
      </c>
      <c r="G23" s="1148">
        <f t="shared" si="1"/>
        <v>6</v>
      </c>
      <c r="H23" s="1105"/>
    </row>
    <row r="24" spans="1:8" ht="12.75" customHeight="1">
      <c r="A24" s="1146" t="s">
        <v>7</v>
      </c>
      <c r="B24" s="1145">
        <f>SUM(C24:G24)</f>
        <v>35</v>
      </c>
      <c r="C24" s="1147">
        <v>0</v>
      </c>
      <c r="D24" s="1147">
        <v>1</v>
      </c>
      <c r="E24" s="1147">
        <v>2</v>
      </c>
      <c r="F24" s="1147">
        <v>31</v>
      </c>
      <c r="G24" s="1147">
        <v>1</v>
      </c>
      <c r="H24" s="1105"/>
    </row>
    <row r="25" spans="1:8" ht="12.75" customHeight="1">
      <c r="A25" s="1146" t="s">
        <v>8</v>
      </c>
      <c r="B25" s="1145">
        <f t="shared" ref="B25:B38" si="2">SUM(C25:G25)</f>
        <v>39</v>
      </c>
      <c r="C25" s="1147">
        <v>0</v>
      </c>
      <c r="D25" s="1147">
        <v>2</v>
      </c>
      <c r="E25" s="1147">
        <v>1</v>
      </c>
      <c r="F25" s="1147">
        <v>36</v>
      </c>
      <c r="G25" s="1147">
        <v>0</v>
      </c>
      <c r="H25" s="1105"/>
    </row>
    <row r="26" spans="1:8" ht="12.75" customHeight="1">
      <c r="A26" s="1146" t="s">
        <v>9</v>
      </c>
      <c r="B26" s="1145">
        <f t="shared" si="2"/>
        <v>105</v>
      </c>
      <c r="C26" s="1147">
        <v>1</v>
      </c>
      <c r="D26" s="1147">
        <v>8</v>
      </c>
      <c r="E26" s="1147">
        <v>3</v>
      </c>
      <c r="F26" s="1147">
        <v>93</v>
      </c>
      <c r="G26" s="1147">
        <v>0</v>
      </c>
      <c r="H26" s="1105"/>
    </row>
    <row r="27" spans="1:8" ht="12.75" customHeight="1">
      <c r="A27" s="1146" t="s">
        <v>10</v>
      </c>
      <c r="B27" s="1145">
        <f t="shared" si="2"/>
        <v>97</v>
      </c>
      <c r="C27" s="1147">
        <v>0</v>
      </c>
      <c r="D27" s="1147">
        <v>8</v>
      </c>
      <c r="E27" s="1147">
        <v>2</v>
      </c>
      <c r="F27" s="1147">
        <v>87</v>
      </c>
      <c r="G27" s="1147">
        <v>0</v>
      </c>
      <c r="H27" s="1105"/>
    </row>
    <row r="28" spans="1:8" ht="12.75" customHeight="1">
      <c r="A28" s="1146" t="s">
        <v>11</v>
      </c>
      <c r="B28" s="1145">
        <f t="shared" si="2"/>
        <v>120</v>
      </c>
      <c r="C28" s="1147">
        <v>1</v>
      </c>
      <c r="D28" s="1147">
        <v>8</v>
      </c>
      <c r="E28" s="1147">
        <v>6</v>
      </c>
      <c r="F28" s="1147">
        <v>105</v>
      </c>
      <c r="G28" s="1147">
        <v>0</v>
      </c>
      <c r="H28" s="1105"/>
    </row>
    <row r="29" spans="1:8" ht="12.75" customHeight="1">
      <c r="A29" s="1146" t="s">
        <v>12</v>
      </c>
      <c r="B29" s="1145">
        <f t="shared" si="2"/>
        <v>164</v>
      </c>
      <c r="C29" s="1147">
        <v>4</v>
      </c>
      <c r="D29" s="1147">
        <v>12</v>
      </c>
      <c r="E29" s="1147">
        <v>11</v>
      </c>
      <c r="F29" s="1147">
        <v>137</v>
      </c>
      <c r="G29" s="1147">
        <v>0</v>
      </c>
      <c r="H29" s="1105"/>
    </row>
    <row r="30" spans="1:8">
      <c r="A30" s="1146" t="s">
        <v>13</v>
      </c>
      <c r="B30" s="1145">
        <f t="shared" si="2"/>
        <v>110</v>
      </c>
      <c r="C30" s="1147">
        <v>4</v>
      </c>
      <c r="D30" s="1147">
        <v>12</v>
      </c>
      <c r="E30" s="1147">
        <v>7</v>
      </c>
      <c r="F30" s="1147">
        <v>86</v>
      </c>
      <c r="G30" s="1147">
        <v>1</v>
      </c>
      <c r="H30" s="1105"/>
    </row>
    <row r="31" spans="1:8" ht="12.75" customHeight="1">
      <c r="A31" s="1146" t="s">
        <v>14</v>
      </c>
      <c r="B31" s="1145">
        <f t="shared" si="2"/>
        <v>108</v>
      </c>
      <c r="C31" s="1147">
        <v>7</v>
      </c>
      <c r="D31" s="1147">
        <v>20</v>
      </c>
      <c r="E31" s="1147">
        <v>13</v>
      </c>
      <c r="F31" s="1147">
        <v>68</v>
      </c>
      <c r="G31" s="1147">
        <v>0</v>
      </c>
      <c r="H31" s="1105"/>
    </row>
    <row r="32" spans="1:8" ht="12.75" customHeight="1">
      <c r="A32" s="1146" t="s">
        <v>15</v>
      </c>
      <c r="B32" s="1145">
        <f t="shared" si="2"/>
        <v>128</v>
      </c>
      <c r="C32" s="1147">
        <v>3</v>
      </c>
      <c r="D32" s="1147">
        <v>16</v>
      </c>
      <c r="E32" s="1147">
        <v>9</v>
      </c>
      <c r="F32" s="1147">
        <v>99</v>
      </c>
      <c r="G32" s="1147">
        <v>1</v>
      </c>
      <c r="H32" s="1105"/>
    </row>
    <row r="33" spans="1:8" ht="12.75" customHeight="1">
      <c r="A33" s="1146" t="s">
        <v>16</v>
      </c>
      <c r="B33" s="1145">
        <f t="shared" si="2"/>
        <v>201</v>
      </c>
      <c r="C33" s="1147">
        <v>7</v>
      </c>
      <c r="D33" s="1147">
        <v>41</v>
      </c>
      <c r="E33" s="1147">
        <v>14</v>
      </c>
      <c r="F33" s="1147">
        <v>138</v>
      </c>
      <c r="G33" s="1147">
        <v>1</v>
      </c>
      <c r="H33" s="1105"/>
    </row>
    <row r="34" spans="1:8" ht="12.75" customHeight="1">
      <c r="A34" s="1146" t="s">
        <v>17</v>
      </c>
      <c r="B34" s="1145">
        <f t="shared" si="2"/>
        <v>165</v>
      </c>
      <c r="C34" s="1147">
        <v>3</v>
      </c>
      <c r="D34" s="1147">
        <v>32</v>
      </c>
      <c r="E34" s="1147">
        <v>11</v>
      </c>
      <c r="F34" s="1147">
        <v>118</v>
      </c>
      <c r="G34" s="1147">
        <v>1</v>
      </c>
      <c r="H34" s="1105"/>
    </row>
    <row r="35" spans="1:8" ht="12.75" customHeight="1">
      <c r="A35" s="1146" t="s">
        <v>18</v>
      </c>
      <c r="B35" s="1145">
        <f t="shared" si="2"/>
        <v>66</v>
      </c>
      <c r="C35" s="1147">
        <v>1</v>
      </c>
      <c r="D35" s="1147">
        <v>13</v>
      </c>
      <c r="E35" s="1147">
        <v>8</v>
      </c>
      <c r="F35" s="1147">
        <v>44</v>
      </c>
      <c r="G35" s="1147">
        <v>0</v>
      </c>
      <c r="H35" s="1105"/>
    </row>
    <row r="36" spans="1:8" ht="12.75" customHeight="1">
      <c r="A36" s="1146" t="s">
        <v>19</v>
      </c>
      <c r="B36" s="1145">
        <f t="shared" si="2"/>
        <v>154</v>
      </c>
      <c r="C36" s="1147">
        <v>2</v>
      </c>
      <c r="D36" s="1147">
        <v>17</v>
      </c>
      <c r="E36" s="1147">
        <v>14</v>
      </c>
      <c r="F36" s="1147">
        <v>121</v>
      </c>
      <c r="G36" s="1147">
        <v>0</v>
      </c>
      <c r="H36" s="1105"/>
    </row>
    <row r="37" spans="1:8" ht="12.75" customHeight="1">
      <c r="A37" s="1146" t="s">
        <v>20</v>
      </c>
      <c r="B37" s="1145">
        <f t="shared" si="2"/>
        <v>58</v>
      </c>
      <c r="C37" s="1147">
        <v>0</v>
      </c>
      <c r="D37" s="1147">
        <v>1</v>
      </c>
      <c r="E37" s="1147">
        <v>2</v>
      </c>
      <c r="F37" s="1147">
        <v>55</v>
      </c>
      <c r="G37" s="1147">
        <v>0</v>
      </c>
      <c r="H37" s="1105"/>
    </row>
    <row r="38" spans="1:8" ht="12.75" customHeight="1">
      <c r="A38" s="1146" t="s">
        <v>21</v>
      </c>
      <c r="B38" s="1145">
        <f t="shared" si="2"/>
        <v>53</v>
      </c>
      <c r="C38" s="1147">
        <v>2</v>
      </c>
      <c r="D38" s="1147">
        <v>2</v>
      </c>
      <c r="E38" s="1147">
        <v>1</v>
      </c>
      <c r="F38" s="1147">
        <v>47</v>
      </c>
      <c r="G38" s="1147">
        <v>1</v>
      </c>
      <c r="H38" s="1105"/>
    </row>
    <row r="39" spans="1:8">
      <c r="A39" s="1110" t="s">
        <v>1809</v>
      </c>
      <c r="B39" s="1145">
        <f t="shared" ref="B39:G39" si="3">SUM(B40:B54)</f>
        <v>1603</v>
      </c>
      <c r="C39" s="1148">
        <f t="shared" si="3"/>
        <v>57</v>
      </c>
      <c r="D39" s="1148">
        <f t="shared" si="3"/>
        <v>188</v>
      </c>
      <c r="E39" s="1148">
        <f t="shared" si="3"/>
        <v>89</v>
      </c>
      <c r="F39" s="1148">
        <f t="shared" si="3"/>
        <v>1258</v>
      </c>
      <c r="G39" s="1148">
        <f t="shared" si="3"/>
        <v>11</v>
      </c>
      <c r="H39" s="1105"/>
    </row>
    <row r="40" spans="1:8" ht="12.75" customHeight="1">
      <c r="A40" s="1146" t="s">
        <v>7</v>
      </c>
      <c r="B40" s="1145">
        <f>SUM(C40:G40)</f>
        <v>35</v>
      </c>
      <c r="C40" s="1147">
        <v>0</v>
      </c>
      <c r="D40" s="1147">
        <v>2</v>
      </c>
      <c r="E40" s="1147">
        <v>2</v>
      </c>
      <c r="F40" s="1147">
        <v>30</v>
      </c>
      <c r="G40" s="1147">
        <v>1</v>
      </c>
      <c r="H40" s="1105"/>
    </row>
    <row r="41" spans="1:8" ht="12.75" customHeight="1">
      <c r="A41" s="1146" t="s">
        <v>8</v>
      </c>
      <c r="B41" s="1145">
        <f t="shared" ref="B41:B54" si="4">SUM(C41:G41)</f>
        <v>39</v>
      </c>
      <c r="C41" s="1147">
        <v>0</v>
      </c>
      <c r="D41" s="1147">
        <v>2</v>
      </c>
      <c r="E41" s="1147">
        <v>1</v>
      </c>
      <c r="F41" s="1147">
        <v>36</v>
      </c>
      <c r="G41" s="1147">
        <v>0</v>
      </c>
      <c r="H41" s="1105"/>
    </row>
    <row r="42" spans="1:8" ht="12.75" customHeight="1">
      <c r="A42" s="1146" t="s">
        <v>9</v>
      </c>
      <c r="B42" s="1145">
        <f t="shared" si="4"/>
        <v>105</v>
      </c>
      <c r="C42" s="1147">
        <v>2</v>
      </c>
      <c r="D42" s="1147">
        <v>8</v>
      </c>
      <c r="E42" s="1147">
        <v>3</v>
      </c>
      <c r="F42" s="1147">
        <v>92</v>
      </c>
      <c r="G42" s="1147">
        <v>0</v>
      </c>
      <c r="H42" s="1105"/>
    </row>
    <row r="43" spans="1:8" ht="12.75" customHeight="1">
      <c r="A43" s="1146" t="s">
        <v>10</v>
      </c>
      <c r="B43" s="1145">
        <f t="shared" si="4"/>
        <v>97</v>
      </c>
      <c r="C43" s="1147">
        <v>0</v>
      </c>
      <c r="D43" s="1147">
        <v>8</v>
      </c>
      <c r="E43" s="1147">
        <v>1</v>
      </c>
      <c r="F43" s="1147">
        <v>87</v>
      </c>
      <c r="G43" s="1147">
        <v>1</v>
      </c>
      <c r="H43" s="1105"/>
    </row>
    <row r="44" spans="1:8" ht="12.75" customHeight="1">
      <c r="A44" s="1146" t="s">
        <v>11</v>
      </c>
      <c r="B44" s="1145">
        <f t="shared" si="4"/>
        <v>120</v>
      </c>
      <c r="C44" s="1147">
        <v>1</v>
      </c>
      <c r="D44" s="1147">
        <v>9</v>
      </c>
      <c r="E44" s="1147">
        <v>5</v>
      </c>
      <c r="F44" s="1147">
        <v>105</v>
      </c>
      <c r="G44" s="1147">
        <v>0</v>
      </c>
      <c r="H44" s="1105"/>
    </row>
    <row r="45" spans="1:8" ht="12.75" customHeight="1">
      <c r="A45" s="1146" t="s">
        <v>12</v>
      </c>
      <c r="B45" s="1145">
        <f t="shared" si="4"/>
        <v>164</v>
      </c>
      <c r="C45" s="1147">
        <v>11</v>
      </c>
      <c r="D45" s="1147">
        <v>11</v>
      </c>
      <c r="E45" s="1147">
        <v>6</v>
      </c>
      <c r="F45" s="1147">
        <v>136</v>
      </c>
      <c r="G45" s="1147">
        <v>0</v>
      </c>
      <c r="H45" s="1105"/>
    </row>
    <row r="46" spans="1:8">
      <c r="A46" s="1146" t="s">
        <v>13</v>
      </c>
      <c r="B46" s="1145">
        <f t="shared" si="4"/>
        <v>110</v>
      </c>
      <c r="C46" s="1147">
        <v>4</v>
      </c>
      <c r="D46" s="1147">
        <v>11</v>
      </c>
      <c r="E46" s="1147">
        <v>7</v>
      </c>
      <c r="F46" s="1147">
        <v>86</v>
      </c>
      <c r="G46" s="1147">
        <v>2</v>
      </c>
      <c r="H46" s="1105"/>
    </row>
    <row r="47" spans="1:8" ht="12.75" customHeight="1">
      <c r="A47" s="1146" t="s">
        <v>14</v>
      </c>
      <c r="B47" s="1145">
        <f t="shared" si="4"/>
        <v>108</v>
      </c>
      <c r="C47" s="1147">
        <v>10</v>
      </c>
      <c r="D47" s="1147">
        <v>19</v>
      </c>
      <c r="E47" s="1147">
        <v>11</v>
      </c>
      <c r="F47" s="1147">
        <v>68</v>
      </c>
      <c r="G47" s="1147">
        <v>0</v>
      </c>
      <c r="H47" s="1105"/>
    </row>
    <row r="48" spans="1:8" ht="12.75" customHeight="1">
      <c r="A48" s="1146" t="s">
        <v>15</v>
      </c>
      <c r="B48" s="1145">
        <f t="shared" si="4"/>
        <v>128</v>
      </c>
      <c r="C48" s="1147">
        <v>4</v>
      </c>
      <c r="D48" s="1147">
        <v>16</v>
      </c>
      <c r="E48" s="1147">
        <v>8</v>
      </c>
      <c r="F48" s="1147">
        <v>99</v>
      </c>
      <c r="G48" s="1147">
        <v>1</v>
      </c>
      <c r="H48" s="1105"/>
    </row>
    <row r="49" spans="1:18" ht="12.75" customHeight="1">
      <c r="A49" s="1146" t="s">
        <v>16</v>
      </c>
      <c r="B49" s="1145">
        <f t="shared" si="4"/>
        <v>201</v>
      </c>
      <c r="C49" s="1147">
        <v>8</v>
      </c>
      <c r="D49" s="1147">
        <v>42</v>
      </c>
      <c r="E49" s="1147">
        <v>13</v>
      </c>
      <c r="F49" s="1147">
        <v>135</v>
      </c>
      <c r="G49" s="1147">
        <v>3</v>
      </c>
      <c r="H49" s="1105"/>
    </row>
    <row r="50" spans="1:18" ht="12.75" customHeight="1">
      <c r="A50" s="1146" t="s">
        <v>17</v>
      </c>
      <c r="B50" s="1145">
        <f t="shared" si="4"/>
        <v>165</v>
      </c>
      <c r="C50" s="1147">
        <v>8</v>
      </c>
      <c r="D50" s="1147">
        <v>28</v>
      </c>
      <c r="E50" s="1147">
        <v>10</v>
      </c>
      <c r="F50" s="1147">
        <v>118</v>
      </c>
      <c r="G50" s="1147">
        <v>1</v>
      </c>
      <c r="H50" s="1105"/>
    </row>
    <row r="51" spans="1:18" ht="12.75" customHeight="1">
      <c r="A51" s="1146" t="s">
        <v>18</v>
      </c>
      <c r="B51" s="1145">
        <f t="shared" si="4"/>
        <v>66</v>
      </c>
      <c r="C51" s="1147">
        <v>3</v>
      </c>
      <c r="D51" s="1147">
        <v>15</v>
      </c>
      <c r="E51" s="1147">
        <v>4</v>
      </c>
      <c r="F51" s="1147">
        <v>44</v>
      </c>
      <c r="G51" s="1147">
        <v>0</v>
      </c>
      <c r="H51" s="1105"/>
    </row>
    <row r="52" spans="1:18" ht="12.75" customHeight="1">
      <c r="A52" s="1146" t="s">
        <v>19</v>
      </c>
      <c r="B52" s="1145">
        <f t="shared" si="4"/>
        <v>154</v>
      </c>
      <c r="C52" s="1147">
        <v>4</v>
      </c>
      <c r="D52" s="1147">
        <v>14</v>
      </c>
      <c r="E52" s="1147">
        <v>15</v>
      </c>
      <c r="F52" s="1147">
        <v>120</v>
      </c>
      <c r="G52" s="1147">
        <v>1</v>
      </c>
      <c r="H52" s="1105"/>
    </row>
    <row r="53" spans="1:18" ht="12.75" customHeight="1">
      <c r="A53" s="1146" t="s">
        <v>20</v>
      </c>
      <c r="B53" s="1145">
        <f t="shared" si="4"/>
        <v>58</v>
      </c>
      <c r="C53" s="1147">
        <v>0</v>
      </c>
      <c r="D53" s="1147">
        <v>1</v>
      </c>
      <c r="E53" s="1147">
        <v>2</v>
      </c>
      <c r="F53" s="1147">
        <v>55</v>
      </c>
      <c r="G53" s="1147">
        <v>0</v>
      </c>
      <c r="H53" s="1105"/>
    </row>
    <row r="54" spans="1:18" ht="12.75" customHeight="1">
      <c r="A54" s="1146" t="s">
        <v>21</v>
      </c>
      <c r="B54" s="1145">
        <f t="shared" si="4"/>
        <v>53</v>
      </c>
      <c r="C54" s="1147">
        <v>2</v>
      </c>
      <c r="D54" s="1147">
        <v>2</v>
      </c>
      <c r="E54" s="1147">
        <v>1</v>
      </c>
      <c r="F54" s="1147">
        <v>47</v>
      </c>
      <c r="G54" s="1147">
        <v>1</v>
      </c>
      <c r="H54" s="1105"/>
    </row>
    <row r="55" spans="1:18" ht="8.25" customHeight="1">
      <c r="A55" s="1112"/>
      <c r="B55" s="1149"/>
      <c r="C55" s="1150"/>
      <c r="D55" s="1150"/>
      <c r="E55" s="1150"/>
      <c r="F55" s="1150"/>
      <c r="G55" s="1150"/>
      <c r="H55" s="1105"/>
    </row>
    <row r="56" spans="1:18" ht="12.75" customHeight="1">
      <c r="A56" s="2388" t="s">
        <v>3608</v>
      </c>
      <c r="B56" s="2388"/>
      <c r="C56" s="2388"/>
      <c r="D56" s="2388"/>
      <c r="E56" s="2388"/>
      <c r="F56" s="2388"/>
      <c r="G56" s="2388"/>
      <c r="H56" s="1089"/>
      <c r="I56" s="1089"/>
      <c r="J56" s="1089"/>
      <c r="K56" s="1089"/>
      <c r="L56" s="1089"/>
      <c r="M56" s="1089"/>
      <c r="N56" s="1089"/>
      <c r="O56" s="1089"/>
      <c r="P56" s="1089"/>
      <c r="Q56" s="1089"/>
      <c r="R56" s="1089"/>
    </row>
    <row r="57" spans="1:18" ht="23.25" customHeight="1">
      <c r="A57" s="2396" t="s">
        <v>3606</v>
      </c>
      <c r="B57" s="2396"/>
      <c r="C57" s="2396"/>
      <c r="D57" s="2396"/>
      <c r="E57" s="2396"/>
      <c r="F57" s="2396"/>
      <c r="G57" s="2396"/>
      <c r="H57" s="1089"/>
      <c r="I57" s="1089"/>
      <c r="J57" s="1089"/>
      <c r="K57" s="1089"/>
      <c r="L57" s="1089"/>
      <c r="M57" s="1089"/>
      <c r="N57" s="1089"/>
      <c r="O57" s="1089"/>
      <c r="P57" s="1089"/>
      <c r="Q57" s="1089"/>
      <c r="R57" s="1089"/>
    </row>
    <row r="58" spans="1:18">
      <c r="A58" s="2388" t="s">
        <v>22</v>
      </c>
      <c r="B58" s="2388"/>
      <c r="C58" s="2388"/>
      <c r="D58" s="2388"/>
      <c r="E58" s="2388"/>
      <c r="F58" s="2388"/>
      <c r="G58" s="2388"/>
      <c r="H58" s="1105"/>
    </row>
    <row r="59" spans="1:18">
      <c r="A59" s="2388" t="s">
        <v>1783</v>
      </c>
      <c r="B59" s="2388"/>
      <c r="C59" s="2388"/>
      <c r="D59" s="2388"/>
      <c r="E59" s="2388"/>
      <c r="F59" s="2388"/>
      <c r="G59" s="2388"/>
      <c r="H59" s="1105"/>
    </row>
    <row r="60" spans="1:18" ht="15.4" customHeight="1">
      <c r="A60" s="1105"/>
      <c r="B60" s="1106"/>
      <c r="C60" s="1106"/>
      <c r="D60" s="1106"/>
      <c r="E60" s="1106"/>
      <c r="F60" s="1106"/>
      <c r="G60" s="1106"/>
      <c r="H60" s="1105"/>
    </row>
    <row r="61" spans="1:18">
      <c r="A61" s="1105"/>
      <c r="B61" s="1105"/>
      <c r="C61" s="1105"/>
      <c r="D61" s="1105"/>
      <c r="E61" s="1105"/>
      <c r="F61" s="1105"/>
      <c r="G61" s="1105"/>
      <c r="H61" s="1105"/>
    </row>
    <row r="67" spans="1:1">
      <c r="A67" s="1151"/>
    </row>
  </sheetData>
  <mergeCells count="10">
    <mergeCell ref="A56:G56"/>
    <mergeCell ref="A57:G57"/>
    <mergeCell ref="A58:G58"/>
    <mergeCell ref="A59:G59"/>
    <mergeCell ref="A2:G2"/>
    <mergeCell ref="A4:A6"/>
    <mergeCell ref="B4:F4"/>
    <mergeCell ref="G4:G6"/>
    <mergeCell ref="B5:B6"/>
    <mergeCell ref="C5:F5"/>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87.xml><?xml version="1.0" encoding="utf-8"?>
<worksheet xmlns="http://schemas.openxmlformats.org/spreadsheetml/2006/main" xmlns:r="http://schemas.openxmlformats.org/officeDocument/2006/relationships">
  <sheetPr>
    <outlinePr summaryBelow="0" summaryRight="0"/>
  </sheetPr>
  <dimension ref="A1:R29"/>
  <sheetViews>
    <sheetView zoomScaleNormal="100" workbookViewId="0">
      <selection activeCell="A31" sqref="A31"/>
    </sheetView>
  </sheetViews>
  <sheetFormatPr baseColWidth="10" defaultColWidth="9.140625" defaultRowHeight="12"/>
  <cols>
    <col min="1" max="1" width="30" style="110" customWidth="1"/>
    <col min="2" max="7" width="10.85546875" style="1137" customWidth="1"/>
    <col min="8" max="8" width="14.42578125" style="110" customWidth="1"/>
    <col min="9" max="256" width="9.140625" style="110"/>
    <col min="257" max="257" width="30" style="110" customWidth="1"/>
    <col min="258" max="263" width="10.85546875" style="110" customWidth="1"/>
    <col min="264" max="264" width="14.42578125" style="110" customWidth="1"/>
    <col min="265" max="512" width="9.140625" style="110"/>
    <col min="513" max="513" width="30" style="110" customWidth="1"/>
    <col min="514" max="519" width="10.85546875" style="110" customWidth="1"/>
    <col min="520" max="520" width="14.42578125" style="110" customWidth="1"/>
    <col min="521" max="768" width="9.140625" style="110"/>
    <col min="769" max="769" width="30" style="110" customWidth="1"/>
    <col min="770" max="775" width="10.85546875" style="110" customWidth="1"/>
    <col min="776" max="776" width="14.42578125" style="110" customWidth="1"/>
    <col min="777" max="1024" width="9.140625" style="110"/>
    <col min="1025" max="1025" width="30" style="110" customWidth="1"/>
    <col min="1026" max="1031" width="10.85546875" style="110" customWidth="1"/>
    <col min="1032" max="1032" width="14.42578125" style="110" customWidth="1"/>
    <col min="1033" max="1280" width="9.140625" style="110"/>
    <col min="1281" max="1281" width="30" style="110" customWidth="1"/>
    <col min="1282" max="1287" width="10.85546875" style="110" customWidth="1"/>
    <col min="1288" max="1288" width="14.42578125" style="110" customWidth="1"/>
    <col min="1289" max="1536" width="9.140625" style="110"/>
    <col min="1537" max="1537" width="30" style="110" customWidth="1"/>
    <col min="1538" max="1543" width="10.85546875" style="110" customWidth="1"/>
    <col min="1544" max="1544" width="14.42578125" style="110" customWidth="1"/>
    <col min="1545" max="1792" width="9.140625" style="110"/>
    <col min="1793" max="1793" width="30" style="110" customWidth="1"/>
    <col min="1794" max="1799" width="10.85546875" style="110" customWidth="1"/>
    <col min="1800" max="1800" width="14.42578125" style="110" customWidth="1"/>
    <col min="1801" max="2048" width="9.140625" style="110"/>
    <col min="2049" max="2049" width="30" style="110" customWidth="1"/>
    <col min="2050" max="2055" width="10.85546875" style="110" customWidth="1"/>
    <col min="2056" max="2056" width="14.42578125" style="110" customWidth="1"/>
    <col min="2057" max="2304" width="9.140625" style="110"/>
    <col min="2305" max="2305" width="30" style="110" customWidth="1"/>
    <col min="2306" max="2311" width="10.85546875" style="110" customWidth="1"/>
    <col min="2312" max="2312" width="14.42578125" style="110" customWidth="1"/>
    <col min="2313" max="2560" width="9.140625" style="110"/>
    <col min="2561" max="2561" width="30" style="110" customWidth="1"/>
    <col min="2562" max="2567" width="10.85546875" style="110" customWidth="1"/>
    <col min="2568" max="2568" width="14.42578125" style="110" customWidth="1"/>
    <col min="2569" max="2816" width="9.140625" style="110"/>
    <col min="2817" max="2817" width="30" style="110" customWidth="1"/>
    <col min="2818" max="2823" width="10.85546875" style="110" customWidth="1"/>
    <col min="2824" max="2824" width="14.42578125" style="110" customWidth="1"/>
    <col min="2825" max="3072" width="9.140625" style="110"/>
    <col min="3073" max="3073" width="30" style="110" customWidth="1"/>
    <col min="3074" max="3079" width="10.85546875" style="110" customWidth="1"/>
    <col min="3080" max="3080" width="14.42578125" style="110" customWidth="1"/>
    <col min="3081" max="3328" width="9.140625" style="110"/>
    <col min="3329" max="3329" width="30" style="110" customWidth="1"/>
    <col min="3330" max="3335" width="10.85546875" style="110" customWidth="1"/>
    <col min="3336" max="3336" width="14.42578125" style="110" customWidth="1"/>
    <col min="3337" max="3584" width="9.140625" style="110"/>
    <col min="3585" max="3585" width="30" style="110" customWidth="1"/>
    <col min="3586" max="3591" width="10.85546875" style="110" customWidth="1"/>
    <col min="3592" max="3592" width="14.42578125" style="110" customWidth="1"/>
    <col min="3593" max="3840" width="9.140625" style="110"/>
    <col min="3841" max="3841" width="30" style="110" customWidth="1"/>
    <col min="3842" max="3847" width="10.85546875" style="110" customWidth="1"/>
    <col min="3848" max="3848" width="14.42578125" style="110" customWidth="1"/>
    <col min="3849" max="4096" width="9.140625" style="110"/>
    <col min="4097" max="4097" width="30" style="110" customWidth="1"/>
    <col min="4098" max="4103" width="10.85546875" style="110" customWidth="1"/>
    <col min="4104" max="4104" width="14.42578125" style="110" customWidth="1"/>
    <col min="4105" max="4352" width="9.140625" style="110"/>
    <col min="4353" max="4353" width="30" style="110" customWidth="1"/>
    <col min="4354" max="4359" width="10.85546875" style="110" customWidth="1"/>
    <col min="4360" max="4360" width="14.42578125" style="110" customWidth="1"/>
    <col min="4361" max="4608" width="9.140625" style="110"/>
    <col min="4609" max="4609" width="30" style="110" customWidth="1"/>
    <col min="4610" max="4615" width="10.85546875" style="110" customWidth="1"/>
    <col min="4616" max="4616" width="14.42578125" style="110" customWidth="1"/>
    <col min="4617" max="4864" width="9.140625" style="110"/>
    <col min="4865" max="4865" width="30" style="110" customWidth="1"/>
    <col min="4866" max="4871" width="10.85546875" style="110" customWidth="1"/>
    <col min="4872" max="4872" width="14.42578125" style="110" customWidth="1"/>
    <col min="4873" max="5120" width="9.140625" style="110"/>
    <col min="5121" max="5121" width="30" style="110" customWidth="1"/>
    <col min="5122" max="5127" width="10.85546875" style="110" customWidth="1"/>
    <col min="5128" max="5128" width="14.42578125" style="110" customWidth="1"/>
    <col min="5129" max="5376" width="9.140625" style="110"/>
    <col min="5377" max="5377" width="30" style="110" customWidth="1"/>
    <col min="5378" max="5383" width="10.85546875" style="110" customWidth="1"/>
    <col min="5384" max="5384" width="14.42578125" style="110" customWidth="1"/>
    <col min="5385" max="5632" width="9.140625" style="110"/>
    <col min="5633" max="5633" width="30" style="110" customWidth="1"/>
    <col min="5634" max="5639" width="10.85546875" style="110" customWidth="1"/>
    <col min="5640" max="5640" width="14.42578125" style="110" customWidth="1"/>
    <col min="5641" max="5888" width="9.140625" style="110"/>
    <col min="5889" max="5889" width="30" style="110" customWidth="1"/>
    <col min="5890" max="5895" width="10.85546875" style="110" customWidth="1"/>
    <col min="5896" max="5896" width="14.42578125" style="110" customWidth="1"/>
    <col min="5897" max="6144" width="9.140625" style="110"/>
    <col min="6145" max="6145" width="30" style="110" customWidth="1"/>
    <col min="6146" max="6151" width="10.85546875" style="110" customWidth="1"/>
    <col min="6152" max="6152" width="14.42578125" style="110" customWidth="1"/>
    <col min="6153" max="6400" width="9.140625" style="110"/>
    <col min="6401" max="6401" width="30" style="110" customWidth="1"/>
    <col min="6402" max="6407" width="10.85546875" style="110" customWidth="1"/>
    <col min="6408" max="6408" width="14.42578125" style="110" customWidth="1"/>
    <col min="6409" max="6656" width="9.140625" style="110"/>
    <col min="6657" max="6657" width="30" style="110" customWidth="1"/>
    <col min="6658" max="6663" width="10.85546875" style="110" customWidth="1"/>
    <col min="6664" max="6664" width="14.42578125" style="110" customWidth="1"/>
    <col min="6665" max="6912" width="9.140625" style="110"/>
    <col min="6913" max="6913" width="30" style="110" customWidth="1"/>
    <col min="6914" max="6919" width="10.85546875" style="110" customWidth="1"/>
    <col min="6920" max="6920" width="14.42578125" style="110" customWidth="1"/>
    <col min="6921" max="7168" width="9.140625" style="110"/>
    <col min="7169" max="7169" width="30" style="110" customWidth="1"/>
    <col min="7170" max="7175" width="10.85546875" style="110" customWidth="1"/>
    <col min="7176" max="7176" width="14.42578125" style="110" customWidth="1"/>
    <col min="7177" max="7424" width="9.140625" style="110"/>
    <col min="7425" max="7425" width="30" style="110" customWidth="1"/>
    <col min="7426" max="7431" width="10.85546875" style="110" customWidth="1"/>
    <col min="7432" max="7432" width="14.42578125" style="110" customWidth="1"/>
    <col min="7433" max="7680" width="9.140625" style="110"/>
    <col min="7681" max="7681" width="30" style="110" customWidth="1"/>
    <col min="7682" max="7687" width="10.85546875" style="110" customWidth="1"/>
    <col min="7688" max="7688" width="14.42578125" style="110" customWidth="1"/>
    <col min="7689" max="7936" width="9.140625" style="110"/>
    <col min="7937" max="7937" width="30" style="110" customWidth="1"/>
    <col min="7938" max="7943" width="10.85546875" style="110" customWidth="1"/>
    <col min="7944" max="7944" width="14.42578125" style="110" customWidth="1"/>
    <col min="7945" max="8192" width="9.140625" style="110"/>
    <col min="8193" max="8193" width="30" style="110" customWidth="1"/>
    <col min="8194" max="8199" width="10.85546875" style="110" customWidth="1"/>
    <col min="8200" max="8200" width="14.42578125" style="110" customWidth="1"/>
    <col min="8201" max="8448" width="9.140625" style="110"/>
    <col min="8449" max="8449" width="30" style="110" customWidth="1"/>
    <col min="8450" max="8455" width="10.85546875" style="110" customWidth="1"/>
    <col min="8456" max="8456" width="14.42578125" style="110" customWidth="1"/>
    <col min="8457" max="8704" width="9.140625" style="110"/>
    <col min="8705" max="8705" width="30" style="110" customWidth="1"/>
    <col min="8706" max="8711" width="10.85546875" style="110" customWidth="1"/>
    <col min="8712" max="8712" width="14.42578125" style="110" customWidth="1"/>
    <col min="8713" max="8960" width="9.140625" style="110"/>
    <col min="8961" max="8961" width="30" style="110" customWidth="1"/>
    <col min="8962" max="8967" width="10.85546875" style="110" customWidth="1"/>
    <col min="8968" max="8968" width="14.42578125" style="110" customWidth="1"/>
    <col min="8969" max="9216" width="9.140625" style="110"/>
    <col min="9217" max="9217" width="30" style="110" customWidth="1"/>
    <col min="9218" max="9223" width="10.85546875" style="110" customWidth="1"/>
    <col min="9224" max="9224" width="14.42578125" style="110" customWidth="1"/>
    <col min="9225" max="9472" width="9.140625" style="110"/>
    <col min="9473" max="9473" width="30" style="110" customWidth="1"/>
    <col min="9474" max="9479" width="10.85546875" style="110" customWidth="1"/>
    <col min="9480" max="9480" width="14.42578125" style="110" customWidth="1"/>
    <col min="9481" max="9728" width="9.140625" style="110"/>
    <col min="9729" max="9729" width="30" style="110" customWidth="1"/>
    <col min="9730" max="9735" width="10.85546875" style="110" customWidth="1"/>
    <col min="9736" max="9736" width="14.42578125" style="110" customWidth="1"/>
    <col min="9737" max="9984" width="9.140625" style="110"/>
    <col min="9985" max="9985" width="30" style="110" customWidth="1"/>
    <col min="9986" max="9991" width="10.85546875" style="110" customWidth="1"/>
    <col min="9992" max="9992" width="14.42578125" style="110" customWidth="1"/>
    <col min="9993" max="10240" width="9.140625" style="110"/>
    <col min="10241" max="10241" width="30" style="110" customWidth="1"/>
    <col min="10242" max="10247" width="10.85546875" style="110" customWidth="1"/>
    <col min="10248" max="10248" width="14.42578125" style="110" customWidth="1"/>
    <col min="10249" max="10496" width="9.140625" style="110"/>
    <col min="10497" max="10497" width="30" style="110" customWidth="1"/>
    <col min="10498" max="10503" width="10.85546875" style="110" customWidth="1"/>
    <col min="10504" max="10504" width="14.42578125" style="110" customWidth="1"/>
    <col min="10505" max="10752" width="9.140625" style="110"/>
    <col min="10753" max="10753" width="30" style="110" customWidth="1"/>
    <col min="10754" max="10759" width="10.85546875" style="110" customWidth="1"/>
    <col min="10760" max="10760" width="14.42578125" style="110" customWidth="1"/>
    <col min="10761" max="11008" width="9.140625" style="110"/>
    <col min="11009" max="11009" width="30" style="110" customWidth="1"/>
    <col min="11010" max="11015" width="10.85546875" style="110" customWidth="1"/>
    <col min="11016" max="11016" width="14.42578125" style="110" customWidth="1"/>
    <col min="11017" max="11264" width="9.140625" style="110"/>
    <col min="11265" max="11265" width="30" style="110" customWidth="1"/>
    <col min="11266" max="11271" width="10.85546875" style="110" customWidth="1"/>
    <col min="11272" max="11272" width="14.42578125" style="110" customWidth="1"/>
    <col min="11273" max="11520" width="9.140625" style="110"/>
    <col min="11521" max="11521" width="30" style="110" customWidth="1"/>
    <col min="11522" max="11527" width="10.85546875" style="110" customWidth="1"/>
    <col min="11528" max="11528" width="14.42578125" style="110" customWidth="1"/>
    <col min="11529" max="11776" width="9.140625" style="110"/>
    <col min="11777" max="11777" width="30" style="110" customWidth="1"/>
    <col min="11778" max="11783" width="10.85546875" style="110" customWidth="1"/>
    <col min="11784" max="11784" width="14.42578125" style="110" customWidth="1"/>
    <col min="11785" max="12032" width="9.140625" style="110"/>
    <col min="12033" max="12033" width="30" style="110" customWidth="1"/>
    <col min="12034" max="12039" width="10.85546875" style="110" customWidth="1"/>
    <col min="12040" max="12040" width="14.42578125" style="110" customWidth="1"/>
    <col min="12041" max="12288" width="9.140625" style="110"/>
    <col min="12289" max="12289" width="30" style="110" customWidth="1"/>
    <col min="12290" max="12295" width="10.85546875" style="110" customWidth="1"/>
    <col min="12296" max="12296" width="14.42578125" style="110" customWidth="1"/>
    <col min="12297" max="12544" width="9.140625" style="110"/>
    <col min="12545" max="12545" width="30" style="110" customWidth="1"/>
    <col min="12546" max="12551" width="10.85546875" style="110" customWidth="1"/>
    <col min="12552" max="12552" width="14.42578125" style="110" customWidth="1"/>
    <col min="12553" max="12800" width="9.140625" style="110"/>
    <col min="12801" max="12801" width="30" style="110" customWidth="1"/>
    <col min="12802" max="12807" width="10.85546875" style="110" customWidth="1"/>
    <col min="12808" max="12808" width="14.42578125" style="110" customWidth="1"/>
    <col min="12809" max="13056" width="9.140625" style="110"/>
    <col min="13057" max="13057" width="30" style="110" customWidth="1"/>
    <col min="13058" max="13063" width="10.85546875" style="110" customWidth="1"/>
    <col min="13064" max="13064" width="14.42578125" style="110" customWidth="1"/>
    <col min="13065" max="13312" width="9.140625" style="110"/>
    <col min="13313" max="13313" width="30" style="110" customWidth="1"/>
    <col min="13314" max="13319" width="10.85546875" style="110" customWidth="1"/>
    <col min="13320" max="13320" width="14.42578125" style="110" customWidth="1"/>
    <col min="13321" max="13568" width="9.140625" style="110"/>
    <col min="13569" max="13569" width="30" style="110" customWidth="1"/>
    <col min="13570" max="13575" width="10.85546875" style="110" customWidth="1"/>
    <col min="13576" max="13576" width="14.42578125" style="110" customWidth="1"/>
    <col min="13577" max="13824" width="9.140625" style="110"/>
    <col min="13825" max="13825" width="30" style="110" customWidth="1"/>
    <col min="13826" max="13831" width="10.85546875" style="110" customWidth="1"/>
    <col min="13832" max="13832" width="14.42578125" style="110" customWidth="1"/>
    <col min="13833" max="14080" width="9.140625" style="110"/>
    <col min="14081" max="14081" width="30" style="110" customWidth="1"/>
    <col min="14082" max="14087" width="10.85546875" style="110" customWidth="1"/>
    <col min="14088" max="14088" width="14.42578125" style="110" customWidth="1"/>
    <col min="14089" max="14336" width="9.140625" style="110"/>
    <col min="14337" max="14337" width="30" style="110" customWidth="1"/>
    <col min="14338" max="14343" width="10.85546875" style="110" customWidth="1"/>
    <col min="14344" max="14344" width="14.42578125" style="110" customWidth="1"/>
    <col min="14345" max="14592" width="9.140625" style="110"/>
    <col min="14593" max="14593" width="30" style="110" customWidth="1"/>
    <col min="14594" max="14599" width="10.85546875" style="110" customWidth="1"/>
    <col min="14600" max="14600" width="14.42578125" style="110" customWidth="1"/>
    <col min="14601" max="14848" width="9.140625" style="110"/>
    <col min="14849" max="14849" width="30" style="110" customWidth="1"/>
    <col min="14850" max="14855" width="10.85546875" style="110" customWidth="1"/>
    <col min="14856" max="14856" width="14.42578125" style="110" customWidth="1"/>
    <col min="14857" max="15104" width="9.140625" style="110"/>
    <col min="15105" max="15105" width="30" style="110" customWidth="1"/>
    <col min="15106" max="15111" width="10.85546875" style="110" customWidth="1"/>
    <col min="15112" max="15112" width="14.42578125" style="110" customWidth="1"/>
    <col min="15113" max="15360" width="9.140625" style="110"/>
    <col min="15361" max="15361" width="30" style="110" customWidth="1"/>
    <col min="15362" max="15367" width="10.85546875" style="110" customWidth="1"/>
    <col min="15368" max="15368" width="14.42578125" style="110" customWidth="1"/>
    <col min="15369" max="15616" width="9.140625" style="110"/>
    <col min="15617" max="15617" width="30" style="110" customWidth="1"/>
    <col min="15618" max="15623" width="10.85546875" style="110" customWidth="1"/>
    <col min="15624" max="15624" width="14.42578125" style="110" customWidth="1"/>
    <col min="15625" max="15872" width="9.140625" style="110"/>
    <col min="15873" max="15873" width="30" style="110" customWidth="1"/>
    <col min="15874" max="15879" width="10.85546875" style="110" customWidth="1"/>
    <col min="15880" max="15880" width="14.42578125" style="110" customWidth="1"/>
    <col min="15881" max="16128" width="9.140625" style="110"/>
    <col min="16129" max="16129" width="30" style="110" customWidth="1"/>
    <col min="16130" max="16135" width="10.85546875" style="110" customWidth="1"/>
    <col min="16136" max="16136" width="14.42578125" style="110" customWidth="1"/>
    <col min="16137" max="16384" width="9.140625" style="110"/>
  </cols>
  <sheetData>
    <row r="1" spans="1:9">
      <c r="A1" s="1105"/>
      <c r="B1" s="1105"/>
      <c r="C1" s="1105"/>
      <c r="D1" s="1105"/>
      <c r="E1" s="1105"/>
      <c r="F1" s="1105"/>
      <c r="G1" s="1105"/>
      <c r="H1" s="1105"/>
    </row>
    <row r="2" spans="1:9" ht="25.9" customHeight="1">
      <c r="A2" s="2389" t="s">
        <v>1810</v>
      </c>
      <c r="B2" s="2389"/>
      <c r="C2" s="2389"/>
      <c r="D2" s="2389"/>
      <c r="E2" s="2389"/>
      <c r="F2" s="2389"/>
      <c r="G2" s="2389"/>
      <c r="H2" s="44"/>
    </row>
    <row r="3" spans="1:9">
      <c r="A3" s="1105"/>
      <c r="B3" s="1106"/>
      <c r="C3" s="1106"/>
      <c r="D3" s="1106"/>
      <c r="E3" s="1106"/>
      <c r="F3" s="1106"/>
      <c r="G3" s="1106"/>
      <c r="H3" s="1105"/>
    </row>
    <row r="4" spans="1:9">
      <c r="A4" s="2394" t="s">
        <v>1811</v>
      </c>
      <c r="B4" s="2384" t="s">
        <v>3621</v>
      </c>
      <c r="C4" s="2384"/>
      <c r="D4" s="2384"/>
      <c r="E4" s="2384"/>
      <c r="F4" s="2384"/>
      <c r="G4" s="2384"/>
      <c r="H4" s="1105"/>
    </row>
    <row r="5" spans="1:9">
      <c r="A5" s="2382"/>
      <c r="B5" s="2398" t="s">
        <v>3604</v>
      </c>
      <c r="C5" s="2384" t="s">
        <v>1812</v>
      </c>
      <c r="D5" s="2384"/>
      <c r="E5" s="2384"/>
      <c r="F5" s="2384"/>
      <c r="G5" s="2384"/>
      <c r="H5" s="1105"/>
    </row>
    <row r="6" spans="1:9" s="1127" customFormat="1" ht="24.75" customHeight="1">
      <c r="A6" s="2383"/>
      <c r="B6" s="2386"/>
      <c r="C6" s="1091" t="s">
        <v>1804</v>
      </c>
      <c r="D6" s="1091" t="s">
        <v>1805</v>
      </c>
      <c r="E6" s="1091" t="s">
        <v>1806</v>
      </c>
      <c r="F6" s="1091" t="s">
        <v>1411</v>
      </c>
      <c r="G6" s="1091" t="s">
        <v>1802</v>
      </c>
      <c r="H6" s="1140"/>
    </row>
    <row r="7" spans="1:9" ht="12.75" customHeight="1">
      <c r="A7" s="1108" t="s">
        <v>1813</v>
      </c>
      <c r="B7" s="1141"/>
      <c r="C7" s="1141"/>
      <c r="D7" s="1141"/>
      <c r="E7" s="1141"/>
      <c r="F7" s="1141"/>
      <c r="G7" s="1141"/>
      <c r="H7" s="1105"/>
    </row>
    <row r="8" spans="1:9" ht="12.75" customHeight="1">
      <c r="A8" s="1112" t="s">
        <v>1814</v>
      </c>
      <c r="B8" s="1142">
        <f>SUM(C8:G8)</f>
        <v>1603</v>
      </c>
      <c r="C8" s="1143">
        <v>41</v>
      </c>
      <c r="D8" s="1143">
        <v>185</v>
      </c>
      <c r="E8" s="1143">
        <v>121</v>
      </c>
      <c r="F8" s="1143">
        <v>1255</v>
      </c>
      <c r="G8" s="1143">
        <v>1</v>
      </c>
      <c r="H8" s="1105"/>
    </row>
    <row r="9" spans="1:9" ht="12.75" customHeight="1">
      <c r="A9" s="1112" t="s">
        <v>1815</v>
      </c>
      <c r="B9" s="1142">
        <f>SUM(C9:G9)</f>
        <v>1603</v>
      </c>
      <c r="C9" s="1143">
        <v>35</v>
      </c>
      <c r="D9" s="1143">
        <v>193</v>
      </c>
      <c r="E9" s="1143">
        <v>104</v>
      </c>
      <c r="F9" s="1143">
        <v>1265</v>
      </c>
      <c r="G9" s="1143">
        <v>6</v>
      </c>
      <c r="H9" s="1105"/>
    </row>
    <row r="10" spans="1:9" ht="12.75" customHeight="1">
      <c r="A10" s="1112" t="s">
        <v>1816</v>
      </c>
      <c r="B10" s="1142">
        <f>SUM(C10:G10)</f>
        <v>1603</v>
      </c>
      <c r="C10" s="1143">
        <v>57</v>
      </c>
      <c r="D10" s="1143">
        <v>188</v>
      </c>
      <c r="E10" s="1143">
        <v>89</v>
      </c>
      <c r="F10" s="1143">
        <v>1258</v>
      </c>
      <c r="G10" s="1143">
        <v>11</v>
      </c>
      <c r="H10" s="1105"/>
    </row>
    <row r="11" spans="1:9">
      <c r="A11" s="1110" t="s">
        <v>1768</v>
      </c>
      <c r="B11" s="1143"/>
      <c r="C11" s="1143"/>
      <c r="D11" s="1143"/>
      <c r="E11" s="1143"/>
      <c r="F11" s="1143"/>
      <c r="G11" s="1143"/>
      <c r="H11" s="1105"/>
    </row>
    <row r="12" spans="1:9" ht="12.75" customHeight="1">
      <c r="A12" s="1112" t="s">
        <v>1817</v>
      </c>
      <c r="B12" s="1142">
        <f>SUM(C12:G12)</f>
        <v>112</v>
      </c>
      <c r="C12" s="1143">
        <v>6</v>
      </c>
      <c r="D12" s="1143">
        <v>29</v>
      </c>
      <c r="E12" s="1143">
        <v>13</v>
      </c>
      <c r="F12" s="1143">
        <v>63</v>
      </c>
      <c r="G12" s="1143">
        <v>1</v>
      </c>
      <c r="H12" s="1105"/>
    </row>
    <row r="13" spans="1:9" ht="12.75" customHeight="1">
      <c r="A13" s="1112" t="s">
        <v>1818</v>
      </c>
      <c r="B13" s="1142">
        <f>SUM(C13:G13)</f>
        <v>112</v>
      </c>
      <c r="C13" s="1143">
        <v>8</v>
      </c>
      <c r="D13" s="1143">
        <v>30</v>
      </c>
      <c r="E13" s="1143">
        <v>11</v>
      </c>
      <c r="F13" s="1143">
        <v>63</v>
      </c>
      <c r="G13" s="1143">
        <v>0</v>
      </c>
      <c r="H13" s="1105"/>
    </row>
    <row r="14" spans="1:9" ht="12.75" customHeight="1">
      <c r="A14" s="1112" t="s">
        <v>1819</v>
      </c>
      <c r="B14" s="1142">
        <f>SUM(C14:G14)</f>
        <v>112</v>
      </c>
      <c r="C14" s="1143">
        <v>12</v>
      </c>
      <c r="D14" s="1143">
        <v>29</v>
      </c>
      <c r="E14" s="1143">
        <v>8</v>
      </c>
      <c r="F14" s="1143">
        <v>63</v>
      </c>
      <c r="G14" s="1143">
        <v>0</v>
      </c>
      <c r="H14" s="1105"/>
      <c r="I14" s="1144"/>
    </row>
    <row r="15" spans="1:9">
      <c r="A15" s="1110" t="s">
        <v>1769</v>
      </c>
      <c r="B15" s="1143"/>
      <c r="C15" s="1143"/>
      <c r="D15" s="1143"/>
      <c r="E15" s="1143"/>
      <c r="F15" s="1143"/>
      <c r="G15" s="1143"/>
      <c r="H15" s="1105"/>
    </row>
    <row r="16" spans="1:9" ht="12.75" customHeight="1">
      <c r="A16" s="1112" t="s">
        <v>1817</v>
      </c>
      <c r="B16" s="1142">
        <f>SUM(C16:G16)</f>
        <v>1296</v>
      </c>
      <c r="C16" s="1143">
        <v>10</v>
      </c>
      <c r="D16" s="1143">
        <v>111</v>
      </c>
      <c r="E16" s="1143">
        <v>96</v>
      </c>
      <c r="F16" s="1143">
        <v>1079</v>
      </c>
      <c r="G16" s="1143">
        <v>0</v>
      </c>
      <c r="H16" s="1105"/>
    </row>
    <row r="17" spans="1:18" ht="12.75" customHeight="1">
      <c r="A17" s="1112" t="s">
        <v>1818</v>
      </c>
      <c r="B17" s="1142">
        <f>SUM(C17:G17)</f>
        <v>1296</v>
      </c>
      <c r="C17" s="1143">
        <v>10</v>
      </c>
      <c r="D17" s="1143">
        <v>115</v>
      </c>
      <c r="E17" s="1143">
        <v>82</v>
      </c>
      <c r="F17" s="1143">
        <v>1086</v>
      </c>
      <c r="G17" s="1143">
        <v>3</v>
      </c>
      <c r="H17" s="1105"/>
    </row>
    <row r="18" spans="1:18" ht="12.75" customHeight="1">
      <c r="A18" s="1112" t="s">
        <v>1819</v>
      </c>
      <c r="B18" s="1142">
        <f>SUM(C18:G18)</f>
        <v>1296</v>
      </c>
      <c r="C18" s="1143">
        <v>19</v>
      </c>
      <c r="D18" s="1143">
        <v>121</v>
      </c>
      <c r="E18" s="1143">
        <v>71</v>
      </c>
      <c r="F18" s="1143">
        <v>1079</v>
      </c>
      <c r="G18" s="1143">
        <v>6</v>
      </c>
      <c r="H18" s="1105"/>
      <c r="I18" s="1144"/>
    </row>
    <row r="19" spans="1:18" ht="12.75" customHeight="1">
      <c r="A19" s="1110" t="s">
        <v>3622</v>
      </c>
      <c r="B19" s="1143"/>
      <c r="C19" s="1143"/>
      <c r="D19" s="1143"/>
      <c r="E19" s="1143"/>
      <c r="F19" s="1143"/>
      <c r="G19" s="1143"/>
      <c r="H19" s="1105"/>
      <c r="I19" s="1144"/>
    </row>
    <row r="20" spans="1:18" ht="12.75" customHeight="1">
      <c r="A20" s="1112" t="s">
        <v>1817</v>
      </c>
      <c r="B20" s="1142">
        <f>SUM(C20:G20)</f>
        <v>195</v>
      </c>
      <c r="C20" s="1143">
        <v>25</v>
      </c>
      <c r="D20" s="1143">
        <v>45</v>
      </c>
      <c r="E20" s="1143">
        <v>12</v>
      </c>
      <c r="F20" s="1143">
        <v>113</v>
      </c>
      <c r="G20" s="1143">
        <v>0</v>
      </c>
      <c r="H20" s="1105"/>
    </row>
    <row r="21" spans="1:18" ht="12.75" customHeight="1">
      <c r="A21" s="1112" t="s">
        <v>1818</v>
      </c>
      <c r="B21" s="1142">
        <f>SUM(C21:G21)</f>
        <v>195</v>
      </c>
      <c r="C21" s="1143">
        <v>17</v>
      </c>
      <c r="D21" s="1143">
        <v>48</v>
      </c>
      <c r="E21" s="1143">
        <v>11</v>
      </c>
      <c r="F21" s="1143">
        <v>116</v>
      </c>
      <c r="G21" s="1143">
        <v>3</v>
      </c>
      <c r="H21" s="1105"/>
      <c r="I21" s="1144"/>
    </row>
    <row r="22" spans="1:18" ht="12.75" customHeight="1">
      <c r="A22" s="1112" t="s">
        <v>1819</v>
      </c>
      <c r="B22" s="1142">
        <f>SUM(C22:G22)</f>
        <v>195</v>
      </c>
      <c r="C22" s="1143">
        <v>26</v>
      </c>
      <c r="D22" s="1143">
        <v>38</v>
      </c>
      <c r="E22" s="1143">
        <v>10</v>
      </c>
      <c r="F22" s="1143">
        <v>116</v>
      </c>
      <c r="G22" s="1143">
        <v>5</v>
      </c>
      <c r="H22" s="1105"/>
    </row>
    <row r="23" spans="1:18" ht="6.75" customHeight="1">
      <c r="A23" s="1089"/>
      <c r="B23" s="1089"/>
      <c r="C23" s="1089"/>
      <c r="D23" s="1089"/>
      <c r="E23" s="1089"/>
      <c r="F23" s="1089"/>
      <c r="G23" s="1089"/>
      <c r="H23" s="1105"/>
    </row>
    <row r="24" spans="1:18" ht="24.75" customHeight="1">
      <c r="A24" s="2388" t="s">
        <v>3608</v>
      </c>
      <c r="B24" s="2388"/>
      <c r="C24" s="2388"/>
      <c r="D24" s="2388"/>
      <c r="E24" s="2388"/>
      <c r="F24" s="2388"/>
      <c r="G24" s="2388"/>
      <c r="H24" s="1089"/>
      <c r="I24" s="1089"/>
      <c r="J24" s="1089"/>
      <c r="K24" s="1089"/>
      <c r="L24" s="1089"/>
      <c r="M24" s="1089"/>
      <c r="N24" s="1089"/>
      <c r="O24" s="1089"/>
      <c r="P24" s="1089"/>
      <c r="Q24" s="1089"/>
      <c r="R24" s="1089"/>
    </row>
    <row r="25" spans="1:18" ht="36" customHeight="1">
      <c r="A25" s="2388" t="s">
        <v>3606</v>
      </c>
      <c r="B25" s="2388"/>
      <c r="C25" s="2388"/>
      <c r="D25" s="2388"/>
      <c r="E25" s="2388"/>
      <c r="F25" s="2388"/>
      <c r="G25" s="2388"/>
      <c r="H25" s="1089"/>
      <c r="I25" s="1089"/>
      <c r="J25" s="1089"/>
      <c r="K25" s="1089"/>
      <c r="L25" s="1089"/>
      <c r="M25" s="1089"/>
      <c r="N25" s="1089"/>
      <c r="O25" s="1089"/>
      <c r="P25" s="1089"/>
      <c r="Q25" s="1089"/>
      <c r="R25" s="1089"/>
    </row>
    <row r="26" spans="1:18" ht="24" customHeight="1">
      <c r="A26" s="2395" t="s">
        <v>3623</v>
      </c>
      <c r="B26" s="2395"/>
      <c r="C26" s="2395"/>
      <c r="D26" s="2395"/>
      <c r="E26" s="2395"/>
      <c r="F26" s="2395"/>
      <c r="G26" s="2395"/>
      <c r="H26" s="1089"/>
      <c r="I26" s="1089"/>
      <c r="J26" s="1089"/>
      <c r="K26" s="1089"/>
      <c r="L26" s="1089"/>
      <c r="M26" s="1089"/>
      <c r="N26" s="1089"/>
      <c r="O26" s="1089"/>
      <c r="P26" s="1089"/>
      <c r="Q26" s="1089"/>
      <c r="R26" s="1089"/>
    </row>
    <row r="27" spans="1:18">
      <c r="A27" s="1138" t="s">
        <v>22</v>
      </c>
      <c r="B27" s="1139"/>
      <c r="C27" s="1139"/>
      <c r="D27" s="1139"/>
      <c r="E27" s="1139"/>
      <c r="F27" s="1139"/>
      <c r="G27" s="1139"/>
      <c r="H27" s="1105"/>
    </row>
    <row r="28" spans="1:18">
      <c r="A28" s="2392" t="s">
        <v>1783</v>
      </c>
      <c r="B28" s="2392"/>
      <c r="C28" s="2392"/>
      <c r="D28" s="2392"/>
      <c r="E28" s="2392"/>
      <c r="F28" s="2392"/>
      <c r="G28" s="2392"/>
      <c r="H28" s="1105"/>
    </row>
    <row r="29" spans="1:18">
      <c r="A29" s="1105"/>
      <c r="B29" s="1105"/>
      <c r="C29" s="1105"/>
      <c r="D29" s="1105"/>
      <c r="E29" s="1105"/>
      <c r="F29" s="1105"/>
      <c r="G29" s="1105"/>
      <c r="H29" s="1105"/>
    </row>
  </sheetData>
  <mergeCells count="9">
    <mergeCell ref="A25:G25"/>
    <mergeCell ref="A26:G26"/>
    <mergeCell ref="A28:G28"/>
    <mergeCell ref="A2:G2"/>
    <mergeCell ref="A4:A6"/>
    <mergeCell ref="B4:G4"/>
    <mergeCell ref="B5:B6"/>
    <mergeCell ref="C5:G5"/>
    <mergeCell ref="A24:G24"/>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88.xml><?xml version="1.0" encoding="utf-8"?>
<worksheet xmlns="http://schemas.openxmlformats.org/spreadsheetml/2006/main" xmlns:r="http://schemas.openxmlformats.org/officeDocument/2006/relationships">
  <sheetPr>
    <outlinePr summaryBelow="0" summaryRight="0"/>
  </sheetPr>
  <dimension ref="A1:R30"/>
  <sheetViews>
    <sheetView zoomScaleNormal="100" workbookViewId="0">
      <selection activeCell="I17" sqref="I17"/>
    </sheetView>
  </sheetViews>
  <sheetFormatPr baseColWidth="10" defaultColWidth="9.140625" defaultRowHeight="12"/>
  <cols>
    <col min="1" max="1" width="26.5703125" style="110" customWidth="1"/>
    <col min="2" max="7" width="13.7109375" style="110" customWidth="1"/>
    <col min="8" max="8" width="10" style="110" customWidth="1"/>
    <col min="9" max="256" width="9.140625" style="110"/>
    <col min="257" max="257" width="26.5703125" style="110" customWidth="1"/>
    <col min="258" max="263" width="13.7109375" style="110" customWidth="1"/>
    <col min="264" max="264" width="10" style="110" customWidth="1"/>
    <col min="265" max="512" width="9.140625" style="110"/>
    <col min="513" max="513" width="26.5703125" style="110" customWidth="1"/>
    <col min="514" max="519" width="13.7109375" style="110" customWidth="1"/>
    <col min="520" max="520" width="10" style="110" customWidth="1"/>
    <col min="521" max="768" width="9.140625" style="110"/>
    <col min="769" max="769" width="26.5703125" style="110" customWidth="1"/>
    <col min="770" max="775" width="13.7109375" style="110" customWidth="1"/>
    <col min="776" max="776" width="10" style="110" customWidth="1"/>
    <col min="777" max="1024" width="9.140625" style="110"/>
    <col min="1025" max="1025" width="26.5703125" style="110" customWidth="1"/>
    <col min="1026" max="1031" width="13.7109375" style="110" customWidth="1"/>
    <col min="1032" max="1032" width="10" style="110" customWidth="1"/>
    <col min="1033" max="1280" width="9.140625" style="110"/>
    <col min="1281" max="1281" width="26.5703125" style="110" customWidth="1"/>
    <col min="1282" max="1287" width="13.7109375" style="110" customWidth="1"/>
    <col min="1288" max="1288" width="10" style="110" customWidth="1"/>
    <col min="1289" max="1536" width="9.140625" style="110"/>
    <col min="1537" max="1537" width="26.5703125" style="110" customWidth="1"/>
    <col min="1538" max="1543" width="13.7109375" style="110" customWidth="1"/>
    <col min="1544" max="1544" width="10" style="110" customWidth="1"/>
    <col min="1545" max="1792" width="9.140625" style="110"/>
    <col min="1793" max="1793" width="26.5703125" style="110" customWidth="1"/>
    <col min="1794" max="1799" width="13.7109375" style="110" customWidth="1"/>
    <col min="1800" max="1800" width="10" style="110" customWidth="1"/>
    <col min="1801" max="2048" width="9.140625" style="110"/>
    <col min="2049" max="2049" width="26.5703125" style="110" customWidth="1"/>
    <col min="2050" max="2055" width="13.7109375" style="110" customWidth="1"/>
    <col min="2056" max="2056" width="10" style="110" customWidth="1"/>
    <col min="2057" max="2304" width="9.140625" style="110"/>
    <col min="2305" max="2305" width="26.5703125" style="110" customWidth="1"/>
    <col min="2306" max="2311" width="13.7109375" style="110" customWidth="1"/>
    <col min="2312" max="2312" width="10" style="110" customWidth="1"/>
    <col min="2313" max="2560" width="9.140625" style="110"/>
    <col min="2561" max="2561" width="26.5703125" style="110" customWidth="1"/>
    <col min="2562" max="2567" width="13.7109375" style="110" customWidth="1"/>
    <col min="2568" max="2568" width="10" style="110" customWidth="1"/>
    <col min="2569" max="2816" width="9.140625" style="110"/>
    <col min="2817" max="2817" width="26.5703125" style="110" customWidth="1"/>
    <col min="2818" max="2823" width="13.7109375" style="110" customWidth="1"/>
    <col min="2824" max="2824" width="10" style="110" customWidth="1"/>
    <col min="2825" max="3072" width="9.140625" style="110"/>
    <col min="3073" max="3073" width="26.5703125" style="110" customWidth="1"/>
    <col min="3074" max="3079" width="13.7109375" style="110" customWidth="1"/>
    <col min="3080" max="3080" width="10" style="110" customWidth="1"/>
    <col min="3081" max="3328" width="9.140625" style="110"/>
    <col min="3329" max="3329" width="26.5703125" style="110" customWidth="1"/>
    <col min="3330" max="3335" width="13.7109375" style="110" customWidth="1"/>
    <col min="3336" max="3336" width="10" style="110" customWidth="1"/>
    <col min="3337" max="3584" width="9.140625" style="110"/>
    <col min="3585" max="3585" width="26.5703125" style="110" customWidth="1"/>
    <col min="3586" max="3591" width="13.7109375" style="110" customWidth="1"/>
    <col min="3592" max="3592" width="10" style="110" customWidth="1"/>
    <col min="3593" max="3840" width="9.140625" style="110"/>
    <col min="3841" max="3841" width="26.5703125" style="110" customWidth="1"/>
    <col min="3842" max="3847" width="13.7109375" style="110" customWidth="1"/>
    <col min="3848" max="3848" width="10" style="110" customWidth="1"/>
    <col min="3849" max="4096" width="9.140625" style="110"/>
    <col min="4097" max="4097" width="26.5703125" style="110" customWidth="1"/>
    <col min="4098" max="4103" width="13.7109375" style="110" customWidth="1"/>
    <col min="4104" max="4104" width="10" style="110" customWidth="1"/>
    <col min="4105" max="4352" width="9.140625" style="110"/>
    <col min="4353" max="4353" width="26.5703125" style="110" customWidth="1"/>
    <col min="4354" max="4359" width="13.7109375" style="110" customWidth="1"/>
    <col min="4360" max="4360" width="10" style="110" customWidth="1"/>
    <col min="4361" max="4608" width="9.140625" style="110"/>
    <col min="4609" max="4609" width="26.5703125" style="110" customWidth="1"/>
    <col min="4610" max="4615" width="13.7109375" style="110" customWidth="1"/>
    <col min="4616" max="4616" width="10" style="110" customWidth="1"/>
    <col min="4617" max="4864" width="9.140625" style="110"/>
    <col min="4865" max="4865" width="26.5703125" style="110" customWidth="1"/>
    <col min="4866" max="4871" width="13.7109375" style="110" customWidth="1"/>
    <col min="4872" max="4872" width="10" style="110" customWidth="1"/>
    <col min="4873" max="5120" width="9.140625" style="110"/>
    <col min="5121" max="5121" width="26.5703125" style="110" customWidth="1"/>
    <col min="5122" max="5127" width="13.7109375" style="110" customWidth="1"/>
    <col min="5128" max="5128" width="10" style="110" customWidth="1"/>
    <col min="5129" max="5376" width="9.140625" style="110"/>
    <col min="5377" max="5377" width="26.5703125" style="110" customWidth="1"/>
    <col min="5378" max="5383" width="13.7109375" style="110" customWidth="1"/>
    <col min="5384" max="5384" width="10" style="110" customWidth="1"/>
    <col min="5385" max="5632" width="9.140625" style="110"/>
    <col min="5633" max="5633" width="26.5703125" style="110" customWidth="1"/>
    <col min="5634" max="5639" width="13.7109375" style="110" customWidth="1"/>
    <col min="5640" max="5640" width="10" style="110" customWidth="1"/>
    <col min="5641" max="5888" width="9.140625" style="110"/>
    <col min="5889" max="5889" width="26.5703125" style="110" customWidth="1"/>
    <col min="5890" max="5895" width="13.7109375" style="110" customWidth="1"/>
    <col min="5896" max="5896" width="10" style="110" customWidth="1"/>
    <col min="5897" max="6144" width="9.140625" style="110"/>
    <col min="6145" max="6145" width="26.5703125" style="110" customWidth="1"/>
    <col min="6146" max="6151" width="13.7109375" style="110" customWidth="1"/>
    <col min="6152" max="6152" width="10" style="110" customWidth="1"/>
    <col min="6153" max="6400" width="9.140625" style="110"/>
    <col min="6401" max="6401" width="26.5703125" style="110" customWidth="1"/>
    <col min="6402" max="6407" width="13.7109375" style="110" customWidth="1"/>
    <col min="6408" max="6408" width="10" style="110" customWidth="1"/>
    <col min="6409" max="6656" width="9.140625" style="110"/>
    <col min="6657" max="6657" width="26.5703125" style="110" customWidth="1"/>
    <col min="6658" max="6663" width="13.7109375" style="110" customWidth="1"/>
    <col min="6664" max="6664" width="10" style="110" customWidth="1"/>
    <col min="6665" max="6912" width="9.140625" style="110"/>
    <col min="6913" max="6913" width="26.5703125" style="110" customWidth="1"/>
    <col min="6914" max="6919" width="13.7109375" style="110" customWidth="1"/>
    <col min="6920" max="6920" width="10" style="110" customWidth="1"/>
    <col min="6921" max="7168" width="9.140625" style="110"/>
    <col min="7169" max="7169" width="26.5703125" style="110" customWidth="1"/>
    <col min="7170" max="7175" width="13.7109375" style="110" customWidth="1"/>
    <col min="7176" max="7176" width="10" style="110" customWidth="1"/>
    <col min="7177" max="7424" width="9.140625" style="110"/>
    <col min="7425" max="7425" width="26.5703125" style="110" customWidth="1"/>
    <col min="7426" max="7431" width="13.7109375" style="110" customWidth="1"/>
    <col min="7432" max="7432" width="10" style="110" customWidth="1"/>
    <col min="7433" max="7680" width="9.140625" style="110"/>
    <col min="7681" max="7681" width="26.5703125" style="110" customWidth="1"/>
    <col min="7682" max="7687" width="13.7109375" style="110" customWidth="1"/>
    <col min="7688" max="7688" width="10" style="110" customWidth="1"/>
    <col min="7689" max="7936" width="9.140625" style="110"/>
    <col min="7937" max="7937" width="26.5703125" style="110" customWidth="1"/>
    <col min="7938" max="7943" width="13.7109375" style="110" customWidth="1"/>
    <col min="7944" max="7944" width="10" style="110" customWidth="1"/>
    <col min="7945" max="8192" width="9.140625" style="110"/>
    <col min="8193" max="8193" width="26.5703125" style="110" customWidth="1"/>
    <col min="8194" max="8199" width="13.7109375" style="110" customWidth="1"/>
    <col min="8200" max="8200" width="10" style="110" customWidth="1"/>
    <col min="8201" max="8448" width="9.140625" style="110"/>
    <col min="8449" max="8449" width="26.5703125" style="110" customWidth="1"/>
    <col min="8450" max="8455" width="13.7109375" style="110" customWidth="1"/>
    <col min="8456" max="8456" width="10" style="110" customWidth="1"/>
    <col min="8457" max="8704" width="9.140625" style="110"/>
    <col min="8705" max="8705" width="26.5703125" style="110" customWidth="1"/>
    <col min="8706" max="8711" width="13.7109375" style="110" customWidth="1"/>
    <col min="8712" max="8712" width="10" style="110" customWidth="1"/>
    <col min="8713" max="8960" width="9.140625" style="110"/>
    <col min="8961" max="8961" width="26.5703125" style="110" customWidth="1"/>
    <col min="8962" max="8967" width="13.7109375" style="110" customWidth="1"/>
    <col min="8968" max="8968" width="10" style="110" customWidth="1"/>
    <col min="8969" max="9216" width="9.140625" style="110"/>
    <col min="9217" max="9217" width="26.5703125" style="110" customWidth="1"/>
    <col min="9218" max="9223" width="13.7109375" style="110" customWidth="1"/>
    <col min="9224" max="9224" width="10" style="110" customWidth="1"/>
    <col min="9225" max="9472" width="9.140625" style="110"/>
    <col min="9473" max="9473" width="26.5703125" style="110" customWidth="1"/>
    <col min="9474" max="9479" width="13.7109375" style="110" customWidth="1"/>
    <col min="9480" max="9480" width="10" style="110" customWidth="1"/>
    <col min="9481" max="9728" width="9.140625" style="110"/>
    <col min="9729" max="9729" width="26.5703125" style="110" customWidth="1"/>
    <col min="9730" max="9735" width="13.7109375" style="110" customWidth="1"/>
    <col min="9736" max="9736" width="10" style="110" customWidth="1"/>
    <col min="9737" max="9984" width="9.140625" style="110"/>
    <col min="9985" max="9985" width="26.5703125" style="110" customWidth="1"/>
    <col min="9986" max="9991" width="13.7109375" style="110" customWidth="1"/>
    <col min="9992" max="9992" width="10" style="110" customWidth="1"/>
    <col min="9993" max="10240" width="9.140625" style="110"/>
    <col min="10241" max="10241" width="26.5703125" style="110" customWidth="1"/>
    <col min="10242" max="10247" width="13.7109375" style="110" customWidth="1"/>
    <col min="10248" max="10248" width="10" style="110" customWidth="1"/>
    <col min="10249" max="10496" width="9.140625" style="110"/>
    <col min="10497" max="10497" width="26.5703125" style="110" customWidth="1"/>
    <col min="10498" max="10503" width="13.7109375" style="110" customWidth="1"/>
    <col min="10504" max="10504" width="10" style="110" customWidth="1"/>
    <col min="10505" max="10752" width="9.140625" style="110"/>
    <col min="10753" max="10753" width="26.5703125" style="110" customWidth="1"/>
    <col min="10754" max="10759" width="13.7109375" style="110" customWidth="1"/>
    <col min="10760" max="10760" width="10" style="110" customWidth="1"/>
    <col min="10761" max="11008" width="9.140625" style="110"/>
    <col min="11009" max="11009" width="26.5703125" style="110" customWidth="1"/>
    <col min="11010" max="11015" width="13.7109375" style="110" customWidth="1"/>
    <col min="11016" max="11016" width="10" style="110" customWidth="1"/>
    <col min="11017" max="11264" width="9.140625" style="110"/>
    <col min="11265" max="11265" width="26.5703125" style="110" customWidth="1"/>
    <col min="11266" max="11271" width="13.7109375" style="110" customWidth="1"/>
    <col min="11272" max="11272" width="10" style="110" customWidth="1"/>
    <col min="11273" max="11520" width="9.140625" style="110"/>
    <col min="11521" max="11521" width="26.5703125" style="110" customWidth="1"/>
    <col min="11522" max="11527" width="13.7109375" style="110" customWidth="1"/>
    <col min="11528" max="11528" width="10" style="110" customWidth="1"/>
    <col min="11529" max="11776" width="9.140625" style="110"/>
    <col min="11777" max="11777" width="26.5703125" style="110" customWidth="1"/>
    <col min="11778" max="11783" width="13.7109375" style="110" customWidth="1"/>
    <col min="11784" max="11784" width="10" style="110" customWidth="1"/>
    <col min="11785" max="12032" width="9.140625" style="110"/>
    <col min="12033" max="12033" width="26.5703125" style="110" customWidth="1"/>
    <col min="12034" max="12039" width="13.7109375" style="110" customWidth="1"/>
    <col min="12040" max="12040" width="10" style="110" customWidth="1"/>
    <col min="12041" max="12288" width="9.140625" style="110"/>
    <col min="12289" max="12289" width="26.5703125" style="110" customWidth="1"/>
    <col min="12290" max="12295" width="13.7109375" style="110" customWidth="1"/>
    <col min="12296" max="12296" width="10" style="110" customWidth="1"/>
    <col min="12297" max="12544" width="9.140625" style="110"/>
    <col min="12545" max="12545" width="26.5703125" style="110" customWidth="1"/>
    <col min="12546" max="12551" width="13.7109375" style="110" customWidth="1"/>
    <col min="12552" max="12552" width="10" style="110" customWidth="1"/>
    <col min="12553" max="12800" width="9.140625" style="110"/>
    <col min="12801" max="12801" width="26.5703125" style="110" customWidth="1"/>
    <col min="12802" max="12807" width="13.7109375" style="110" customWidth="1"/>
    <col min="12808" max="12808" width="10" style="110" customWidth="1"/>
    <col min="12809" max="13056" width="9.140625" style="110"/>
    <col min="13057" max="13057" width="26.5703125" style="110" customWidth="1"/>
    <col min="13058" max="13063" width="13.7109375" style="110" customWidth="1"/>
    <col min="13064" max="13064" width="10" style="110" customWidth="1"/>
    <col min="13065" max="13312" width="9.140625" style="110"/>
    <col min="13313" max="13313" width="26.5703125" style="110" customWidth="1"/>
    <col min="13314" max="13319" width="13.7109375" style="110" customWidth="1"/>
    <col min="13320" max="13320" width="10" style="110" customWidth="1"/>
    <col min="13321" max="13568" width="9.140625" style="110"/>
    <col min="13569" max="13569" width="26.5703125" style="110" customWidth="1"/>
    <col min="13570" max="13575" width="13.7109375" style="110" customWidth="1"/>
    <col min="13576" max="13576" width="10" style="110" customWidth="1"/>
    <col min="13577" max="13824" width="9.140625" style="110"/>
    <col min="13825" max="13825" width="26.5703125" style="110" customWidth="1"/>
    <col min="13826" max="13831" width="13.7109375" style="110" customWidth="1"/>
    <col min="13832" max="13832" width="10" style="110" customWidth="1"/>
    <col min="13833" max="14080" width="9.140625" style="110"/>
    <col min="14081" max="14081" width="26.5703125" style="110" customWidth="1"/>
    <col min="14082" max="14087" width="13.7109375" style="110" customWidth="1"/>
    <col min="14088" max="14088" width="10" style="110" customWidth="1"/>
    <col min="14089" max="14336" width="9.140625" style="110"/>
    <col min="14337" max="14337" width="26.5703125" style="110" customWidth="1"/>
    <col min="14338" max="14343" width="13.7109375" style="110" customWidth="1"/>
    <col min="14344" max="14344" width="10" style="110" customWidth="1"/>
    <col min="14345" max="14592" width="9.140625" style="110"/>
    <col min="14593" max="14593" width="26.5703125" style="110" customWidth="1"/>
    <col min="14594" max="14599" width="13.7109375" style="110" customWidth="1"/>
    <col min="14600" max="14600" width="10" style="110" customWidth="1"/>
    <col min="14601" max="14848" width="9.140625" style="110"/>
    <col min="14849" max="14849" width="26.5703125" style="110" customWidth="1"/>
    <col min="14850" max="14855" width="13.7109375" style="110" customWidth="1"/>
    <col min="14856" max="14856" width="10" style="110" customWidth="1"/>
    <col min="14857" max="15104" width="9.140625" style="110"/>
    <col min="15105" max="15105" width="26.5703125" style="110" customWidth="1"/>
    <col min="15106" max="15111" width="13.7109375" style="110" customWidth="1"/>
    <col min="15112" max="15112" width="10" style="110" customWidth="1"/>
    <col min="15113" max="15360" width="9.140625" style="110"/>
    <col min="15361" max="15361" width="26.5703125" style="110" customWidth="1"/>
    <col min="15362" max="15367" width="13.7109375" style="110" customWidth="1"/>
    <col min="15368" max="15368" width="10" style="110" customWidth="1"/>
    <col min="15369" max="15616" width="9.140625" style="110"/>
    <col min="15617" max="15617" width="26.5703125" style="110" customWidth="1"/>
    <col min="15618" max="15623" width="13.7109375" style="110" customWidth="1"/>
    <col min="15624" max="15624" width="10" style="110" customWidth="1"/>
    <col min="15625" max="15872" width="9.140625" style="110"/>
    <col min="15873" max="15873" width="26.5703125" style="110" customWidth="1"/>
    <col min="15874" max="15879" width="13.7109375" style="110" customWidth="1"/>
    <col min="15880" max="15880" width="10" style="110" customWidth="1"/>
    <col min="15881" max="16128" width="9.140625" style="110"/>
    <col min="16129" max="16129" width="26.5703125" style="110" customWidth="1"/>
    <col min="16130" max="16135" width="13.7109375" style="110" customWidth="1"/>
    <col min="16136" max="16136" width="10" style="110" customWidth="1"/>
    <col min="16137" max="16384" width="9.140625" style="110"/>
  </cols>
  <sheetData>
    <row r="1" spans="1:8">
      <c r="A1" s="1105"/>
      <c r="B1" s="1105"/>
      <c r="C1" s="1105"/>
      <c r="D1" s="1105"/>
      <c r="E1" s="1105"/>
      <c r="F1" s="1105"/>
      <c r="G1" s="1105"/>
      <c r="H1" s="1105"/>
    </row>
    <row r="2" spans="1:8" ht="25.9" customHeight="1">
      <c r="A2" s="2389" t="s">
        <v>1820</v>
      </c>
      <c r="B2" s="2389"/>
      <c r="C2" s="2389"/>
      <c r="D2" s="2389"/>
      <c r="E2" s="2389"/>
      <c r="F2" s="2389"/>
      <c r="G2" s="2389"/>
      <c r="H2" s="44"/>
    </row>
    <row r="3" spans="1:8" ht="3.75" customHeight="1">
      <c r="A3" s="1105"/>
      <c r="B3" s="1106"/>
      <c r="C3" s="1106"/>
      <c r="D3" s="1106"/>
      <c r="E3" s="1106"/>
      <c r="F3" s="1106"/>
      <c r="G3" s="1106"/>
      <c r="H3" s="1105"/>
    </row>
    <row r="4" spans="1:8" ht="16.5" customHeight="1">
      <c r="A4" s="2394" t="s">
        <v>1811</v>
      </c>
      <c r="B4" s="2384" t="s">
        <v>3616</v>
      </c>
      <c r="C4" s="2384"/>
      <c r="D4" s="2384"/>
      <c r="E4" s="2384"/>
      <c r="F4" s="2384"/>
      <c r="G4" s="2384"/>
      <c r="H4" s="1105"/>
    </row>
    <row r="5" spans="1:8" ht="15" customHeight="1">
      <c r="A5" s="2382"/>
      <c r="B5" s="2398" t="s">
        <v>3523</v>
      </c>
      <c r="C5" s="2390" t="s">
        <v>1812</v>
      </c>
      <c r="D5" s="2390"/>
      <c r="E5" s="2390"/>
      <c r="F5" s="2390"/>
      <c r="G5" s="2390"/>
      <c r="H5" s="1105"/>
    </row>
    <row r="6" spans="1:8" ht="25.5" customHeight="1">
      <c r="A6" s="2383"/>
      <c r="B6" s="2386"/>
      <c r="C6" s="1091" t="s">
        <v>1804</v>
      </c>
      <c r="D6" s="1091" t="s">
        <v>1821</v>
      </c>
      <c r="E6" s="1091" t="s">
        <v>1806</v>
      </c>
      <c r="F6" s="1091" t="s">
        <v>1411</v>
      </c>
      <c r="G6" s="1091" t="s">
        <v>1802</v>
      </c>
      <c r="H6" s="1105"/>
    </row>
    <row r="7" spans="1:8" ht="12.75" customHeight="1">
      <c r="A7" s="1108" t="s">
        <v>1813</v>
      </c>
      <c r="B7" s="1133"/>
      <c r="C7" s="1133"/>
      <c r="D7" s="1133"/>
      <c r="E7" s="1133"/>
      <c r="F7" s="1133"/>
      <c r="G7" s="1133"/>
      <c r="H7" s="1105"/>
    </row>
    <row r="8" spans="1:8" ht="12.75" customHeight="1">
      <c r="A8" s="1112" t="s">
        <v>1814</v>
      </c>
      <c r="B8" s="1133">
        <f>SUM(C8:G8)</f>
        <v>100</v>
      </c>
      <c r="C8" s="1134">
        <v>2.56</v>
      </c>
      <c r="D8" s="1134">
        <v>11.54</v>
      </c>
      <c r="E8" s="1134">
        <v>7.55</v>
      </c>
      <c r="F8" s="1134">
        <v>78.290000000000006</v>
      </c>
      <c r="G8" s="1134">
        <v>0.06</v>
      </c>
      <c r="H8" s="1105"/>
    </row>
    <row r="9" spans="1:8" ht="12.75" customHeight="1">
      <c r="A9" s="1112" t="s">
        <v>1815</v>
      </c>
      <c r="B9" s="1133">
        <f t="shared" ref="B9:B20" si="0">SUM(C9:G9)</f>
        <v>99.990000000000009</v>
      </c>
      <c r="C9" s="1134">
        <v>2.1800000000000002</v>
      </c>
      <c r="D9" s="1134">
        <v>12.04</v>
      </c>
      <c r="E9" s="1134">
        <v>6.49</v>
      </c>
      <c r="F9" s="1134">
        <v>78.91</v>
      </c>
      <c r="G9" s="1134">
        <v>0.37</v>
      </c>
      <c r="H9" s="1105"/>
    </row>
    <row r="10" spans="1:8" ht="12.75" customHeight="1">
      <c r="A10" s="1112" t="s">
        <v>1816</v>
      </c>
      <c r="B10" s="1133">
        <f t="shared" si="0"/>
        <v>100.01</v>
      </c>
      <c r="C10" s="1134">
        <v>3.56</v>
      </c>
      <c r="D10" s="1134">
        <v>11.73</v>
      </c>
      <c r="E10" s="1134">
        <v>5.55</v>
      </c>
      <c r="F10" s="1134">
        <v>78.48</v>
      </c>
      <c r="G10" s="1134">
        <v>0.69</v>
      </c>
      <c r="H10" s="1105"/>
    </row>
    <row r="11" spans="1:8">
      <c r="A11" s="1110" t="s">
        <v>1768</v>
      </c>
      <c r="B11" s="1133"/>
      <c r="C11" s="1135"/>
      <c r="D11" s="1135"/>
      <c r="E11" s="1135"/>
      <c r="F11" s="1135"/>
      <c r="G11" s="1135"/>
      <c r="H11" s="1105"/>
    </row>
    <row r="12" spans="1:8" ht="12.75" customHeight="1">
      <c r="A12" s="1112" t="s">
        <v>1817</v>
      </c>
      <c r="B12" s="1133">
        <f t="shared" si="0"/>
        <v>100</v>
      </c>
      <c r="C12" s="1134">
        <v>5.36</v>
      </c>
      <c r="D12" s="1134">
        <v>25.89</v>
      </c>
      <c r="E12" s="1134">
        <v>11.61</v>
      </c>
      <c r="F12" s="1134">
        <v>56.25</v>
      </c>
      <c r="G12" s="1134">
        <v>0.89</v>
      </c>
      <c r="H12" s="1105"/>
    </row>
    <row r="13" spans="1:8" ht="12.75" customHeight="1">
      <c r="A13" s="1112" t="s">
        <v>1818</v>
      </c>
      <c r="B13" s="1133">
        <f t="shared" si="0"/>
        <v>100</v>
      </c>
      <c r="C13" s="1134">
        <v>7.14</v>
      </c>
      <c r="D13" s="1134">
        <v>26.79</v>
      </c>
      <c r="E13" s="1134">
        <v>9.82</v>
      </c>
      <c r="F13" s="1134">
        <v>56.25</v>
      </c>
      <c r="G13" s="1134">
        <v>0</v>
      </c>
      <c r="H13" s="1105"/>
    </row>
    <row r="14" spans="1:8" ht="12.75" customHeight="1">
      <c r="A14" s="1112" t="s">
        <v>1819</v>
      </c>
      <c r="B14" s="1133">
        <f t="shared" si="0"/>
        <v>99.990000000000009</v>
      </c>
      <c r="C14" s="1134">
        <v>10.71</v>
      </c>
      <c r="D14" s="1134">
        <v>25.89</v>
      </c>
      <c r="E14" s="1134">
        <v>7.14</v>
      </c>
      <c r="F14" s="1134">
        <v>56.25</v>
      </c>
      <c r="G14" s="1134">
        <v>0</v>
      </c>
      <c r="H14" s="1105"/>
    </row>
    <row r="15" spans="1:8">
      <c r="A15" s="1110" t="s">
        <v>1769</v>
      </c>
      <c r="B15" s="1133"/>
      <c r="C15" s="1135"/>
      <c r="D15" s="1135"/>
      <c r="E15" s="1135"/>
      <c r="F15" s="1135"/>
      <c r="G15" s="1135"/>
      <c r="H15" s="1105"/>
    </row>
    <row r="16" spans="1:8" ht="12.75" customHeight="1">
      <c r="A16" s="1112" t="s">
        <v>1817</v>
      </c>
      <c r="B16" s="1133">
        <f t="shared" si="0"/>
        <v>100</v>
      </c>
      <c r="C16" s="1134">
        <v>0.77</v>
      </c>
      <c r="D16" s="1134">
        <v>8.56</v>
      </c>
      <c r="E16" s="1134">
        <v>7.41</v>
      </c>
      <c r="F16" s="1134">
        <v>83.26</v>
      </c>
      <c r="G16" s="1134">
        <v>0</v>
      </c>
      <c r="H16" s="1105"/>
    </row>
    <row r="17" spans="1:18" ht="12.75" customHeight="1">
      <c r="A17" s="1112" t="s">
        <v>1818</v>
      </c>
      <c r="B17" s="1133">
        <f t="shared" si="0"/>
        <v>100</v>
      </c>
      <c r="C17" s="1134">
        <v>0.77</v>
      </c>
      <c r="D17" s="1134">
        <v>8.8699999999999992</v>
      </c>
      <c r="E17" s="1134">
        <v>6.33</v>
      </c>
      <c r="F17" s="1134">
        <v>83.8</v>
      </c>
      <c r="G17" s="1134">
        <v>0.23</v>
      </c>
      <c r="H17" s="1105"/>
    </row>
    <row r="18" spans="1:18" ht="12.75" customHeight="1">
      <c r="A18" s="1112" t="s">
        <v>1819</v>
      </c>
      <c r="B18" s="1133">
        <f t="shared" si="0"/>
        <v>100.01</v>
      </c>
      <c r="C18" s="1134">
        <v>1.47</v>
      </c>
      <c r="D18" s="1134">
        <v>9.34</v>
      </c>
      <c r="E18" s="1134">
        <v>5.48</v>
      </c>
      <c r="F18" s="1134">
        <v>83.26</v>
      </c>
      <c r="G18" s="1134">
        <v>0.46</v>
      </c>
      <c r="H18" s="1105"/>
    </row>
    <row r="19" spans="1:18" ht="12.75" customHeight="1">
      <c r="A19" s="1110" t="s">
        <v>3617</v>
      </c>
      <c r="B19" s="1133"/>
      <c r="C19" s="1135"/>
      <c r="D19" s="1135"/>
      <c r="E19" s="1135"/>
      <c r="F19" s="1135"/>
      <c r="G19" s="1135"/>
      <c r="H19" s="1105"/>
    </row>
    <row r="20" spans="1:18" ht="12.75" customHeight="1">
      <c r="A20" s="1112" t="s">
        <v>1817</v>
      </c>
      <c r="B20" s="1133">
        <f t="shared" si="0"/>
        <v>100</v>
      </c>
      <c r="C20" s="1134">
        <v>12.82</v>
      </c>
      <c r="D20" s="1134">
        <v>23.08</v>
      </c>
      <c r="E20" s="1134">
        <v>6.15</v>
      </c>
      <c r="F20" s="1134">
        <v>57.95</v>
      </c>
      <c r="G20" s="1134">
        <v>0</v>
      </c>
      <c r="H20" s="1105"/>
    </row>
    <row r="21" spans="1:18" ht="12.75" customHeight="1">
      <c r="A21" s="1112" t="s">
        <v>1818</v>
      </c>
      <c r="B21" s="1133">
        <f>SUM(C21:G21)</f>
        <v>100.01</v>
      </c>
      <c r="C21" s="1134">
        <v>8.7200000000000006</v>
      </c>
      <c r="D21" s="1134">
        <v>24.62</v>
      </c>
      <c r="E21" s="1134">
        <v>5.64</v>
      </c>
      <c r="F21" s="1134">
        <v>59.49</v>
      </c>
      <c r="G21" s="1134">
        <v>1.54</v>
      </c>
      <c r="H21" s="1105"/>
    </row>
    <row r="22" spans="1:18" ht="12.75" customHeight="1">
      <c r="A22" s="1112" t="s">
        <v>1819</v>
      </c>
      <c r="B22" s="1133">
        <f>SUM(C22:G22)</f>
        <v>100</v>
      </c>
      <c r="C22" s="1134">
        <v>13.33</v>
      </c>
      <c r="D22" s="1134">
        <v>19.489999999999998</v>
      </c>
      <c r="E22" s="1134">
        <v>5.13</v>
      </c>
      <c r="F22" s="1134">
        <v>59.49</v>
      </c>
      <c r="G22" s="1134">
        <v>2.56</v>
      </c>
      <c r="H22" s="1105"/>
    </row>
    <row r="23" spans="1:18" ht="7.5" customHeight="1">
      <c r="A23" s="1105"/>
      <c r="B23" s="1105"/>
      <c r="C23" s="1105"/>
      <c r="D23" s="1105"/>
      <c r="E23" s="1105"/>
      <c r="F23" s="1105"/>
      <c r="G23" s="1105"/>
      <c r="H23" s="1105"/>
    </row>
    <row r="24" spans="1:18" s="1137" customFormat="1">
      <c r="A24" s="2388" t="s">
        <v>3608</v>
      </c>
      <c r="B24" s="2388"/>
      <c r="C24" s="2388"/>
      <c r="D24" s="2388"/>
      <c r="E24" s="2388"/>
      <c r="F24" s="2388"/>
      <c r="G24" s="2388"/>
      <c r="H24" s="1136"/>
    </row>
    <row r="25" spans="1:18" s="1137" customFormat="1">
      <c r="A25" s="2391" t="s">
        <v>3618</v>
      </c>
      <c r="B25" s="2391"/>
      <c r="C25" s="2391"/>
      <c r="D25" s="2391"/>
      <c r="E25" s="2391"/>
      <c r="F25" s="2391"/>
      <c r="G25" s="2391"/>
      <c r="H25" s="1136"/>
    </row>
    <row r="26" spans="1:18" s="1137" customFormat="1" ht="37.5" customHeight="1">
      <c r="A26" s="2391" t="s">
        <v>3619</v>
      </c>
      <c r="B26" s="2391"/>
      <c r="C26" s="2391"/>
      <c r="D26" s="2391"/>
      <c r="E26" s="2391"/>
      <c r="F26" s="2391"/>
      <c r="G26" s="2391"/>
      <c r="H26" s="1136"/>
    </row>
    <row r="27" spans="1:18" s="1137" customFormat="1">
      <c r="A27" s="2395" t="s">
        <v>3620</v>
      </c>
      <c r="B27" s="2395"/>
      <c r="C27" s="2395"/>
      <c r="D27" s="2395"/>
      <c r="E27" s="2395"/>
      <c r="F27" s="2395"/>
      <c r="G27" s="2395"/>
      <c r="H27" s="1089"/>
      <c r="I27" s="1089"/>
      <c r="J27" s="1089"/>
      <c r="K27" s="1089"/>
      <c r="L27" s="1089"/>
      <c r="M27" s="1089"/>
      <c r="N27" s="1089"/>
      <c r="O27" s="1089"/>
      <c r="P27" s="1089"/>
      <c r="Q27" s="1089"/>
      <c r="R27" s="1089"/>
    </row>
    <row r="28" spans="1:18" s="1137" customFormat="1" ht="12.75" customHeight="1">
      <c r="A28" s="1138" t="s">
        <v>22</v>
      </c>
      <c r="B28" s="1139"/>
      <c r="C28" s="1139"/>
      <c r="D28" s="1139"/>
      <c r="E28" s="1139"/>
      <c r="F28" s="1139"/>
      <c r="G28" s="1139"/>
      <c r="H28" s="1136"/>
    </row>
    <row r="29" spans="1:18" ht="14.85" customHeight="1">
      <c r="A29" s="2392" t="s">
        <v>1783</v>
      </c>
      <c r="B29" s="2392"/>
      <c r="C29" s="2392"/>
      <c r="D29" s="2392"/>
      <c r="E29" s="2392"/>
      <c r="F29" s="2392"/>
      <c r="G29" s="2392"/>
      <c r="H29" s="1105"/>
    </row>
    <row r="30" spans="1:18" ht="7.15" customHeight="1">
      <c r="A30" s="1105"/>
      <c r="B30" s="1105"/>
      <c r="C30" s="1105"/>
      <c r="D30" s="1105"/>
      <c r="E30" s="1105"/>
      <c r="F30" s="1105"/>
      <c r="G30" s="1105"/>
      <c r="H30" s="1105"/>
    </row>
  </sheetData>
  <mergeCells count="10">
    <mergeCell ref="A25:G25"/>
    <mergeCell ref="A26:G26"/>
    <mergeCell ref="A27:G27"/>
    <mergeCell ref="A29:G29"/>
    <mergeCell ref="A2:G2"/>
    <mergeCell ref="A4:A6"/>
    <mergeCell ref="B4:G4"/>
    <mergeCell ref="B5:B6"/>
    <mergeCell ref="C5:G5"/>
    <mergeCell ref="A24:G24"/>
  </mergeCells>
  <pageMargins left="0.98425196850393704" right="0.98425196850393704" top="0.98425196850393704" bottom="0.98425196850393704" header="0.98425196850393704" footer="0.98425196850393704"/>
  <pageSetup paperSize="9" orientation="portrait" r:id="rId1"/>
  <headerFooter alignWithMargins="0"/>
</worksheet>
</file>

<file path=xl/worksheets/sheet189.xml><?xml version="1.0" encoding="utf-8"?>
<worksheet xmlns="http://schemas.openxmlformats.org/spreadsheetml/2006/main" xmlns:r="http://schemas.openxmlformats.org/officeDocument/2006/relationships">
  <sheetPr>
    <outlinePr summaryBelow="0" summaryRight="0"/>
  </sheetPr>
  <dimension ref="A1:G27"/>
  <sheetViews>
    <sheetView zoomScaleNormal="100" workbookViewId="0">
      <selection activeCell="A28" sqref="A28"/>
    </sheetView>
  </sheetViews>
  <sheetFormatPr baseColWidth="10" defaultColWidth="9.140625" defaultRowHeight="12"/>
  <cols>
    <col min="1" max="1" width="29.42578125" style="110" customWidth="1"/>
    <col min="2" max="2" width="13.7109375" style="110" customWidth="1"/>
    <col min="3" max="3" width="13.5703125" style="110" customWidth="1"/>
    <col min="4" max="4" width="13.7109375" style="110" customWidth="1"/>
    <col min="5" max="5" width="19.85546875" style="110" customWidth="1"/>
    <col min="6" max="256" width="9.140625" style="110"/>
    <col min="257" max="257" width="29.42578125" style="110" customWidth="1"/>
    <col min="258" max="258" width="13.7109375" style="110" customWidth="1"/>
    <col min="259" max="259" width="13.5703125" style="110" customWidth="1"/>
    <col min="260" max="260" width="13.7109375" style="110" customWidth="1"/>
    <col min="261" max="261" width="19.85546875" style="110" customWidth="1"/>
    <col min="262" max="512" width="9.140625" style="110"/>
    <col min="513" max="513" width="29.42578125" style="110" customWidth="1"/>
    <col min="514" max="514" width="13.7109375" style="110" customWidth="1"/>
    <col min="515" max="515" width="13.5703125" style="110" customWidth="1"/>
    <col min="516" max="516" width="13.7109375" style="110" customWidth="1"/>
    <col min="517" max="517" width="19.85546875" style="110" customWidth="1"/>
    <col min="518" max="768" width="9.140625" style="110"/>
    <col min="769" max="769" width="29.42578125" style="110" customWidth="1"/>
    <col min="770" max="770" width="13.7109375" style="110" customWidth="1"/>
    <col min="771" max="771" width="13.5703125" style="110" customWidth="1"/>
    <col min="772" max="772" width="13.7109375" style="110" customWidth="1"/>
    <col min="773" max="773" width="19.85546875" style="110" customWidth="1"/>
    <col min="774" max="1024" width="9.140625" style="110"/>
    <col min="1025" max="1025" width="29.42578125" style="110" customWidth="1"/>
    <col min="1026" max="1026" width="13.7109375" style="110" customWidth="1"/>
    <col min="1027" max="1027" width="13.5703125" style="110" customWidth="1"/>
    <col min="1028" max="1028" width="13.7109375" style="110" customWidth="1"/>
    <col min="1029" max="1029" width="19.85546875" style="110" customWidth="1"/>
    <col min="1030" max="1280" width="9.140625" style="110"/>
    <col min="1281" max="1281" width="29.42578125" style="110" customWidth="1"/>
    <col min="1282" max="1282" width="13.7109375" style="110" customWidth="1"/>
    <col min="1283" max="1283" width="13.5703125" style="110" customWidth="1"/>
    <col min="1284" max="1284" width="13.7109375" style="110" customWidth="1"/>
    <col min="1285" max="1285" width="19.85546875" style="110" customWidth="1"/>
    <col min="1286" max="1536" width="9.140625" style="110"/>
    <col min="1537" max="1537" width="29.42578125" style="110" customWidth="1"/>
    <col min="1538" max="1538" width="13.7109375" style="110" customWidth="1"/>
    <col min="1539" max="1539" width="13.5703125" style="110" customWidth="1"/>
    <col min="1540" max="1540" width="13.7109375" style="110" customWidth="1"/>
    <col min="1541" max="1541" width="19.85546875" style="110" customWidth="1"/>
    <col min="1542" max="1792" width="9.140625" style="110"/>
    <col min="1793" max="1793" width="29.42578125" style="110" customWidth="1"/>
    <col min="1794" max="1794" width="13.7109375" style="110" customWidth="1"/>
    <col min="1795" max="1795" width="13.5703125" style="110" customWidth="1"/>
    <col min="1796" max="1796" width="13.7109375" style="110" customWidth="1"/>
    <col min="1797" max="1797" width="19.85546875" style="110" customWidth="1"/>
    <col min="1798" max="2048" width="9.140625" style="110"/>
    <col min="2049" max="2049" width="29.42578125" style="110" customWidth="1"/>
    <col min="2050" max="2050" width="13.7109375" style="110" customWidth="1"/>
    <col min="2051" max="2051" width="13.5703125" style="110" customWidth="1"/>
    <col min="2052" max="2052" width="13.7109375" style="110" customWidth="1"/>
    <col min="2053" max="2053" width="19.85546875" style="110" customWidth="1"/>
    <col min="2054" max="2304" width="9.140625" style="110"/>
    <col min="2305" max="2305" width="29.42578125" style="110" customWidth="1"/>
    <col min="2306" max="2306" width="13.7109375" style="110" customWidth="1"/>
    <col min="2307" max="2307" width="13.5703125" style="110" customWidth="1"/>
    <col min="2308" max="2308" width="13.7109375" style="110" customWidth="1"/>
    <col min="2309" max="2309" width="19.85546875" style="110" customWidth="1"/>
    <col min="2310" max="2560" width="9.140625" style="110"/>
    <col min="2561" max="2561" width="29.42578125" style="110" customWidth="1"/>
    <col min="2562" max="2562" width="13.7109375" style="110" customWidth="1"/>
    <col min="2563" max="2563" width="13.5703125" style="110" customWidth="1"/>
    <col min="2564" max="2564" width="13.7109375" style="110" customWidth="1"/>
    <col min="2565" max="2565" width="19.85546875" style="110" customWidth="1"/>
    <col min="2566" max="2816" width="9.140625" style="110"/>
    <col min="2817" max="2817" width="29.42578125" style="110" customWidth="1"/>
    <col min="2818" max="2818" width="13.7109375" style="110" customWidth="1"/>
    <col min="2819" max="2819" width="13.5703125" style="110" customWidth="1"/>
    <col min="2820" max="2820" width="13.7109375" style="110" customWidth="1"/>
    <col min="2821" max="2821" width="19.85546875" style="110" customWidth="1"/>
    <col min="2822" max="3072" width="9.140625" style="110"/>
    <col min="3073" max="3073" width="29.42578125" style="110" customWidth="1"/>
    <col min="3074" max="3074" width="13.7109375" style="110" customWidth="1"/>
    <col min="3075" max="3075" width="13.5703125" style="110" customWidth="1"/>
    <col min="3076" max="3076" width="13.7109375" style="110" customWidth="1"/>
    <col min="3077" max="3077" width="19.85546875" style="110" customWidth="1"/>
    <col min="3078" max="3328" width="9.140625" style="110"/>
    <col min="3329" max="3329" width="29.42578125" style="110" customWidth="1"/>
    <col min="3330" max="3330" width="13.7109375" style="110" customWidth="1"/>
    <col min="3331" max="3331" width="13.5703125" style="110" customWidth="1"/>
    <col min="3332" max="3332" width="13.7109375" style="110" customWidth="1"/>
    <col min="3333" max="3333" width="19.85546875" style="110" customWidth="1"/>
    <col min="3334" max="3584" width="9.140625" style="110"/>
    <col min="3585" max="3585" width="29.42578125" style="110" customWidth="1"/>
    <col min="3586" max="3586" width="13.7109375" style="110" customWidth="1"/>
    <col min="3587" max="3587" width="13.5703125" style="110" customWidth="1"/>
    <col min="3588" max="3588" width="13.7109375" style="110" customWidth="1"/>
    <col min="3589" max="3589" width="19.85546875" style="110" customWidth="1"/>
    <col min="3590" max="3840" width="9.140625" style="110"/>
    <col min="3841" max="3841" width="29.42578125" style="110" customWidth="1"/>
    <col min="3842" max="3842" width="13.7109375" style="110" customWidth="1"/>
    <col min="3843" max="3843" width="13.5703125" style="110" customWidth="1"/>
    <col min="3844" max="3844" width="13.7109375" style="110" customWidth="1"/>
    <col min="3845" max="3845" width="19.85546875" style="110" customWidth="1"/>
    <col min="3846" max="4096" width="9.140625" style="110"/>
    <col min="4097" max="4097" width="29.42578125" style="110" customWidth="1"/>
    <col min="4098" max="4098" width="13.7109375" style="110" customWidth="1"/>
    <col min="4099" max="4099" width="13.5703125" style="110" customWidth="1"/>
    <col min="4100" max="4100" width="13.7109375" style="110" customWidth="1"/>
    <col min="4101" max="4101" width="19.85546875" style="110" customWidth="1"/>
    <col min="4102" max="4352" width="9.140625" style="110"/>
    <col min="4353" max="4353" width="29.42578125" style="110" customWidth="1"/>
    <col min="4354" max="4354" width="13.7109375" style="110" customWidth="1"/>
    <col min="4355" max="4355" width="13.5703125" style="110" customWidth="1"/>
    <col min="4356" max="4356" width="13.7109375" style="110" customWidth="1"/>
    <col min="4357" max="4357" width="19.85546875" style="110" customWidth="1"/>
    <col min="4358" max="4608" width="9.140625" style="110"/>
    <col min="4609" max="4609" width="29.42578125" style="110" customWidth="1"/>
    <col min="4610" max="4610" width="13.7109375" style="110" customWidth="1"/>
    <col min="4611" max="4611" width="13.5703125" style="110" customWidth="1"/>
    <col min="4612" max="4612" width="13.7109375" style="110" customWidth="1"/>
    <col min="4613" max="4613" width="19.85546875" style="110" customWidth="1"/>
    <col min="4614" max="4864" width="9.140625" style="110"/>
    <col min="4865" max="4865" width="29.42578125" style="110" customWidth="1"/>
    <col min="4866" max="4866" width="13.7109375" style="110" customWidth="1"/>
    <col min="4867" max="4867" width="13.5703125" style="110" customWidth="1"/>
    <col min="4868" max="4868" width="13.7109375" style="110" customWidth="1"/>
    <col min="4869" max="4869" width="19.85546875" style="110" customWidth="1"/>
    <col min="4870" max="5120" width="9.140625" style="110"/>
    <col min="5121" max="5121" width="29.42578125" style="110" customWidth="1"/>
    <col min="5122" max="5122" width="13.7109375" style="110" customWidth="1"/>
    <col min="5123" max="5123" width="13.5703125" style="110" customWidth="1"/>
    <col min="5124" max="5124" width="13.7109375" style="110" customWidth="1"/>
    <col min="5125" max="5125" width="19.85546875" style="110" customWidth="1"/>
    <col min="5126" max="5376" width="9.140625" style="110"/>
    <col min="5377" max="5377" width="29.42578125" style="110" customWidth="1"/>
    <col min="5378" max="5378" width="13.7109375" style="110" customWidth="1"/>
    <col min="5379" max="5379" width="13.5703125" style="110" customWidth="1"/>
    <col min="5380" max="5380" width="13.7109375" style="110" customWidth="1"/>
    <col min="5381" max="5381" width="19.85546875" style="110" customWidth="1"/>
    <col min="5382" max="5632" width="9.140625" style="110"/>
    <col min="5633" max="5633" width="29.42578125" style="110" customWidth="1"/>
    <col min="5634" max="5634" width="13.7109375" style="110" customWidth="1"/>
    <col min="5635" max="5635" width="13.5703125" style="110" customWidth="1"/>
    <col min="5636" max="5636" width="13.7109375" style="110" customWidth="1"/>
    <col min="5637" max="5637" width="19.85546875" style="110" customWidth="1"/>
    <col min="5638" max="5888" width="9.140625" style="110"/>
    <col min="5889" max="5889" width="29.42578125" style="110" customWidth="1"/>
    <col min="5890" max="5890" width="13.7109375" style="110" customWidth="1"/>
    <col min="5891" max="5891" width="13.5703125" style="110" customWidth="1"/>
    <col min="5892" max="5892" width="13.7109375" style="110" customWidth="1"/>
    <col min="5893" max="5893" width="19.85546875" style="110" customWidth="1"/>
    <col min="5894" max="6144" width="9.140625" style="110"/>
    <col min="6145" max="6145" width="29.42578125" style="110" customWidth="1"/>
    <col min="6146" max="6146" width="13.7109375" style="110" customWidth="1"/>
    <col min="6147" max="6147" width="13.5703125" style="110" customWidth="1"/>
    <col min="6148" max="6148" width="13.7109375" style="110" customWidth="1"/>
    <col min="6149" max="6149" width="19.85546875" style="110" customWidth="1"/>
    <col min="6150" max="6400" width="9.140625" style="110"/>
    <col min="6401" max="6401" width="29.42578125" style="110" customWidth="1"/>
    <col min="6402" max="6402" width="13.7109375" style="110" customWidth="1"/>
    <col min="6403" max="6403" width="13.5703125" style="110" customWidth="1"/>
    <col min="6404" max="6404" width="13.7109375" style="110" customWidth="1"/>
    <col min="6405" max="6405" width="19.85546875" style="110" customWidth="1"/>
    <col min="6406" max="6656" width="9.140625" style="110"/>
    <col min="6657" max="6657" width="29.42578125" style="110" customWidth="1"/>
    <col min="6658" max="6658" width="13.7109375" style="110" customWidth="1"/>
    <col min="6659" max="6659" width="13.5703125" style="110" customWidth="1"/>
    <col min="6660" max="6660" width="13.7109375" style="110" customWidth="1"/>
    <col min="6661" max="6661" width="19.85546875" style="110" customWidth="1"/>
    <col min="6662" max="6912" width="9.140625" style="110"/>
    <col min="6913" max="6913" width="29.42578125" style="110" customWidth="1"/>
    <col min="6914" max="6914" width="13.7109375" style="110" customWidth="1"/>
    <col min="6915" max="6915" width="13.5703125" style="110" customWidth="1"/>
    <col min="6916" max="6916" width="13.7109375" style="110" customWidth="1"/>
    <col min="6917" max="6917" width="19.85546875" style="110" customWidth="1"/>
    <col min="6918" max="7168" width="9.140625" style="110"/>
    <col min="7169" max="7169" width="29.42578125" style="110" customWidth="1"/>
    <col min="7170" max="7170" width="13.7109375" style="110" customWidth="1"/>
    <col min="7171" max="7171" width="13.5703125" style="110" customWidth="1"/>
    <col min="7172" max="7172" width="13.7109375" style="110" customWidth="1"/>
    <col min="7173" max="7173" width="19.85546875" style="110" customWidth="1"/>
    <col min="7174" max="7424" width="9.140625" style="110"/>
    <col min="7425" max="7425" width="29.42578125" style="110" customWidth="1"/>
    <col min="7426" max="7426" width="13.7109375" style="110" customWidth="1"/>
    <col min="7427" max="7427" width="13.5703125" style="110" customWidth="1"/>
    <col min="7428" max="7428" width="13.7109375" style="110" customWidth="1"/>
    <col min="7429" max="7429" width="19.85546875" style="110" customWidth="1"/>
    <col min="7430" max="7680" width="9.140625" style="110"/>
    <col min="7681" max="7681" width="29.42578125" style="110" customWidth="1"/>
    <col min="7682" max="7682" width="13.7109375" style="110" customWidth="1"/>
    <col min="7683" max="7683" width="13.5703125" style="110" customWidth="1"/>
    <col min="7684" max="7684" width="13.7109375" style="110" customWidth="1"/>
    <col min="7685" max="7685" width="19.85546875" style="110" customWidth="1"/>
    <col min="7686" max="7936" width="9.140625" style="110"/>
    <col min="7937" max="7937" width="29.42578125" style="110" customWidth="1"/>
    <col min="7938" max="7938" width="13.7109375" style="110" customWidth="1"/>
    <col min="7939" max="7939" width="13.5703125" style="110" customWidth="1"/>
    <col min="7940" max="7940" width="13.7109375" style="110" customWidth="1"/>
    <col min="7941" max="7941" width="19.85546875" style="110" customWidth="1"/>
    <col min="7942" max="8192" width="9.140625" style="110"/>
    <col min="8193" max="8193" width="29.42578125" style="110" customWidth="1"/>
    <col min="8194" max="8194" width="13.7109375" style="110" customWidth="1"/>
    <col min="8195" max="8195" width="13.5703125" style="110" customWidth="1"/>
    <col min="8196" max="8196" width="13.7109375" style="110" customWidth="1"/>
    <col min="8197" max="8197" width="19.85546875" style="110" customWidth="1"/>
    <col min="8198" max="8448" width="9.140625" style="110"/>
    <col min="8449" max="8449" width="29.42578125" style="110" customWidth="1"/>
    <col min="8450" max="8450" width="13.7109375" style="110" customWidth="1"/>
    <col min="8451" max="8451" width="13.5703125" style="110" customWidth="1"/>
    <col min="8452" max="8452" width="13.7109375" style="110" customWidth="1"/>
    <col min="8453" max="8453" width="19.85546875" style="110" customWidth="1"/>
    <col min="8454" max="8704" width="9.140625" style="110"/>
    <col min="8705" max="8705" width="29.42578125" style="110" customWidth="1"/>
    <col min="8706" max="8706" width="13.7109375" style="110" customWidth="1"/>
    <col min="8707" max="8707" width="13.5703125" style="110" customWidth="1"/>
    <col min="8708" max="8708" width="13.7109375" style="110" customWidth="1"/>
    <col min="8709" max="8709" width="19.85546875" style="110" customWidth="1"/>
    <col min="8710" max="8960" width="9.140625" style="110"/>
    <col min="8961" max="8961" width="29.42578125" style="110" customWidth="1"/>
    <col min="8962" max="8962" width="13.7109375" style="110" customWidth="1"/>
    <col min="8963" max="8963" width="13.5703125" style="110" customWidth="1"/>
    <col min="8964" max="8964" width="13.7109375" style="110" customWidth="1"/>
    <col min="8965" max="8965" width="19.85546875" style="110" customWidth="1"/>
    <col min="8966" max="9216" width="9.140625" style="110"/>
    <col min="9217" max="9217" width="29.42578125" style="110" customWidth="1"/>
    <col min="9218" max="9218" width="13.7109375" style="110" customWidth="1"/>
    <col min="9219" max="9219" width="13.5703125" style="110" customWidth="1"/>
    <col min="9220" max="9220" width="13.7109375" style="110" customWidth="1"/>
    <col min="9221" max="9221" width="19.85546875" style="110" customWidth="1"/>
    <col min="9222" max="9472" width="9.140625" style="110"/>
    <col min="9473" max="9473" width="29.42578125" style="110" customWidth="1"/>
    <col min="9474" max="9474" width="13.7109375" style="110" customWidth="1"/>
    <col min="9475" max="9475" width="13.5703125" style="110" customWidth="1"/>
    <col min="9476" max="9476" width="13.7109375" style="110" customWidth="1"/>
    <col min="9477" max="9477" width="19.85546875" style="110" customWidth="1"/>
    <col min="9478" max="9728" width="9.140625" style="110"/>
    <col min="9729" max="9729" width="29.42578125" style="110" customWidth="1"/>
    <col min="9730" max="9730" width="13.7109375" style="110" customWidth="1"/>
    <col min="9731" max="9731" width="13.5703125" style="110" customWidth="1"/>
    <col min="9732" max="9732" width="13.7109375" style="110" customWidth="1"/>
    <col min="9733" max="9733" width="19.85546875" style="110" customWidth="1"/>
    <col min="9734" max="9984" width="9.140625" style="110"/>
    <col min="9985" max="9985" width="29.42578125" style="110" customWidth="1"/>
    <col min="9986" max="9986" width="13.7109375" style="110" customWidth="1"/>
    <col min="9987" max="9987" width="13.5703125" style="110" customWidth="1"/>
    <col min="9988" max="9988" width="13.7109375" style="110" customWidth="1"/>
    <col min="9989" max="9989" width="19.85546875" style="110" customWidth="1"/>
    <col min="9990" max="10240" width="9.140625" style="110"/>
    <col min="10241" max="10241" width="29.42578125" style="110" customWidth="1"/>
    <col min="10242" max="10242" width="13.7109375" style="110" customWidth="1"/>
    <col min="10243" max="10243" width="13.5703125" style="110" customWidth="1"/>
    <col min="10244" max="10244" width="13.7109375" style="110" customWidth="1"/>
    <col min="10245" max="10245" width="19.85546875" style="110" customWidth="1"/>
    <col min="10246" max="10496" width="9.140625" style="110"/>
    <col min="10497" max="10497" width="29.42578125" style="110" customWidth="1"/>
    <col min="10498" max="10498" width="13.7109375" style="110" customWidth="1"/>
    <col min="10499" max="10499" width="13.5703125" style="110" customWidth="1"/>
    <col min="10500" max="10500" width="13.7109375" style="110" customWidth="1"/>
    <col min="10501" max="10501" width="19.85546875" style="110" customWidth="1"/>
    <col min="10502" max="10752" width="9.140625" style="110"/>
    <col min="10753" max="10753" width="29.42578125" style="110" customWidth="1"/>
    <col min="10754" max="10754" width="13.7109375" style="110" customWidth="1"/>
    <col min="10755" max="10755" width="13.5703125" style="110" customWidth="1"/>
    <col min="10756" max="10756" width="13.7109375" style="110" customWidth="1"/>
    <col min="10757" max="10757" width="19.85546875" style="110" customWidth="1"/>
    <col min="10758" max="11008" width="9.140625" style="110"/>
    <col min="11009" max="11009" width="29.42578125" style="110" customWidth="1"/>
    <col min="11010" max="11010" width="13.7109375" style="110" customWidth="1"/>
    <col min="11011" max="11011" width="13.5703125" style="110" customWidth="1"/>
    <col min="11012" max="11012" width="13.7109375" style="110" customWidth="1"/>
    <col min="11013" max="11013" width="19.85546875" style="110" customWidth="1"/>
    <col min="11014" max="11264" width="9.140625" style="110"/>
    <col min="11265" max="11265" width="29.42578125" style="110" customWidth="1"/>
    <col min="11266" max="11266" width="13.7109375" style="110" customWidth="1"/>
    <col min="11267" max="11267" width="13.5703125" style="110" customWidth="1"/>
    <col min="11268" max="11268" width="13.7109375" style="110" customWidth="1"/>
    <col min="11269" max="11269" width="19.85546875" style="110" customWidth="1"/>
    <col min="11270" max="11520" width="9.140625" style="110"/>
    <col min="11521" max="11521" width="29.42578125" style="110" customWidth="1"/>
    <col min="11522" max="11522" width="13.7109375" style="110" customWidth="1"/>
    <col min="11523" max="11523" width="13.5703125" style="110" customWidth="1"/>
    <col min="11524" max="11524" width="13.7109375" style="110" customWidth="1"/>
    <col min="11525" max="11525" width="19.85546875" style="110" customWidth="1"/>
    <col min="11526" max="11776" width="9.140625" style="110"/>
    <col min="11777" max="11777" width="29.42578125" style="110" customWidth="1"/>
    <col min="11778" max="11778" width="13.7109375" style="110" customWidth="1"/>
    <col min="11779" max="11779" width="13.5703125" style="110" customWidth="1"/>
    <col min="11780" max="11780" width="13.7109375" style="110" customWidth="1"/>
    <col min="11781" max="11781" width="19.85546875" style="110" customWidth="1"/>
    <col min="11782" max="12032" width="9.140625" style="110"/>
    <col min="12033" max="12033" width="29.42578125" style="110" customWidth="1"/>
    <col min="12034" max="12034" width="13.7109375" style="110" customWidth="1"/>
    <col min="12035" max="12035" width="13.5703125" style="110" customWidth="1"/>
    <col min="12036" max="12036" width="13.7109375" style="110" customWidth="1"/>
    <col min="12037" max="12037" width="19.85546875" style="110" customWidth="1"/>
    <col min="12038" max="12288" width="9.140625" style="110"/>
    <col min="12289" max="12289" width="29.42578125" style="110" customWidth="1"/>
    <col min="12290" max="12290" width="13.7109375" style="110" customWidth="1"/>
    <col min="12291" max="12291" width="13.5703125" style="110" customWidth="1"/>
    <col min="12292" max="12292" width="13.7109375" style="110" customWidth="1"/>
    <col min="12293" max="12293" width="19.85546875" style="110" customWidth="1"/>
    <col min="12294" max="12544" width="9.140625" style="110"/>
    <col min="12545" max="12545" width="29.42578125" style="110" customWidth="1"/>
    <col min="12546" max="12546" width="13.7109375" style="110" customWidth="1"/>
    <col min="12547" max="12547" width="13.5703125" style="110" customWidth="1"/>
    <col min="12548" max="12548" width="13.7109375" style="110" customWidth="1"/>
    <col min="12549" max="12549" width="19.85546875" style="110" customWidth="1"/>
    <col min="12550" max="12800" width="9.140625" style="110"/>
    <col min="12801" max="12801" width="29.42578125" style="110" customWidth="1"/>
    <col min="12802" max="12802" width="13.7109375" style="110" customWidth="1"/>
    <col min="12803" max="12803" width="13.5703125" style="110" customWidth="1"/>
    <col min="12804" max="12804" width="13.7109375" style="110" customWidth="1"/>
    <col min="12805" max="12805" width="19.85546875" style="110" customWidth="1"/>
    <col min="12806" max="13056" width="9.140625" style="110"/>
    <col min="13057" max="13057" width="29.42578125" style="110" customWidth="1"/>
    <col min="13058" max="13058" width="13.7109375" style="110" customWidth="1"/>
    <col min="13059" max="13059" width="13.5703125" style="110" customWidth="1"/>
    <col min="13060" max="13060" width="13.7109375" style="110" customWidth="1"/>
    <col min="13061" max="13061" width="19.85546875" style="110" customWidth="1"/>
    <col min="13062" max="13312" width="9.140625" style="110"/>
    <col min="13313" max="13313" width="29.42578125" style="110" customWidth="1"/>
    <col min="13314" max="13314" width="13.7109375" style="110" customWidth="1"/>
    <col min="13315" max="13315" width="13.5703125" style="110" customWidth="1"/>
    <col min="13316" max="13316" width="13.7109375" style="110" customWidth="1"/>
    <col min="13317" max="13317" width="19.85546875" style="110" customWidth="1"/>
    <col min="13318" max="13568" width="9.140625" style="110"/>
    <col min="13569" max="13569" width="29.42578125" style="110" customWidth="1"/>
    <col min="13570" max="13570" width="13.7109375" style="110" customWidth="1"/>
    <col min="13571" max="13571" width="13.5703125" style="110" customWidth="1"/>
    <col min="13572" max="13572" width="13.7109375" style="110" customWidth="1"/>
    <col min="13573" max="13573" width="19.85546875" style="110" customWidth="1"/>
    <col min="13574" max="13824" width="9.140625" style="110"/>
    <col min="13825" max="13825" width="29.42578125" style="110" customWidth="1"/>
    <col min="13826" max="13826" width="13.7109375" style="110" customWidth="1"/>
    <col min="13827" max="13827" width="13.5703125" style="110" customWidth="1"/>
    <col min="13828" max="13828" width="13.7109375" style="110" customWidth="1"/>
    <col min="13829" max="13829" width="19.85546875" style="110" customWidth="1"/>
    <col min="13830" max="14080" width="9.140625" style="110"/>
    <col min="14081" max="14081" width="29.42578125" style="110" customWidth="1"/>
    <col min="14082" max="14082" width="13.7109375" style="110" customWidth="1"/>
    <col min="14083" max="14083" width="13.5703125" style="110" customWidth="1"/>
    <col min="14084" max="14084" width="13.7109375" style="110" customWidth="1"/>
    <col min="14085" max="14085" width="19.85546875" style="110" customWidth="1"/>
    <col min="14086" max="14336" width="9.140625" style="110"/>
    <col min="14337" max="14337" width="29.42578125" style="110" customWidth="1"/>
    <col min="14338" max="14338" width="13.7109375" style="110" customWidth="1"/>
    <col min="14339" max="14339" width="13.5703125" style="110" customWidth="1"/>
    <col min="14340" max="14340" width="13.7109375" style="110" customWidth="1"/>
    <col min="14341" max="14341" width="19.85546875" style="110" customWidth="1"/>
    <col min="14342" max="14592" width="9.140625" style="110"/>
    <col min="14593" max="14593" width="29.42578125" style="110" customWidth="1"/>
    <col min="14594" max="14594" width="13.7109375" style="110" customWidth="1"/>
    <col min="14595" max="14595" width="13.5703125" style="110" customWidth="1"/>
    <col min="14596" max="14596" width="13.7109375" style="110" customWidth="1"/>
    <col min="14597" max="14597" width="19.85546875" style="110" customWidth="1"/>
    <col min="14598" max="14848" width="9.140625" style="110"/>
    <col min="14849" max="14849" width="29.42578125" style="110" customWidth="1"/>
    <col min="14850" max="14850" width="13.7109375" style="110" customWidth="1"/>
    <col min="14851" max="14851" width="13.5703125" style="110" customWidth="1"/>
    <col min="14852" max="14852" width="13.7109375" style="110" customWidth="1"/>
    <col min="14853" max="14853" width="19.85546875" style="110" customWidth="1"/>
    <col min="14854" max="15104" width="9.140625" style="110"/>
    <col min="15105" max="15105" width="29.42578125" style="110" customWidth="1"/>
    <col min="15106" max="15106" width="13.7109375" style="110" customWidth="1"/>
    <col min="15107" max="15107" width="13.5703125" style="110" customWidth="1"/>
    <col min="15108" max="15108" width="13.7109375" style="110" customWidth="1"/>
    <col min="15109" max="15109" width="19.85546875" style="110" customWidth="1"/>
    <col min="15110" max="15360" width="9.140625" style="110"/>
    <col min="15361" max="15361" width="29.42578125" style="110" customWidth="1"/>
    <col min="15362" max="15362" width="13.7109375" style="110" customWidth="1"/>
    <col min="15363" max="15363" width="13.5703125" style="110" customWidth="1"/>
    <col min="15364" max="15364" width="13.7109375" style="110" customWidth="1"/>
    <col min="15365" max="15365" width="19.85546875" style="110" customWidth="1"/>
    <col min="15366" max="15616" width="9.140625" style="110"/>
    <col min="15617" max="15617" width="29.42578125" style="110" customWidth="1"/>
    <col min="15618" max="15618" width="13.7109375" style="110" customWidth="1"/>
    <col min="15619" max="15619" width="13.5703125" style="110" customWidth="1"/>
    <col min="15620" max="15620" width="13.7109375" style="110" customWidth="1"/>
    <col min="15621" max="15621" width="19.85546875" style="110" customWidth="1"/>
    <col min="15622" max="15872" width="9.140625" style="110"/>
    <col min="15873" max="15873" width="29.42578125" style="110" customWidth="1"/>
    <col min="15874" max="15874" width="13.7109375" style="110" customWidth="1"/>
    <col min="15875" max="15875" width="13.5703125" style="110" customWidth="1"/>
    <col min="15876" max="15876" width="13.7109375" style="110" customWidth="1"/>
    <col min="15877" max="15877" width="19.85546875" style="110" customWidth="1"/>
    <col min="15878" max="16128" width="9.140625" style="110"/>
    <col min="16129" max="16129" width="29.42578125" style="110" customWidth="1"/>
    <col min="16130" max="16130" width="13.7109375" style="110" customWidth="1"/>
    <col min="16131" max="16131" width="13.5703125" style="110" customWidth="1"/>
    <col min="16132" max="16132" width="13.7109375" style="110" customWidth="1"/>
    <col min="16133" max="16133" width="19.85546875" style="110" customWidth="1"/>
    <col min="16134" max="16384" width="9.140625" style="110"/>
  </cols>
  <sheetData>
    <row r="1" spans="1:7">
      <c r="A1" s="1105"/>
      <c r="B1" s="1105"/>
      <c r="C1" s="1105"/>
      <c r="D1" s="1105"/>
      <c r="E1" s="1105"/>
    </row>
    <row r="2" spans="1:7" ht="26.25" customHeight="1">
      <c r="A2" s="2389" t="s">
        <v>1822</v>
      </c>
      <c r="B2" s="2389"/>
      <c r="C2" s="2389"/>
      <c r="D2" s="2389"/>
      <c r="E2" s="2389"/>
    </row>
    <row r="3" spans="1:7">
      <c r="A3" s="1105"/>
      <c r="B3" s="1106"/>
      <c r="C3" s="1106"/>
      <c r="D3" s="1106"/>
      <c r="E3" s="1106"/>
    </row>
    <row r="4" spans="1:7" ht="12.75" customHeight="1">
      <c r="A4" s="2394" t="s">
        <v>1823</v>
      </c>
      <c r="B4" s="2400" t="s">
        <v>1824</v>
      </c>
      <c r="C4" s="2401"/>
      <c r="D4" s="2401"/>
      <c r="E4" s="2402"/>
    </row>
    <row r="5" spans="1:7" ht="12.75" customHeight="1">
      <c r="A5" s="2382"/>
      <c r="B5" s="2398" t="s">
        <v>3612</v>
      </c>
      <c r="C5" s="2400" t="s">
        <v>1825</v>
      </c>
      <c r="D5" s="2401"/>
      <c r="E5" s="2402"/>
    </row>
    <row r="6" spans="1:7" s="1127" customFormat="1" ht="26.25" customHeight="1">
      <c r="A6" s="2383"/>
      <c r="B6" s="2386"/>
      <c r="C6" s="1091" t="s">
        <v>1768</v>
      </c>
      <c r="D6" s="1091" t="s">
        <v>1769</v>
      </c>
      <c r="E6" s="1091" t="s">
        <v>3613</v>
      </c>
    </row>
    <row r="7" spans="1:7" ht="12.75" customHeight="1">
      <c r="A7" s="1108" t="s">
        <v>6</v>
      </c>
      <c r="B7" s="1128">
        <f>SUM(B8:B18)</f>
        <v>702</v>
      </c>
      <c r="C7" s="1128">
        <f>SUM(C8:C18)</f>
        <v>64</v>
      </c>
      <c r="D7" s="1128">
        <f>SUM(D8:D18)</f>
        <v>482</v>
      </c>
      <c r="E7" s="1128">
        <f>SUM(E8:E18)</f>
        <v>156</v>
      </c>
    </row>
    <row r="8" spans="1:7" ht="12.75" customHeight="1">
      <c r="A8" s="1112" t="s">
        <v>1826</v>
      </c>
      <c r="B8" s="1128">
        <f>SUM(C8:E8)</f>
        <v>142</v>
      </c>
      <c r="C8" s="1129">
        <v>20</v>
      </c>
      <c r="D8" s="1129">
        <v>90</v>
      </c>
      <c r="E8" s="1129">
        <v>32</v>
      </c>
      <c r="F8" s="1130"/>
      <c r="G8" s="1131"/>
    </row>
    <row r="9" spans="1:7" ht="12.75" customHeight="1">
      <c r="A9" s="1112" t="s">
        <v>1827</v>
      </c>
      <c r="B9" s="1128">
        <f t="shared" ref="B9:B18" si="0">SUM(C9:E9)</f>
        <v>17</v>
      </c>
      <c r="C9" s="1129">
        <v>0</v>
      </c>
      <c r="D9" s="1129">
        <v>7</v>
      </c>
      <c r="E9" s="1129">
        <v>10</v>
      </c>
      <c r="F9" s="1130"/>
    </row>
    <row r="10" spans="1:7" ht="12.75" customHeight="1">
      <c r="A10" s="1112" t="s">
        <v>1828</v>
      </c>
      <c r="B10" s="1128">
        <f t="shared" si="0"/>
        <v>2</v>
      </c>
      <c r="C10" s="1129">
        <v>0</v>
      </c>
      <c r="D10" s="1129">
        <v>1</v>
      </c>
      <c r="E10" s="1129">
        <v>1</v>
      </c>
      <c r="F10" s="1130"/>
    </row>
    <row r="11" spans="1:7" ht="12.75" customHeight="1">
      <c r="A11" s="1112" t="s">
        <v>1829</v>
      </c>
      <c r="B11" s="1128">
        <f t="shared" si="0"/>
        <v>14</v>
      </c>
      <c r="C11" s="1129">
        <v>1</v>
      </c>
      <c r="D11" s="1129">
        <v>8</v>
      </c>
      <c r="E11" s="1129">
        <v>5</v>
      </c>
      <c r="F11" s="1130"/>
    </row>
    <row r="12" spans="1:7" ht="12.75" customHeight="1">
      <c r="A12" s="1112" t="s">
        <v>1830</v>
      </c>
      <c r="B12" s="1128">
        <f t="shared" si="0"/>
        <v>413</v>
      </c>
      <c r="C12" s="1129">
        <v>24</v>
      </c>
      <c r="D12" s="1129">
        <v>322</v>
      </c>
      <c r="E12" s="1129">
        <v>67</v>
      </c>
      <c r="F12" s="1130"/>
    </row>
    <row r="13" spans="1:7" ht="12.75" customHeight="1">
      <c r="A13" s="1112" t="s">
        <v>1831</v>
      </c>
      <c r="B13" s="1128">
        <f t="shared" si="0"/>
        <v>5</v>
      </c>
      <c r="C13" s="1129">
        <v>1</v>
      </c>
      <c r="D13" s="1129">
        <v>2</v>
      </c>
      <c r="E13" s="1129">
        <v>2</v>
      </c>
      <c r="F13" s="1130"/>
    </row>
    <row r="14" spans="1:7" ht="12.75" customHeight="1">
      <c r="A14" s="1112" t="s">
        <v>1832</v>
      </c>
      <c r="B14" s="1128">
        <f t="shared" si="0"/>
        <v>45</v>
      </c>
      <c r="C14" s="1129">
        <v>10</v>
      </c>
      <c r="D14" s="1129">
        <v>10</v>
      </c>
      <c r="E14" s="1129">
        <v>25</v>
      </c>
      <c r="F14" s="1130"/>
    </row>
    <row r="15" spans="1:7" ht="12.75" customHeight="1">
      <c r="A15" s="1112" t="s">
        <v>1833</v>
      </c>
      <c r="B15" s="1128">
        <f t="shared" si="0"/>
        <v>20</v>
      </c>
      <c r="C15" s="1129">
        <v>1</v>
      </c>
      <c r="D15" s="1129">
        <v>19</v>
      </c>
      <c r="E15" s="1129">
        <v>0</v>
      </c>
      <c r="F15" s="1130"/>
    </row>
    <row r="16" spans="1:7" ht="12.75" customHeight="1">
      <c r="A16" s="1112" t="s">
        <v>1834</v>
      </c>
      <c r="B16" s="1128">
        <f t="shared" si="0"/>
        <v>14</v>
      </c>
      <c r="C16" s="1129">
        <v>2</v>
      </c>
      <c r="D16" s="1129">
        <v>12</v>
      </c>
      <c r="E16" s="1129">
        <v>0</v>
      </c>
      <c r="F16" s="1130"/>
    </row>
    <row r="17" spans="1:7" ht="12.75" customHeight="1">
      <c r="A17" s="1112" t="s">
        <v>1835</v>
      </c>
      <c r="B17" s="1128">
        <f t="shared" si="0"/>
        <v>25</v>
      </c>
      <c r="C17" s="1129">
        <v>5</v>
      </c>
      <c r="D17" s="1129">
        <v>9</v>
      </c>
      <c r="E17" s="1129">
        <v>11</v>
      </c>
      <c r="F17" s="1130"/>
    </row>
    <row r="18" spans="1:7" ht="12.75" customHeight="1">
      <c r="A18" s="1112" t="s">
        <v>1836</v>
      </c>
      <c r="B18" s="1128">
        <f t="shared" si="0"/>
        <v>5</v>
      </c>
      <c r="C18" s="1129">
        <v>0</v>
      </c>
      <c r="D18" s="1129">
        <v>2</v>
      </c>
      <c r="E18" s="1129">
        <v>3</v>
      </c>
      <c r="F18" s="1130"/>
    </row>
    <row r="19" spans="1:7">
      <c r="A19" s="1105"/>
      <c r="B19" s="1132"/>
      <c r="C19" s="1132"/>
      <c r="D19" s="1132"/>
      <c r="E19" s="1132"/>
      <c r="F19" s="1130"/>
    </row>
    <row r="20" spans="1:7" ht="36" customHeight="1">
      <c r="A20" s="2388" t="s">
        <v>3614</v>
      </c>
      <c r="B20" s="2388"/>
      <c r="C20" s="2388"/>
      <c r="D20" s="2388"/>
      <c r="E20" s="2388"/>
      <c r="F20" s="1089"/>
      <c r="G20" s="1089"/>
    </row>
    <row r="21" spans="1:7" ht="21.75" customHeight="1">
      <c r="A21" s="2388" t="s">
        <v>3615</v>
      </c>
      <c r="B21" s="2388"/>
      <c r="C21" s="2388"/>
      <c r="D21" s="2388"/>
      <c r="E21" s="2388"/>
      <c r="F21" s="1089"/>
      <c r="G21" s="1089"/>
    </row>
    <row r="22" spans="1:7" ht="14.1" customHeight="1">
      <c r="A22" s="2388" t="s">
        <v>22</v>
      </c>
      <c r="B22" s="2388"/>
      <c r="C22" s="2388"/>
      <c r="D22" s="2388"/>
      <c r="E22" s="2388"/>
    </row>
    <row r="23" spans="1:7" ht="14.1" customHeight="1">
      <c r="A23" s="2388" t="s">
        <v>1783</v>
      </c>
      <c r="B23" s="2388"/>
      <c r="C23" s="2388"/>
      <c r="D23" s="2388"/>
      <c r="E23" s="2388"/>
    </row>
    <row r="24" spans="1:7">
      <c r="A24" s="1105"/>
      <c r="B24" s="1106"/>
      <c r="C24" s="1106"/>
      <c r="D24" s="1106"/>
      <c r="E24" s="1106"/>
    </row>
    <row r="25" spans="1:7">
      <c r="A25" s="1105"/>
      <c r="B25" s="1105"/>
      <c r="C25" s="1105"/>
      <c r="D25" s="1105"/>
      <c r="E25" s="1105"/>
    </row>
    <row r="27" spans="1:7">
      <c r="A27" s="731"/>
      <c r="B27" s="731"/>
      <c r="C27" s="731"/>
      <c r="D27" s="731"/>
      <c r="E27" s="731"/>
    </row>
  </sheetData>
  <mergeCells count="9">
    <mergeCell ref="A21:E21"/>
    <mergeCell ref="A22:E22"/>
    <mergeCell ref="A23:E23"/>
    <mergeCell ref="A2:E2"/>
    <mergeCell ref="A4:A6"/>
    <mergeCell ref="B4:E4"/>
    <mergeCell ref="B5:B6"/>
    <mergeCell ref="C5:E5"/>
    <mergeCell ref="A20:E20"/>
  </mergeCells>
  <pageMargins left="0.98425196850393704" right="0.98425196850393704" top="0.98425196850393704" bottom="0.98425196850393704" header="0.98425196850393704" footer="0.98425196850393704"/>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dimension ref="A2:F20"/>
  <sheetViews>
    <sheetView zoomScaleNormal="100" workbookViewId="0">
      <selection activeCell="A24" sqref="A24"/>
    </sheetView>
  </sheetViews>
  <sheetFormatPr baseColWidth="10" defaultColWidth="11.42578125" defaultRowHeight="11.25"/>
  <cols>
    <col min="1" max="1" width="34.42578125" style="117" customWidth="1"/>
    <col min="2" max="2" width="12.5703125" style="117" bestFit="1" customWidth="1"/>
    <col min="3" max="5" width="13" style="117" bestFit="1" customWidth="1"/>
    <col min="6" max="6" width="18.85546875" style="117" customWidth="1"/>
    <col min="7" max="16384" width="11.42578125" style="117"/>
  </cols>
  <sheetData>
    <row r="2" spans="1:6" s="152" customFormat="1" ht="25.5" customHeight="1">
      <c r="A2" s="2033" t="s">
        <v>948</v>
      </c>
      <c r="B2" s="2033"/>
      <c r="C2" s="2033"/>
      <c r="D2" s="2033"/>
      <c r="E2" s="2033"/>
      <c r="F2" s="2033"/>
    </row>
    <row r="4" spans="1:6" s="1240" customFormat="1">
      <c r="A4" s="2049" t="s">
        <v>3896</v>
      </c>
      <c r="B4" s="2049" t="s">
        <v>26</v>
      </c>
      <c r="C4" s="2049" t="s">
        <v>788</v>
      </c>
      <c r="D4" s="2049"/>
      <c r="E4" s="2049"/>
      <c r="F4" s="2049"/>
    </row>
    <row r="5" spans="1:6" s="1240" customFormat="1" ht="57.75">
      <c r="A5" s="2049"/>
      <c r="B5" s="2049"/>
      <c r="C5" s="1906" t="s">
        <v>789</v>
      </c>
      <c r="D5" s="1906" t="s">
        <v>3897</v>
      </c>
      <c r="E5" s="1906" t="s">
        <v>761</v>
      </c>
      <c r="F5" s="1906" t="s">
        <v>762</v>
      </c>
    </row>
    <row r="6" spans="1:6" s="1260" customFormat="1">
      <c r="A6" s="1260" t="s">
        <v>679</v>
      </c>
      <c r="B6" s="1907">
        <f>SUM(C6:F6)</f>
        <v>263727</v>
      </c>
      <c r="C6" s="1908">
        <f>SUM(C7:C9)</f>
        <v>28535</v>
      </c>
      <c r="D6" s="1908">
        <f>SUM(D7:D9)</f>
        <v>29167</v>
      </c>
      <c r="E6" s="1908">
        <f>SUM(E7:E9)</f>
        <v>79285</v>
      </c>
      <c r="F6" s="1908">
        <f>SUM(F7:F9)</f>
        <v>126740</v>
      </c>
    </row>
    <row r="7" spans="1:6" s="1240" customFormat="1" ht="12.75">
      <c r="A7" s="1240" t="s">
        <v>3898</v>
      </c>
      <c r="B7" s="1250">
        <f>SUM(C7:F7)</f>
        <v>53968</v>
      </c>
      <c r="C7" s="1909" t="s">
        <v>155</v>
      </c>
      <c r="D7" s="1909">
        <v>5058</v>
      </c>
      <c r="E7" s="1909">
        <v>28706</v>
      </c>
      <c r="F7" s="1909">
        <v>20204</v>
      </c>
    </row>
    <row r="8" spans="1:6" s="1240" customFormat="1" ht="12.75">
      <c r="A8" s="1240" t="s">
        <v>3899</v>
      </c>
      <c r="B8" s="1250">
        <f>SUM(C8:F8)</f>
        <v>176963</v>
      </c>
      <c r="C8" s="1909">
        <v>20349</v>
      </c>
      <c r="D8" s="1909">
        <v>22533</v>
      </c>
      <c r="E8" s="1909">
        <v>50579</v>
      </c>
      <c r="F8" s="1909">
        <v>83502</v>
      </c>
    </row>
    <row r="9" spans="1:6" s="1240" customFormat="1" ht="12.75">
      <c r="A9" s="1240" t="s">
        <v>3900</v>
      </c>
      <c r="B9" s="1250">
        <f>SUM(C9:F9)</f>
        <v>32796</v>
      </c>
      <c r="C9" s="1909">
        <v>8186</v>
      </c>
      <c r="D9" s="1909">
        <v>1576</v>
      </c>
      <c r="E9" s="1909">
        <v>0</v>
      </c>
      <c r="F9" s="1909">
        <v>23034</v>
      </c>
    </row>
    <row r="10" spans="1:6" s="1240" customFormat="1"/>
    <row r="11" spans="1:6" s="1240" customFormat="1">
      <c r="A11" s="1240" t="s">
        <v>3901</v>
      </c>
    </row>
    <row r="12" spans="1:6" s="1240" customFormat="1" ht="37.5" customHeight="1">
      <c r="A12" s="2043" t="s">
        <v>3902</v>
      </c>
      <c r="B12" s="2043"/>
      <c r="C12" s="2043"/>
      <c r="D12" s="2043"/>
      <c r="E12" s="2043"/>
      <c r="F12" s="2043"/>
    </row>
    <row r="13" spans="1:6" s="1240" customFormat="1">
      <c r="A13" s="1240" t="s">
        <v>3903</v>
      </c>
    </row>
    <row r="14" spans="1:6" s="1240" customFormat="1">
      <c r="A14" s="1240" t="s">
        <v>3904</v>
      </c>
    </row>
    <row r="15" spans="1:6" s="1240" customFormat="1">
      <c r="A15" s="1240" t="s">
        <v>3905</v>
      </c>
    </row>
    <row r="16" spans="1:6" s="1240" customFormat="1">
      <c r="A16" s="1240" t="s">
        <v>22</v>
      </c>
    </row>
    <row r="17" spans="1:6" s="1240" customFormat="1">
      <c r="A17" s="2030" t="s">
        <v>680</v>
      </c>
      <c r="B17" s="2030"/>
      <c r="C17" s="2030"/>
      <c r="D17" s="2030"/>
      <c r="E17" s="2030"/>
      <c r="F17" s="2030"/>
    </row>
    <row r="18" spans="1:6" s="1240" customFormat="1"/>
    <row r="19" spans="1:6" s="1240" customFormat="1"/>
    <row r="20" spans="1:6" s="1240" customFormat="1"/>
  </sheetData>
  <mergeCells count="6">
    <mergeCell ref="A17:F17"/>
    <mergeCell ref="A2:F2"/>
    <mergeCell ref="A4:A5"/>
    <mergeCell ref="B4:B5"/>
    <mergeCell ref="C4:F4"/>
    <mergeCell ref="A12:F12"/>
  </mergeCells>
  <pageMargins left="0.7" right="0.7" top="0.75" bottom="0.75" header="0.3" footer="0.3"/>
</worksheet>
</file>

<file path=xl/worksheets/sheet190.xml><?xml version="1.0" encoding="utf-8"?>
<worksheet xmlns="http://schemas.openxmlformats.org/spreadsheetml/2006/main" xmlns:r="http://schemas.openxmlformats.org/officeDocument/2006/relationships">
  <sheetPr>
    <outlinePr summaryBelow="0" summaryRight="0"/>
  </sheetPr>
  <dimension ref="A1:E26"/>
  <sheetViews>
    <sheetView zoomScaleNormal="100" workbookViewId="0">
      <selection activeCell="B26" sqref="B26"/>
    </sheetView>
  </sheetViews>
  <sheetFormatPr baseColWidth="10" defaultColWidth="9.140625" defaultRowHeight="11.25"/>
  <cols>
    <col min="1" max="1" width="25.42578125" style="109" customWidth="1"/>
    <col min="2" max="2" width="11.42578125" style="109" customWidth="1"/>
    <col min="3" max="4" width="11.5703125" style="109" customWidth="1"/>
    <col min="5" max="5" width="16.28515625" style="109" customWidth="1"/>
    <col min="6" max="256" width="9.140625" style="109"/>
    <col min="257" max="257" width="25.42578125" style="109" customWidth="1"/>
    <col min="258" max="258" width="11.42578125" style="109" customWidth="1"/>
    <col min="259" max="260" width="11.5703125" style="109" customWidth="1"/>
    <col min="261" max="261" width="16.28515625" style="109" customWidth="1"/>
    <col min="262" max="512" width="9.140625" style="109"/>
    <col min="513" max="513" width="25.42578125" style="109" customWidth="1"/>
    <col min="514" max="514" width="11.42578125" style="109" customWidth="1"/>
    <col min="515" max="516" width="11.5703125" style="109" customWidth="1"/>
    <col min="517" max="517" width="16.28515625" style="109" customWidth="1"/>
    <col min="518" max="768" width="9.140625" style="109"/>
    <col min="769" max="769" width="25.42578125" style="109" customWidth="1"/>
    <col min="770" max="770" width="11.42578125" style="109" customWidth="1"/>
    <col min="771" max="772" width="11.5703125" style="109" customWidth="1"/>
    <col min="773" max="773" width="16.28515625" style="109" customWidth="1"/>
    <col min="774" max="1024" width="9.140625" style="109"/>
    <col min="1025" max="1025" width="25.42578125" style="109" customWidth="1"/>
    <col min="1026" max="1026" width="11.42578125" style="109" customWidth="1"/>
    <col min="1027" max="1028" width="11.5703125" style="109" customWidth="1"/>
    <col min="1029" max="1029" width="16.28515625" style="109" customWidth="1"/>
    <col min="1030" max="1280" width="9.140625" style="109"/>
    <col min="1281" max="1281" width="25.42578125" style="109" customWidth="1"/>
    <col min="1282" max="1282" width="11.42578125" style="109" customWidth="1"/>
    <col min="1283" max="1284" width="11.5703125" style="109" customWidth="1"/>
    <col min="1285" max="1285" width="16.28515625" style="109" customWidth="1"/>
    <col min="1286" max="1536" width="9.140625" style="109"/>
    <col min="1537" max="1537" width="25.42578125" style="109" customWidth="1"/>
    <col min="1538" max="1538" width="11.42578125" style="109" customWidth="1"/>
    <col min="1539" max="1540" width="11.5703125" style="109" customWidth="1"/>
    <col min="1541" max="1541" width="16.28515625" style="109" customWidth="1"/>
    <col min="1542" max="1792" width="9.140625" style="109"/>
    <col min="1793" max="1793" width="25.42578125" style="109" customWidth="1"/>
    <col min="1794" max="1794" width="11.42578125" style="109" customWidth="1"/>
    <col min="1795" max="1796" width="11.5703125" style="109" customWidth="1"/>
    <col min="1797" max="1797" width="16.28515625" style="109" customWidth="1"/>
    <col min="1798" max="2048" width="9.140625" style="109"/>
    <col min="2049" max="2049" width="25.42578125" style="109" customWidth="1"/>
    <col min="2050" max="2050" width="11.42578125" style="109" customWidth="1"/>
    <col min="2051" max="2052" width="11.5703125" style="109" customWidth="1"/>
    <col min="2053" max="2053" width="16.28515625" style="109" customWidth="1"/>
    <col min="2054" max="2304" width="9.140625" style="109"/>
    <col min="2305" max="2305" width="25.42578125" style="109" customWidth="1"/>
    <col min="2306" max="2306" width="11.42578125" style="109" customWidth="1"/>
    <col min="2307" max="2308" width="11.5703125" style="109" customWidth="1"/>
    <col min="2309" max="2309" width="16.28515625" style="109" customWidth="1"/>
    <col min="2310" max="2560" width="9.140625" style="109"/>
    <col min="2561" max="2561" width="25.42578125" style="109" customWidth="1"/>
    <col min="2562" max="2562" width="11.42578125" style="109" customWidth="1"/>
    <col min="2563" max="2564" width="11.5703125" style="109" customWidth="1"/>
    <col min="2565" max="2565" width="16.28515625" style="109" customWidth="1"/>
    <col min="2566" max="2816" width="9.140625" style="109"/>
    <col min="2817" max="2817" width="25.42578125" style="109" customWidth="1"/>
    <col min="2818" max="2818" width="11.42578125" style="109" customWidth="1"/>
    <col min="2819" max="2820" width="11.5703125" style="109" customWidth="1"/>
    <col min="2821" max="2821" width="16.28515625" style="109" customWidth="1"/>
    <col min="2822" max="3072" width="9.140625" style="109"/>
    <col min="3073" max="3073" width="25.42578125" style="109" customWidth="1"/>
    <col min="3074" max="3074" width="11.42578125" style="109" customWidth="1"/>
    <col min="3075" max="3076" width="11.5703125" style="109" customWidth="1"/>
    <col min="3077" max="3077" width="16.28515625" style="109" customWidth="1"/>
    <col min="3078" max="3328" width="9.140625" style="109"/>
    <col min="3329" max="3329" width="25.42578125" style="109" customWidth="1"/>
    <col min="3330" max="3330" width="11.42578125" style="109" customWidth="1"/>
    <col min="3331" max="3332" width="11.5703125" style="109" customWidth="1"/>
    <col min="3333" max="3333" width="16.28515625" style="109" customWidth="1"/>
    <col min="3334" max="3584" width="9.140625" style="109"/>
    <col min="3585" max="3585" width="25.42578125" style="109" customWidth="1"/>
    <col min="3586" max="3586" width="11.42578125" style="109" customWidth="1"/>
    <col min="3587" max="3588" width="11.5703125" style="109" customWidth="1"/>
    <col min="3589" max="3589" width="16.28515625" style="109" customWidth="1"/>
    <col min="3590" max="3840" width="9.140625" style="109"/>
    <col min="3841" max="3841" width="25.42578125" style="109" customWidth="1"/>
    <col min="3842" max="3842" width="11.42578125" style="109" customWidth="1"/>
    <col min="3843" max="3844" width="11.5703125" style="109" customWidth="1"/>
    <col min="3845" max="3845" width="16.28515625" style="109" customWidth="1"/>
    <col min="3846" max="4096" width="9.140625" style="109"/>
    <col min="4097" max="4097" width="25.42578125" style="109" customWidth="1"/>
    <col min="4098" max="4098" width="11.42578125" style="109" customWidth="1"/>
    <col min="4099" max="4100" width="11.5703125" style="109" customWidth="1"/>
    <col min="4101" max="4101" width="16.28515625" style="109" customWidth="1"/>
    <col min="4102" max="4352" width="9.140625" style="109"/>
    <col min="4353" max="4353" width="25.42578125" style="109" customWidth="1"/>
    <col min="4354" max="4354" width="11.42578125" style="109" customWidth="1"/>
    <col min="4355" max="4356" width="11.5703125" style="109" customWidth="1"/>
    <col min="4357" max="4357" width="16.28515625" style="109" customWidth="1"/>
    <col min="4358" max="4608" width="9.140625" style="109"/>
    <col min="4609" max="4609" width="25.42578125" style="109" customWidth="1"/>
    <col min="4610" max="4610" width="11.42578125" style="109" customWidth="1"/>
    <col min="4611" max="4612" width="11.5703125" style="109" customWidth="1"/>
    <col min="4613" max="4613" width="16.28515625" style="109" customWidth="1"/>
    <col min="4614" max="4864" width="9.140625" style="109"/>
    <col min="4865" max="4865" width="25.42578125" style="109" customWidth="1"/>
    <col min="4866" max="4866" width="11.42578125" style="109" customWidth="1"/>
    <col min="4867" max="4868" width="11.5703125" style="109" customWidth="1"/>
    <col min="4869" max="4869" width="16.28515625" style="109" customWidth="1"/>
    <col min="4870" max="5120" width="9.140625" style="109"/>
    <col min="5121" max="5121" width="25.42578125" style="109" customWidth="1"/>
    <col min="5122" max="5122" width="11.42578125" style="109" customWidth="1"/>
    <col min="5123" max="5124" width="11.5703125" style="109" customWidth="1"/>
    <col min="5125" max="5125" width="16.28515625" style="109" customWidth="1"/>
    <col min="5126" max="5376" width="9.140625" style="109"/>
    <col min="5377" max="5377" width="25.42578125" style="109" customWidth="1"/>
    <col min="5378" max="5378" width="11.42578125" style="109" customWidth="1"/>
    <col min="5379" max="5380" width="11.5703125" style="109" customWidth="1"/>
    <col min="5381" max="5381" width="16.28515625" style="109" customWidth="1"/>
    <col min="5382" max="5632" width="9.140625" style="109"/>
    <col min="5633" max="5633" width="25.42578125" style="109" customWidth="1"/>
    <col min="5634" max="5634" width="11.42578125" style="109" customWidth="1"/>
    <col min="5635" max="5636" width="11.5703125" style="109" customWidth="1"/>
    <col min="5637" max="5637" width="16.28515625" style="109" customWidth="1"/>
    <col min="5638" max="5888" width="9.140625" style="109"/>
    <col min="5889" max="5889" width="25.42578125" style="109" customWidth="1"/>
    <col min="5890" max="5890" width="11.42578125" style="109" customWidth="1"/>
    <col min="5891" max="5892" width="11.5703125" style="109" customWidth="1"/>
    <col min="5893" max="5893" width="16.28515625" style="109" customWidth="1"/>
    <col min="5894" max="6144" width="9.140625" style="109"/>
    <col min="6145" max="6145" width="25.42578125" style="109" customWidth="1"/>
    <col min="6146" max="6146" width="11.42578125" style="109" customWidth="1"/>
    <col min="6147" max="6148" width="11.5703125" style="109" customWidth="1"/>
    <col min="6149" max="6149" width="16.28515625" style="109" customWidth="1"/>
    <col min="6150" max="6400" width="9.140625" style="109"/>
    <col min="6401" max="6401" width="25.42578125" style="109" customWidth="1"/>
    <col min="6402" max="6402" width="11.42578125" style="109" customWidth="1"/>
    <col min="6403" max="6404" width="11.5703125" style="109" customWidth="1"/>
    <col min="6405" max="6405" width="16.28515625" style="109" customWidth="1"/>
    <col min="6406" max="6656" width="9.140625" style="109"/>
    <col min="6657" max="6657" width="25.42578125" style="109" customWidth="1"/>
    <col min="6658" max="6658" width="11.42578125" style="109" customWidth="1"/>
    <col min="6659" max="6660" width="11.5703125" style="109" customWidth="1"/>
    <col min="6661" max="6661" width="16.28515625" style="109" customWidth="1"/>
    <col min="6662" max="6912" width="9.140625" style="109"/>
    <col min="6913" max="6913" width="25.42578125" style="109" customWidth="1"/>
    <col min="6914" max="6914" width="11.42578125" style="109" customWidth="1"/>
    <col min="6915" max="6916" width="11.5703125" style="109" customWidth="1"/>
    <col min="6917" max="6917" width="16.28515625" style="109" customWidth="1"/>
    <col min="6918" max="7168" width="9.140625" style="109"/>
    <col min="7169" max="7169" width="25.42578125" style="109" customWidth="1"/>
    <col min="7170" max="7170" width="11.42578125" style="109" customWidth="1"/>
    <col min="7171" max="7172" width="11.5703125" style="109" customWidth="1"/>
    <col min="7173" max="7173" width="16.28515625" style="109" customWidth="1"/>
    <col min="7174" max="7424" width="9.140625" style="109"/>
    <col min="7425" max="7425" width="25.42578125" style="109" customWidth="1"/>
    <col min="7426" max="7426" width="11.42578125" style="109" customWidth="1"/>
    <col min="7427" max="7428" width="11.5703125" style="109" customWidth="1"/>
    <col min="7429" max="7429" width="16.28515625" style="109" customWidth="1"/>
    <col min="7430" max="7680" width="9.140625" style="109"/>
    <col min="7681" max="7681" width="25.42578125" style="109" customWidth="1"/>
    <col min="7682" max="7682" width="11.42578125" style="109" customWidth="1"/>
    <col min="7683" max="7684" width="11.5703125" style="109" customWidth="1"/>
    <col min="7685" max="7685" width="16.28515625" style="109" customWidth="1"/>
    <col min="7686" max="7936" width="9.140625" style="109"/>
    <col min="7937" max="7937" width="25.42578125" style="109" customWidth="1"/>
    <col min="7938" max="7938" width="11.42578125" style="109" customWidth="1"/>
    <col min="7939" max="7940" width="11.5703125" style="109" customWidth="1"/>
    <col min="7941" max="7941" width="16.28515625" style="109" customWidth="1"/>
    <col min="7942" max="8192" width="9.140625" style="109"/>
    <col min="8193" max="8193" width="25.42578125" style="109" customWidth="1"/>
    <col min="8194" max="8194" width="11.42578125" style="109" customWidth="1"/>
    <col min="8195" max="8196" width="11.5703125" style="109" customWidth="1"/>
    <col min="8197" max="8197" width="16.28515625" style="109" customWidth="1"/>
    <col min="8198" max="8448" width="9.140625" style="109"/>
    <col min="8449" max="8449" width="25.42578125" style="109" customWidth="1"/>
    <col min="8450" max="8450" width="11.42578125" style="109" customWidth="1"/>
    <col min="8451" max="8452" width="11.5703125" style="109" customWidth="1"/>
    <col min="8453" max="8453" width="16.28515625" style="109" customWidth="1"/>
    <col min="8454" max="8704" width="9.140625" style="109"/>
    <col min="8705" max="8705" width="25.42578125" style="109" customWidth="1"/>
    <col min="8706" max="8706" width="11.42578125" style="109" customWidth="1"/>
    <col min="8707" max="8708" width="11.5703125" style="109" customWidth="1"/>
    <col min="8709" max="8709" width="16.28515625" style="109" customWidth="1"/>
    <col min="8710" max="8960" width="9.140625" style="109"/>
    <col min="8961" max="8961" width="25.42578125" style="109" customWidth="1"/>
    <col min="8962" max="8962" width="11.42578125" style="109" customWidth="1"/>
    <col min="8963" max="8964" width="11.5703125" style="109" customWidth="1"/>
    <col min="8965" max="8965" width="16.28515625" style="109" customWidth="1"/>
    <col min="8966" max="9216" width="9.140625" style="109"/>
    <col min="9217" max="9217" width="25.42578125" style="109" customWidth="1"/>
    <col min="9218" max="9218" width="11.42578125" style="109" customWidth="1"/>
    <col min="9219" max="9220" width="11.5703125" style="109" customWidth="1"/>
    <col min="9221" max="9221" width="16.28515625" style="109" customWidth="1"/>
    <col min="9222" max="9472" width="9.140625" style="109"/>
    <col min="9473" max="9473" width="25.42578125" style="109" customWidth="1"/>
    <col min="9474" max="9474" width="11.42578125" style="109" customWidth="1"/>
    <col min="9475" max="9476" width="11.5703125" style="109" customWidth="1"/>
    <col min="9477" max="9477" width="16.28515625" style="109" customWidth="1"/>
    <col min="9478" max="9728" width="9.140625" style="109"/>
    <col min="9729" max="9729" width="25.42578125" style="109" customWidth="1"/>
    <col min="9730" max="9730" width="11.42578125" style="109" customWidth="1"/>
    <col min="9731" max="9732" width="11.5703125" style="109" customWidth="1"/>
    <col min="9733" max="9733" width="16.28515625" style="109" customWidth="1"/>
    <col min="9734" max="9984" width="9.140625" style="109"/>
    <col min="9985" max="9985" width="25.42578125" style="109" customWidth="1"/>
    <col min="9986" max="9986" width="11.42578125" style="109" customWidth="1"/>
    <col min="9987" max="9988" width="11.5703125" style="109" customWidth="1"/>
    <col min="9989" max="9989" width="16.28515625" style="109" customWidth="1"/>
    <col min="9990" max="10240" width="9.140625" style="109"/>
    <col min="10241" max="10241" width="25.42578125" style="109" customWidth="1"/>
    <col min="10242" max="10242" width="11.42578125" style="109" customWidth="1"/>
    <col min="10243" max="10244" width="11.5703125" style="109" customWidth="1"/>
    <col min="10245" max="10245" width="16.28515625" style="109" customWidth="1"/>
    <col min="10246" max="10496" width="9.140625" style="109"/>
    <col min="10497" max="10497" width="25.42578125" style="109" customWidth="1"/>
    <col min="10498" max="10498" width="11.42578125" style="109" customWidth="1"/>
    <col min="10499" max="10500" width="11.5703125" style="109" customWidth="1"/>
    <col min="10501" max="10501" width="16.28515625" style="109" customWidth="1"/>
    <col min="10502" max="10752" width="9.140625" style="109"/>
    <col min="10753" max="10753" width="25.42578125" style="109" customWidth="1"/>
    <col min="10754" max="10754" width="11.42578125" style="109" customWidth="1"/>
    <col min="10755" max="10756" width="11.5703125" style="109" customWidth="1"/>
    <col min="10757" max="10757" width="16.28515625" style="109" customWidth="1"/>
    <col min="10758" max="11008" width="9.140625" style="109"/>
    <col min="11009" max="11009" width="25.42578125" style="109" customWidth="1"/>
    <col min="11010" max="11010" width="11.42578125" style="109" customWidth="1"/>
    <col min="11011" max="11012" width="11.5703125" style="109" customWidth="1"/>
    <col min="11013" max="11013" width="16.28515625" style="109" customWidth="1"/>
    <col min="11014" max="11264" width="9.140625" style="109"/>
    <col min="11265" max="11265" width="25.42578125" style="109" customWidth="1"/>
    <col min="11266" max="11266" width="11.42578125" style="109" customWidth="1"/>
    <col min="11267" max="11268" width="11.5703125" style="109" customWidth="1"/>
    <col min="11269" max="11269" width="16.28515625" style="109" customWidth="1"/>
    <col min="11270" max="11520" width="9.140625" style="109"/>
    <col min="11521" max="11521" width="25.42578125" style="109" customWidth="1"/>
    <col min="11522" max="11522" width="11.42578125" style="109" customWidth="1"/>
    <col min="11523" max="11524" width="11.5703125" style="109" customWidth="1"/>
    <col min="11525" max="11525" width="16.28515625" style="109" customWidth="1"/>
    <col min="11526" max="11776" width="9.140625" style="109"/>
    <col min="11777" max="11777" width="25.42578125" style="109" customWidth="1"/>
    <col min="11778" max="11778" width="11.42578125" style="109" customWidth="1"/>
    <col min="11779" max="11780" width="11.5703125" style="109" customWidth="1"/>
    <col min="11781" max="11781" width="16.28515625" style="109" customWidth="1"/>
    <col min="11782" max="12032" width="9.140625" style="109"/>
    <col min="12033" max="12033" width="25.42578125" style="109" customWidth="1"/>
    <col min="12034" max="12034" width="11.42578125" style="109" customWidth="1"/>
    <col min="12035" max="12036" width="11.5703125" style="109" customWidth="1"/>
    <col min="12037" max="12037" width="16.28515625" style="109" customWidth="1"/>
    <col min="12038" max="12288" width="9.140625" style="109"/>
    <col min="12289" max="12289" width="25.42578125" style="109" customWidth="1"/>
    <col min="12290" max="12290" width="11.42578125" style="109" customWidth="1"/>
    <col min="12291" max="12292" width="11.5703125" style="109" customWidth="1"/>
    <col min="12293" max="12293" width="16.28515625" style="109" customWidth="1"/>
    <col min="12294" max="12544" width="9.140625" style="109"/>
    <col min="12545" max="12545" width="25.42578125" style="109" customWidth="1"/>
    <col min="12546" max="12546" width="11.42578125" style="109" customWidth="1"/>
    <col min="12547" max="12548" width="11.5703125" style="109" customWidth="1"/>
    <col min="12549" max="12549" width="16.28515625" style="109" customWidth="1"/>
    <col min="12550" max="12800" width="9.140625" style="109"/>
    <col min="12801" max="12801" width="25.42578125" style="109" customWidth="1"/>
    <col min="12802" max="12802" width="11.42578125" style="109" customWidth="1"/>
    <col min="12803" max="12804" width="11.5703125" style="109" customWidth="1"/>
    <col min="12805" max="12805" width="16.28515625" style="109" customWidth="1"/>
    <col min="12806" max="13056" width="9.140625" style="109"/>
    <col min="13057" max="13057" width="25.42578125" style="109" customWidth="1"/>
    <col min="13058" max="13058" width="11.42578125" style="109" customWidth="1"/>
    <col min="13059" max="13060" width="11.5703125" style="109" customWidth="1"/>
    <col min="13061" max="13061" width="16.28515625" style="109" customWidth="1"/>
    <col min="13062" max="13312" width="9.140625" style="109"/>
    <col min="13313" max="13313" width="25.42578125" style="109" customWidth="1"/>
    <col min="13314" max="13314" width="11.42578125" style="109" customWidth="1"/>
    <col min="13315" max="13316" width="11.5703125" style="109" customWidth="1"/>
    <col min="13317" max="13317" width="16.28515625" style="109" customWidth="1"/>
    <col min="13318" max="13568" width="9.140625" style="109"/>
    <col min="13569" max="13569" width="25.42578125" style="109" customWidth="1"/>
    <col min="13570" max="13570" width="11.42578125" style="109" customWidth="1"/>
    <col min="13571" max="13572" width="11.5703125" style="109" customWidth="1"/>
    <col min="13573" max="13573" width="16.28515625" style="109" customWidth="1"/>
    <col min="13574" max="13824" width="9.140625" style="109"/>
    <col min="13825" max="13825" width="25.42578125" style="109" customWidth="1"/>
    <col min="13826" max="13826" width="11.42578125" style="109" customWidth="1"/>
    <col min="13827" max="13828" width="11.5703125" style="109" customWidth="1"/>
    <col min="13829" max="13829" width="16.28515625" style="109" customWidth="1"/>
    <col min="13830" max="14080" width="9.140625" style="109"/>
    <col min="14081" max="14081" width="25.42578125" style="109" customWidth="1"/>
    <col min="14082" max="14082" width="11.42578125" style="109" customWidth="1"/>
    <col min="14083" max="14084" width="11.5703125" style="109" customWidth="1"/>
    <col min="14085" max="14085" width="16.28515625" style="109" customWidth="1"/>
    <col min="14086" max="14336" width="9.140625" style="109"/>
    <col min="14337" max="14337" width="25.42578125" style="109" customWidth="1"/>
    <col min="14338" max="14338" width="11.42578125" style="109" customWidth="1"/>
    <col min="14339" max="14340" width="11.5703125" style="109" customWidth="1"/>
    <col min="14341" max="14341" width="16.28515625" style="109" customWidth="1"/>
    <col min="14342" max="14592" width="9.140625" style="109"/>
    <col min="14593" max="14593" width="25.42578125" style="109" customWidth="1"/>
    <col min="14594" max="14594" width="11.42578125" style="109" customWidth="1"/>
    <col min="14595" max="14596" width="11.5703125" style="109" customWidth="1"/>
    <col min="14597" max="14597" width="16.28515625" style="109" customWidth="1"/>
    <col min="14598" max="14848" width="9.140625" style="109"/>
    <col min="14849" max="14849" width="25.42578125" style="109" customWidth="1"/>
    <col min="14850" max="14850" width="11.42578125" style="109" customWidth="1"/>
    <col min="14851" max="14852" width="11.5703125" style="109" customWidth="1"/>
    <col min="14853" max="14853" width="16.28515625" style="109" customWidth="1"/>
    <col min="14854" max="15104" width="9.140625" style="109"/>
    <col min="15105" max="15105" width="25.42578125" style="109" customWidth="1"/>
    <col min="15106" max="15106" width="11.42578125" style="109" customWidth="1"/>
    <col min="15107" max="15108" width="11.5703125" style="109" customWidth="1"/>
    <col min="15109" max="15109" width="16.28515625" style="109" customWidth="1"/>
    <col min="15110" max="15360" width="9.140625" style="109"/>
    <col min="15361" max="15361" width="25.42578125" style="109" customWidth="1"/>
    <col min="15362" max="15362" width="11.42578125" style="109" customWidth="1"/>
    <col min="15363" max="15364" width="11.5703125" style="109" customWidth="1"/>
    <col min="15365" max="15365" width="16.28515625" style="109" customWidth="1"/>
    <col min="15366" max="15616" width="9.140625" style="109"/>
    <col min="15617" max="15617" width="25.42578125" style="109" customWidth="1"/>
    <col min="15618" max="15618" width="11.42578125" style="109" customWidth="1"/>
    <col min="15619" max="15620" width="11.5703125" style="109" customWidth="1"/>
    <col min="15621" max="15621" width="16.28515625" style="109" customWidth="1"/>
    <col min="15622" max="15872" width="9.140625" style="109"/>
    <col min="15873" max="15873" width="25.42578125" style="109" customWidth="1"/>
    <col min="15874" max="15874" width="11.42578125" style="109" customWidth="1"/>
    <col min="15875" max="15876" width="11.5703125" style="109" customWidth="1"/>
    <col min="15877" max="15877" width="16.28515625" style="109" customWidth="1"/>
    <col min="15878" max="16128" width="9.140625" style="109"/>
    <col min="16129" max="16129" width="25.42578125" style="109" customWidth="1"/>
    <col min="16130" max="16130" width="11.42578125" style="109" customWidth="1"/>
    <col min="16131" max="16132" width="11.5703125" style="109" customWidth="1"/>
    <col min="16133" max="16133" width="16.28515625" style="109" customWidth="1"/>
    <col min="16134" max="16384" width="9.140625" style="109"/>
  </cols>
  <sheetData>
    <row r="1" spans="1:5">
      <c r="A1" s="1089"/>
      <c r="B1" s="1089"/>
      <c r="C1" s="1089"/>
      <c r="D1" s="1089"/>
      <c r="E1" s="1089"/>
    </row>
    <row r="2" spans="1:5" ht="39.75" customHeight="1">
      <c r="A2" s="2403" t="s">
        <v>3272</v>
      </c>
      <c r="B2" s="2403"/>
      <c r="C2" s="2403"/>
      <c r="D2" s="2403"/>
      <c r="E2" s="2403"/>
    </row>
    <row r="3" spans="1:5">
      <c r="A3" s="1089"/>
      <c r="B3" s="1090"/>
      <c r="C3" s="1090"/>
      <c r="D3" s="1090"/>
      <c r="E3" s="1089"/>
    </row>
    <row r="4" spans="1:5">
      <c r="A4" s="2398" t="s">
        <v>1837</v>
      </c>
      <c r="B4" s="2384" t="s">
        <v>1838</v>
      </c>
      <c r="C4" s="2384"/>
      <c r="D4" s="2384"/>
      <c r="E4" s="2384"/>
    </row>
    <row r="5" spans="1:5">
      <c r="A5" s="2399"/>
      <c r="B5" s="2398" t="s">
        <v>3612</v>
      </c>
      <c r="C5" s="2390" t="s">
        <v>1825</v>
      </c>
      <c r="D5" s="2390"/>
      <c r="E5" s="2390"/>
    </row>
    <row r="6" spans="1:5" ht="24">
      <c r="A6" s="2386"/>
      <c r="B6" s="2386"/>
      <c r="C6" s="1091" t="s">
        <v>1768</v>
      </c>
      <c r="D6" s="1091" t="s">
        <v>1769</v>
      </c>
      <c r="E6" s="1091" t="s">
        <v>3613</v>
      </c>
    </row>
    <row r="7" spans="1:5" ht="12.75" customHeight="1">
      <c r="A7" s="43" t="s">
        <v>6</v>
      </c>
      <c r="B7" s="1124">
        <f>SUM(B8:B14)</f>
        <v>702</v>
      </c>
      <c r="C7" s="1124">
        <f>SUM(C8:C14)</f>
        <v>64</v>
      </c>
      <c r="D7" s="1124">
        <f>SUM(D8:D14)</f>
        <v>482</v>
      </c>
      <c r="E7" s="1124">
        <f>SUM(E8:E14)</f>
        <v>156</v>
      </c>
    </row>
    <row r="8" spans="1:5" ht="12.75" customHeight="1">
      <c r="A8" s="1100" t="s">
        <v>1839</v>
      </c>
      <c r="B8" s="1125">
        <v>28</v>
      </c>
      <c r="C8" s="1125">
        <v>3</v>
      </c>
      <c r="D8" s="1126">
        <v>11</v>
      </c>
      <c r="E8" s="1126">
        <v>14</v>
      </c>
    </row>
    <row r="9" spans="1:5" ht="12.75" customHeight="1">
      <c r="A9" s="1100" t="s">
        <v>1840</v>
      </c>
      <c r="B9" s="1125">
        <v>20</v>
      </c>
      <c r="C9" s="1125">
        <v>2</v>
      </c>
      <c r="D9" s="1126">
        <v>10</v>
      </c>
      <c r="E9" s="1126">
        <v>8</v>
      </c>
    </row>
    <row r="10" spans="1:5" ht="12.75" customHeight="1">
      <c r="A10" s="1100" t="s">
        <v>1841</v>
      </c>
      <c r="B10" s="1125">
        <v>38</v>
      </c>
      <c r="C10" s="1125">
        <v>2</v>
      </c>
      <c r="D10" s="1126">
        <v>26</v>
      </c>
      <c r="E10" s="1126">
        <v>10</v>
      </c>
    </row>
    <row r="11" spans="1:5" ht="12.75" customHeight="1">
      <c r="A11" s="1100" t="s">
        <v>1842</v>
      </c>
      <c r="B11" s="1125">
        <v>175</v>
      </c>
      <c r="C11" s="1125">
        <v>11</v>
      </c>
      <c r="D11" s="1126">
        <v>135</v>
      </c>
      <c r="E11" s="1126">
        <v>29</v>
      </c>
    </row>
    <row r="12" spans="1:5" ht="12.75" customHeight="1">
      <c r="A12" s="1100" t="s">
        <v>1843</v>
      </c>
      <c r="B12" s="1125">
        <v>282</v>
      </c>
      <c r="C12" s="1125">
        <v>23</v>
      </c>
      <c r="D12" s="1126">
        <v>202</v>
      </c>
      <c r="E12" s="1126">
        <v>57</v>
      </c>
    </row>
    <row r="13" spans="1:5" ht="12.75" customHeight="1">
      <c r="A13" s="1100" t="s">
        <v>1844</v>
      </c>
      <c r="B13" s="1125">
        <v>111</v>
      </c>
      <c r="C13" s="1125">
        <v>13</v>
      </c>
      <c r="D13" s="1126">
        <v>73</v>
      </c>
      <c r="E13" s="1126">
        <v>25</v>
      </c>
    </row>
    <row r="14" spans="1:5" ht="12.75" customHeight="1">
      <c r="A14" s="1100" t="s">
        <v>1845</v>
      </c>
      <c r="B14" s="1125">
        <v>48</v>
      </c>
      <c r="C14" s="1125">
        <v>10</v>
      </c>
      <c r="D14" s="1126">
        <v>25</v>
      </c>
      <c r="E14" s="1126">
        <v>13</v>
      </c>
    </row>
    <row r="15" spans="1:5" ht="6" customHeight="1">
      <c r="A15" s="1100"/>
      <c r="B15" s="1125"/>
      <c r="C15" s="1125"/>
      <c r="D15" s="1126"/>
      <c r="E15" s="1126"/>
    </row>
    <row r="16" spans="1:5" ht="44.25" customHeight="1">
      <c r="A16" s="2388" t="s">
        <v>3614</v>
      </c>
      <c r="B16" s="2388"/>
      <c r="C16" s="2388"/>
      <c r="D16" s="2388"/>
      <c r="E16" s="2388"/>
    </row>
    <row r="17" spans="1:5" ht="22.5" customHeight="1">
      <c r="A17" s="2388" t="s">
        <v>3615</v>
      </c>
      <c r="B17" s="2388"/>
      <c r="C17" s="2388"/>
      <c r="D17" s="2388"/>
      <c r="E17" s="2388"/>
    </row>
    <row r="18" spans="1:5">
      <c r="A18" s="2388" t="s">
        <v>1783</v>
      </c>
      <c r="B18" s="2388"/>
      <c r="C18" s="2388"/>
      <c r="D18" s="2388"/>
      <c r="E18" s="2388"/>
    </row>
    <row r="19" spans="1:5">
      <c r="A19" s="1089"/>
      <c r="B19" s="1090"/>
      <c r="C19" s="1090"/>
      <c r="D19" s="1090"/>
      <c r="E19" s="1089"/>
    </row>
    <row r="20" spans="1:5">
      <c r="A20" s="1089"/>
      <c r="B20" s="1089"/>
      <c r="C20" s="1089"/>
      <c r="D20" s="1089"/>
      <c r="E20" s="1089"/>
    </row>
    <row r="23" spans="1:5">
      <c r="A23" s="1089"/>
      <c r="B23" s="1089"/>
      <c r="C23" s="1089"/>
      <c r="D23" s="1089"/>
      <c r="E23" s="1089"/>
    </row>
    <row r="24" spans="1:5">
      <c r="A24" s="1089"/>
      <c r="B24" s="1089"/>
      <c r="C24" s="1089"/>
      <c r="D24" s="1089"/>
      <c r="E24" s="1089"/>
    </row>
    <row r="25" spans="1:5">
      <c r="A25" s="1089"/>
      <c r="B25" s="1089"/>
      <c r="C25" s="1089"/>
      <c r="D25" s="1089"/>
      <c r="E25" s="1089"/>
    </row>
    <row r="26" spans="1:5">
      <c r="A26" s="1089"/>
      <c r="B26" s="1089"/>
      <c r="C26" s="1089"/>
      <c r="D26" s="1089"/>
      <c r="E26" s="1089"/>
    </row>
  </sheetData>
  <mergeCells count="8">
    <mergeCell ref="A17:E17"/>
    <mergeCell ref="A18:E18"/>
    <mergeCell ref="A2:E2"/>
    <mergeCell ref="A4:A6"/>
    <mergeCell ref="B4:E4"/>
    <mergeCell ref="B5:B6"/>
    <mergeCell ref="C5:E5"/>
    <mergeCell ref="A16:E16"/>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91.xml><?xml version="1.0" encoding="utf-8"?>
<worksheet xmlns="http://schemas.openxmlformats.org/spreadsheetml/2006/main" xmlns:r="http://schemas.openxmlformats.org/officeDocument/2006/relationships">
  <sheetPr>
    <outlinePr summaryBelow="0" summaryRight="0"/>
  </sheetPr>
  <dimension ref="A2:C21"/>
  <sheetViews>
    <sheetView zoomScaleNormal="100" workbookViewId="0">
      <selection activeCell="A27" sqref="A27"/>
    </sheetView>
  </sheetViews>
  <sheetFormatPr baseColWidth="10" defaultColWidth="9.140625" defaultRowHeight="12"/>
  <cols>
    <col min="1" max="1" width="25" style="110" customWidth="1"/>
    <col min="2" max="2" width="23" style="110" customWidth="1"/>
    <col min="3" max="3" width="15.42578125" style="110" customWidth="1"/>
    <col min="4" max="16384" width="9.140625" style="110"/>
  </cols>
  <sheetData>
    <row r="2" spans="1:3" ht="39" customHeight="1">
      <c r="A2" s="2296" t="s">
        <v>1846</v>
      </c>
      <c r="B2" s="2296"/>
      <c r="C2" s="2296"/>
    </row>
    <row r="3" spans="1:3" ht="7.5" customHeight="1">
      <c r="A3" s="1115"/>
      <c r="B3" s="1116"/>
      <c r="C3" s="1116"/>
    </row>
    <row r="4" spans="1:3" ht="16.5" customHeight="1">
      <c r="A4" s="2237" t="s">
        <v>1847</v>
      </c>
      <c r="B4" s="2359" t="s">
        <v>1848</v>
      </c>
      <c r="C4" s="2359"/>
    </row>
    <row r="5" spans="1:3" ht="16.5" customHeight="1">
      <c r="A5" s="2238"/>
      <c r="B5" s="389" t="s">
        <v>1173</v>
      </c>
      <c r="C5" s="389" t="s">
        <v>1149</v>
      </c>
    </row>
    <row r="6" spans="1:3" ht="12.75">
      <c r="A6" s="1117" t="s">
        <v>3607</v>
      </c>
      <c r="B6" s="1118">
        <f>SUM(B7:B17)</f>
        <v>5356955</v>
      </c>
      <c r="C6" s="1119">
        <f>SUM(C7:C17)</f>
        <v>100</v>
      </c>
    </row>
    <row r="7" spans="1:3">
      <c r="A7" s="1120" t="s">
        <v>1826</v>
      </c>
      <c r="B7" s="1121">
        <v>485922</v>
      </c>
      <c r="C7" s="1122">
        <v>9.0708620848971098</v>
      </c>
    </row>
    <row r="8" spans="1:3">
      <c r="A8" s="1120" t="s">
        <v>1827</v>
      </c>
      <c r="B8" s="1121">
        <v>184254</v>
      </c>
      <c r="C8" s="1122">
        <v>3.4395286128033558</v>
      </c>
    </row>
    <row r="9" spans="1:3">
      <c r="A9" s="1120" t="s">
        <v>1828</v>
      </c>
      <c r="B9" s="1121">
        <v>68564</v>
      </c>
      <c r="C9" s="1122">
        <v>1.2799062153779526</v>
      </c>
    </row>
    <row r="10" spans="1:3">
      <c r="A10" s="1120" t="s">
        <v>1829</v>
      </c>
      <c r="B10" s="1121">
        <v>231949</v>
      </c>
      <c r="C10" s="1122">
        <v>4.3298665006519563</v>
      </c>
    </row>
    <row r="11" spans="1:3">
      <c r="A11" s="1120" t="s">
        <v>1830</v>
      </c>
      <c r="B11" s="1121">
        <v>2881781</v>
      </c>
      <c r="C11" s="1122">
        <v>53.795131749286675</v>
      </c>
    </row>
    <row r="12" spans="1:3">
      <c r="A12" s="1120" t="s">
        <v>1831</v>
      </c>
      <c r="B12" s="1121">
        <v>170894</v>
      </c>
      <c r="C12" s="1122">
        <v>3.1901332006708998</v>
      </c>
    </row>
    <row r="13" spans="1:3">
      <c r="A13" s="1120" t="s">
        <v>1832</v>
      </c>
      <c r="B13" s="1121">
        <v>318766</v>
      </c>
      <c r="C13" s="1122">
        <v>5.9505073311237444</v>
      </c>
    </row>
    <row r="14" spans="1:3">
      <c r="A14" s="1120" t="s">
        <v>1833</v>
      </c>
      <c r="B14" s="1121">
        <v>438148</v>
      </c>
      <c r="C14" s="1122">
        <v>8.1790494786683858</v>
      </c>
    </row>
    <row r="15" spans="1:3">
      <c r="A15" s="1120" t="s">
        <v>1834</v>
      </c>
      <c r="B15" s="1121">
        <v>171453</v>
      </c>
      <c r="C15" s="1122">
        <v>3.2005682332593794</v>
      </c>
    </row>
    <row r="16" spans="1:3">
      <c r="A16" s="1120" t="s">
        <v>1835</v>
      </c>
      <c r="B16" s="1121">
        <v>293636</v>
      </c>
      <c r="C16" s="1122">
        <v>5.4813975476740051</v>
      </c>
    </row>
    <row r="17" spans="1:3">
      <c r="A17" s="1120" t="s">
        <v>1836</v>
      </c>
      <c r="B17" s="1121">
        <v>111588</v>
      </c>
      <c r="C17" s="1122">
        <v>2.08304904558653</v>
      </c>
    </row>
    <row r="18" spans="1:3" ht="5.25" customHeight="1">
      <c r="A18" s="1123"/>
      <c r="B18" s="1123"/>
      <c r="C18" s="1123"/>
    </row>
    <row r="19" spans="1:3" ht="28.5" customHeight="1">
      <c r="A19" s="2295" t="s">
        <v>3611</v>
      </c>
      <c r="B19" s="2295"/>
      <c r="C19" s="2295"/>
    </row>
    <row r="20" spans="1:3" ht="63" customHeight="1">
      <c r="A20" s="2295" t="s">
        <v>3606</v>
      </c>
      <c r="B20" s="2295"/>
      <c r="C20" s="2295"/>
    </row>
    <row r="21" spans="1:3" ht="30.75" customHeight="1">
      <c r="A21" s="2295" t="s">
        <v>1783</v>
      </c>
      <c r="B21" s="2295"/>
      <c r="C21" s="2295"/>
    </row>
  </sheetData>
  <mergeCells count="6">
    <mergeCell ref="A21:C21"/>
    <mergeCell ref="A2:C2"/>
    <mergeCell ref="A4:A5"/>
    <mergeCell ref="B4:C4"/>
    <mergeCell ref="A19:C19"/>
    <mergeCell ref="A20:C20"/>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92.xml><?xml version="1.0" encoding="utf-8"?>
<worksheet xmlns="http://schemas.openxmlformats.org/spreadsheetml/2006/main" xmlns:r="http://schemas.openxmlformats.org/officeDocument/2006/relationships">
  <sheetPr>
    <outlinePr summaryBelow="0" summaryRight="0"/>
  </sheetPr>
  <dimension ref="A1:G34"/>
  <sheetViews>
    <sheetView zoomScaleNormal="100" workbookViewId="0">
      <selection activeCell="B33" sqref="B33"/>
    </sheetView>
  </sheetViews>
  <sheetFormatPr baseColWidth="10" defaultColWidth="9.140625" defaultRowHeight="12"/>
  <cols>
    <col min="1" max="1" width="33.85546875" style="110" customWidth="1"/>
    <col min="2" max="2" width="13.42578125" style="110" customWidth="1"/>
    <col min="3" max="4" width="16.140625" style="110" customWidth="1"/>
    <col min="5" max="16384" width="9.140625" style="110"/>
  </cols>
  <sheetData>
    <row r="1" spans="1:4" ht="15" customHeight="1">
      <c r="A1" s="1105"/>
      <c r="B1" s="1105"/>
      <c r="C1" s="1105"/>
      <c r="D1" s="1105"/>
    </row>
    <row r="2" spans="1:4" ht="26.25" customHeight="1">
      <c r="A2" s="2389" t="s">
        <v>1849</v>
      </c>
      <c r="B2" s="2389"/>
      <c r="C2" s="2389"/>
      <c r="D2" s="2389"/>
    </row>
    <row r="3" spans="1:4">
      <c r="A3" s="1105"/>
      <c r="B3" s="1106"/>
      <c r="C3" s="1106"/>
      <c r="D3" s="1105"/>
    </row>
    <row r="4" spans="1:4">
      <c r="A4" s="2394" t="s">
        <v>1850</v>
      </c>
      <c r="B4" s="2384" t="s">
        <v>3609</v>
      </c>
      <c r="C4" s="2384"/>
      <c r="D4" s="2384"/>
    </row>
    <row r="5" spans="1:4" ht="12.75" customHeight="1">
      <c r="A5" s="2382"/>
      <c r="B5" s="2398" t="s">
        <v>3610</v>
      </c>
      <c r="C5" s="2384" t="s">
        <v>1851</v>
      </c>
      <c r="D5" s="2384"/>
    </row>
    <row r="6" spans="1:4">
      <c r="A6" s="2383"/>
      <c r="B6" s="2386"/>
      <c r="C6" s="1107" t="s">
        <v>1852</v>
      </c>
      <c r="D6" s="1107" t="s">
        <v>1853</v>
      </c>
    </row>
    <row r="7" spans="1:4" ht="12.75" customHeight="1">
      <c r="A7" s="1108" t="s">
        <v>6</v>
      </c>
      <c r="B7" s="1109">
        <f>SUM(B8:B12)</f>
        <v>5431</v>
      </c>
      <c r="C7" s="1109">
        <f>SUM(C8:C12)</f>
        <v>3108</v>
      </c>
      <c r="D7" s="1109">
        <f>SUM(D8:D12)</f>
        <v>2323</v>
      </c>
    </row>
    <row r="8" spans="1:4" ht="22.5">
      <c r="A8" s="1110" t="s">
        <v>1854</v>
      </c>
      <c r="B8" s="1111">
        <f t="shared" ref="B8:D12" si="0">SUM(B14,B20)</f>
        <v>845</v>
      </c>
      <c r="C8" s="1111">
        <f t="shared" si="0"/>
        <v>545</v>
      </c>
      <c r="D8" s="1111">
        <f t="shared" si="0"/>
        <v>300</v>
      </c>
    </row>
    <row r="9" spans="1:4">
      <c r="A9" s="1110" t="s">
        <v>866</v>
      </c>
      <c r="B9" s="1111">
        <f t="shared" si="0"/>
        <v>1164</v>
      </c>
      <c r="C9" s="1111">
        <f t="shared" si="0"/>
        <v>777</v>
      </c>
      <c r="D9" s="1111">
        <f t="shared" si="0"/>
        <v>387</v>
      </c>
    </row>
    <row r="10" spans="1:4">
      <c r="A10" s="1110" t="s">
        <v>868</v>
      </c>
      <c r="B10" s="1111">
        <f t="shared" si="0"/>
        <v>1122</v>
      </c>
      <c r="C10" s="1111">
        <f t="shared" si="0"/>
        <v>757</v>
      </c>
      <c r="D10" s="1111">
        <f t="shared" si="0"/>
        <v>365</v>
      </c>
    </row>
    <row r="11" spans="1:4">
      <c r="A11" s="1110" t="s">
        <v>867</v>
      </c>
      <c r="B11" s="1111">
        <f t="shared" si="0"/>
        <v>676</v>
      </c>
      <c r="C11" s="1111">
        <f t="shared" si="0"/>
        <v>433</v>
      </c>
      <c r="D11" s="1111">
        <f t="shared" si="0"/>
        <v>243</v>
      </c>
    </row>
    <row r="12" spans="1:4">
      <c r="A12" s="1110" t="s">
        <v>1855</v>
      </c>
      <c r="B12" s="1111">
        <f t="shared" si="0"/>
        <v>1624</v>
      </c>
      <c r="C12" s="1111">
        <f t="shared" si="0"/>
        <v>596</v>
      </c>
      <c r="D12" s="1111">
        <f t="shared" si="0"/>
        <v>1028</v>
      </c>
    </row>
    <row r="13" spans="1:4">
      <c r="A13" s="1110" t="s">
        <v>163</v>
      </c>
      <c r="B13" s="1109">
        <f>SUM(B14:B18)</f>
        <v>3909</v>
      </c>
      <c r="C13" s="1111">
        <f>SUM(C14:C18)</f>
        <v>2243</v>
      </c>
      <c r="D13" s="1111">
        <f>SUM(D14:D18)</f>
        <v>1666</v>
      </c>
    </row>
    <row r="14" spans="1:4">
      <c r="A14" s="1112" t="s">
        <v>1854</v>
      </c>
      <c r="B14" s="1113">
        <v>635</v>
      </c>
      <c r="C14" s="1114">
        <v>407</v>
      </c>
      <c r="D14" s="1114">
        <v>228</v>
      </c>
    </row>
    <row r="15" spans="1:4">
      <c r="A15" s="1112" t="s">
        <v>866</v>
      </c>
      <c r="B15" s="1113">
        <v>762</v>
      </c>
      <c r="C15" s="1114">
        <v>521</v>
      </c>
      <c r="D15" s="1114">
        <v>241</v>
      </c>
    </row>
    <row r="16" spans="1:4">
      <c r="A16" s="1112" t="s">
        <v>868</v>
      </c>
      <c r="B16" s="1113">
        <v>992</v>
      </c>
      <c r="C16" s="1114">
        <v>676</v>
      </c>
      <c r="D16" s="1114">
        <v>316</v>
      </c>
    </row>
    <row r="17" spans="1:7">
      <c r="A17" s="1112" t="s">
        <v>867</v>
      </c>
      <c r="B17" s="1113">
        <v>301</v>
      </c>
      <c r="C17" s="1114">
        <v>197</v>
      </c>
      <c r="D17" s="1114">
        <v>104</v>
      </c>
    </row>
    <row r="18" spans="1:7">
      <c r="A18" s="1112" t="s">
        <v>1855</v>
      </c>
      <c r="B18" s="1113">
        <v>1219</v>
      </c>
      <c r="C18" s="1114">
        <v>442</v>
      </c>
      <c r="D18" s="1114">
        <v>777</v>
      </c>
    </row>
    <row r="19" spans="1:7">
      <c r="A19" s="1110" t="s">
        <v>164</v>
      </c>
      <c r="B19" s="1109">
        <f>SUM(B20:B24)</f>
        <v>1522</v>
      </c>
      <c r="C19" s="1111">
        <f>SUM(C20:C24)</f>
        <v>865</v>
      </c>
      <c r="D19" s="1111">
        <f>SUM(D20:D24)</f>
        <v>657</v>
      </c>
    </row>
    <row r="20" spans="1:7">
      <c r="A20" s="1112" t="s">
        <v>1854</v>
      </c>
      <c r="B20" s="1113">
        <v>210</v>
      </c>
      <c r="C20" s="1114">
        <v>138</v>
      </c>
      <c r="D20" s="1114">
        <v>72</v>
      </c>
    </row>
    <row r="21" spans="1:7">
      <c r="A21" s="1112" t="s">
        <v>866</v>
      </c>
      <c r="B21" s="1113">
        <v>402</v>
      </c>
      <c r="C21" s="1114">
        <v>256</v>
      </c>
      <c r="D21" s="1114">
        <v>146</v>
      </c>
    </row>
    <row r="22" spans="1:7">
      <c r="A22" s="1112" t="s">
        <v>868</v>
      </c>
      <c r="B22" s="1113">
        <v>130</v>
      </c>
      <c r="C22" s="1114">
        <v>81</v>
      </c>
      <c r="D22" s="1114">
        <v>49</v>
      </c>
    </row>
    <row r="23" spans="1:7">
      <c r="A23" s="1112" t="s">
        <v>867</v>
      </c>
      <c r="B23" s="1113">
        <v>375</v>
      </c>
      <c r="C23" s="1114">
        <v>236</v>
      </c>
      <c r="D23" s="1114">
        <v>139</v>
      </c>
    </row>
    <row r="24" spans="1:7">
      <c r="A24" s="1112" t="s">
        <v>1855</v>
      </c>
      <c r="B24" s="1113">
        <v>405</v>
      </c>
      <c r="C24" s="1114">
        <v>154</v>
      </c>
      <c r="D24" s="1114">
        <v>251</v>
      </c>
    </row>
    <row r="25" spans="1:7">
      <c r="A25" s="1089"/>
      <c r="B25" s="1089"/>
      <c r="C25" s="1089"/>
      <c r="D25" s="1089"/>
    </row>
    <row r="26" spans="1:7" ht="26.25" customHeight="1">
      <c r="A26" s="2388" t="s">
        <v>3608</v>
      </c>
      <c r="B26" s="2388"/>
      <c r="C26" s="2388"/>
      <c r="D26" s="2388"/>
      <c r="E26" s="1089"/>
      <c r="F26" s="1089"/>
      <c r="G26" s="1089"/>
    </row>
    <row r="27" spans="1:7" ht="47.25" customHeight="1">
      <c r="A27" s="2388" t="s">
        <v>3606</v>
      </c>
      <c r="B27" s="2388"/>
      <c r="C27" s="2388"/>
      <c r="D27" s="2388"/>
    </row>
    <row r="28" spans="1:7">
      <c r="A28" s="2388" t="s">
        <v>1783</v>
      </c>
      <c r="B28" s="2388"/>
      <c r="C28" s="2388"/>
      <c r="D28" s="2388"/>
    </row>
    <row r="29" spans="1:7">
      <c r="A29" s="1105"/>
      <c r="B29" s="1106"/>
      <c r="C29" s="1106"/>
      <c r="D29" s="1105"/>
    </row>
    <row r="30" spans="1:7">
      <c r="A30" s="1105"/>
      <c r="B30" s="1105"/>
      <c r="C30" s="1105"/>
      <c r="D30" s="1105"/>
    </row>
    <row r="33" spans="1:4">
      <c r="A33" s="731"/>
      <c r="B33" s="731"/>
      <c r="C33" s="731"/>
      <c r="D33" s="731"/>
    </row>
    <row r="34" spans="1:4">
      <c r="A34" s="731"/>
      <c r="B34" s="731"/>
      <c r="C34" s="731"/>
      <c r="D34" s="731"/>
    </row>
  </sheetData>
  <mergeCells count="8">
    <mergeCell ref="A27:D27"/>
    <mergeCell ref="A28:D28"/>
    <mergeCell ref="A2:D2"/>
    <mergeCell ref="A4:A6"/>
    <mergeCell ref="B4:D4"/>
    <mergeCell ref="B5:B6"/>
    <mergeCell ref="C5:D5"/>
    <mergeCell ref="A26:D26"/>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93.xml><?xml version="1.0" encoding="utf-8"?>
<worksheet xmlns="http://schemas.openxmlformats.org/spreadsheetml/2006/main" xmlns:r="http://schemas.openxmlformats.org/officeDocument/2006/relationships">
  <sheetPr>
    <outlinePr summaryBelow="0" summaryRight="0"/>
  </sheetPr>
  <dimension ref="A1:D14"/>
  <sheetViews>
    <sheetView zoomScaleNormal="100" workbookViewId="0">
      <selection activeCell="A14" sqref="A14"/>
    </sheetView>
  </sheetViews>
  <sheetFormatPr baseColWidth="10" defaultColWidth="9.140625" defaultRowHeight="11.25"/>
  <cols>
    <col min="1" max="1" width="33.140625" style="109" customWidth="1"/>
    <col min="2" max="2" width="35.42578125" style="109" customWidth="1"/>
    <col min="3" max="256" width="9.140625" style="109"/>
    <col min="257" max="257" width="28.5703125" style="109" customWidth="1"/>
    <col min="258" max="258" width="27.85546875" style="109" customWidth="1"/>
    <col min="259" max="512" width="9.140625" style="109"/>
    <col min="513" max="513" width="28.5703125" style="109" customWidth="1"/>
    <col min="514" max="514" width="27.85546875" style="109" customWidth="1"/>
    <col min="515" max="768" width="9.140625" style="109"/>
    <col min="769" max="769" width="28.5703125" style="109" customWidth="1"/>
    <col min="770" max="770" width="27.85546875" style="109" customWidth="1"/>
    <col min="771" max="1024" width="9.140625" style="109"/>
    <col min="1025" max="1025" width="28.5703125" style="109" customWidth="1"/>
    <col min="1026" max="1026" width="27.85546875" style="109" customWidth="1"/>
    <col min="1027" max="1280" width="9.140625" style="109"/>
    <col min="1281" max="1281" width="28.5703125" style="109" customWidth="1"/>
    <col min="1282" max="1282" width="27.85546875" style="109" customWidth="1"/>
    <col min="1283" max="1536" width="9.140625" style="109"/>
    <col min="1537" max="1537" width="28.5703125" style="109" customWidth="1"/>
    <col min="1538" max="1538" width="27.85546875" style="109" customWidth="1"/>
    <col min="1539" max="1792" width="9.140625" style="109"/>
    <col min="1793" max="1793" width="28.5703125" style="109" customWidth="1"/>
    <col min="1794" max="1794" width="27.85546875" style="109" customWidth="1"/>
    <col min="1795" max="2048" width="9.140625" style="109"/>
    <col min="2049" max="2049" width="28.5703125" style="109" customWidth="1"/>
    <col min="2050" max="2050" width="27.85546875" style="109" customWidth="1"/>
    <col min="2051" max="2304" width="9.140625" style="109"/>
    <col min="2305" max="2305" width="28.5703125" style="109" customWidth="1"/>
    <col min="2306" max="2306" width="27.85546875" style="109" customWidth="1"/>
    <col min="2307" max="2560" width="9.140625" style="109"/>
    <col min="2561" max="2561" width="28.5703125" style="109" customWidth="1"/>
    <col min="2562" max="2562" width="27.85546875" style="109" customWidth="1"/>
    <col min="2563" max="2816" width="9.140625" style="109"/>
    <col min="2817" max="2817" width="28.5703125" style="109" customWidth="1"/>
    <col min="2818" max="2818" width="27.85546875" style="109" customWidth="1"/>
    <col min="2819" max="3072" width="9.140625" style="109"/>
    <col min="3073" max="3073" width="28.5703125" style="109" customWidth="1"/>
    <col min="3074" max="3074" width="27.85546875" style="109" customWidth="1"/>
    <col min="3075" max="3328" width="9.140625" style="109"/>
    <col min="3329" max="3329" width="28.5703125" style="109" customWidth="1"/>
    <col min="3330" max="3330" width="27.85546875" style="109" customWidth="1"/>
    <col min="3331" max="3584" width="9.140625" style="109"/>
    <col min="3585" max="3585" width="28.5703125" style="109" customWidth="1"/>
    <col min="3586" max="3586" width="27.85546875" style="109" customWidth="1"/>
    <col min="3587" max="3840" width="9.140625" style="109"/>
    <col min="3841" max="3841" width="28.5703125" style="109" customWidth="1"/>
    <col min="3842" max="3842" width="27.85546875" style="109" customWidth="1"/>
    <col min="3843" max="4096" width="9.140625" style="109"/>
    <col min="4097" max="4097" width="28.5703125" style="109" customWidth="1"/>
    <col min="4098" max="4098" width="27.85546875" style="109" customWidth="1"/>
    <col min="4099" max="4352" width="9.140625" style="109"/>
    <col min="4353" max="4353" width="28.5703125" style="109" customWidth="1"/>
    <col min="4354" max="4354" width="27.85546875" style="109" customWidth="1"/>
    <col min="4355" max="4608" width="9.140625" style="109"/>
    <col min="4609" max="4609" width="28.5703125" style="109" customWidth="1"/>
    <col min="4610" max="4610" width="27.85546875" style="109" customWidth="1"/>
    <col min="4611" max="4864" width="9.140625" style="109"/>
    <col min="4865" max="4865" width="28.5703125" style="109" customWidth="1"/>
    <col min="4866" max="4866" width="27.85546875" style="109" customWidth="1"/>
    <col min="4867" max="5120" width="9.140625" style="109"/>
    <col min="5121" max="5121" width="28.5703125" style="109" customWidth="1"/>
    <col min="5122" max="5122" width="27.85546875" style="109" customWidth="1"/>
    <col min="5123" max="5376" width="9.140625" style="109"/>
    <col min="5377" max="5377" width="28.5703125" style="109" customWidth="1"/>
    <col min="5378" max="5378" width="27.85546875" style="109" customWidth="1"/>
    <col min="5379" max="5632" width="9.140625" style="109"/>
    <col min="5633" max="5633" width="28.5703125" style="109" customWidth="1"/>
    <col min="5634" max="5634" width="27.85546875" style="109" customWidth="1"/>
    <col min="5635" max="5888" width="9.140625" style="109"/>
    <col min="5889" max="5889" width="28.5703125" style="109" customWidth="1"/>
    <col min="5890" max="5890" width="27.85546875" style="109" customWidth="1"/>
    <col min="5891" max="6144" width="9.140625" style="109"/>
    <col min="6145" max="6145" width="28.5703125" style="109" customWidth="1"/>
    <col min="6146" max="6146" width="27.85546875" style="109" customWidth="1"/>
    <col min="6147" max="6400" width="9.140625" style="109"/>
    <col min="6401" max="6401" width="28.5703125" style="109" customWidth="1"/>
    <col min="6402" max="6402" width="27.85546875" style="109" customWidth="1"/>
    <col min="6403" max="6656" width="9.140625" style="109"/>
    <col min="6657" max="6657" width="28.5703125" style="109" customWidth="1"/>
    <col min="6658" max="6658" width="27.85546875" style="109" customWidth="1"/>
    <col min="6659" max="6912" width="9.140625" style="109"/>
    <col min="6913" max="6913" width="28.5703125" style="109" customWidth="1"/>
    <col min="6914" max="6914" width="27.85546875" style="109" customWidth="1"/>
    <col min="6915" max="7168" width="9.140625" style="109"/>
    <col min="7169" max="7169" width="28.5703125" style="109" customWidth="1"/>
    <col min="7170" max="7170" width="27.85546875" style="109" customWidth="1"/>
    <col min="7171" max="7424" width="9.140625" style="109"/>
    <col min="7425" max="7425" width="28.5703125" style="109" customWidth="1"/>
    <col min="7426" max="7426" width="27.85546875" style="109" customWidth="1"/>
    <col min="7427" max="7680" width="9.140625" style="109"/>
    <col min="7681" max="7681" width="28.5703125" style="109" customWidth="1"/>
    <col min="7682" max="7682" width="27.85546875" style="109" customWidth="1"/>
    <col min="7683" max="7936" width="9.140625" style="109"/>
    <col min="7937" max="7937" width="28.5703125" style="109" customWidth="1"/>
    <col min="7938" max="7938" width="27.85546875" style="109" customWidth="1"/>
    <col min="7939" max="8192" width="9.140625" style="109"/>
    <col min="8193" max="8193" width="28.5703125" style="109" customWidth="1"/>
    <col min="8194" max="8194" width="27.85546875" style="109" customWidth="1"/>
    <col min="8195" max="8448" width="9.140625" style="109"/>
    <col min="8449" max="8449" width="28.5703125" style="109" customWidth="1"/>
    <col min="8450" max="8450" width="27.85546875" style="109" customWidth="1"/>
    <col min="8451" max="8704" width="9.140625" style="109"/>
    <col min="8705" max="8705" width="28.5703125" style="109" customWidth="1"/>
    <col min="8706" max="8706" width="27.85546875" style="109" customWidth="1"/>
    <col min="8707" max="8960" width="9.140625" style="109"/>
    <col min="8961" max="8961" width="28.5703125" style="109" customWidth="1"/>
    <col min="8962" max="8962" width="27.85546875" style="109" customWidth="1"/>
    <col min="8963" max="9216" width="9.140625" style="109"/>
    <col min="9217" max="9217" width="28.5703125" style="109" customWidth="1"/>
    <col min="9218" max="9218" width="27.85546875" style="109" customWidth="1"/>
    <col min="9219" max="9472" width="9.140625" style="109"/>
    <col min="9473" max="9473" width="28.5703125" style="109" customWidth="1"/>
    <col min="9474" max="9474" width="27.85546875" style="109" customWidth="1"/>
    <col min="9475" max="9728" width="9.140625" style="109"/>
    <col min="9729" max="9729" width="28.5703125" style="109" customWidth="1"/>
    <col min="9730" max="9730" width="27.85546875" style="109" customWidth="1"/>
    <col min="9731" max="9984" width="9.140625" style="109"/>
    <col min="9985" max="9985" width="28.5703125" style="109" customWidth="1"/>
    <col min="9986" max="9986" width="27.85546875" style="109" customWidth="1"/>
    <col min="9987" max="10240" width="9.140625" style="109"/>
    <col min="10241" max="10241" width="28.5703125" style="109" customWidth="1"/>
    <col min="10242" max="10242" width="27.85546875" style="109" customWidth="1"/>
    <col min="10243" max="10496" width="9.140625" style="109"/>
    <col min="10497" max="10497" width="28.5703125" style="109" customWidth="1"/>
    <col min="10498" max="10498" width="27.85546875" style="109" customWidth="1"/>
    <col min="10499" max="10752" width="9.140625" style="109"/>
    <col min="10753" max="10753" width="28.5703125" style="109" customWidth="1"/>
    <col min="10754" max="10754" width="27.85546875" style="109" customWidth="1"/>
    <col min="10755" max="11008" width="9.140625" style="109"/>
    <col min="11009" max="11009" width="28.5703125" style="109" customWidth="1"/>
    <col min="11010" max="11010" width="27.85546875" style="109" customWidth="1"/>
    <col min="11011" max="11264" width="9.140625" style="109"/>
    <col min="11265" max="11265" width="28.5703125" style="109" customWidth="1"/>
    <col min="11266" max="11266" width="27.85546875" style="109" customWidth="1"/>
    <col min="11267" max="11520" width="9.140625" style="109"/>
    <col min="11521" max="11521" width="28.5703125" style="109" customWidth="1"/>
    <col min="11522" max="11522" width="27.85546875" style="109" customWidth="1"/>
    <col min="11523" max="11776" width="9.140625" style="109"/>
    <col min="11777" max="11777" width="28.5703125" style="109" customWidth="1"/>
    <col min="11778" max="11778" width="27.85546875" style="109" customWidth="1"/>
    <col min="11779" max="12032" width="9.140625" style="109"/>
    <col min="12033" max="12033" width="28.5703125" style="109" customWidth="1"/>
    <col min="12034" max="12034" width="27.85546875" style="109" customWidth="1"/>
    <col min="12035" max="12288" width="9.140625" style="109"/>
    <col min="12289" max="12289" width="28.5703125" style="109" customWidth="1"/>
    <col min="12290" max="12290" width="27.85546875" style="109" customWidth="1"/>
    <col min="12291" max="12544" width="9.140625" style="109"/>
    <col min="12545" max="12545" width="28.5703125" style="109" customWidth="1"/>
    <col min="12546" max="12546" width="27.85546875" style="109" customWidth="1"/>
    <col min="12547" max="12800" width="9.140625" style="109"/>
    <col min="12801" max="12801" width="28.5703125" style="109" customWidth="1"/>
    <col min="12802" max="12802" width="27.85546875" style="109" customWidth="1"/>
    <col min="12803" max="13056" width="9.140625" style="109"/>
    <col min="13057" max="13057" width="28.5703125" style="109" customWidth="1"/>
    <col min="13058" max="13058" width="27.85546875" style="109" customWidth="1"/>
    <col min="13059" max="13312" width="9.140625" style="109"/>
    <col min="13313" max="13313" width="28.5703125" style="109" customWidth="1"/>
    <col min="13314" max="13314" width="27.85546875" style="109" customWidth="1"/>
    <col min="13315" max="13568" width="9.140625" style="109"/>
    <col min="13569" max="13569" width="28.5703125" style="109" customWidth="1"/>
    <col min="13570" max="13570" width="27.85546875" style="109" customWidth="1"/>
    <col min="13571" max="13824" width="9.140625" style="109"/>
    <col min="13825" max="13825" width="28.5703125" style="109" customWidth="1"/>
    <col min="13826" max="13826" width="27.85546875" style="109" customWidth="1"/>
    <col min="13827" max="14080" width="9.140625" style="109"/>
    <col min="14081" max="14081" width="28.5703125" style="109" customWidth="1"/>
    <col min="14082" max="14082" width="27.85546875" style="109" customWidth="1"/>
    <col min="14083" max="14336" width="9.140625" style="109"/>
    <col min="14337" max="14337" width="28.5703125" style="109" customWidth="1"/>
    <col min="14338" max="14338" width="27.85546875" style="109" customWidth="1"/>
    <col min="14339" max="14592" width="9.140625" style="109"/>
    <col min="14593" max="14593" width="28.5703125" style="109" customWidth="1"/>
    <col min="14594" max="14594" width="27.85546875" style="109" customWidth="1"/>
    <col min="14595" max="14848" width="9.140625" style="109"/>
    <col min="14849" max="14849" width="28.5703125" style="109" customWidth="1"/>
    <col min="14850" max="14850" width="27.85546875" style="109" customWidth="1"/>
    <col min="14851" max="15104" width="9.140625" style="109"/>
    <col min="15105" max="15105" width="28.5703125" style="109" customWidth="1"/>
    <col min="15106" max="15106" width="27.85546875" style="109" customWidth="1"/>
    <col min="15107" max="15360" width="9.140625" style="109"/>
    <col min="15361" max="15361" width="28.5703125" style="109" customWidth="1"/>
    <col min="15362" max="15362" width="27.85546875" style="109" customWidth="1"/>
    <col min="15363" max="15616" width="9.140625" style="109"/>
    <col min="15617" max="15617" width="28.5703125" style="109" customWidth="1"/>
    <col min="15618" max="15618" width="27.85546875" style="109" customWidth="1"/>
    <col min="15619" max="15872" width="9.140625" style="109"/>
    <col min="15873" max="15873" width="28.5703125" style="109" customWidth="1"/>
    <col min="15874" max="15874" width="27.85546875" style="109" customWidth="1"/>
    <col min="15875" max="16128" width="9.140625" style="109"/>
    <col min="16129" max="16129" width="28.5703125" style="109" customWidth="1"/>
    <col min="16130" max="16130" width="27.85546875" style="109" customWidth="1"/>
    <col min="16131" max="16384" width="9.140625" style="109"/>
  </cols>
  <sheetData>
    <row r="1" spans="1:4" ht="15.75" customHeight="1">
      <c r="A1" s="1089"/>
      <c r="B1" s="1089"/>
    </row>
    <row r="2" spans="1:4" ht="26.25" customHeight="1">
      <c r="A2" s="2389" t="s">
        <v>1856</v>
      </c>
      <c r="B2" s="2389"/>
    </row>
    <row r="3" spans="1:4">
      <c r="A3" s="1089"/>
      <c r="B3" s="1090"/>
    </row>
    <row r="4" spans="1:4" ht="31.5" customHeight="1">
      <c r="A4" s="1091" t="s">
        <v>1857</v>
      </c>
      <c r="B4" s="1091" t="s">
        <v>1858</v>
      </c>
    </row>
    <row r="5" spans="1:4" ht="12.75">
      <c r="A5" s="43" t="s">
        <v>3607</v>
      </c>
      <c r="B5" s="1102">
        <f>SUM(B6:B8)</f>
        <v>69518883517</v>
      </c>
    </row>
    <row r="6" spans="1:4" ht="12.75" customHeight="1">
      <c r="A6" s="1100" t="s">
        <v>1833</v>
      </c>
      <c r="B6" s="1103">
        <v>61345746929</v>
      </c>
    </row>
    <row r="7" spans="1:4" ht="12.75" customHeight="1">
      <c r="A7" s="1100" t="s">
        <v>1859</v>
      </c>
      <c r="B7" s="1103">
        <v>3160228313</v>
      </c>
    </row>
    <row r="8" spans="1:4" ht="12.75" customHeight="1">
      <c r="A8" s="1100" t="s">
        <v>1860</v>
      </c>
      <c r="B8" s="1103">
        <v>5012908275</v>
      </c>
    </row>
    <row r="9" spans="1:4" ht="7.5" customHeight="1">
      <c r="A9" s="1089"/>
      <c r="B9" s="1104"/>
    </row>
    <row r="10" spans="1:4" ht="24" customHeight="1">
      <c r="A10" s="2395" t="s">
        <v>3608</v>
      </c>
      <c r="B10" s="2395"/>
      <c r="C10" s="1089"/>
      <c r="D10" s="1089"/>
    </row>
    <row r="11" spans="1:4" ht="60.75" customHeight="1">
      <c r="A11" s="2388" t="s">
        <v>3606</v>
      </c>
      <c r="B11" s="2388"/>
      <c r="C11" s="1089"/>
      <c r="D11" s="1089"/>
    </row>
    <row r="12" spans="1:4" ht="22.5" customHeight="1">
      <c r="A12" s="2388" t="s">
        <v>1783</v>
      </c>
      <c r="B12" s="2388"/>
    </row>
    <row r="13" spans="1:4">
      <c r="A13" s="1089"/>
      <c r="B13" s="1090"/>
    </row>
    <row r="14" spans="1:4">
      <c r="A14" s="1089"/>
      <c r="B14" s="1089"/>
    </row>
  </sheetData>
  <mergeCells count="4">
    <mergeCell ref="A2:B2"/>
    <mergeCell ref="A10:B10"/>
    <mergeCell ref="A11:B11"/>
    <mergeCell ref="A12:B12"/>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94.xml><?xml version="1.0" encoding="utf-8"?>
<worksheet xmlns="http://schemas.openxmlformats.org/spreadsheetml/2006/main" xmlns:r="http://schemas.openxmlformats.org/officeDocument/2006/relationships">
  <sheetPr>
    <outlinePr summaryBelow="0" summaryRight="0"/>
  </sheetPr>
  <dimension ref="A1:B17"/>
  <sheetViews>
    <sheetView zoomScaleNormal="100" workbookViewId="0">
      <selection activeCell="A26" sqref="A26"/>
    </sheetView>
  </sheetViews>
  <sheetFormatPr baseColWidth="10" defaultColWidth="9.140625" defaultRowHeight="11.25"/>
  <cols>
    <col min="1" max="1" width="33.85546875" style="109" customWidth="1"/>
    <col min="2" max="2" width="35.85546875" style="109" customWidth="1"/>
    <col min="3" max="256" width="9.140625" style="109"/>
    <col min="257" max="257" width="25.7109375" style="109" customWidth="1"/>
    <col min="258" max="258" width="27.85546875" style="109" customWidth="1"/>
    <col min="259" max="512" width="9.140625" style="109"/>
    <col min="513" max="513" width="25.7109375" style="109" customWidth="1"/>
    <col min="514" max="514" width="27.85546875" style="109" customWidth="1"/>
    <col min="515" max="768" width="9.140625" style="109"/>
    <col min="769" max="769" width="25.7109375" style="109" customWidth="1"/>
    <col min="770" max="770" width="27.85546875" style="109" customWidth="1"/>
    <col min="771" max="1024" width="9.140625" style="109"/>
    <col min="1025" max="1025" width="25.7109375" style="109" customWidth="1"/>
    <col min="1026" max="1026" width="27.85546875" style="109" customWidth="1"/>
    <col min="1027" max="1280" width="9.140625" style="109"/>
    <col min="1281" max="1281" width="25.7109375" style="109" customWidth="1"/>
    <col min="1282" max="1282" width="27.85546875" style="109" customWidth="1"/>
    <col min="1283" max="1536" width="9.140625" style="109"/>
    <col min="1537" max="1537" width="25.7109375" style="109" customWidth="1"/>
    <col min="1538" max="1538" width="27.85546875" style="109" customWidth="1"/>
    <col min="1539" max="1792" width="9.140625" style="109"/>
    <col min="1793" max="1793" width="25.7109375" style="109" customWidth="1"/>
    <col min="1794" max="1794" width="27.85546875" style="109" customWidth="1"/>
    <col min="1795" max="2048" width="9.140625" style="109"/>
    <col min="2049" max="2049" width="25.7109375" style="109" customWidth="1"/>
    <col min="2050" max="2050" width="27.85546875" style="109" customWidth="1"/>
    <col min="2051" max="2304" width="9.140625" style="109"/>
    <col min="2305" max="2305" width="25.7109375" style="109" customWidth="1"/>
    <col min="2306" max="2306" width="27.85546875" style="109" customWidth="1"/>
    <col min="2307" max="2560" width="9.140625" style="109"/>
    <col min="2561" max="2561" width="25.7109375" style="109" customWidth="1"/>
    <col min="2562" max="2562" width="27.85546875" style="109" customWidth="1"/>
    <col min="2563" max="2816" width="9.140625" style="109"/>
    <col min="2817" max="2817" width="25.7109375" style="109" customWidth="1"/>
    <col min="2818" max="2818" width="27.85546875" style="109" customWidth="1"/>
    <col min="2819" max="3072" width="9.140625" style="109"/>
    <col min="3073" max="3073" width="25.7109375" style="109" customWidth="1"/>
    <col min="3074" max="3074" width="27.85546875" style="109" customWidth="1"/>
    <col min="3075" max="3328" width="9.140625" style="109"/>
    <col min="3329" max="3329" width="25.7109375" style="109" customWidth="1"/>
    <col min="3330" max="3330" width="27.85546875" style="109" customWidth="1"/>
    <col min="3331" max="3584" width="9.140625" style="109"/>
    <col min="3585" max="3585" width="25.7109375" style="109" customWidth="1"/>
    <col min="3586" max="3586" width="27.85546875" style="109" customWidth="1"/>
    <col min="3587" max="3840" width="9.140625" style="109"/>
    <col min="3841" max="3841" width="25.7109375" style="109" customWidth="1"/>
    <col min="3842" max="3842" width="27.85546875" style="109" customWidth="1"/>
    <col min="3843" max="4096" width="9.140625" style="109"/>
    <col min="4097" max="4097" width="25.7109375" style="109" customWidth="1"/>
    <col min="4098" max="4098" width="27.85546875" style="109" customWidth="1"/>
    <col min="4099" max="4352" width="9.140625" style="109"/>
    <col min="4353" max="4353" width="25.7109375" style="109" customWidth="1"/>
    <col min="4354" max="4354" width="27.85546875" style="109" customWidth="1"/>
    <col min="4355" max="4608" width="9.140625" style="109"/>
    <col min="4609" max="4609" width="25.7109375" style="109" customWidth="1"/>
    <col min="4610" max="4610" width="27.85546875" style="109" customWidth="1"/>
    <col min="4611" max="4864" width="9.140625" style="109"/>
    <col min="4865" max="4865" width="25.7109375" style="109" customWidth="1"/>
    <col min="4866" max="4866" width="27.85546875" style="109" customWidth="1"/>
    <col min="4867" max="5120" width="9.140625" style="109"/>
    <col min="5121" max="5121" width="25.7109375" style="109" customWidth="1"/>
    <col min="5122" max="5122" width="27.85546875" style="109" customWidth="1"/>
    <col min="5123" max="5376" width="9.140625" style="109"/>
    <col min="5377" max="5377" width="25.7109375" style="109" customWidth="1"/>
    <col min="5378" max="5378" width="27.85546875" style="109" customWidth="1"/>
    <col min="5379" max="5632" width="9.140625" style="109"/>
    <col min="5633" max="5633" width="25.7109375" style="109" customWidth="1"/>
    <col min="5634" max="5634" width="27.85546875" style="109" customWidth="1"/>
    <col min="5635" max="5888" width="9.140625" style="109"/>
    <col min="5889" max="5889" width="25.7109375" style="109" customWidth="1"/>
    <col min="5890" max="5890" width="27.85546875" style="109" customWidth="1"/>
    <col min="5891" max="6144" width="9.140625" style="109"/>
    <col min="6145" max="6145" width="25.7109375" style="109" customWidth="1"/>
    <col min="6146" max="6146" width="27.85546875" style="109" customWidth="1"/>
    <col min="6147" max="6400" width="9.140625" style="109"/>
    <col min="6401" max="6401" width="25.7109375" style="109" customWidth="1"/>
    <col min="6402" max="6402" width="27.85546875" style="109" customWidth="1"/>
    <col min="6403" max="6656" width="9.140625" style="109"/>
    <col min="6657" max="6657" width="25.7109375" style="109" customWidth="1"/>
    <col min="6658" max="6658" width="27.85546875" style="109" customWidth="1"/>
    <col min="6659" max="6912" width="9.140625" style="109"/>
    <col min="6913" max="6913" width="25.7109375" style="109" customWidth="1"/>
    <col min="6914" max="6914" width="27.85546875" style="109" customWidth="1"/>
    <col min="6915" max="7168" width="9.140625" style="109"/>
    <col min="7169" max="7169" width="25.7109375" style="109" customWidth="1"/>
    <col min="7170" max="7170" width="27.85546875" style="109" customWidth="1"/>
    <col min="7171" max="7424" width="9.140625" style="109"/>
    <col min="7425" max="7425" width="25.7109375" style="109" customWidth="1"/>
    <col min="7426" max="7426" width="27.85546875" style="109" customWidth="1"/>
    <col min="7427" max="7680" width="9.140625" style="109"/>
    <col min="7681" max="7681" width="25.7109375" style="109" customWidth="1"/>
    <col min="7682" max="7682" width="27.85546875" style="109" customWidth="1"/>
    <col min="7683" max="7936" width="9.140625" style="109"/>
    <col min="7937" max="7937" width="25.7109375" style="109" customWidth="1"/>
    <col min="7938" max="7938" width="27.85546875" style="109" customWidth="1"/>
    <col min="7939" max="8192" width="9.140625" style="109"/>
    <col min="8193" max="8193" width="25.7109375" style="109" customWidth="1"/>
    <col min="8194" max="8194" width="27.85546875" style="109" customWidth="1"/>
    <col min="8195" max="8448" width="9.140625" style="109"/>
    <col min="8449" max="8449" width="25.7109375" style="109" customWidth="1"/>
    <col min="8450" max="8450" width="27.85546875" style="109" customWidth="1"/>
    <col min="8451" max="8704" width="9.140625" style="109"/>
    <col min="8705" max="8705" width="25.7109375" style="109" customWidth="1"/>
    <col min="8706" max="8706" width="27.85546875" style="109" customWidth="1"/>
    <col min="8707" max="8960" width="9.140625" style="109"/>
    <col min="8961" max="8961" width="25.7109375" style="109" customWidth="1"/>
    <col min="8962" max="8962" width="27.85546875" style="109" customWidth="1"/>
    <col min="8963" max="9216" width="9.140625" style="109"/>
    <col min="9217" max="9217" width="25.7109375" style="109" customWidth="1"/>
    <col min="9218" max="9218" width="27.85546875" style="109" customWidth="1"/>
    <col min="9219" max="9472" width="9.140625" style="109"/>
    <col min="9473" max="9473" width="25.7109375" style="109" customWidth="1"/>
    <col min="9474" max="9474" width="27.85546875" style="109" customWidth="1"/>
    <col min="9475" max="9728" width="9.140625" style="109"/>
    <col min="9729" max="9729" width="25.7109375" style="109" customWidth="1"/>
    <col min="9730" max="9730" width="27.85546875" style="109" customWidth="1"/>
    <col min="9731" max="9984" width="9.140625" style="109"/>
    <col min="9985" max="9985" width="25.7109375" style="109" customWidth="1"/>
    <col min="9986" max="9986" width="27.85546875" style="109" customWidth="1"/>
    <col min="9987" max="10240" width="9.140625" style="109"/>
    <col min="10241" max="10241" width="25.7109375" style="109" customWidth="1"/>
    <col min="10242" max="10242" width="27.85546875" style="109" customWidth="1"/>
    <col min="10243" max="10496" width="9.140625" style="109"/>
    <col min="10497" max="10497" width="25.7109375" style="109" customWidth="1"/>
    <col min="10498" max="10498" width="27.85546875" style="109" customWidth="1"/>
    <col min="10499" max="10752" width="9.140625" style="109"/>
    <col min="10753" max="10753" width="25.7109375" style="109" customWidth="1"/>
    <col min="10754" max="10754" width="27.85546875" style="109" customWidth="1"/>
    <col min="10755" max="11008" width="9.140625" style="109"/>
    <col min="11009" max="11009" width="25.7109375" style="109" customWidth="1"/>
    <col min="11010" max="11010" width="27.85546875" style="109" customWidth="1"/>
    <col min="11011" max="11264" width="9.140625" style="109"/>
    <col min="11265" max="11265" width="25.7109375" style="109" customWidth="1"/>
    <col min="11266" max="11266" width="27.85546875" style="109" customWidth="1"/>
    <col min="11267" max="11520" width="9.140625" style="109"/>
    <col min="11521" max="11521" width="25.7109375" style="109" customWidth="1"/>
    <col min="11522" max="11522" width="27.85546875" style="109" customWidth="1"/>
    <col min="11523" max="11776" width="9.140625" style="109"/>
    <col min="11777" max="11777" width="25.7109375" style="109" customWidth="1"/>
    <col min="11778" max="11778" width="27.85546875" style="109" customWidth="1"/>
    <col min="11779" max="12032" width="9.140625" style="109"/>
    <col min="12033" max="12033" width="25.7109375" style="109" customWidth="1"/>
    <col min="12034" max="12034" width="27.85546875" style="109" customWidth="1"/>
    <col min="12035" max="12288" width="9.140625" style="109"/>
    <col min="12289" max="12289" width="25.7109375" style="109" customWidth="1"/>
    <col min="12290" max="12290" width="27.85546875" style="109" customWidth="1"/>
    <col min="12291" max="12544" width="9.140625" style="109"/>
    <col min="12545" max="12545" width="25.7109375" style="109" customWidth="1"/>
    <col min="12546" max="12546" width="27.85546875" style="109" customWidth="1"/>
    <col min="12547" max="12800" width="9.140625" style="109"/>
    <col min="12801" max="12801" width="25.7109375" style="109" customWidth="1"/>
    <col min="12802" max="12802" width="27.85546875" style="109" customWidth="1"/>
    <col min="12803" max="13056" width="9.140625" style="109"/>
    <col min="13057" max="13057" width="25.7109375" style="109" customWidth="1"/>
    <col min="13058" max="13058" width="27.85546875" style="109" customWidth="1"/>
    <col min="13059" max="13312" width="9.140625" style="109"/>
    <col min="13313" max="13313" width="25.7109375" style="109" customWidth="1"/>
    <col min="13314" max="13314" width="27.85546875" style="109" customWidth="1"/>
    <col min="13315" max="13568" width="9.140625" style="109"/>
    <col min="13569" max="13569" width="25.7109375" style="109" customWidth="1"/>
    <col min="13570" max="13570" width="27.85546875" style="109" customWidth="1"/>
    <col min="13571" max="13824" width="9.140625" style="109"/>
    <col min="13825" max="13825" width="25.7109375" style="109" customWidth="1"/>
    <col min="13826" max="13826" width="27.85546875" style="109" customWidth="1"/>
    <col min="13827" max="14080" width="9.140625" style="109"/>
    <col min="14081" max="14081" width="25.7109375" style="109" customWidth="1"/>
    <col min="14082" max="14082" width="27.85546875" style="109" customWidth="1"/>
    <col min="14083" max="14336" width="9.140625" style="109"/>
    <col min="14337" max="14337" width="25.7109375" style="109" customWidth="1"/>
    <col min="14338" max="14338" width="27.85546875" style="109" customWidth="1"/>
    <col min="14339" max="14592" width="9.140625" style="109"/>
    <col min="14593" max="14593" width="25.7109375" style="109" customWidth="1"/>
    <col min="14594" max="14594" width="27.85546875" style="109" customWidth="1"/>
    <col min="14595" max="14848" width="9.140625" style="109"/>
    <col min="14849" max="14849" width="25.7109375" style="109" customWidth="1"/>
    <col min="14850" max="14850" width="27.85546875" style="109" customWidth="1"/>
    <col min="14851" max="15104" width="9.140625" style="109"/>
    <col min="15105" max="15105" width="25.7109375" style="109" customWidth="1"/>
    <col min="15106" max="15106" width="27.85546875" style="109" customWidth="1"/>
    <col min="15107" max="15360" width="9.140625" style="109"/>
    <col min="15361" max="15361" width="25.7109375" style="109" customWidth="1"/>
    <col min="15362" max="15362" width="27.85546875" style="109" customWidth="1"/>
    <col min="15363" max="15616" width="9.140625" style="109"/>
    <col min="15617" max="15617" width="25.7109375" style="109" customWidth="1"/>
    <col min="15618" max="15618" width="27.85546875" style="109" customWidth="1"/>
    <col min="15619" max="15872" width="9.140625" style="109"/>
    <col min="15873" max="15873" width="25.7109375" style="109" customWidth="1"/>
    <col min="15874" max="15874" width="27.85546875" style="109" customWidth="1"/>
    <col min="15875" max="16128" width="9.140625" style="109"/>
    <col min="16129" max="16129" width="25.7109375" style="109" customWidth="1"/>
    <col min="16130" max="16130" width="27.85546875" style="109" customWidth="1"/>
    <col min="16131" max="16384" width="9.140625" style="109"/>
  </cols>
  <sheetData>
    <row r="1" spans="1:2" ht="16.5" customHeight="1">
      <c r="A1" s="1089"/>
      <c r="B1" s="1089"/>
    </row>
    <row r="2" spans="1:2" ht="23.25" customHeight="1">
      <c r="A2" s="2389" t="s">
        <v>1861</v>
      </c>
      <c r="B2" s="2389"/>
    </row>
    <row r="3" spans="1:2">
      <c r="A3" s="1089"/>
      <c r="B3" s="1090"/>
    </row>
    <row r="4" spans="1:2" ht="32.25" customHeight="1">
      <c r="A4" s="1091" t="s">
        <v>1862</v>
      </c>
      <c r="B4" s="1091" t="s">
        <v>1863</v>
      </c>
    </row>
    <row r="5" spans="1:2" ht="12.75">
      <c r="A5" s="43" t="s">
        <v>3607</v>
      </c>
      <c r="B5" s="1099">
        <f>SUM(B6:B11)</f>
        <v>52075995171</v>
      </c>
    </row>
    <row r="6" spans="1:2">
      <c r="A6" s="1100" t="s">
        <v>1864</v>
      </c>
      <c r="B6" s="1101">
        <v>28057610518</v>
      </c>
    </row>
    <row r="7" spans="1:2">
      <c r="A7" s="1100" t="s">
        <v>1865</v>
      </c>
      <c r="B7" s="1101">
        <v>6736729595</v>
      </c>
    </row>
    <row r="8" spans="1:2">
      <c r="A8" s="1100" t="s">
        <v>1866</v>
      </c>
      <c r="B8" s="1101">
        <v>34973216</v>
      </c>
    </row>
    <row r="9" spans="1:2">
      <c r="A9" s="1100" t="s">
        <v>1867</v>
      </c>
      <c r="B9" s="1101">
        <v>6067494589</v>
      </c>
    </row>
    <row r="10" spans="1:2">
      <c r="A10" s="1100" t="s">
        <v>1868</v>
      </c>
      <c r="B10" s="1101">
        <v>4382660936</v>
      </c>
    </row>
    <row r="11" spans="1:2">
      <c r="A11" s="1100" t="s">
        <v>1869</v>
      </c>
      <c r="B11" s="1101">
        <v>6796526317</v>
      </c>
    </row>
    <row r="12" spans="1:2" ht="8.25" customHeight="1">
      <c r="A12" s="1089"/>
      <c r="B12" s="1089"/>
    </row>
    <row r="13" spans="1:2" ht="22.5" customHeight="1">
      <c r="A13" s="2395" t="s">
        <v>3608</v>
      </c>
      <c r="B13" s="2395"/>
    </row>
    <row r="14" spans="1:2" ht="61.5" customHeight="1">
      <c r="A14" s="2388" t="s">
        <v>3606</v>
      </c>
      <c r="B14" s="2388"/>
    </row>
    <row r="15" spans="1:2" ht="22.5" customHeight="1">
      <c r="A15" s="2388" t="s">
        <v>1783</v>
      </c>
      <c r="B15" s="2388"/>
    </row>
    <row r="16" spans="1:2">
      <c r="A16" s="1089"/>
      <c r="B16" s="1090"/>
    </row>
    <row r="17" spans="1:2">
      <c r="A17" s="1089"/>
      <c r="B17" s="1089"/>
    </row>
  </sheetData>
  <mergeCells count="4">
    <mergeCell ref="A2:B2"/>
    <mergeCell ref="A13:B13"/>
    <mergeCell ref="A14:B14"/>
    <mergeCell ref="A15:B15"/>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95.xml><?xml version="1.0" encoding="utf-8"?>
<worksheet xmlns="http://schemas.openxmlformats.org/spreadsheetml/2006/main" xmlns:r="http://schemas.openxmlformats.org/officeDocument/2006/relationships">
  <sheetPr>
    <outlinePr summaryBelow="0" summaryRight="0"/>
  </sheetPr>
  <dimension ref="A1:H16"/>
  <sheetViews>
    <sheetView zoomScaleNormal="100" workbookViewId="0">
      <selection activeCell="B22" sqref="B22"/>
    </sheetView>
  </sheetViews>
  <sheetFormatPr baseColWidth="10" defaultColWidth="9.140625" defaultRowHeight="11.25"/>
  <cols>
    <col min="1" max="1" width="27" style="109" customWidth="1"/>
    <col min="2" max="2" width="14.42578125" style="109" customWidth="1"/>
    <col min="3" max="3" width="17.28515625" style="109" bestFit="1" customWidth="1"/>
    <col min="4" max="4" width="17.42578125" style="109" customWidth="1"/>
    <col min="5" max="5" width="9.140625" style="109"/>
    <col min="6" max="6" width="15.5703125" style="109" customWidth="1"/>
    <col min="7" max="7" width="13.7109375" style="109" bestFit="1" customWidth="1"/>
    <col min="8" max="8" width="23.140625" style="109" customWidth="1"/>
    <col min="9" max="16384" width="9.140625" style="109"/>
  </cols>
  <sheetData>
    <row r="1" spans="1:8" ht="16.5" customHeight="1">
      <c r="A1" s="1088"/>
      <c r="B1" s="1089"/>
      <c r="C1" s="1089"/>
      <c r="D1" s="1089"/>
    </row>
    <row r="2" spans="1:8" ht="22.5" customHeight="1">
      <c r="A2" s="2389" t="s">
        <v>1870</v>
      </c>
      <c r="B2" s="2389"/>
      <c r="C2" s="2389"/>
      <c r="D2" s="2389"/>
    </row>
    <row r="3" spans="1:8">
      <c r="A3" s="1089"/>
      <c r="B3" s="1090"/>
      <c r="C3" s="1090"/>
      <c r="D3" s="1090"/>
    </row>
    <row r="4" spans="1:8" s="1092" customFormat="1" ht="33" customHeight="1">
      <c r="A4" s="1091" t="s">
        <v>3603</v>
      </c>
      <c r="B4" s="1091" t="s">
        <v>1871</v>
      </c>
      <c r="C4" s="1091" t="s">
        <v>1872</v>
      </c>
      <c r="D4" s="1091" t="s">
        <v>1873</v>
      </c>
    </row>
    <row r="5" spans="1:8" ht="12.75">
      <c r="A5" s="1093" t="s">
        <v>3604</v>
      </c>
      <c r="B5" s="1094">
        <f>SUM(B6:B9)</f>
        <v>702</v>
      </c>
      <c r="C5" s="1094">
        <f>SUM(C6:C9)</f>
        <v>69518883517</v>
      </c>
      <c r="D5" s="1094">
        <f>SUM(D6:D9)</f>
        <v>52075995171</v>
      </c>
      <c r="G5" s="1095"/>
      <c r="H5" s="1095"/>
    </row>
    <row r="6" spans="1:8">
      <c r="A6" s="1096" t="s">
        <v>1874</v>
      </c>
      <c r="B6" s="1097">
        <v>315</v>
      </c>
      <c r="C6" s="1097">
        <v>3095751527</v>
      </c>
      <c r="D6" s="1098">
        <v>2462638340</v>
      </c>
    </row>
    <row r="7" spans="1:8">
      <c r="A7" s="1096" t="s">
        <v>1875</v>
      </c>
      <c r="B7" s="1097">
        <v>236</v>
      </c>
      <c r="C7" s="1097">
        <v>7997119800</v>
      </c>
      <c r="D7" s="1098">
        <v>5342684885</v>
      </c>
    </row>
    <row r="8" spans="1:8">
      <c r="A8" s="1096" t="s">
        <v>1876</v>
      </c>
      <c r="B8" s="1097">
        <v>135</v>
      </c>
      <c r="C8" s="1097">
        <v>22979854718</v>
      </c>
      <c r="D8" s="1098">
        <v>21423141885</v>
      </c>
    </row>
    <row r="9" spans="1:8">
      <c r="A9" s="1096" t="s">
        <v>1877</v>
      </c>
      <c r="B9" s="1097">
        <v>16</v>
      </c>
      <c r="C9" s="1097">
        <v>35446157472</v>
      </c>
      <c r="D9" s="1098">
        <v>22847530061</v>
      </c>
      <c r="G9" s="1095"/>
      <c r="H9" s="1095"/>
    </row>
    <row r="10" spans="1:8">
      <c r="A10" s="1089"/>
      <c r="B10" s="1089"/>
      <c r="C10" s="1089"/>
      <c r="D10" s="1089"/>
    </row>
    <row r="11" spans="1:8" ht="25.5" customHeight="1">
      <c r="A11" s="2388" t="s">
        <v>3605</v>
      </c>
      <c r="B11" s="2388"/>
      <c r="C11" s="2388"/>
      <c r="D11" s="2388"/>
    </row>
    <row r="12" spans="1:8" ht="49.5" customHeight="1">
      <c r="A12" s="2395" t="s">
        <v>3606</v>
      </c>
      <c r="B12" s="2395"/>
      <c r="C12" s="2395"/>
      <c r="D12" s="2395"/>
    </row>
    <row r="14" spans="1:8">
      <c r="A14" s="2388" t="s">
        <v>1783</v>
      </c>
      <c r="B14" s="2388"/>
      <c r="C14" s="2388"/>
      <c r="D14" s="2388"/>
    </row>
    <row r="15" spans="1:8">
      <c r="A15" s="1089"/>
      <c r="B15" s="1090"/>
      <c r="C15" s="1090"/>
      <c r="D15" s="1090"/>
    </row>
    <row r="16" spans="1:8">
      <c r="A16" s="1089"/>
      <c r="B16" s="1089"/>
      <c r="C16" s="1089"/>
      <c r="D16" s="1089"/>
    </row>
  </sheetData>
  <mergeCells count="4">
    <mergeCell ref="A2:D2"/>
    <mergeCell ref="A11:D11"/>
    <mergeCell ref="A12:D12"/>
    <mergeCell ref="A14:D14"/>
  </mergeCells>
  <pageMargins left="0.98425196850393704" right="0.98425196850393704" top="0.98425196850393704" bottom="0.98425196850393704" header="0.98425196850393704" footer="0.98425196850393704"/>
  <pageSetup paperSize="9" orientation="portrait" r:id="rId1"/>
  <headerFooter alignWithMargins="0"/>
</worksheet>
</file>

<file path=xl/worksheets/sheet196.xml><?xml version="1.0" encoding="utf-8"?>
<worksheet xmlns="http://schemas.openxmlformats.org/spreadsheetml/2006/main" xmlns:r="http://schemas.openxmlformats.org/officeDocument/2006/relationships">
  <dimension ref="A1:D11"/>
  <sheetViews>
    <sheetView zoomScaleNormal="100" workbookViewId="0">
      <selection activeCell="B21" sqref="B21"/>
    </sheetView>
  </sheetViews>
  <sheetFormatPr baseColWidth="10" defaultRowHeight="12"/>
  <cols>
    <col min="1" max="1" width="23.42578125" style="107" customWidth="1"/>
    <col min="2" max="2" width="21.7109375" style="107" customWidth="1"/>
    <col min="3" max="3" width="19.7109375" style="107" customWidth="1"/>
    <col min="4" max="4" width="5" style="107" customWidth="1"/>
    <col min="5" max="16384" width="11.42578125" style="107"/>
  </cols>
  <sheetData>
    <row r="1" spans="1:4">
      <c r="A1" s="1083"/>
    </row>
    <row r="2" spans="1:4" s="108" customFormat="1" ht="27" customHeight="1">
      <c r="A2" s="2404" t="s">
        <v>3271</v>
      </c>
      <c r="B2" s="2404"/>
      <c r="C2" s="2404"/>
    </row>
    <row r="3" spans="1:4" s="108" customFormat="1" ht="11.25">
      <c r="A3" s="106"/>
    </row>
    <row r="4" spans="1:4" s="108" customFormat="1" ht="11.25">
      <c r="A4" s="1084" t="s">
        <v>1878</v>
      </c>
      <c r="B4" s="1084" t="s">
        <v>1879</v>
      </c>
      <c r="C4" s="1084" t="s">
        <v>1880</v>
      </c>
      <c r="D4" s="1085"/>
    </row>
    <row r="5" spans="1:4" s="108" customFormat="1" ht="11.25">
      <c r="A5" s="174" t="s">
        <v>1881</v>
      </c>
      <c r="B5" s="1086" t="s">
        <v>1882</v>
      </c>
      <c r="C5" s="96">
        <v>82</v>
      </c>
      <c r="D5" s="1087"/>
    </row>
    <row r="6" spans="1:4" s="108" customFormat="1" ht="12.75">
      <c r="A6" s="174" t="s">
        <v>1881</v>
      </c>
      <c r="B6" s="1086" t="s">
        <v>3600</v>
      </c>
      <c r="C6" s="96">
        <v>19</v>
      </c>
      <c r="D6" s="1087"/>
    </row>
    <row r="7" spans="1:4" s="108" customFormat="1" ht="11.25">
      <c r="A7" s="174" t="s">
        <v>763</v>
      </c>
      <c r="B7" s="1086" t="s">
        <v>1882</v>
      </c>
      <c r="C7" s="96">
        <v>7</v>
      </c>
      <c r="D7" s="929"/>
    </row>
    <row r="8" spans="1:4" s="108" customFormat="1" ht="4.5" customHeight="1">
      <c r="A8" s="929"/>
    </row>
    <row r="9" spans="1:4" s="108" customFormat="1" ht="55.5" customHeight="1">
      <c r="A9" s="2405" t="s">
        <v>3601</v>
      </c>
      <c r="B9" s="2405"/>
      <c r="C9" s="2405"/>
    </row>
    <row r="10" spans="1:4" s="108" customFormat="1" ht="13.5" customHeight="1">
      <c r="A10" s="108" t="s">
        <v>3602</v>
      </c>
    </row>
    <row r="11" spans="1:4" s="108" customFormat="1" ht="11.25">
      <c r="A11" s="2406" t="s">
        <v>1883</v>
      </c>
      <c r="B11" s="2406"/>
      <c r="C11" s="2406"/>
      <c r="D11" s="968"/>
    </row>
  </sheetData>
  <mergeCells count="3">
    <mergeCell ref="A2:C2"/>
    <mergeCell ref="A9:C9"/>
    <mergeCell ref="A11:C11"/>
  </mergeCells>
  <pageMargins left="0.7" right="0.7" top="0.75" bottom="0.75" header="0.3" footer="0.3"/>
  <pageSetup paperSize="14" scale="90" orientation="landscape" r:id="rId1"/>
</worksheet>
</file>

<file path=xl/worksheets/sheet197.xml><?xml version="1.0" encoding="utf-8"?>
<worksheet xmlns="http://schemas.openxmlformats.org/spreadsheetml/2006/main" xmlns:r="http://schemas.openxmlformats.org/officeDocument/2006/relationships">
  <dimension ref="A1:M24"/>
  <sheetViews>
    <sheetView zoomScaleNormal="100" workbookViewId="0">
      <selection activeCell="A31" sqref="A31"/>
    </sheetView>
  </sheetViews>
  <sheetFormatPr baseColWidth="10" defaultRowHeight="12"/>
  <cols>
    <col min="1" max="1" width="19.42578125" style="107" customWidth="1"/>
    <col min="2" max="7" width="10.85546875" style="107" customWidth="1"/>
    <col min="8" max="16384" width="11.42578125" style="107"/>
  </cols>
  <sheetData>
    <row r="1" spans="1:13">
      <c r="A1" s="1075"/>
      <c r="B1" s="1076"/>
      <c r="C1" s="1077"/>
    </row>
    <row r="2" spans="1:13">
      <c r="A2" s="106" t="s">
        <v>3187</v>
      </c>
    </row>
    <row r="3" spans="1:13">
      <c r="A3" s="1078"/>
    </row>
    <row r="4" spans="1:13" ht="17.25" customHeight="1">
      <c r="A4" s="2407" t="s">
        <v>0</v>
      </c>
      <c r="B4" s="2407">
        <v>2009</v>
      </c>
      <c r="C4" s="2407"/>
      <c r="D4" s="2407">
        <v>2010</v>
      </c>
      <c r="E4" s="2407"/>
      <c r="F4" s="2407">
        <v>2011</v>
      </c>
      <c r="G4" s="2407"/>
      <c r="H4" s="2407">
        <v>2012</v>
      </c>
      <c r="I4" s="2407"/>
      <c r="J4" s="2407">
        <v>2013</v>
      </c>
      <c r="K4" s="2407"/>
      <c r="L4" s="2407">
        <v>2014</v>
      </c>
      <c r="M4" s="2407"/>
    </row>
    <row r="5" spans="1:13" ht="17.25" customHeight="1">
      <c r="A5" s="2407"/>
      <c r="B5" s="1079" t="s">
        <v>1884</v>
      </c>
      <c r="C5" s="1079" t="s">
        <v>26</v>
      </c>
      <c r="D5" s="1079" t="s">
        <v>1884</v>
      </c>
      <c r="E5" s="1079" t="s">
        <v>26</v>
      </c>
      <c r="F5" s="1079" t="s">
        <v>1884</v>
      </c>
      <c r="G5" s="1079" t="s">
        <v>26</v>
      </c>
      <c r="H5" s="1079" t="s">
        <v>1885</v>
      </c>
      <c r="I5" s="1079" t="s">
        <v>26</v>
      </c>
      <c r="J5" s="1079" t="s">
        <v>1884</v>
      </c>
      <c r="K5" s="1079" t="s">
        <v>26</v>
      </c>
      <c r="L5" s="1079" t="s">
        <v>1884</v>
      </c>
      <c r="M5" s="1079" t="s">
        <v>26</v>
      </c>
    </row>
    <row r="6" spans="1:13">
      <c r="A6" s="1080" t="s">
        <v>6</v>
      </c>
      <c r="B6" s="1081">
        <f>SUM(B7:B21)</f>
        <v>9</v>
      </c>
      <c r="C6" s="1081">
        <f t="shared" ref="C6:M6" si="0">SUM(C7:C21)</f>
        <v>585</v>
      </c>
      <c r="D6" s="1081">
        <f t="shared" si="0"/>
        <v>7</v>
      </c>
      <c r="E6" s="1081">
        <f t="shared" si="0"/>
        <v>592</v>
      </c>
      <c r="F6" s="1081">
        <f t="shared" si="0"/>
        <v>21</v>
      </c>
      <c r="G6" s="1081">
        <f t="shared" si="0"/>
        <v>613</v>
      </c>
      <c r="H6" s="1081">
        <f t="shared" si="0"/>
        <v>21</v>
      </c>
      <c r="I6" s="1081">
        <f t="shared" si="0"/>
        <v>634</v>
      </c>
      <c r="J6" s="1081">
        <f t="shared" si="0"/>
        <v>27</v>
      </c>
      <c r="K6" s="1081">
        <f t="shared" si="0"/>
        <v>661</v>
      </c>
      <c r="L6" s="1081">
        <f t="shared" si="0"/>
        <v>26</v>
      </c>
      <c r="M6" s="1081">
        <f t="shared" si="0"/>
        <v>687</v>
      </c>
    </row>
    <row r="7" spans="1:13">
      <c r="A7" s="177" t="s">
        <v>7</v>
      </c>
      <c r="B7" s="203">
        <v>0</v>
      </c>
      <c r="C7" s="203">
        <v>5</v>
      </c>
      <c r="D7" s="203">
        <v>0</v>
      </c>
      <c r="E7" s="203">
        <v>5</v>
      </c>
      <c r="F7" s="203">
        <v>0</v>
      </c>
      <c r="G7" s="203">
        <v>5</v>
      </c>
      <c r="H7" s="203">
        <v>0</v>
      </c>
      <c r="I7" s="203">
        <v>5</v>
      </c>
      <c r="J7" s="203">
        <v>0</v>
      </c>
      <c r="K7" s="203">
        <v>5</v>
      </c>
      <c r="L7" s="203">
        <v>1</v>
      </c>
      <c r="M7" s="203">
        <v>6</v>
      </c>
    </row>
    <row r="8" spans="1:13">
      <c r="A8" s="177" t="s">
        <v>8</v>
      </c>
      <c r="B8" s="203">
        <v>1</v>
      </c>
      <c r="C8" s="203">
        <v>12</v>
      </c>
      <c r="D8" s="203">
        <v>1</v>
      </c>
      <c r="E8" s="203">
        <v>13</v>
      </c>
      <c r="F8" s="203">
        <v>0</v>
      </c>
      <c r="G8" s="203">
        <v>13</v>
      </c>
      <c r="H8" s="203">
        <v>0</v>
      </c>
      <c r="I8" s="203">
        <v>13</v>
      </c>
      <c r="J8" s="203">
        <v>0</v>
      </c>
      <c r="K8" s="203">
        <v>13</v>
      </c>
      <c r="L8" s="203">
        <v>0</v>
      </c>
      <c r="M8" s="203">
        <v>13</v>
      </c>
    </row>
    <row r="9" spans="1:13">
      <c r="A9" s="177" t="s">
        <v>9</v>
      </c>
      <c r="B9" s="203">
        <v>0</v>
      </c>
      <c r="C9" s="203">
        <v>15</v>
      </c>
      <c r="D9" s="203">
        <v>0</v>
      </c>
      <c r="E9" s="203">
        <v>15</v>
      </c>
      <c r="F9" s="203">
        <v>0</v>
      </c>
      <c r="G9" s="203">
        <v>15</v>
      </c>
      <c r="H9" s="203">
        <v>0</v>
      </c>
      <c r="I9" s="203">
        <v>14</v>
      </c>
      <c r="J9" s="203">
        <v>0</v>
      </c>
      <c r="K9" s="203">
        <v>14</v>
      </c>
      <c r="L9" s="203">
        <v>0</v>
      </c>
      <c r="M9" s="203">
        <v>14</v>
      </c>
    </row>
    <row r="10" spans="1:13">
      <c r="A10" s="177" t="s">
        <v>10</v>
      </c>
      <c r="B10" s="203">
        <v>0</v>
      </c>
      <c r="C10" s="203">
        <v>11</v>
      </c>
      <c r="D10" s="203">
        <v>0</v>
      </c>
      <c r="E10" s="203">
        <v>11</v>
      </c>
      <c r="F10" s="203">
        <v>0</v>
      </c>
      <c r="G10" s="203">
        <v>11</v>
      </c>
      <c r="H10" s="203">
        <v>0</v>
      </c>
      <c r="I10" s="203">
        <v>12</v>
      </c>
      <c r="J10" s="203">
        <v>8</v>
      </c>
      <c r="K10" s="203">
        <v>20</v>
      </c>
      <c r="L10" s="203">
        <v>0</v>
      </c>
      <c r="M10" s="203">
        <v>20</v>
      </c>
    </row>
    <row r="11" spans="1:13">
      <c r="A11" s="177" t="s">
        <v>11</v>
      </c>
      <c r="B11" s="203">
        <v>0</v>
      </c>
      <c r="C11" s="203">
        <v>46</v>
      </c>
      <c r="D11" s="203">
        <v>1</v>
      </c>
      <c r="E11" s="203">
        <v>47</v>
      </c>
      <c r="F11" s="203">
        <v>0</v>
      </c>
      <c r="G11" s="203">
        <v>47</v>
      </c>
      <c r="H11" s="203">
        <v>1</v>
      </c>
      <c r="I11" s="203">
        <v>48</v>
      </c>
      <c r="J11" s="203">
        <v>0</v>
      </c>
      <c r="K11" s="203">
        <v>48</v>
      </c>
      <c r="L11" s="203">
        <v>1</v>
      </c>
      <c r="M11" s="203">
        <v>49</v>
      </c>
    </row>
    <row r="12" spans="1:13">
      <c r="A12" s="177" t="s">
        <v>12</v>
      </c>
      <c r="B12" s="203">
        <v>2</v>
      </c>
      <c r="C12" s="203">
        <v>93</v>
      </c>
      <c r="D12" s="203">
        <v>1</v>
      </c>
      <c r="E12" s="203">
        <v>94</v>
      </c>
      <c r="F12" s="203">
        <v>4</v>
      </c>
      <c r="G12" s="203">
        <v>98</v>
      </c>
      <c r="H12" s="203">
        <v>1</v>
      </c>
      <c r="I12" s="203">
        <v>99</v>
      </c>
      <c r="J12" s="203">
        <v>2</v>
      </c>
      <c r="K12" s="203">
        <v>101</v>
      </c>
      <c r="L12" s="203">
        <v>1</v>
      </c>
      <c r="M12" s="203">
        <v>102</v>
      </c>
    </row>
    <row r="13" spans="1:13">
      <c r="A13" s="177" t="s">
        <v>13</v>
      </c>
      <c r="B13" s="203">
        <v>1</v>
      </c>
      <c r="C13" s="203">
        <v>66</v>
      </c>
      <c r="D13" s="203">
        <v>1</v>
      </c>
      <c r="E13" s="203">
        <v>67</v>
      </c>
      <c r="F13" s="203">
        <v>4</v>
      </c>
      <c r="G13" s="203">
        <v>71</v>
      </c>
      <c r="H13" s="203">
        <v>1</v>
      </c>
      <c r="I13" s="203">
        <v>72</v>
      </c>
      <c r="J13" s="203">
        <v>6</v>
      </c>
      <c r="K13" s="203">
        <v>78</v>
      </c>
      <c r="L13" s="203">
        <v>5</v>
      </c>
      <c r="M13" s="203">
        <v>83</v>
      </c>
    </row>
    <row r="14" spans="1:13">
      <c r="A14" s="177" t="s">
        <v>14</v>
      </c>
      <c r="B14" s="203">
        <v>3</v>
      </c>
      <c r="C14" s="203">
        <v>43</v>
      </c>
      <c r="D14" s="203">
        <v>2</v>
      </c>
      <c r="E14" s="203">
        <v>45</v>
      </c>
      <c r="F14" s="203">
        <v>4</v>
      </c>
      <c r="G14" s="203">
        <v>49</v>
      </c>
      <c r="H14" s="203">
        <v>1</v>
      </c>
      <c r="I14" s="203">
        <v>50</v>
      </c>
      <c r="J14" s="203">
        <v>0</v>
      </c>
      <c r="K14" s="203">
        <v>50</v>
      </c>
      <c r="L14" s="203">
        <v>1</v>
      </c>
      <c r="M14" s="203">
        <v>51</v>
      </c>
    </row>
    <row r="15" spans="1:13">
      <c r="A15" s="177" t="s">
        <v>15</v>
      </c>
      <c r="B15" s="203">
        <v>0</v>
      </c>
      <c r="C15" s="203">
        <v>39</v>
      </c>
      <c r="D15" s="203">
        <v>0</v>
      </c>
      <c r="E15" s="203">
        <v>39</v>
      </c>
      <c r="F15" s="203">
        <v>2</v>
      </c>
      <c r="G15" s="203">
        <v>41</v>
      </c>
      <c r="H15" s="203">
        <v>4</v>
      </c>
      <c r="I15" s="203">
        <v>46</v>
      </c>
      <c r="J15" s="203">
        <v>2</v>
      </c>
      <c r="K15" s="203">
        <v>48</v>
      </c>
      <c r="L15" s="203">
        <v>6</v>
      </c>
      <c r="M15" s="203">
        <v>54</v>
      </c>
    </row>
    <row r="16" spans="1:13">
      <c r="A16" s="177" t="s">
        <v>16</v>
      </c>
      <c r="B16" s="203">
        <v>0</v>
      </c>
      <c r="C16" s="203">
        <v>83</v>
      </c>
      <c r="D16" s="203">
        <v>1</v>
      </c>
      <c r="E16" s="203">
        <v>84</v>
      </c>
      <c r="F16" s="203">
        <v>6</v>
      </c>
      <c r="G16" s="203">
        <v>90</v>
      </c>
      <c r="H16" s="203">
        <v>6</v>
      </c>
      <c r="I16" s="203">
        <v>96</v>
      </c>
      <c r="J16" s="203">
        <v>7</v>
      </c>
      <c r="K16" s="203">
        <v>103</v>
      </c>
      <c r="L16" s="203">
        <v>4</v>
      </c>
      <c r="M16" s="203">
        <v>107</v>
      </c>
    </row>
    <row r="17" spans="1:13">
      <c r="A17" s="177" t="s">
        <v>17</v>
      </c>
      <c r="B17" s="203">
        <v>0</v>
      </c>
      <c r="C17" s="203">
        <v>52</v>
      </c>
      <c r="D17" s="203">
        <v>0</v>
      </c>
      <c r="E17" s="203">
        <v>52</v>
      </c>
      <c r="F17" s="203">
        <v>0</v>
      </c>
      <c r="G17" s="203">
        <v>52</v>
      </c>
      <c r="H17" s="203">
        <v>2</v>
      </c>
      <c r="I17" s="203">
        <v>54</v>
      </c>
      <c r="J17" s="203">
        <v>0</v>
      </c>
      <c r="K17" s="203">
        <v>54</v>
      </c>
      <c r="L17" s="203">
        <v>3</v>
      </c>
      <c r="M17" s="203">
        <v>57</v>
      </c>
    </row>
    <row r="18" spans="1:13">
      <c r="A18" s="177" t="s">
        <v>276</v>
      </c>
      <c r="B18" s="203">
        <v>0</v>
      </c>
      <c r="C18" s="203">
        <v>35</v>
      </c>
      <c r="D18" s="203">
        <v>0</v>
      </c>
      <c r="E18" s="203">
        <v>35</v>
      </c>
      <c r="F18" s="203">
        <v>0</v>
      </c>
      <c r="G18" s="203">
        <v>35</v>
      </c>
      <c r="H18" s="203">
        <v>1</v>
      </c>
      <c r="I18" s="203">
        <v>36</v>
      </c>
      <c r="J18" s="203">
        <v>0</v>
      </c>
      <c r="K18" s="203">
        <v>36</v>
      </c>
      <c r="L18" s="203">
        <v>0</v>
      </c>
      <c r="M18" s="203">
        <v>36</v>
      </c>
    </row>
    <row r="19" spans="1:13">
      <c r="A19" s="177" t="s">
        <v>280</v>
      </c>
      <c r="B19" s="203">
        <v>1</v>
      </c>
      <c r="C19" s="203">
        <v>58</v>
      </c>
      <c r="D19" s="203">
        <v>0</v>
      </c>
      <c r="E19" s="203">
        <v>58</v>
      </c>
      <c r="F19" s="203">
        <v>1</v>
      </c>
      <c r="G19" s="203">
        <v>59</v>
      </c>
      <c r="H19" s="203">
        <v>2</v>
      </c>
      <c r="I19" s="203">
        <v>60</v>
      </c>
      <c r="J19" s="203">
        <v>2</v>
      </c>
      <c r="K19" s="203">
        <v>62</v>
      </c>
      <c r="L19" s="203">
        <v>4</v>
      </c>
      <c r="M19" s="203">
        <v>66</v>
      </c>
    </row>
    <row r="20" spans="1:13">
      <c r="A20" s="177" t="s">
        <v>20</v>
      </c>
      <c r="B20" s="203">
        <v>1</v>
      </c>
      <c r="C20" s="203">
        <v>15</v>
      </c>
      <c r="D20" s="203">
        <v>0</v>
      </c>
      <c r="E20" s="203">
        <v>15</v>
      </c>
      <c r="F20" s="203">
        <v>0</v>
      </c>
      <c r="G20" s="203">
        <v>15</v>
      </c>
      <c r="H20" s="203">
        <v>2</v>
      </c>
      <c r="I20" s="203">
        <v>17</v>
      </c>
      <c r="J20" s="203">
        <v>0</v>
      </c>
      <c r="K20" s="203">
        <v>17</v>
      </c>
      <c r="L20" s="203">
        <v>0</v>
      </c>
      <c r="M20" s="203">
        <v>17</v>
      </c>
    </row>
    <row r="21" spans="1:13">
      <c r="A21" s="177" t="s">
        <v>21</v>
      </c>
      <c r="B21" s="203">
        <v>0</v>
      </c>
      <c r="C21" s="203">
        <v>12</v>
      </c>
      <c r="D21" s="203">
        <v>0</v>
      </c>
      <c r="E21" s="203">
        <v>12</v>
      </c>
      <c r="F21" s="203">
        <v>0</v>
      </c>
      <c r="G21" s="203">
        <v>12</v>
      </c>
      <c r="H21" s="203">
        <v>0</v>
      </c>
      <c r="I21" s="203">
        <v>12</v>
      </c>
      <c r="J21" s="203">
        <v>0</v>
      </c>
      <c r="K21" s="203">
        <v>12</v>
      </c>
      <c r="L21" s="203">
        <v>0</v>
      </c>
      <c r="M21" s="203">
        <v>12</v>
      </c>
    </row>
    <row r="22" spans="1:13">
      <c r="B22" s="1082"/>
      <c r="C22" s="1082"/>
      <c r="D22" s="1082"/>
      <c r="E22" s="1082"/>
      <c r="F22" s="1082"/>
      <c r="G22" s="1082"/>
      <c r="H22" s="1082"/>
      <c r="I22" s="1082"/>
      <c r="J22" s="1082"/>
      <c r="K22" s="1082"/>
      <c r="L22" s="1082"/>
      <c r="M22" s="1082"/>
    </row>
    <row r="23" spans="1:13" ht="12.75" customHeight="1">
      <c r="A23" s="1048" t="s">
        <v>161</v>
      </c>
      <c r="B23" s="1049"/>
      <c r="C23" s="1049"/>
      <c r="D23" s="1049"/>
      <c r="E23" s="1049"/>
      <c r="F23" s="1049"/>
    </row>
    <row r="24" spans="1:13">
      <c r="A24" s="2408" t="s">
        <v>1771</v>
      </c>
      <c r="B24" s="2408"/>
      <c r="C24" s="2408"/>
      <c r="D24" s="2408"/>
      <c r="E24" s="2408"/>
      <c r="F24" s="2408"/>
    </row>
  </sheetData>
  <mergeCells count="8">
    <mergeCell ref="L4:M4"/>
    <mergeCell ref="A24:F24"/>
    <mergeCell ref="A4:A5"/>
    <mergeCell ref="B4:C4"/>
    <mergeCell ref="D4:E4"/>
    <mergeCell ref="F4:G4"/>
    <mergeCell ref="H4:I4"/>
    <mergeCell ref="J4:K4"/>
  </mergeCells>
  <pageMargins left="0.7" right="0.7" top="0.75" bottom="0.75" header="0.3" footer="0.3"/>
  <pageSetup paperSize="14" scale="90" orientation="landscape" r:id="rId1"/>
</worksheet>
</file>

<file path=xl/worksheets/sheet198.xml><?xml version="1.0" encoding="utf-8"?>
<worksheet xmlns="http://schemas.openxmlformats.org/spreadsheetml/2006/main" xmlns:r="http://schemas.openxmlformats.org/officeDocument/2006/relationships">
  <dimension ref="A1:I13"/>
  <sheetViews>
    <sheetView zoomScaleNormal="100" workbookViewId="0">
      <selection activeCell="A12" sqref="A12:C12"/>
    </sheetView>
  </sheetViews>
  <sheetFormatPr baseColWidth="10" defaultRowHeight="12"/>
  <cols>
    <col min="1" max="1" width="29" style="100" customWidth="1"/>
    <col min="2" max="2" width="15.7109375" style="100" customWidth="1"/>
    <col min="3" max="3" width="19.5703125" style="100" customWidth="1"/>
    <col min="4" max="16384" width="11.42578125" style="100"/>
  </cols>
  <sheetData>
    <row r="1" spans="1:9">
      <c r="A1" s="843"/>
      <c r="D1" s="831"/>
    </row>
    <row r="2" spans="1:9" s="85" customFormat="1" ht="25.5" customHeight="1">
      <c r="A2" s="2349" t="s">
        <v>1886</v>
      </c>
      <c r="B2" s="2349"/>
      <c r="C2" s="2349"/>
      <c r="D2" s="105"/>
      <c r="E2" s="101"/>
      <c r="F2" s="101"/>
      <c r="G2" s="101"/>
      <c r="H2" s="101"/>
      <c r="I2" s="102"/>
    </row>
    <row r="3" spans="1:9" s="85" customFormat="1" ht="15.75" customHeight="1">
      <c r="A3" s="1038"/>
      <c r="B3" s="1038"/>
      <c r="C3" s="1038"/>
      <c r="D3" s="105"/>
      <c r="E3" s="1064"/>
      <c r="F3" s="1065"/>
      <c r="G3" s="1064"/>
      <c r="H3" s="1064"/>
      <c r="I3" s="102"/>
    </row>
    <row r="4" spans="1:9" s="85" customFormat="1" ht="12.75" customHeight="1">
      <c r="A4" s="2409" t="s">
        <v>1887</v>
      </c>
      <c r="B4" s="2411" t="s">
        <v>3555</v>
      </c>
      <c r="C4" s="2411"/>
      <c r="F4" s="1064"/>
      <c r="G4" s="1064"/>
      <c r="H4" s="1064"/>
      <c r="I4" s="102"/>
    </row>
    <row r="5" spans="1:9" s="85" customFormat="1" ht="11.25">
      <c r="A5" s="2410"/>
      <c r="B5" s="521" t="s">
        <v>1848</v>
      </c>
      <c r="C5" s="521" t="s">
        <v>1149</v>
      </c>
      <c r="F5" s="1066"/>
      <c r="G5" s="1066"/>
      <c r="H5" s="1066"/>
      <c r="I5" s="102"/>
    </row>
    <row r="6" spans="1:9" s="85" customFormat="1" ht="11.25">
      <c r="A6" s="946" t="s">
        <v>6</v>
      </c>
      <c r="B6" s="1057">
        <f>SUM(B7:B10)</f>
        <v>51860</v>
      </c>
      <c r="C6" s="1067">
        <f>SUM(C7:C10)</f>
        <v>100</v>
      </c>
      <c r="F6" s="1068"/>
      <c r="G6" s="1069"/>
      <c r="H6" s="1069"/>
      <c r="I6" s="102"/>
    </row>
    <row r="7" spans="1:9" s="85" customFormat="1" ht="11.25">
      <c r="A7" s="102" t="s">
        <v>1888</v>
      </c>
      <c r="B7" s="1070">
        <v>1221</v>
      </c>
      <c r="C7" s="1051">
        <f>+B7/$B$6*100</f>
        <v>2.3544157346702663</v>
      </c>
      <c r="F7" s="1071"/>
      <c r="G7" s="1072"/>
      <c r="H7" s="1073"/>
      <c r="I7" s="102"/>
    </row>
    <row r="8" spans="1:9" s="85" customFormat="1" ht="11.25">
      <c r="A8" s="102" t="s">
        <v>1889</v>
      </c>
      <c r="B8" s="1070">
        <v>2696</v>
      </c>
      <c r="C8" s="1051">
        <f>+B8/$B$6*100</f>
        <v>5.1986116467412264</v>
      </c>
      <c r="D8" s="103"/>
      <c r="F8" s="1071"/>
      <c r="G8" s="1072"/>
      <c r="H8" s="1073"/>
      <c r="I8" s="102"/>
    </row>
    <row r="9" spans="1:9" s="85" customFormat="1" ht="11.25">
      <c r="A9" s="102" t="s">
        <v>1890</v>
      </c>
      <c r="B9" s="1070">
        <v>452</v>
      </c>
      <c r="C9" s="1051">
        <f>+B9/$B$6*100</f>
        <v>0.87157732356344009</v>
      </c>
      <c r="E9" s="1074"/>
      <c r="F9" s="1071"/>
      <c r="G9" s="1072"/>
      <c r="H9" s="1073"/>
      <c r="I9" s="102"/>
    </row>
    <row r="10" spans="1:9" s="85" customFormat="1" ht="11.25">
      <c r="A10" s="102" t="s">
        <v>1891</v>
      </c>
      <c r="B10" s="1070">
        <v>47491</v>
      </c>
      <c r="C10" s="1051">
        <f>+B10/$B$6*100</f>
        <v>91.575395295025061</v>
      </c>
      <c r="E10" s="1074"/>
      <c r="F10" s="1071"/>
      <c r="G10" s="1072"/>
      <c r="H10" s="1073"/>
      <c r="I10" s="102"/>
    </row>
    <row r="11" spans="1:9" s="85" customFormat="1" ht="6.75" customHeight="1">
      <c r="A11" s="102"/>
      <c r="B11" s="1072"/>
      <c r="C11" s="1051"/>
      <c r="E11" s="1074"/>
      <c r="F11" s="1071"/>
      <c r="G11" s="1072"/>
      <c r="H11" s="1073"/>
      <c r="I11" s="102"/>
    </row>
    <row r="12" spans="1:9" s="85" customFormat="1" ht="24.75" customHeight="1">
      <c r="A12" s="2412" t="s">
        <v>3599</v>
      </c>
      <c r="B12" s="2412"/>
      <c r="C12" s="2412"/>
      <c r="E12" s="1074"/>
      <c r="F12" s="1071"/>
      <c r="G12" s="1072"/>
      <c r="H12" s="1064"/>
      <c r="I12" s="102"/>
    </row>
    <row r="13" spans="1:9" s="85" customFormat="1" ht="11.25">
      <c r="A13" s="968" t="s">
        <v>1883</v>
      </c>
      <c r="B13" s="968"/>
      <c r="C13" s="968"/>
      <c r="E13" s="1074"/>
      <c r="F13" s="1064"/>
      <c r="G13" s="1072"/>
      <c r="H13" s="1064"/>
      <c r="I13" s="102"/>
    </row>
  </sheetData>
  <mergeCells count="4">
    <mergeCell ref="A2:C2"/>
    <mergeCell ref="A4:A5"/>
    <mergeCell ref="B4:C4"/>
    <mergeCell ref="A12:C12"/>
  </mergeCells>
  <pageMargins left="0.7" right="0.7" top="0.75" bottom="0.75" header="0.3" footer="0.3"/>
  <pageSetup paperSize="14" scale="90" orientation="landscape" r:id="rId1"/>
</worksheet>
</file>

<file path=xl/worksheets/sheet199.xml><?xml version="1.0" encoding="utf-8"?>
<worksheet xmlns="http://schemas.openxmlformats.org/spreadsheetml/2006/main" xmlns:r="http://schemas.openxmlformats.org/officeDocument/2006/relationships">
  <dimension ref="A1:J29"/>
  <sheetViews>
    <sheetView zoomScaleNormal="100" workbookViewId="0">
      <selection activeCell="A36" sqref="A36"/>
    </sheetView>
  </sheetViews>
  <sheetFormatPr baseColWidth="10" defaultRowHeight="12"/>
  <cols>
    <col min="1" max="1" width="27.85546875" style="831" customWidth="1"/>
    <col min="2" max="2" width="14.28515625" style="831" customWidth="1"/>
    <col min="3" max="3" width="13.7109375" style="831" customWidth="1"/>
    <col min="4" max="4" width="12.28515625" style="831" customWidth="1"/>
    <col min="5" max="5" width="14.42578125" style="831" customWidth="1"/>
    <col min="6" max="6" width="6.28515625" style="831" customWidth="1"/>
    <col min="7" max="16384" width="11.42578125" style="831"/>
  </cols>
  <sheetData>
    <row r="1" spans="1:5">
      <c r="A1" s="830"/>
    </row>
    <row r="2" spans="1:5" s="104" customFormat="1" ht="26.25" customHeight="1">
      <c r="A2" s="2180" t="s">
        <v>1892</v>
      </c>
      <c r="B2" s="2180"/>
      <c r="C2" s="2180"/>
      <c r="D2" s="2180"/>
      <c r="E2" s="2180"/>
    </row>
    <row r="3" spans="1:5" s="104" customFormat="1" ht="14.25" customHeight="1">
      <c r="A3" s="1056"/>
      <c r="B3" s="1056"/>
      <c r="C3" s="1056"/>
      <c r="D3" s="1056"/>
      <c r="E3" s="1056"/>
    </row>
    <row r="4" spans="1:5" s="104" customFormat="1" ht="12.75" customHeight="1">
      <c r="A4" s="2415" t="s">
        <v>1893</v>
      </c>
      <c r="B4" s="2417" t="s">
        <v>3555</v>
      </c>
      <c r="C4" s="2417"/>
      <c r="D4" s="2417" t="s">
        <v>3556</v>
      </c>
      <c r="E4" s="2417"/>
    </row>
    <row r="5" spans="1:5" s="104" customFormat="1" ht="11.25">
      <c r="A5" s="2416"/>
      <c r="B5" s="521" t="s">
        <v>1848</v>
      </c>
      <c r="C5" s="521" t="s">
        <v>1149</v>
      </c>
      <c r="D5" s="521" t="s">
        <v>1848</v>
      </c>
      <c r="E5" s="521" t="s">
        <v>1149</v>
      </c>
    </row>
    <row r="6" spans="1:5" s="104" customFormat="1" ht="11.25">
      <c r="A6" s="16" t="s">
        <v>6</v>
      </c>
      <c r="B6" s="1057">
        <f>SUM(B7:B21)</f>
        <v>51860.250000000015</v>
      </c>
      <c r="C6" s="1057">
        <f>SUM(C7:C21)</f>
        <v>99.999999999999986</v>
      </c>
      <c r="D6" s="1057">
        <f>SUM(D7:D21)</f>
        <v>831.11333333333334</v>
      </c>
      <c r="E6" s="1057">
        <f>SUM(E7:E21)</f>
        <v>100.00000000000001</v>
      </c>
    </row>
    <row r="7" spans="1:5" s="104" customFormat="1" ht="11.25">
      <c r="A7" s="258" t="s">
        <v>1894</v>
      </c>
      <c r="B7" s="1058">
        <f>(28512000/3600)</f>
        <v>7920</v>
      </c>
      <c r="C7" s="533">
        <f t="shared" ref="C7:C19" si="0">+B7/$B$6*100</f>
        <v>15.271812226126944</v>
      </c>
      <c r="D7" s="1058">
        <f>(403648/3600)</f>
        <v>112.12444444444445</v>
      </c>
      <c r="E7" s="533">
        <f t="shared" ref="E7:E19" si="1">+D7/$D$6*100</f>
        <v>13.490873019056099</v>
      </c>
    </row>
    <row r="8" spans="1:5" s="104" customFormat="1" ht="11.25">
      <c r="A8" s="258" t="s">
        <v>842</v>
      </c>
      <c r="B8" s="1058">
        <f>(1699320/3600)</f>
        <v>472.03333333333336</v>
      </c>
      <c r="C8" s="533">
        <f t="shared" si="0"/>
        <v>0.91020257968932505</v>
      </c>
      <c r="D8" s="1058">
        <f>(17346/3600)</f>
        <v>4.8183333333333334</v>
      </c>
      <c r="E8" s="533">
        <f t="shared" si="1"/>
        <v>0.5797444391859915</v>
      </c>
    </row>
    <row r="9" spans="1:5" s="104" customFormat="1" ht="11.25">
      <c r="A9" s="258" t="s">
        <v>1286</v>
      </c>
      <c r="B9" s="1058">
        <f>(3568080/3600)</f>
        <v>991.13333333333333</v>
      </c>
      <c r="C9" s="533">
        <f t="shared" si="0"/>
        <v>1.9111618886012562</v>
      </c>
      <c r="D9" s="1058">
        <f>(103482/3600)</f>
        <v>28.745000000000001</v>
      </c>
      <c r="E9" s="533">
        <f t="shared" si="1"/>
        <v>3.458613747022067</v>
      </c>
    </row>
    <row r="10" spans="1:5" s="104" customFormat="1" ht="11.25">
      <c r="A10" s="258" t="s">
        <v>1895</v>
      </c>
      <c r="B10" s="1058">
        <f>(33657240/3600)</f>
        <v>9349.2333333333336</v>
      </c>
      <c r="C10" s="533">
        <f t="shared" si="0"/>
        <v>18.027744434963832</v>
      </c>
      <c r="D10" s="1058">
        <f>(775124/3600)</f>
        <v>215.31222222222223</v>
      </c>
      <c r="E10" s="533">
        <f t="shared" si="1"/>
        <v>25.906481533471837</v>
      </c>
    </row>
    <row r="11" spans="1:5" s="104" customFormat="1" ht="11.25">
      <c r="A11" s="258" t="s">
        <v>1896</v>
      </c>
      <c r="B11" s="1058">
        <f>(2741220/3600)</f>
        <v>761.45</v>
      </c>
      <c r="C11" s="533">
        <f t="shared" si="0"/>
        <v>1.4682729065131768</v>
      </c>
      <c r="D11" s="1058">
        <f>(5415/3600)</f>
        <v>1.5041666666666667</v>
      </c>
      <c r="E11" s="533">
        <f t="shared" si="1"/>
        <v>0.18098213641139996</v>
      </c>
    </row>
    <row r="12" spans="1:5" s="104" customFormat="1" ht="11.25">
      <c r="A12" s="258" t="s">
        <v>738</v>
      </c>
      <c r="B12" s="1058">
        <f>(27378300/3600)</f>
        <v>7605.083333333333</v>
      </c>
      <c r="C12" s="533">
        <f t="shared" si="0"/>
        <v>14.664571291756848</v>
      </c>
      <c r="D12" s="1058">
        <f>(472795/3600)</f>
        <v>131.33194444444445</v>
      </c>
      <c r="E12" s="533">
        <f t="shared" si="1"/>
        <v>15.80192967398483</v>
      </c>
    </row>
    <row r="13" spans="1:5" s="104" customFormat="1" ht="11.25">
      <c r="A13" s="258" t="s">
        <v>1897</v>
      </c>
      <c r="B13" s="1058">
        <f>(10806120/3600)</f>
        <v>3001.7</v>
      </c>
      <c r="C13" s="533">
        <f t="shared" si="0"/>
        <v>5.7880553988844996</v>
      </c>
      <c r="D13" s="1058">
        <f>(157191/3600)</f>
        <v>43.664166666666667</v>
      </c>
      <c r="E13" s="533">
        <f t="shared" si="1"/>
        <v>5.2536958457330325</v>
      </c>
    </row>
    <row r="14" spans="1:5" s="104" customFormat="1" ht="11.25">
      <c r="A14" s="104" t="s">
        <v>1833</v>
      </c>
      <c r="B14" s="1058">
        <f>(11980920/3600)</f>
        <v>3328.0333333333333</v>
      </c>
      <c r="C14" s="533">
        <f t="shared" si="0"/>
        <v>6.4173106248684348</v>
      </c>
      <c r="D14" s="1058">
        <f>(14348/3600)</f>
        <v>3.9855555555555555</v>
      </c>
      <c r="E14" s="533">
        <f t="shared" si="1"/>
        <v>0.4795441723417852</v>
      </c>
    </row>
    <row r="15" spans="1:5" s="104" customFormat="1" ht="11.25">
      <c r="A15" s="104" t="s">
        <v>1898</v>
      </c>
      <c r="B15" s="1058">
        <f>(4522560/3600)</f>
        <v>1256.2666666666667</v>
      </c>
      <c r="C15" s="533">
        <f t="shared" si="0"/>
        <v>2.4224076564742099</v>
      </c>
      <c r="D15" s="1058">
        <f>(69450/3600)</f>
        <v>19.291666666666668</v>
      </c>
      <c r="E15" s="533">
        <f t="shared" si="1"/>
        <v>2.3211836331988418</v>
      </c>
    </row>
    <row r="16" spans="1:5" s="104" customFormat="1" ht="11.25">
      <c r="A16" s="258" t="s">
        <v>1899</v>
      </c>
      <c r="B16" s="1058">
        <f>(4848720/3600)</f>
        <v>1346.8666666666666</v>
      </c>
      <c r="C16" s="533">
        <f t="shared" si="0"/>
        <v>2.5971079326973281</v>
      </c>
      <c r="D16" s="1058">
        <f>(66169/3600)</f>
        <v>18.380277777777778</v>
      </c>
      <c r="E16" s="533">
        <f t="shared" si="1"/>
        <v>2.2115248354950925</v>
      </c>
    </row>
    <row r="17" spans="1:10" s="104" customFormat="1" ht="11.25">
      <c r="A17" s="258" t="s">
        <v>1900</v>
      </c>
      <c r="B17" s="1058">
        <f>(37206420/3600)</f>
        <v>10335.116666666667</v>
      </c>
      <c r="C17" s="533">
        <f t="shared" si="0"/>
        <v>19.928782963187921</v>
      </c>
      <c r="D17" s="1058">
        <f>(327021/3600)</f>
        <v>90.839166666666671</v>
      </c>
      <c r="E17" s="533">
        <f t="shared" si="1"/>
        <v>10.929817032574778</v>
      </c>
    </row>
    <row r="18" spans="1:10" s="104" customFormat="1" ht="11.25">
      <c r="A18" s="258" t="s">
        <v>1901</v>
      </c>
      <c r="B18" s="1058">
        <f>(18857340/3600)</f>
        <v>5238.1499999999996</v>
      </c>
      <c r="C18" s="533">
        <f t="shared" si="0"/>
        <v>10.100510506601873</v>
      </c>
      <c r="D18" s="1058">
        <f>(578833/3600)</f>
        <v>160.78694444444446</v>
      </c>
      <c r="E18" s="533">
        <f t="shared" si="1"/>
        <v>19.34597100007754</v>
      </c>
    </row>
    <row r="19" spans="1:10" s="104" customFormat="1" ht="11.25">
      <c r="A19" s="258" t="s">
        <v>1902</v>
      </c>
      <c r="B19" s="1058">
        <f>(918660/3600)</f>
        <v>255.18333333333334</v>
      </c>
      <c r="C19" s="533">
        <f t="shared" si="0"/>
        <v>0.49205958963432156</v>
      </c>
      <c r="D19" s="1058">
        <f>(1186/3600)</f>
        <v>0.32944444444444443</v>
      </c>
      <c r="E19" s="533">
        <f t="shared" si="1"/>
        <v>3.9638931446707361E-2</v>
      </c>
    </row>
    <row r="20" spans="1:10" s="104" customFormat="1" ht="12.75">
      <c r="A20" s="104" t="s">
        <v>3593</v>
      </c>
      <c r="B20" s="757" t="s">
        <v>55</v>
      </c>
      <c r="C20" s="757" t="s">
        <v>55</v>
      </c>
      <c r="D20" s="757" t="s">
        <v>55</v>
      </c>
      <c r="E20" s="757" t="s">
        <v>55</v>
      </c>
    </row>
    <row r="21" spans="1:10" s="104" customFormat="1" ht="12.75">
      <c r="A21" s="104" t="s">
        <v>3594</v>
      </c>
      <c r="B21" s="757" t="s">
        <v>55</v>
      </c>
      <c r="C21" s="757" t="s">
        <v>55</v>
      </c>
      <c r="D21" s="757" t="s">
        <v>55</v>
      </c>
      <c r="E21" s="757" t="s">
        <v>55</v>
      </c>
    </row>
    <row r="22" spans="1:10" s="104" customFormat="1" ht="11.25">
      <c r="B22" s="729"/>
      <c r="C22" s="1051"/>
      <c r="D22" s="1059"/>
      <c r="E22" s="1051"/>
    </row>
    <row r="23" spans="1:10" s="606" customFormat="1" ht="20.25" customHeight="1">
      <c r="A23" s="2413" t="s">
        <v>3595</v>
      </c>
      <c r="B23" s="2413"/>
      <c r="C23" s="2413"/>
      <c r="D23" s="2413"/>
      <c r="E23" s="2413"/>
      <c r="G23" s="104"/>
      <c r="H23" s="104"/>
      <c r="I23" s="104"/>
      <c r="J23" s="104"/>
    </row>
    <row r="24" spans="1:10" s="606" customFormat="1" ht="36.75" customHeight="1">
      <c r="A24" s="2414" t="s">
        <v>3596</v>
      </c>
      <c r="B24" s="2414"/>
      <c r="C24" s="2414"/>
      <c r="D24" s="2414"/>
      <c r="E24" s="2414"/>
      <c r="G24" s="104"/>
      <c r="H24" s="104"/>
      <c r="I24" s="104"/>
      <c r="J24" s="104"/>
    </row>
    <row r="25" spans="1:10" s="606" customFormat="1" ht="15" customHeight="1">
      <c r="A25" s="2413" t="s">
        <v>3597</v>
      </c>
      <c r="B25" s="2413"/>
      <c r="C25" s="2413"/>
      <c r="D25" s="2413"/>
      <c r="E25" s="2413"/>
      <c r="F25" s="1060"/>
      <c r="G25" s="104"/>
      <c r="H25" s="104"/>
      <c r="I25" s="104"/>
      <c r="J25" s="104"/>
    </row>
    <row r="26" spans="1:10" s="606" customFormat="1" ht="27.75" customHeight="1">
      <c r="A26" s="2414" t="s">
        <v>3598</v>
      </c>
      <c r="B26" s="2414"/>
      <c r="C26" s="2414"/>
      <c r="D26" s="2414"/>
      <c r="E26" s="2414"/>
      <c r="F26" s="1060"/>
      <c r="G26" s="104"/>
      <c r="H26" s="104"/>
      <c r="I26" s="104"/>
      <c r="J26" s="104"/>
    </row>
    <row r="27" spans="1:10" s="606" customFormat="1" ht="10.5" customHeight="1">
      <c r="A27" s="2413" t="s">
        <v>160</v>
      </c>
      <c r="B27" s="2413"/>
      <c r="C27" s="2413"/>
      <c r="D27" s="2413"/>
      <c r="E27" s="2413"/>
      <c r="G27" s="104"/>
      <c r="H27" s="104"/>
      <c r="I27" s="104"/>
      <c r="J27" s="104"/>
    </row>
    <row r="28" spans="1:10" s="606" customFormat="1">
      <c r="A28" s="1061" t="s">
        <v>1883</v>
      </c>
      <c r="B28" s="1061"/>
      <c r="C28" s="1062"/>
      <c r="D28" s="1062"/>
      <c r="E28" s="1063"/>
    </row>
    <row r="29" spans="1:10" s="606" customFormat="1" ht="11.25">
      <c r="B29" s="104"/>
      <c r="C29" s="104"/>
    </row>
  </sheetData>
  <mergeCells count="9">
    <mergeCell ref="A25:E25"/>
    <mergeCell ref="A26:E26"/>
    <mergeCell ref="A27:E27"/>
    <mergeCell ref="A2:E2"/>
    <mergeCell ref="A4:A5"/>
    <mergeCell ref="B4:C4"/>
    <mergeCell ref="D4:E4"/>
    <mergeCell ref="A23:E23"/>
    <mergeCell ref="A24:E24"/>
  </mergeCells>
  <pageMargins left="0.7" right="0.7" top="0.75" bottom="0.75" header="0.3" footer="0.3"/>
  <pageSetup paperSize="14" scale="90" orientation="landscape" r:id="rId1"/>
</worksheet>
</file>

<file path=xl/worksheets/sheet2.xml><?xml version="1.0" encoding="utf-8"?>
<worksheet xmlns="http://schemas.openxmlformats.org/spreadsheetml/2006/main" xmlns:r="http://schemas.openxmlformats.org/officeDocument/2006/relationships">
  <dimension ref="A2:G24"/>
  <sheetViews>
    <sheetView zoomScaleNormal="100" workbookViewId="0">
      <selection activeCell="D34" sqref="D34"/>
    </sheetView>
  </sheetViews>
  <sheetFormatPr baseColWidth="10" defaultColWidth="11.42578125" defaultRowHeight="11.25"/>
  <cols>
    <col min="1" max="1" width="22.28515625" style="117" customWidth="1"/>
    <col min="2" max="2" width="14.7109375" style="117" customWidth="1"/>
    <col min="3" max="16384" width="11.42578125" style="117"/>
  </cols>
  <sheetData>
    <row r="2" spans="1:7" s="115" customFormat="1" ht="30" customHeight="1">
      <c r="A2" s="2025" t="s">
        <v>934</v>
      </c>
      <c r="B2" s="2025"/>
      <c r="C2" s="2025"/>
      <c r="D2" s="2025"/>
      <c r="E2" s="2025"/>
      <c r="F2" s="2025"/>
      <c r="G2" s="2025"/>
    </row>
    <row r="3" spans="1:7" ht="6" customHeight="1"/>
    <row r="4" spans="1:7" ht="15.75" customHeight="1">
      <c r="A4" s="2026" t="s">
        <v>0</v>
      </c>
      <c r="B4" s="2026" t="s">
        <v>671</v>
      </c>
      <c r="C4" s="2026"/>
      <c r="D4" s="2026"/>
      <c r="E4" s="2026"/>
      <c r="F4" s="2026"/>
      <c r="G4" s="2026"/>
    </row>
    <row r="5" spans="1:7" ht="15.75" customHeight="1">
      <c r="A5" s="2026"/>
      <c r="B5" s="154">
        <v>2009</v>
      </c>
      <c r="C5" s="154">
        <v>2010</v>
      </c>
      <c r="D5" s="154">
        <v>2011</v>
      </c>
      <c r="E5" s="154">
        <v>2012</v>
      </c>
      <c r="F5" s="154">
        <v>2013</v>
      </c>
      <c r="G5" s="154">
        <v>2014</v>
      </c>
    </row>
    <row r="6" spans="1:7" s="115" customFormat="1">
      <c r="A6" s="155" t="s">
        <v>679</v>
      </c>
      <c r="B6" s="156">
        <f t="shared" ref="B6:G6" si="0">SUM(B7:B21)</f>
        <v>9</v>
      </c>
      <c r="C6" s="156">
        <f t="shared" si="0"/>
        <v>8</v>
      </c>
      <c r="D6" s="156">
        <f t="shared" si="0"/>
        <v>10</v>
      </c>
      <c r="E6" s="156">
        <f t="shared" si="0"/>
        <v>10</v>
      </c>
      <c r="F6" s="156">
        <f t="shared" si="0"/>
        <v>9</v>
      </c>
      <c r="G6" s="156">
        <f t="shared" si="0"/>
        <v>9</v>
      </c>
    </row>
    <row r="7" spans="1:7">
      <c r="A7" s="157" t="s">
        <v>7</v>
      </c>
      <c r="B7" s="158">
        <v>0</v>
      </c>
      <c r="C7" s="158">
        <v>0</v>
      </c>
      <c r="D7" s="158">
        <v>0</v>
      </c>
      <c r="E7" s="158">
        <v>0</v>
      </c>
      <c r="F7" s="158">
        <v>0</v>
      </c>
      <c r="G7" s="159">
        <v>0</v>
      </c>
    </row>
    <row r="8" spans="1:7">
      <c r="A8" s="157" t="s">
        <v>8</v>
      </c>
      <c r="B8" s="158">
        <v>0</v>
      </c>
      <c r="C8" s="158">
        <v>0</v>
      </c>
      <c r="D8" s="158">
        <v>0</v>
      </c>
      <c r="E8" s="158">
        <v>0</v>
      </c>
      <c r="F8" s="158">
        <v>0</v>
      </c>
      <c r="G8" s="159">
        <v>0</v>
      </c>
    </row>
    <row r="9" spans="1:7">
      <c r="A9" s="157" t="s">
        <v>9</v>
      </c>
      <c r="B9" s="158">
        <v>0</v>
      </c>
      <c r="C9" s="158">
        <v>0</v>
      </c>
      <c r="D9" s="158">
        <v>1</v>
      </c>
      <c r="E9" s="158">
        <v>0</v>
      </c>
      <c r="F9" s="158">
        <v>0</v>
      </c>
      <c r="G9" s="160">
        <v>1</v>
      </c>
    </row>
    <row r="10" spans="1:7">
      <c r="A10" s="157" t="s">
        <v>10</v>
      </c>
      <c r="B10" s="158">
        <v>0</v>
      </c>
      <c r="C10" s="158">
        <v>0</v>
      </c>
      <c r="D10" s="158">
        <v>0</v>
      </c>
      <c r="E10" s="158">
        <v>0</v>
      </c>
      <c r="F10" s="158">
        <v>0</v>
      </c>
      <c r="G10" s="159">
        <v>0</v>
      </c>
    </row>
    <row r="11" spans="1:7">
      <c r="A11" s="157" t="s">
        <v>11</v>
      </c>
      <c r="B11" s="158">
        <v>0</v>
      </c>
      <c r="C11" s="158">
        <v>0</v>
      </c>
      <c r="D11" s="158">
        <v>0</v>
      </c>
      <c r="E11" s="158">
        <v>1</v>
      </c>
      <c r="F11" s="158">
        <v>0</v>
      </c>
      <c r="G11" s="159">
        <v>0</v>
      </c>
    </row>
    <row r="12" spans="1:7">
      <c r="A12" s="157" t="s">
        <v>12</v>
      </c>
      <c r="B12" s="158">
        <v>0</v>
      </c>
      <c r="C12" s="158">
        <v>1</v>
      </c>
      <c r="D12" s="158">
        <v>0</v>
      </c>
      <c r="E12" s="158">
        <v>1</v>
      </c>
      <c r="F12" s="158">
        <v>0</v>
      </c>
      <c r="G12" s="159">
        <v>0</v>
      </c>
    </row>
    <row r="13" spans="1:7">
      <c r="A13" s="157" t="s">
        <v>13</v>
      </c>
      <c r="B13" s="158">
        <v>5</v>
      </c>
      <c r="C13" s="158">
        <v>6</v>
      </c>
      <c r="D13" s="158">
        <v>5</v>
      </c>
      <c r="E13" s="158">
        <v>7</v>
      </c>
      <c r="F13" s="158">
        <v>5</v>
      </c>
      <c r="G13" s="161">
        <v>6</v>
      </c>
    </row>
    <row r="14" spans="1:7">
      <c r="A14" s="157" t="s">
        <v>14</v>
      </c>
      <c r="B14" s="158">
        <v>2</v>
      </c>
      <c r="C14" s="158">
        <v>1</v>
      </c>
      <c r="D14" s="158">
        <v>1</v>
      </c>
      <c r="E14" s="158">
        <v>0</v>
      </c>
      <c r="F14" s="158">
        <v>1</v>
      </c>
      <c r="G14" s="161">
        <v>1</v>
      </c>
    </row>
    <row r="15" spans="1:7">
      <c r="A15" s="157" t="s">
        <v>15</v>
      </c>
      <c r="B15" s="158">
        <v>0</v>
      </c>
      <c r="C15" s="158">
        <v>0</v>
      </c>
      <c r="D15" s="158">
        <v>0</v>
      </c>
      <c r="E15" s="158">
        <v>0</v>
      </c>
      <c r="F15" s="158">
        <v>0</v>
      </c>
      <c r="G15" s="159">
        <v>0</v>
      </c>
    </row>
    <row r="16" spans="1:7">
      <c r="A16" s="157" t="s">
        <v>16</v>
      </c>
      <c r="B16" s="158">
        <v>1</v>
      </c>
      <c r="C16" s="158">
        <v>0</v>
      </c>
      <c r="D16" s="158">
        <v>1</v>
      </c>
      <c r="E16" s="158">
        <v>0</v>
      </c>
      <c r="F16" s="158">
        <v>1</v>
      </c>
      <c r="G16" s="159">
        <v>0</v>
      </c>
    </row>
    <row r="17" spans="1:7">
      <c r="A17" s="157" t="s">
        <v>17</v>
      </c>
      <c r="B17" s="158">
        <v>1</v>
      </c>
      <c r="C17" s="158">
        <v>0</v>
      </c>
      <c r="D17" s="158">
        <v>1</v>
      </c>
      <c r="E17" s="158">
        <v>1</v>
      </c>
      <c r="F17" s="158">
        <v>1</v>
      </c>
      <c r="G17" s="159">
        <v>0</v>
      </c>
    </row>
    <row r="18" spans="1:7">
      <c r="A18" s="157" t="s">
        <v>18</v>
      </c>
      <c r="B18" s="158">
        <v>0</v>
      </c>
      <c r="C18" s="158">
        <v>0</v>
      </c>
      <c r="D18" s="158">
        <v>0</v>
      </c>
      <c r="E18" s="158">
        <v>0</v>
      </c>
      <c r="F18" s="158">
        <v>0</v>
      </c>
      <c r="G18" s="159">
        <v>0</v>
      </c>
    </row>
    <row r="19" spans="1:7">
      <c r="A19" s="157" t="s">
        <v>19</v>
      </c>
      <c r="B19" s="158">
        <v>0</v>
      </c>
      <c r="C19" s="158">
        <v>0</v>
      </c>
      <c r="D19" s="158">
        <v>1</v>
      </c>
      <c r="E19" s="158">
        <v>0</v>
      </c>
      <c r="F19" s="158">
        <v>1</v>
      </c>
      <c r="G19" s="159">
        <v>0</v>
      </c>
    </row>
    <row r="20" spans="1:7">
      <c r="A20" s="157" t="s">
        <v>20</v>
      </c>
      <c r="B20" s="158">
        <v>0</v>
      </c>
      <c r="C20" s="158">
        <v>0</v>
      </c>
      <c r="D20" s="158">
        <v>0</v>
      </c>
      <c r="E20" s="158">
        <v>0</v>
      </c>
      <c r="F20" s="158">
        <v>0</v>
      </c>
      <c r="G20" s="159">
        <v>0</v>
      </c>
    </row>
    <row r="21" spans="1:7">
      <c r="A21" s="157" t="s">
        <v>21</v>
      </c>
      <c r="B21" s="158">
        <v>0</v>
      </c>
      <c r="C21" s="158">
        <v>0</v>
      </c>
      <c r="D21" s="158">
        <v>0</v>
      </c>
      <c r="E21" s="158">
        <v>0</v>
      </c>
      <c r="F21" s="158">
        <v>0</v>
      </c>
      <c r="G21" s="161">
        <v>1</v>
      </c>
    </row>
    <row r="23" spans="1:7">
      <c r="A23" s="117" t="s">
        <v>22</v>
      </c>
    </row>
    <row r="24" spans="1:7">
      <c r="A24" s="2027" t="s">
        <v>680</v>
      </c>
      <c r="B24" s="2027"/>
      <c r="C24" s="2027"/>
      <c r="D24" s="2027"/>
      <c r="E24" s="2027"/>
      <c r="F24" s="2027"/>
    </row>
  </sheetData>
  <mergeCells count="4">
    <mergeCell ref="A2:G2"/>
    <mergeCell ref="A4:A5"/>
    <mergeCell ref="B4:G4"/>
    <mergeCell ref="A24:F24"/>
  </mergeCells>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2:G13"/>
  <sheetViews>
    <sheetView zoomScaleNormal="100" workbookViewId="0"/>
  </sheetViews>
  <sheetFormatPr baseColWidth="10" defaultRowHeight="11.25"/>
  <cols>
    <col min="1" max="1" width="50.28515625" style="53" customWidth="1"/>
    <col min="2" max="7" width="6.42578125" style="53" bestFit="1" customWidth="1"/>
    <col min="8" max="16384" width="11.42578125" style="53"/>
  </cols>
  <sheetData>
    <row r="2" spans="1:7" ht="30.75" customHeight="1">
      <c r="A2" s="2055" t="s">
        <v>949</v>
      </c>
      <c r="B2" s="2055"/>
      <c r="C2" s="2055"/>
      <c r="D2" s="2055"/>
      <c r="E2" s="2055"/>
      <c r="F2" s="2055"/>
      <c r="G2" s="2055"/>
    </row>
    <row r="4" spans="1:7">
      <c r="A4" s="1905" t="s">
        <v>144</v>
      </c>
      <c r="B4" s="1905">
        <v>2009</v>
      </c>
      <c r="C4" s="1905">
        <v>2010</v>
      </c>
      <c r="D4" s="1905">
        <v>2011</v>
      </c>
      <c r="E4" s="1905">
        <v>2012</v>
      </c>
      <c r="F4" s="1905">
        <v>2013</v>
      </c>
      <c r="G4" s="1905">
        <v>2014</v>
      </c>
    </row>
    <row r="5" spans="1:7">
      <c r="A5" s="150" t="s">
        <v>145</v>
      </c>
      <c r="B5" s="150">
        <v>3</v>
      </c>
      <c r="C5" s="150" t="s">
        <v>55</v>
      </c>
      <c r="D5" s="150">
        <v>3</v>
      </c>
      <c r="E5" s="150">
        <v>2</v>
      </c>
      <c r="F5" s="150">
        <v>6</v>
      </c>
      <c r="G5" s="150">
        <v>2</v>
      </c>
    </row>
    <row r="6" spans="1:7">
      <c r="A6" s="53" t="s">
        <v>146</v>
      </c>
      <c r="B6" s="53" t="s">
        <v>55</v>
      </c>
      <c r="C6" s="53" t="s">
        <v>55</v>
      </c>
      <c r="D6" s="53" t="s">
        <v>55</v>
      </c>
      <c r="E6" s="53" t="s">
        <v>55</v>
      </c>
      <c r="F6" s="53">
        <v>3</v>
      </c>
      <c r="G6" s="53">
        <v>2</v>
      </c>
    </row>
    <row r="7" spans="1:7">
      <c r="A7" s="53" t="s">
        <v>147</v>
      </c>
      <c r="B7" s="53" t="s">
        <v>55</v>
      </c>
      <c r="C7" s="53" t="s">
        <v>55</v>
      </c>
      <c r="D7" s="53" t="s">
        <v>55</v>
      </c>
      <c r="E7" s="53" t="s">
        <v>55</v>
      </c>
      <c r="F7" s="53">
        <v>3</v>
      </c>
      <c r="G7" s="53">
        <v>0</v>
      </c>
    </row>
    <row r="8" spans="1:7">
      <c r="A8" s="150" t="s">
        <v>148</v>
      </c>
      <c r="B8" s="150">
        <v>333</v>
      </c>
      <c r="C8" s="150" t="s">
        <v>55</v>
      </c>
      <c r="D8" s="150">
        <v>7</v>
      </c>
      <c r="E8" s="150">
        <v>327</v>
      </c>
      <c r="F8" s="150">
        <v>85</v>
      </c>
      <c r="G8" s="150">
        <v>24</v>
      </c>
    </row>
    <row r="9" spans="1:7">
      <c r="A9" s="53" t="s">
        <v>146</v>
      </c>
      <c r="B9" s="53" t="s">
        <v>55</v>
      </c>
      <c r="C9" s="53" t="s">
        <v>55</v>
      </c>
      <c r="D9" s="53" t="s">
        <v>55</v>
      </c>
      <c r="E9" s="53" t="s">
        <v>55</v>
      </c>
      <c r="F9" s="53">
        <v>39</v>
      </c>
      <c r="G9" s="53">
        <v>24</v>
      </c>
    </row>
    <row r="10" spans="1:7">
      <c r="A10" s="53" t="s">
        <v>147</v>
      </c>
      <c r="B10" s="53" t="s">
        <v>55</v>
      </c>
      <c r="C10" s="53" t="s">
        <v>55</v>
      </c>
      <c r="D10" s="53" t="s">
        <v>55</v>
      </c>
      <c r="E10" s="53" t="s">
        <v>55</v>
      </c>
      <c r="F10" s="53">
        <v>46</v>
      </c>
      <c r="G10" s="53">
        <v>0</v>
      </c>
    </row>
    <row r="12" spans="1:7">
      <c r="A12" s="53" t="s">
        <v>149</v>
      </c>
    </row>
    <row r="13" spans="1:7">
      <c r="A13" s="53" t="s">
        <v>150</v>
      </c>
    </row>
  </sheetData>
  <mergeCells count="1">
    <mergeCell ref="A2:G2"/>
  </mergeCells>
  <pageMargins left="0.7" right="0.7" top="0.75" bottom="0.75" header="0.3" footer="0.3"/>
</worksheet>
</file>

<file path=xl/worksheets/sheet200.xml><?xml version="1.0" encoding="utf-8"?>
<worksheet xmlns="http://schemas.openxmlformats.org/spreadsheetml/2006/main" xmlns:r="http://schemas.openxmlformats.org/officeDocument/2006/relationships">
  <dimension ref="A1:F12"/>
  <sheetViews>
    <sheetView zoomScaleNormal="100" workbookViewId="0">
      <selection activeCell="A20" sqref="A20"/>
    </sheetView>
  </sheetViews>
  <sheetFormatPr baseColWidth="10" defaultRowHeight="12"/>
  <cols>
    <col min="1" max="1" width="23.7109375" style="100" customWidth="1"/>
    <col min="2" max="5" width="11.42578125" style="100"/>
    <col min="6" max="6" width="5.7109375" style="100" customWidth="1"/>
    <col min="7" max="16384" width="11.42578125" style="100"/>
  </cols>
  <sheetData>
    <row r="1" spans="1:6">
      <c r="A1" s="843"/>
    </row>
    <row r="2" spans="1:6" s="102" customFormat="1" ht="24" customHeight="1">
      <c r="A2" s="2419" t="s">
        <v>1903</v>
      </c>
      <c r="B2" s="2419"/>
      <c r="C2" s="2419"/>
      <c r="D2" s="2419"/>
      <c r="E2" s="2419"/>
    </row>
    <row r="3" spans="1:6" s="102" customFormat="1" ht="11.25">
      <c r="A3" s="1038"/>
      <c r="B3" s="1038"/>
      <c r="C3" s="1038"/>
      <c r="D3" s="1038"/>
      <c r="E3" s="1038"/>
    </row>
    <row r="4" spans="1:6" s="102" customFormat="1" ht="12.75" customHeight="1">
      <c r="A4" s="2350" t="s">
        <v>1904</v>
      </c>
      <c r="B4" s="2411" t="s">
        <v>3555</v>
      </c>
      <c r="C4" s="2411"/>
      <c r="D4" s="2411" t="s">
        <v>3556</v>
      </c>
      <c r="E4" s="2411"/>
    </row>
    <row r="5" spans="1:6" s="102" customFormat="1" ht="11.25">
      <c r="A5" s="2351"/>
      <c r="B5" s="521" t="s">
        <v>1848</v>
      </c>
      <c r="C5" s="521" t="s">
        <v>1149</v>
      </c>
      <c r="D5" s="521" t="s">
        <v>1848</v>
      </c>
      <c r="E5" s="521" t="s">
        <v>1149</v>
      </c>
    </row>
    <row r="6" spans="1:6" s="102" customFormat="1" ht="11.25">
      <c r="A6" s="946" t="s">
        <v>6</v>
      </c>
      <c r="B6" s="1040">
        <f>SUM(B7:B8)</f>
        <v>51860.25</v>
      </c>
      <c r="C6" s="1040">
        <f>SUM(C7:C8)</f>
        <v>100</v>
      </c>
      <c r="D6" s="1040">
        <f>SUM(D7:D8)</f>
        <v>831.11333333333334</v>
      </c>
      <c r="E6" s="1040">
        <f>SUM(E7:E8)</f>
        <v>100</v>
      </c>
    </row>
    <row r="7" spans="1:6" s="102" customFormat="1" ht="11.25">
      <c r="A7" s="102" t="s">
        <v>763</v>
      </c>
      <c r="B7" s="967">
        <f>(114987780/3600)</f>
        <v>31941.05</v>
      </c>
      <c r="C7" s="1051">
        <f>+B7/$B$6*100</f>
        <v>61.59062094764294</v>
      </c>
      <c r="D7" s="1055">
        <f>(2226720/3600)</f>
        <v>618.5333333333333</v>
      </c>
      <c r="E7" s="1051">
        <f>+D7/$D$6*100</f>
        <v>74.422260903045711</v>
      </c>
    </row>
    <row r="8" spans="1:6" s="85" customFormat="1" ht="11.25">
      <c r="A8" s="102" t="s">
        <v>1905</v>
      </c>
      <c r="B8" s="967">
        <f>(71709120/3600)</f>
        <v>19919.2</v>
      </c>
      <c r="C8" s="1051">
        <f>+B8/$B$6*100</f>
        <v>38.409379052357053</v>
      </c>
      <c r="D8" s="1055">
        <f>(765288/3600)</f>
        <v>212.58</v>
      </c>
      <c r="E8" s="1051">
        <f>+D8/$D$6*100</f>
        <v>25.577739096954289</v>
      </c>
      <c r="F8" s="102"/>
    </row>
    <row r="9" spans="1:6" s="85" customFormat="1" ht="7.5" customHeight="1">
      <c r="A9" s="102"/>
      <c r="B9" s="966"/>
      <c r="C9" s="1051"/>
      <c r="D9" s="970"/>
      <c r="E9" s="1051"/>
      <c r="F9" s="102"/>
    </row>
    <row r="10" spans="1:6" s="85" customFormat="1" ht="23.25" customHeight="1">
      <c r="A10" s="2420" t="s">
        <v>3592</v>
      </c>
      <c r="B10" s="2420"/>
      <c r="C10" s="2420"/>
      <c r="D10" s="2420"/>
      <c r="E10" s="2420"/>
      <c r="F10" s="102"/>
    </row>
    <row r="11" spans="1:6" s="85" customFormat="1" ht="12.75" customHeight="1">
      <c r="A11" s="2418" t="s">
        <v>3589</v>
      </c>
      <c r="B11" s="2418"/>
      <c r="C11" s="2418"/>
      <c r="D11" s="2418"/>
      <c r="E11" s="2418"/>
      <c r="F11" s="102"/>
    </row>
    <row r="12" spans="1:6" s="85" customFormat="1" ht="11.25">
      <c r="A12" s="1054" t="s">
        <v>1906</v>
      </c>
      <c r="B12" s="104"/>
      <c r="C12" s="104"/>
      <c r="D12" s="606"/>
      <c r="E12" s="102"/>
      <c r="F12" s="102"/>
    </row>
  </sheetData>
  <mergeCells count="6">
    <mergeCell ref="A11:E11"/>
    <mergeCell ref="A2:E2"/>
    <mergeCell ref="A4:A5"/>
    <mergeCell ref="B4:C4"/>
    <mergeCell ref="D4:E4"/>
    <mergeCell ref="A10:E10"/>
  </mergeCells>
  <pageMargins left="0.7" right="0.7" top="0.75" bottom="0.75" header="0.3" footer="0.3"/>
  <pageSetup paperSize="14" scale="90" orientation="landscape" r:id="rId1"/>
</worksheet>
</file>

<file path=xl/worksheets/sheet201.xml><?xml version="1.0" encoding="utf-8"?>
<worksheet xmlns="http://schemas.openxmlformats.org/spreadsheetml/2006/main" xmlns:r="http://schemas.openxmlformats.org/officeDocument/2006/relationships">
  <dimension ref="A1:F26"/>
  <sheetViews>
    <sheetView zoomScaleNormal="100" workbookViewId="0">
      <selection activeCell="A34" sqref="A34"/>
    </sheetView>
  </sheetViews>
  <sheetFormatPr baseColWidth="10" defaultRowHeight="12"/>
  <cols>
    <col min="1" max="1" width="29.42578125" style="100" customWidth="1"/>
    <col min="2" max="5" width="11.42578125" style="100"/>
    <col min="6" max="6" width="5.140625" style="100" customWidth="1"/>
    <col min="7" max="16384" width="11.42578125" style="100"/>
  </cols>
  <sheetData>
    <row r="1" spans="1:6">
      <c r="A1" s="843"/>
    </row>
    <row r="2" spans="1:6" s="102" customFormat="1" ht="23.25" customHeight="1">
      <c r="A2" s="2349" t="s">
        <v>1907</v>
      </c>
      <c r="B2" s="2349"/>
      <c r="C2" s="2349"/>
      <c r="D2" s="2349"/>
      <c r="E2" s="2349"/>
      <c r="F2" s="103"/>
    </row>
    <row r="3" spans="1:6" s="102" customFormat="1" ht="11.25">
      <c r="A3" s="1038"/>
      <c r="B3" s="1038"/>
      <c r="C3" s="1038"/>
      <c r="D3" s="1038"/>
      <c r="E3" s="1038"/>
      <c r="F3" s="103"/>
    </row>
    <row r="4" spans="1:6" s="102" customFormat="1" ht="12.75" customHeight="1">
      <c r="A4" s="2350" t="s">
        <v>1893</v>
      </c>
      <c r="B4" s="2411" t="s">
        <v>3555</v>
      </c>
      <c r="C4" s="2411"/>
      <c r="D4" s="2411" t="s">
        <v>3556</v>
      </c>
      <c r="E4" s="2411"/>
      <c r="F4" s="103"/>
    </row>
    <row r="5" spans="1:6" s="102" customFormat="1" ht="11.25">
      <c r="A5" s="2351"/>
      <c r="B5" s="521" t="s">
        <v>1848</v>
      </c>
      <c r="C5" s="521" t="s">
        <v>1149</v>
      </c>
      <c r="D5" s="521" t="s">
        <v>1848</v>
      </c>
      <c r="E5" s="521" t="s">
        <v>1149</v>
      </c>
      <c r="F5" s="103"/>
    </row>
    <row r="6" spans="1:6" s="102" customFormat="1" ht="11.25">
      <c r="A6" s="946" t="s">
        <v>6</v>
      </c>
      <c r="B6" s="1040">
        <f>SUM(B7:B20)</f>
        <v>31941.050000000003</v>
      </c>
      <c r="C6" s="1040">
        <f>SUM(C7:C20)</f>
        <v>99.999999999999986</v>
      </c>
      <c r="D6" s="1040">
        <f>SUM(D7:D20)</f>
        <v>618.53333333333342</v>
      </c>
      <c r="E6" s="1040">
        <f>SUM(E7:E20)</f>
        <v>99.999999999999972</v>
      </c>
      <c r="F6" s="103"/>
    </row>
    <row r="7" spans="1:6" s="102" customFormat="1" ht="11.25">
      <c r="A7" s="102" t="s">
        <v>1894</v>
      </c>
      <c r="B7" s="1050">
        <f>(26501460/3600)</f>
        <v>7361.5166666666664</v>
      </c>
      <c r="C7" s="1051">
        <f t="shared" ref="C7:C19" si="0">+B7/$B$6*100</f>
        <v>23.047196841264348</v>
      </c>
      <c r="D7" s="1050">
        <f>(363024/3600)</f>
        <v>100.84</v>
      </c>
      <c r="E7" s="1051">
        <f t="shared" ref="E7:E19" si="1">+D7/$D$6*100</f>
        <v>16.30308256089674</v>
      </c>
      <c r="F7" s="103"/>
    </row>
    <row r="8" spans="1:6" s="102" customFormat="1" ht="11.25">
      <c r="A8" s="102" t="s">
        <v>842</v>
      </c>
      <c r="B8" s="1050">
        <f>(678000/3600)</f>
        <v>188.33333333333334</v>
      </c>
      <c r="C8" s="1051">
        <f t="shared" si="0"/>
        <v>0.58962787176167764</v>
      </c>
      <c r="D8" s="1050">
        <f>(8875/3600)</f>
        <v>2.4652777777777777</v>
      </c>
      <c r="E8" s="1051">
        <f t="shared" si="1"/>
        <v>0.39856829776532293</v>
      </c>
      <c r="F8" s="103"/>
    </row>
    <row r="9" spans="1:6" s="102" customFormat="1" ht="11.25">
      <c r="A9" s="102" t="s">
        <v>1286</v>
      </c>
      <c r="B9" s="1050">
        <f>(2898120/3600)</f>
        <v>805.0333333333333</v>
      </c>
      <c r="C9" s="1051">
        <f t="shared" si="0"/>
        <v>2.5203721647639421</v>
      </c>
      <c r="D9" s="1050">
        <f>(99401/3600)</f>
        <v>27.611388888888889</v>
      </c>
      <c r="E9" s="1051">
        <f t="shared" si="1"/>
        <v>4.4640098440755906</v>
      </c>
      <c r="F9" s="103"/>
    </row>
    <row r="10" spans="1:6" s="102" customFormat="1" ht="11.25">
      <c r="A10" s="102" t="s">
        <v>1895</v>
      </c>
      <c r="B10" s="1050">
        <f>(33486540/3600)</f>
        <v>9301.8166666666675</v>
      </c>
      <c r="C10" s="1051">
        <f t="shared" si="0"/>
        <v>29.121824945224617</v>
      </c>
      <c r="D10" s="1050">
        <f>(774712/3600)</f>
        <v>215.19777777777779</v>
      </c>
      <c r="E10" s="1051">
        <f t="shared" si="1"/>
        <v>34.791621757562687</v>
      </c>
      <c r="F10" s="103"/>
    </row>
    <row r="11" spans="1:6" s="102" customFormat="1" ht="11.25">
      <c r="A11" s="102" t="s">
        <v>1896</v>
      </c>
      <c r="B11" s="1050">
        <f>(117900/3600)</f>
        <v>32.75</v>
      </c>
      <c r="C11" s="1051">
        <f t="shared" si="0"/>
        <v>0.10253263433731828</v>
      </c>
      <c r="D11" s="1050">
        <f>(756/3600)</f>
        <v>0.21</v>
      </c>
      <c r="E11" s="1051">
        <f t="shared" si="1"/>
        <v>3.3951282604009474E-2</v>
      </c>
      <c r="F11" s="103"/>
    </row>
    <row r="12" spans="1:6" s="102" customFormat="1" ht="11.25">
      <c r="A12" s="102" t="s">
        <v>738</v>
      </c>
      <c r="B12" s="1050">
        <f>(25452300/3600)</f>
        <v>7070.083333333333</v>
      </c>
      <c r="C12" s="1051">
        <f t="shared" si="0"/>
        <v>22.134786844306408</v>
      </c>
      <c r="D12" s="1050">
        <f>(468305/3600)</f>
        <v>130.08472222222221</v>
      </c>
      <c r="E12" s="1051">
        <f t="shared" si="1"/>
        <v>21.03115793633685</v>
      </c>
      <c r="F12" s="103"/>
    </row>
    <row r="13" spans="1:6" s="102" customFormat="1" ht="11.25">
      <c r="A13" s="102" t="s">
        <v>1897</v>
      </c>
      <c r="B13" s="1050">
        <f>(222780/3600)</f>
        <v>61.883333333333333</v>
      </c>
      <c r="C13" s="1051">
        <f t="shared" si="0"/>
        <v>0.19374232635850519</v>
      </c>
      <c r="D13" s="1050">
        <f>(4658/3600)</f>
        <v>1.2938888888888889</v>
      </c>
      <c r="E13" s="1051">
        <f t="shared" si="1"/>
        <v>0.20918660630883087</v>
      </c>
      <c r="F13" s="103"/>
    </row>
    <row r="14" spans="1:6" s="102" customFormat="1" ht="11.25">
      <c r="A14" s="1052" t="s">
        <v>1833</v>
      </c>
      <c r="B14" s="1050">
        <f>(8942340/3600)</f>
        <v>2483.9833333333331</v>
      </c>
      <c r="C14" s="1051">
        <f t="shared" si="0"/>
        <v>7.7767741928751022</v>
      </c>
      <c r="D14" s="1050">
        <f>(11227/3600)</f>
        <v>3.118611111111111</v>
      </c>
      <c r="E14" s="1051">
        <f t="shared" si="1"/>
        <v>0.50419451031113016</v>
      </c>
      <c r="F14" s="103"/>
    </row>
    <row r="15" spans="1:6" s="102" customFormat="1" ht="11.25">
      <c r="A15" s="102" t="s">
        <v>1898</v>
      </c>
      <c r="B15" s="1050">
        <f>(3602040/3600)</f>
        <v>1000.5666666666667</v>
      </c>
      <c r="C15" s="1051">
        <f t="shared" si="0"/>
        <v>3.1325415622425266</v>
      </c>
      <c r="D15" s="1050">
        <f>(64718/3600)</f>
        <v>17.977222222222224</v>
      </c>
      <c r="E15" s="1051">
        <f t="shared" si="1"/>
        <v>2.9064273909606952</v>
      </c>
      <c r="F15" s="103"/>
    </row>
    <row r="16" spans="1:6" s="102" customFormat="1" ht="11.25">
      <c r="A16" s="102" t="s">
        <v>1899</v>
      </c>
      <c r="B16" s="1050">
        <f>(1723980/3600)</f>
        <v>478.88333333333333</v>
      </c>
      <c r="C16" s="1051">
        <f t="shared" si="0"/>
        <v>1.4992723574626798</v>
      </c>
      <c r="D16" s="1050">
        <f>(58214/3600)</f>
        <v>16.170555555555556</v>
      </c>
      <c r="E16" s="1051">
        <f t="shared" si="1"/>
        <v>2.6143385787166773</v>
      </c>
      <c r="F16" s="103"/>
    </row>
    <row r="17" spans="1:6" s="102" customFormat="1" ht="11.25">
      <c r="A17" s="102" t="s">
        <v>1900</v>
      </c>
      <c r="B17" s="1050">
        <f>(5339220/3600)</f>
        <v>1483.1166666666666</v>
      </c>
      <c r="C17" s="1051">
        <f t="shared" si="0"/>
        <v>4.6432934003943718</v>
      </c>
      <c r="D17" s="1050">
        <f>(149907/3600)</f>
        <v>41.640833333333333</v>
      </c>
      <c r="E17" s="1051">
        <f t="shared" si="1"/>
        <v>6.7321890493640861</v>
      </c>
      <c r="F17" s="103"/>
    </row>
    <row r="18" spans="1:6" s="102" customFormat="1" ht="11.25">
      <c r="A18" s="102" t="s">
        <v>1901</v>
      </c>
      <c r="B18" s="1050">
        <f>(5104440/3600)</f>
        <v>1417.9</v>
      </c>
      <c r="C18" s="1051">
        <f t="shared" si="0"/>
        <v>4.4391151825002622</v>
      </c>
      <c r="D18" s="1050">
        <f>(221737/3600)</f>
        <v>61.593611111111109</v>
      </c>
      <c r="E18" s="1051">
        <f t="shared" si="1"/>
        <v>9.9580099877847221</v>
      </c>
      <c r="F18" s="103"/>
    </row>
    <row r="19" spans="1:6" s="102" customFormat="1" ht="11.25">
      <c r="A19" s="102" t="s">
        <v>1902</v>
      </c>
      <c r="B19" s="1050">
        <f>(918660/3600)</f>
        <v>255.18333333333334</v>
      </c>
      <c r="C19" s="1051">
        <f t="shared" si="0"/>
        <v>0.79891967650823414</v>
      </c>
      <c r="D19" s="1050">
        <f>(1186/3600)</f>
        <v>0.32944444444444443</v>
      </c>
      <c r="E19" s="1051">
        <f t="shared" si="1"/>
        <v>5.326219731263921E-2</v>
      </c>
      <c r="F19" s="103"/>
    </row>
    <row r="20" spans="1:6" s="102" customFormat="1" ht="11.25">
      <c r="A20" s="1052" t="s">
        <v>1908</v>
      </c>
      <c r="B20" s="1046" t="s">
        <v>55</v>
      </c>
      <c r="C20" s="1046" t="s">
        <v>55</v>
      </c>
      <c r="D20" s="1046" t="s">
        <v>55</v>
      </c>
      <c r="E20" s="1046" t="s">
        <v>55</v>
      </c>
      <c r="F20" s="103"/>
    </row>
    <row r="21" spans="1:6" s="102" customFormat="1" ht="6" customHeight="1">
      <c r="A21" s="1052"/>
      <c r="B21" s="966"/>
      <c r="C21" s="1051"/>
      <c r="D21" s="1053"/>
      <c r="E21" s="1051"/>
      <c r="F21" s="103"/>
    </row>
    <row r="22" spans="1:6" s="85" customFormat="1" ht="12.75" customHeight="1">
      <c r="A22" s="2422" t="s">
        <v>3590</v>
      </c>
      <c r="B22" s="2422"/>
      <c r="C22" s="2422"/>
      <c r="D22" s="2422"/>
      <c r="E22" s="2422"/>
      <c r="F22" s="103"/>
    </row>
    <row r="23" spans="1:6" s="85" customFormat="1" ht="12.75" customHeight="1">
      <c r="A23" s="2422" t="s">
        <v>3591</v>
      </c>
      <c r="B23" s="2422"/>
      <c r="C23" s="2422"/>
      <c r="D23" s="2422"/>
      <c r="E23" s="2422"/>
      <c r="F23" s="103"/>
    </row>
    <row r="24" spans="1:6" s="85" customFormat="1" ht="12.75" customHeight="1">
      <c r="A24" s="2421" t="s">
        <v>160</v>
      </c>
      <c r="B24" s="2421"/>
      <c r="C24" s="2421"/>
      <c r="D24" s="2421"/>
      <c r="E24" s="2421"/>
      <c r="F24" s="103"/>
    </row>
    <row r="25" spans="1:6" s="85" customFormat="1" ht="12.75" customHeight="1">
      <c r="A25" s="2181" t="s">
        <v>1883</v>
      </c>
      <c r="B25" s="2181"/>
      <c r="C25" s="2181"/>
      <c r="D25" s="2181"/>
      <c r="E25" s="2181"/>
      <c r="F25" s="103"/>
    </row>
    <row r="26" spans="1:6" s="85" customFormat="1" ht="11.25">
      <c r="A26" s="1054"/>
      <c r="B26" s="1051"/>
      <c r="D26" s="606"/>
      <c r="F26" s="103"/>
    </row>
  </sheetData>
  <mergeCells count="8">
    <mergeCell ref="A24:E24"/>
    <mergeCell ref="A25:E25"/>
    <mergeCell ref="A2:E2"/>
    <mergeCell ref="A4:A5"/>
    <mergeCell ref="B4:C4"/>
    <mergeCell ref="D4:E4"/>
    <mergeCell ref="A22:E22"/>
    <mergeCell ref="A23:E23"/>
  </mergeCells>
  <pageMargins left="0.7" right="0.7" top="0.75" bottom="0.75" header="0.3" footer="0.3"/>
  <pageSetup paperSize="14" scale="90" orientation="landscape" r:id="rId1"/>
</worksheet>
</file>

<file path=xl/worksheets/sheet202.xml><?xml version="1.0" encoding="utf-8"?>
<worksheet xmlns="http://schemas.openxmlformats.org/spreadsheetml/2006/main" xmlns:r="http://schemas.openxmlformats.org/officeDocument/2006/relationships">
  <dimension ref="A1:F26"/>
  <sheetViews>
    <sheetView zoomScaleNormal="100" workbookViewId="0">
      <selection activeCell="A32" sqref="A32"/>
    </sheetView>
  </sheetViews>
  <sheetFormatPr baseColWidth="10" defaultRowHeight="11.25"/>
  <cols>
    <col min="1" max="1" width="29.85546875" style="102" customWidth="1"/>
    <col min="2" max="3" width="11.42578125" style="104"/>
    <col min="4" max="4" width="11.42578125" style="85"/>
    <col min="5" max="5" width="12" style="85" customWidth="1"/>
    <col min="6" max="6" width="5.7109375" style="85" customWidth="1"/>
    <col min="7" max="16384" width="11.42578125" style="85"/>
  </cols>
  <sheetData>
    <row r="1" spans="1:6" ht="12">
      <c r="A1" s="843"/>
      <c r="D1" s="606"/>
      <c r="E1" s="102"/>
      <c r="F1" s="102"/>
    </row>
    <row r="2" spans="1:6" s="102" customFormat="1" ht="30" customHeight="1">
      <c r="A2" s="2349" t="s">
        <v>1909</v>
      </c>
      <c r="B2" s="2349"/>
      <c r="C2" s="2349"/>
      <c r="D2" s="2349"/>
      <c r="E2" s="2349"/>
      <c r="F2" s="85"/>
    </row>
    <row r="3" spans="1:6" s="102" customFormat="1" ht="7.5" customHeight="1">
      <c r="A3" s="1038"/>
      <c r="B3" s="1038"/>
      <c r="C3" s="1038"/>
      <c r="D3" s="1038"/>
      <c r="E3" s="1038"/>
      <c r="F3" s="85"/>
    </row>
    <row r="4" spans="1:6" s="102" customFormat="1" ht="12.75" customHeight="1">
      <c r="A4" s="2350" t="s">
        <v>1893</v>
      </c>
      <c r="B4" s="2411" t="s">
        <v>3555</v>
      </c>
      <c r="C4" s="2411"/>
      <c r="D4" s="2411" t="s">
        <v>3556</v>
      </c>
      <c r="E4" s="2411"/>
      <c r="F4" s="85"/>
    </row>
    <row r="5" spans="1:6" s="102" customFormat="1">
      <c r="A5" s="2351"/>
      <c r="B5" s="521" t="s">
        <v>1848</v>
      </c>
      <c r="C5" s="521" t="s">
        <v>1149</v>
      </c>
      <c r="D5" s="521" t="s">
        <v>1848</v>
      </c>
      <c r="E5" s="521" t="s">
        <v>1149</v>
      </c>
      <c r="F5" s="85"/>
    </row>
    <row r="6" spans="1:6" s="102" customFormat="1">
      <c r="A6" s="946" t="s">
        <v>6</v>
      </c>
      <c r="B6" s="1039">
        <f>SUM(B7:B20)</f>
        <v>19919.2</v>
      </c>
      <c r="C6" s="1040">
        <f>SUM(C7:C20)</f>
        <v>100</v>
      </c>
      <c r="D6" s="1039">
        <f>SUM(D7:D20)</f>
        <v>212.57999999999998</v>
      </c>
      <c r="E6" s="1040">
        <f>SUM(E7:E20)</f>
        <v>100</v>
      </c>
      <c r="F6" s="85"/>
    </row>
    <row r="7" spans="1:6" s="102" customFormat="1">
      <c r="A7" s="102" t="s">
        <v>1894</v>
      </c>
      <c r="B7" s="1041">
        <f>(2010540/3600)</f>
        <v>558.48333333333335</v>
      </c>
      <c r="C7" s="1042">
        <f>B7/$B$6*100</f>
        <v>2.8037437915846688</v>
      </c>
      <c r="D7" s="1041">
        <f>(40624/3600)</f>
        <v>11.284444444444444</v>
      </c>
      <c r="E7" s="1043">
        <f>D7/$D$6*100</f>
        <v>5.3083283678824182</v>
      </c>
      <c r="F7" s="85"/>
    </row>
    <row r="8" spans="1:6" s="102" customFormat="1">
      <c r="A8" s="102" t="s">
        <v>842</v>
      </c>
      <c r="B8" s="1041">
        <f>(1021320/3600)</f>
        <v>283.7</v>
      </c>
      <c r="C8" s="1042">
        <f t="shared" ref="C8:C18" si="0">B8/$B$6*100</f>
        <v>1.4242539861038594</v>
      </c>
      <c r="D8" s="1041">
        <f>(8471/3600)</f>
        <v>2.3530555555555557</v>
      </c>
      <c r="E8" s="1043">
        <f>D8/$D$6*100</f>
        <v>1.1069035448092746</v>
      </c>
      <c r="F8" s="85"/>
    </row>
    <row r="9" spans="1:6" s="102" customFormat="1">
      <c r="A9" s="102" t="s">
        <v>1286</v>
      </c>
      <c r="B9" s="1041">
        <f>(669960/3600)</f>
        <v>186.1</v>
      </c>
      <c r="C9" s="1042">
        <f t="shared" si="0"/>
        <v>0.93427446885417076</v>
      </c>
      <c r="D9" s="1041">
        <f>(4081/3600)</f>
        <v>1.1336111111111111</v>
      </c>
      <c r="E9" s="1043">
        <f>D9/$D$6*100</f>
        <v>0.53326329434147668</v>
      </c>
      <c r="F9" s="85"/>
    </row>
    <row r="10" spans="1:6" s="102" customFormat="1">
      <c r="A10" s="102" t="s">
        <v>1895</v>
      </c>
      <c r="B10" s="1041">
        <f>(170700/3600)</f>
        <v>47.416666666666664</v>
      </c>
      <c r="C10" s="1042">
        <f t="shared" si="0"/>
        <v>0.23804503527584775</v>
      </c>
      <c r="D10" s="1041">
        <f>(412/3600)</f>
        <v>0.11444444444444445</v>
      </c>
      <c r="E10" s="1043">
        <f>D10/$D$6*100</f>
        <v>5.3835941501761429E-2</v>
      </c>
      <c r="F10" s="85"/>
    </row>
    <row r="11" spans="1:6" s="102" customFormat="1">
      <c r="A11" s="102" t="s">
        <v>1896</v>
      </c>
      <c r="B11" s="1041">
        <f>(2623320/3600)</f>
        <v>728.7</v>
      </c>
      <c r="C11" s="1042">
        <f t="shared" si="0"/>
        <v>3.6582794489738544</v>
      </c>
      <c r="D11" s="1041">
        <f>(4659/3600)</f>
        <v>1.2941666666666667</v>
      </c>
      <c r="E11" s="1043">
        <f>D11/$D$6*100</f>
        <v>0.60879041615705465</v>
      </c>
      <c r="F11" s="85"/>
    </row>
    <row r="12" spans="1:6" s="102" customFormat="1">
      <c r="A12" s="102" t="s">
        <v>738</v>
      </c>
      <c r="B12" s="1041">
        <f>(1926000/3600)</f>
        <v>535</v>
      </c>
      <c r="C12" s="1042">
        <f t="shared" si="0"/>
        <v>2.6858508373830272</v>
      </c>
      <c r="D12" s="1041">
        <f>(4490/3600)</f>
        <v>1.2472222222222222</v>
      </c>
      <c r="E12" s="1043">
        <f t="shared" ref="E12:E18" si="1">D12/$D$6*100</f>
        <v>0.58670722656045837</v>
      </c>
      <c r="F12" s="85"/>
    </row>
    <row r="13" spans="1:6" s="102" customFormat="1">
      <c r="A13" s="102" t="s">
        <v>1897</v>
      </c>
      <c r="B13" s="1041">
        <f>(10583340/3600)</f>
        <v>2939.8166666666666</v>
      </c>
      <c r="C13" s="1042">
        <f t="shared" si="0"/>
        <v>14.75870851573691</v>
      </c>
      <c r="D13" s="1041">
        <f>(152533/3600)</f>
        <v>42.37027777777778</v>
      </c>
      <c r="E13" s="1043">
        <f t="shared" si="1"/>
        <v>19.931450643417907</v>
      </c>
      <c r="F13" s="85"/>
    </row>
    <row r="14" spans="1:6" s="102" customFormat="1">
      <c r="A14" s="1044" t="s">
        <v>1833</v>
      </c>
      <c r="B14" s="1041">
        <f>(3038580/3600)</f>
        <v>844.05</v>
      </c>
      <c r="C14" s="1042">
        <f t="shared" si="0"/>
        <v>4.2373689706413904</v>
      </c>
      <c r="D14" s="1041">
        <f>(3121/3600)</f>
        <v>0.86694444444444441</v>
      </c>
      <c r="E14" s="1043">
        <f t="shared" si="1"/>
        <v>0.40782032385193551</v>
      </c>
      <c r="F14" s="85"/>
    </row>
    <row r="15" spans="1:6" s="102" customFormat="1">
      <c r="A15" s="102" t="s">
        <v>1898</v>
      </c>
      <c r="B15" s="1041">
        <f>(920520/3600)</f>
        <v>255.7</v>
      </c>
      <c r="C15" s="1042">
        <f t="shared" si="0"/>
        <v>1.2836860918109161</v>
      </c>
      <c r="D15" s="1041">
        <f>(4732/3600)</f>
        <v>1.3144444444444445</v>
      </c>
      <c r="E15" s="1043">
        <f t="shared" si="1"/>
        <v>0.61832930870469693</v>
      </c>
      <c r="F15" s="85"/>
    </row>
    <row r="16" spans="1:6" s="102" customFormat="1">
      <c r="A16" s="102" t="s">
        <v>1899</v>
      </c>
      <c r="B16" s="1041">
        <f>(3124740/3600)</f>
        <v>867.98333333333335</v>
      </c>
      <c r="C16" s="1042">
        <f t="shared" si="0"/>
        <v>4.3575210517155973</v>
      </c>
      <c r="D16" s="1041">
        <f>(7955/3600)</f>
        <v>2.2097222222222221</v>
      </c>
      <c r="E16" s="1043">
        <f t="shared" si="1"/>
        <v>1.039477948171146</v>
      </c>
      <c r="F16" s="85"/>
    </row>
    <row r="17" spans="1:6" s="102" customFormat="1">
      <c r="A17" s="102" t="s">
        <v>1900</v>
      </c>
      <c r="B17" s="1041">
        <f>(31867200/3600)</f>
        <v>8852</v>
      </c>
      <c r="C17" s="1042">
        <f t="shared" si="0"/>
        <v>44.439535724326277</v>
      </c>
      <c r="D17" s="1041">
        <f>(177114/3600)</f>
        <v>49.198333333333331</v>
      </c>
      <c r="E17" s="1043">
        <f t="shared" si="1"/>
        <v>23.14344403675479</v>
      </c>
      <c r="F17" s="85"/>
    </row>
    <row r="18" spans="1:6" s="102" customFormat="1">
      <c r="A18" s="102" t="s">
        <v>1901</v>
      </c>
      <c r="B18" s="1041">
        <f>(13752900/3600)</f>
        <v>3820.25</v>
      </c>
      <c r="C18" s="1042">
        <f t="shared" si="0"/>
        <v>19.178732077593477</v>
      </c>
      <c r="D18" s="1041">
        <f>(357096/3600)</f>
        <v>99.193333333333328</v>
      </c>
      <c r="E18" s="1043">
        <f t="shared" si="1"/>
        <v>46.661648947847084</v>
      </c>
      <c r="F18" s="85"/>
    </row>
    <row r="19" spans="1:6" s="102" customFormat="1">
      <c r="A19" s="102" t="s">
        <v>1902</v>
      </c>
      <c r="B19" s="1041">
        <f>(0/3600)</f>
        <v>0</v>
      </c>
      <c r="C19" s="1045">
        <v>0</v>
      </c>
      <c r="D19" s="1041">
        <f>(0/3600)</f>
        <v>0</v>
      </c>
      <c r="E19" s="1045">
        <v>0</v>
      </c>
      <c r="F19" s="85"/>
    </row>
    <row r="20" spans="1:6">
      <c r="A20" s="1044" t="s">
        <v>1908</v>
      </c>
      <c r="B20" s="1046"/>
      <c r="C20" s="1046" t="s">
        <v>55</v>
      </c>
      <c r="D20" s="1046"/>
      <c r="E20" s="1046" t="s">
        <v>55</v>
      </c>
    </row>
    <row r="21" spans="1:6" ht="6" customHeight="1"/>
    <row r="22" spans="1:6" s="606" customFormat="1" ht="12.75" customHeight="1">
      <c r="A22" s="2413" t="s">
        <v>3588</v>
      </c>
      <c r="B22" s="2413"/>
      <c r="C22" s="2413"/>
      <c r="D22" s="2413"/>
      <c r="E22" s="2413"/>
      <c r="F22" s="1047"/>
    </row>
    <row r="23" spans="1:6" ht="12.75" customHeight="1">
      <c r="A23" s="2413" t="s">
        <v>3589</v>
      </c>
      <c r="B23" s="2413"/>
      <c r="C23" s="2413"/>
      <c r="D23" s="2413"/>
      <c r="E23" s="2413"/>
      <c r="F23" s="103"/>
    </row>
    <row r="24" spans="1:6" s="107" customFormat="1" ht="12.75" customHeight="1">
      <c r="A24" s="1048" t="s">
        <v>161</v>
      </c>
      <c r="B24" s="1049"/>
      <c r="C24" s="1049"/>
      <c r="D24" s="1049"/>
      <c r="E24" s="1049"/>
      <c r="F24" s="1049"/>
    </row>
    <row r="25" spans="1:6" ht="12.75" customHeight="1">
      <c r="A25" s="2421" t="s">
        <v>149</v>
      </c>
      <c r="B25" s="2421"/>
      <c r="C25" s="2421"/>
      <c r="D25" s="2421"/>
      <c r="E25" s="2421"/>
      <c r="F25" s="103"/>
    </row>
    <row r="26" spans="1:6">
      <c r="A26" s="2423" t="s">
        <v>1906</v>
      </c>
      <c r="B26" s="2423"/>
      <c r="C26" s="2423"/>
      <c r="D26" s="2423"/>
      <c r="E26" s="2423"/>
    </row>
  </sheetData>
  <mergeCells count="8">
    <mergeCell ref="A25:E25"/>
    <mergeCell ref="A26:E26"/>
    <mergeCell ref="A2:E2"/>
    <mergeCell ref="A4:A5"/>
    <mergeCell ref="B4:C4"/>
    <mergeCell ref="D4:E4"/>
    <mergeCell ref="A22:E22"/>
    <mergeCell ref="A23:E23"/>
  </mergeCells>
  <pageMargins left="0.7" right="0.7" top="0.75" bottom="0.75" header="0.3" footer="0.3"/>
  <pageSetup paperSize="14" scale="90" orientation="landscape" r:id="rId1"/>
</worksheet>
</file>

<file path=xl/worksheets/sheet203.xml><?xml version="1.0" encoding="utf-8"?>
<worksheet xmlns="http://schemas.openxmlformats.org/spreadsheetml/2006/main" xmlns:r="http://schemas.openxmlformats.org/officeDocument/2006/relationships">
  <dimension ref="A1:F14"/>
  <sheetViews>
    <sheetView zoomScaleNormal="100" workbookViewId="0">
      <selection activeCell="A18" sqref="A18"/>
    </sheetView>
  </sheetViews>
  <sheetFormatPr baseColWidth="10" defaultRowHeight="12"/>
  <cols>
    <col min="1" max="1" width="28" style="100" customWidth="1"/>
    <col min="2" max="5" width="15.5703125" style="100" customWidth="1"/>
    <col min="6" max="6" width="5.42578125" style="100" customWidth="1"/>
    <col min="7" max="16384" width="11.42578125" style="100"/>
  </cols>
  <sheetData>
    <row r="1" spans="1:6">
      <c r="A1" s="843"/>
    </row>
    <row r="2" spans="1:6" s="98" customFormat="1" ht="24" customHeight="1">
      <c r="A2" s="2304" t="s">
        <v>1910</v>
      </c>
      <c r="B2" s="2304"/>
      <c r="C2" s="2304"/>
      <c r="D2" s="2304"/>
      <c r="E2" s="2304"/>
    </row>
    <row r="3" spans="1:6" s="98" customFormat="1" ht="11.25">
      <c r="A3" s="97"/>
    </row>
    <row r="4" spans="1:6" s="98" customFormat="1" ht="15.75" customHeight="1">
      <c r="A4" s="2426" t="s">
        <v>1911</v>
      </c>
      <c r="B4" s="2429" t="s">
        <v>1912</v>
      </c>
      <c r="C4" s="2429"/>
      <c r="D4" s="2429"/>
      <c r="E4" s="2429"/>
    </row>
    <row r="5" spans="1:6" s="98" customFormat="1" ht="12.75">
      <c r="A5" s="2427"/>
      <c r="B5" s="2411" t="s">
        <v>3555</v>
      </c>
      <c r="C5" s="2411"/>
      <c r="D5" s="2411" t="s">
        <v>3556</v>
      </c>
      <c r="E5" s="2411"/>
    </row>
    <row r="6" spans="1:6" s="98" customFormat="1" ht="12.75">
      <c r="A6" s="2428"/>
      <c r="B6" s="521" t="s">
        <v>3586</v>
      </c>
      <c r="C6" s="521" t="s">
        <v>1149</v>
      </c>
      <c r="D6" s="521" t="s">
        <v>1848</v>
      </c>
      <c r="E6" s="521" t="s">
        <v>1149</v>
      </c>
    </row>
    <row r="7" spans="1:6" s="98" customFormat="1" ht="11.25">
      <c r="A7" s="1033" t="s">
        <v>6</v>
      </c>
      <c r="B7" s="1034">
        <f>SUM(B8,B9)</f>
        <v>51407.966666666667</v>
      </c>
      <c r="C7" s="1035">
        <f>SUM(C8:C9)</f>
        <v>1</v>
      </c>
      <c r="D7" s="975">
        <v>447</v>
      </c>
      <c r="E7" s="1036">
        <f>SUM(E8:E9)</f>
        <v>0.99972035794183445</v>
      </c>
    </row>
    <row r="8" spans="1:6" s="98" customFormat="1" ht="11.25">
      <c r="A8" s="101" t="s">
        <v>1913</v>
      </c>
      <c r="B8" s="966">
        <f>(14100180/3600)</f>
        <v>3916.7166666666667</v>
      </c>
      <c r="C8" s="977">
        <f>+B8/B7</f>
        <v>7.6188904573156302E-2</v>
      </c>
      <c r="D8" s="966">
        <f>(60189/3600)</f>
        <v>16.719166666666666</v>
      </c>
      <c r="E8" s="977">
        <f>+D8/D7</f>
        <v>3.740305741983594E-2</v>
      </c>
    </row>
    <row r="9" spans="1:6" s="98" customFormat="1" ht="11.25">
      <c r="A9" s="101" t="s">
        <v>1891</v>
      </c>
      <c r="B9" s="967">
        <f>(170968500/3600)</f>
        <v>47491.25</v>
      </c>
      <c r="C9" s="977">
        <f>+B9/B7</f>
        <v>0.9238110954268437</v>
      </c>
      <c r="D9" s="1037">
        <f>(1548561/3600)</f>
        <v>430.15583333333331</v>
      </c>
      <c r="E9" s="977">
        <f>+D9/D7</f>
        <v>0.96231730052199849</v>
      </c>
    </row>
    <row r="10" spans="1:6" s="98" customFormat="1" ht="11.25">
      <c r="A10" s="101"/>
      <c r="B10" s="967"/>
      <c r="C10" s="977"/>
      <c r="D10" s="1037"/>
      <c r="E10" s="977"/>
    </row>
    <row r="11" spans="1:6" s="98" customFormat="1" ht="10.5" customHeight="1">
      <c r="A11" s="2430" t="s">
        <v>3557</v>
      </c>
      <c r="B11" s="2430"/>
      <c r="C11" s="2430"/>
      <c r="D11" s="2430"/>
      <c r="E11" s="2430"/>
    </row>
    <row r="12" spans="1:6" s="98" customFormat="1" ht="12" customHeight="1">
      <c r="A12" s="2424" t="s">
        <v>3559</v>
      </c>
      <c r="B12" s="2424"/>
      <c r="C12" s="2424"/>
      <c r="D12" s="2424"/>
      <c r="E12" s="2424"/>
      <c r="F12" s="895"/>
    </row>
    <row r="13" spans="1:6" s="98" customFormat="1" ht="27" customHeight="1">
      <c r="A13" s="2425" t="s">
        <v>3587</v>
      </c>
      <c r="B13" s="2425"/>
      <c r="C13" s="2425"/>
      <c r="D13" s="2425"/>
      <c r="E13" s="2425"/>
      <c r="F13" s="895"/>
    </row>
    <row r="14" spans="1:6" s="98" customFormat="1" ht="11.25">
      <c r="A14" s="2406" t="s">
        <v>1883</v>
      </c>
      <c r="B14" s="2406"/>
      <c r="C14" s="2406"/>
      <c r="D14" s="2406"/>
      <c r="E14" s="2406"/>
      <c r="F14" s="895"/>
    </row>
  </sheetData>
  <mergeCells count="9">
    <mergeCell ref="A12:E12"/>
    <mergeCell ref="A13:E13"/>
    <mergeCell ref="A14:E14"/>
    <mergeCell ref="A2:E2"/>
    <mergeCell ref="A4:A6"/>
    <mergeCell ref="B4:E4"/>
    <mergeCell ref="B5:C5"/>
    <mergeCell ref="D5:E5"/>
    <mergeCell ref="A11:E11"/>
  </mergeCells>
  <pageMargins left="0.7" right="0.7" top="0.75" bottom="0.75" header="0.3" footer="0.3"/>
  <pageSetup paperSize="14" scale="90" orientation="landscape" r:id="rId1"/>
</worksheet>
</file>

<file path=xl/worksheets/sheet204.xml><?xml version="1.0" encoding="utf-8"?>
<worksheet xmlns="http://schemas.openxmlformats.org/spreadsheetml/2006/main" xmlns:r="http://schemas.openxmlformats.org/officeDocument/2006/relationships">
  <dimension ref="A2:K16"/>
  <sheetViews>
    <sheetView zoomScaleNormal="100" workbookViewId="0">
      <selection activeCell="A22" sqref="A22"/>
    </sheetView>
  </sheetViews>
  <sheetFormatPr baseColWidth="10" defaultRowHeight="12"/>
  <cols>
    <col min="1" max="1" width="26.85546875" style="100" customWidth="1"/>
    <col min="2" max="11" width="10.85546875" style="100" customWidth="1"/>
    <col min="12" max="12" width="4.5703125" style="100" customWidth="1"/>
    <col min="13" max="16384" width="11.42578125" style="100"/>
  </cols>
  <sheetData>
    <row r="2" spans="1:11" s="98" customFormat="1" ht="11.25">
      <c r="A2" s="2433" t="s">
        <v>3270</v>
      </c>
      <c r="B2" s="2433"/>
      <c r="C2" s="2433"/>
      <c r="D2" s="2433"/>
      <c r="E2" s="2433"/>
      <c r="F2" s="2433"/>
      <c r="G2" s="2433"/>
      <c r="H2" s="2433"/>
      <c r="I2" s="2433"/>
      <c r="J2" s="2433"/>
      <c r="K2" s="2433"/>
    </row>
    <row r="3" spans="1:11" s="98" customFormat="1" ht="11.25">
      <c r="A3" s="1028"/>
      <c r="B3" s="99"/>
      <c r="C3" s="99"/>
      <c r="D3" s="99"/>
    </row>
    <row r="4" spans="1:11" s="98" customFormat="1" ht="15.75" customHeight="1">
      <c r="A4" s="2426" t="s">
        <v>1893</v>
      </c>
      <c r="B4" s="2429">
        <v>2010</v>
      </c>
      <c r="C4" s="2429"/>
      <c r="D4" s="2429">
        <v>2011</v>
      </c>
      <c r="E4" s="2429"/>
      <c r="F4" s="2429">
        <v>2012</v>
      </c>
      <c r="G4" s="2429"/>
      <c r="H4" s="2429">
        <v>2013</v>
      </c>
      <c r="I4" s="2429"/>
      <c r="J4" s="2429">
        <v>2014</v>
      </c>
      <c r="K4" s="2429"/>
    </row>
    <row r="5" spans="1:11" s="98" customFormat="1" ht="15.75" customHeight="1">
      <c r="A5" s="2428"/>
      <c r="B5" s="938" t="s">
        <v>1848</v>
      </c>
      <c r="C5" s="938" t="s">
        <v>1149</v>
      </c>
      <c r="D5" s="938" t="s">
        <v>1848</v>
      </c>
      <c r="E5" s="938" t="s">
        <v>1149</v>
      </c>
      <c r="F5" s="938" t="s">
        <v>1848</v>
      </c>
      <c r="G5" s="938" t="s">
        <v>1149</v>
      </c>
      <c r="H5" s="938" t="s">
        <v>1848</v>
      </c>
      <c r="I5" s="938" t="s">
        <v>1149</v>
      </c>
      <c r="J5" s="938" t="s">
        <v>1848</v>
      </c>
      <c r="K5" s="938" t="s">
        <v>1149</v>
      </c>
    </row>
    <row r="6" spans="1:11" s="98" customFormat="1" ht="12.75">
      <c r="A6" s="1029" t="s">
        <v>3581</v>
      </c>
      <c r="B6" s="975">
        <f>SUM(B7:B8)</f>
        <v>52936.483333333337</v>
      </c>
      <c r="C6" s="961">
        <f t="shared" ref="C6:K6" si="0">SUM(C7:C8)</f>
        <v>1</v>
      </c>
      <c r="D6" s="975">
        <f t="shared" si="0"/>
        <v>51876.566666666666</v>
      </c>
      <c r="E6" s="961">
        <f>SUM(E7:E8)</f>
        <v>1</v>
      </c>
      <c r="F6" s="975">
        <f t="shared" si="0"/>
        <v>54779.255555555559</v>
      </c>
      <c r="G6" s="961">
        <f t="shared" si="0"/>
        <v>1</v>
      </c>
      <c r="H6" s="975">
        <f t="shared" si="0"/>
        <v>54583.416666666672</v>
      </c>
      <c r="I6" s="961">
        <f t="shared" si="0"/>
        <v>1</v>
      </c>
      <c r="J6" s="975">
        <f t="shared" si="0"/>
        <v>51860.25</v>
      </c>
      <c r="K6" s="961">
        <f t="shared" si="0"/>
        <v>1</v>
      </c>
    </row>
    <row r="7" spans="1:11" s="98" customFormat="1" ht="11.25">
      <c r="A7" s="1030" t="s">
        <v>1914</v>
      </c>
      <c r="B7" s="966">
        <v>875.4666666666667</v>
      </c>
      <c r="C7" s="977">
        <f>+B7/B6</f>
        <v>1.6538058660866842E-2</v>
      </c>
      <c r="D7" s="966">
        <v>1178.5999999999999</v>
      </c>
      <c r="E7" s="977">
        <f>+D7/D6</f>
        <v>2.2719313858473027E-2</v>
      </c>
      <c r="F7" s="966">
        <v>1208.3555555555556</v>
      </c>
      <c r="G7" s="977">
        <f>+F7/F6</f>
        <v>2.2058634117984241E-2</v>
      </c>
      <c r="H7" s="966">
        <v>995.9</v>
      </c>
      <c r="I7" s="977">
        <f>+H7/H6</f>
        <v>1.8245468327529268E-2</v>
      </c>
      <c r="J7" s="1031">
        <f>(5487840/3600)</f>
        <v>1524.4</v>
      </c>
      <c r="K7" s="977">
        <f>+J7/J6</f>
        <v>2.9394382017055454E-2</v>
      </c>
    </row>
    <row r="8" spans="1:11" s="98" customFormat="1" ht="11.25">
      <c r="A8" s="1030" t="s">
        <v>1915</v>
      </c>
      <c r="B8" s="966">
        <v>52061.01666666667</v>
      </c>
      <c r="C8" s="977">
        <f>+B8/B6</f>
        <v>0.98346194133913312</v>
      </c>
      <c r="D8" s="966">
        <v>50697.966666666667</v>
      </c>
      <c r="E8" s="977">
        <f>+D8/D6</f>
        <v>0.97728068614152697</v>
      </c>
      <c r="F8" s="966">
        <v>53570.9</v>
      </c>
      <c r="G8" s="977">
        <f>+F8/F6</f>
        <v>0.97794136588201575</v>
      </c>
      <c r="H8" s="966">
        <v>53587.51666666667</v>
      </c>
      <c r="I8" s="977">
        <f>+H8/H6</f>
        <v>0.98175453167247073</v>
      </c>
      <c r="J8" s="1031">
        <f>(181209060/3600)</f>
        <v>50335.85</v>
      </c>
      <c r="K8" s="977">
        <f>+J8/J6</f>
        <v>0.97060561798294454</v>
      </c>
    </row>
    <row r="9" spans="1:11" s="98" customFormat="1" ht="12.75">
      <c r="A9" s="1029" t="s">
        <v>3582</v>
      </c>
      <c r="B9" s="975">
        <f t="shared" ref="B9:K9" si="1">SUM(B10:B11)</f>
        <v>945.81231666667406</v>
      </c>
      <c r="C9" s="961">
        <f t="shared" si="1"/>
        <v>1</v>
      </c>
      <c r="D9" s="975">
        <f t="shared" si="1"/>
        <v>979.88202777778065</v>
      </c>
      <c r="E9" s="961">
        <f>SUM(E10:E11)</f>
        <v>0.99999999999999989</v>
      </c>
      <c r="F9" s="975">
        <f t="shared" si="1"/>
        <v>936.03062777777222</v>
      </c>
      <c r="G9" s="961">
        <f t="shared" si="1"/>
        <v>1</v>
      </c>
      <c r="H9" s="975">
        <f t="shared" si="1"/>
        <v>929.25194444444446</v>
      </c>
      <c r="I9" s="961">
        <f t="shared" si="1"/>
        <v>1</v>
      </c>
      <c r="J9" s="975">
        <f t="shared" si="1"/>
        <v>831.11333333333334</v>
      </c>
      <c r="K9" s="961">
        <f t="shared" si="1"/>
        <v>1</v>
      </c>
    </row>
    <row r="10" spans="1:11" s="98" customFormat="1" ht="11.25">
      <c r="A10" s="1030" t="s">
        <v>1914</v>
      </c>
      <c r="B10" s="970">
        <v>21.236077777777759</v>
      </c>
      <c r="C10" s="977">
        <f>+B10/B9</f>
        <v>2.2452739728131325E-2</v>
      </c>
      <c r="D10" s="970">
        <v>23.519188888888898</v>
      </c>
      <c r="E10" s="977">
        <f>+D10/D9</f>
        <v>2.4002061699434109E-2</v>
      </c>
      <c r="F10" s="970">
        <v>25.552877777777791</v>
      </c>
      <c r="G10" s="977">
        <f>+F10/F9</f>
        <v>2.7299189812242372E-2</v>
      </c>
      <c r="H10" s="970">
        <v>20.639722222222222</v>
      </c>
      <c r="I10" s="977">
        <f>+H10/H9</f>
        <v>2.2211115452184207E-2</v>
      </c>
      <c r="J10" s="1032">
        <f>(93606/3600)</f>
        <v>26.001666666666665</v>
      </c>
      <c r="K10" s="977">
        <f>+J10/J9</f>
        <v>3.1285344156833803E-2</v>
      </c>
    </row>
    <row r="11" spans="1:11" s="98" customFormat="1" ht="11.25">
      <c r="A11" s="1030" t="s">
        <v>1915</v>
      </c>
      <c r="B11" s="970">
        <v>924.57623888889634</v>
      </c>
      <c r="C11" s="977">
        <f>+B11/B9</f>
        <v>0.97754726027186867</v>
      </c>
      <c r="D11" s="970">
        <v>956.3628388888917</v>
      </c>
      <c r="E11" s="977">
        <f>+D11/D9</f>
        <v>0.9759979383005658</v>
      </c>
      <c r="F11" s="970">
        <v>910.47774999999444</v>
      </c>
      <c r="G11" s="977">
        <f>+F11/F9</f>
        <v>0.97270081018775767</v>
      </c>
      <c r="H11" s="970">
        <v>908.61222222222227</v>
      </c>
      <c r="I11" s="977">
        <f>+H11/H9</f>
        <v>0.97778888454781587</v>
      </c>
      <c r="J11" s="1032">
        <f>(2898402/3600)</f>
        <v>805.11166666666668</v>
      </c>
      <c r="K11" s="977">
        <f>+J11/J9</f>
        <v>0.96871465584316618</v>
      </c>
    </row>
    <row r="12" spans="1:11" s="98" customFormat="1" ht="9.75" customHeight="1"/>
    <row r="13" spans="1:11" s="98" customFormat="1" ht="148.5" customHeight="1">
      <c r="A13" s="2425" t="s">
        <v>3583</v>
      </c>
      <c r="B13" s="2425"/>
      <c r="C13" s="2425"/>
      <c r="D13" s="2425"/>
      <c r="E13" s="2425"/>
      <c r="F13" s="2425"/>
      <c r="G13" s="2425"/>
      <c r="H13" s="2425"/>
      <c r="I13" s="2425"/>
      <c r="J13" s="2425"/>
      <c r="K13" s="2425"/>
    </row>
    <row r="14" spans="1:11" s="98" customFormat="1" ht="10.5" customHeight="1">
      <c r="A14" s="2431" t="s">
        <v>3584</v>
      </c>
      <c r="B14" s="2431"/>
      <c r="C14" s="2431"/>
      <c r="D14" s="2431"/>
      <c r="E14" s="2431"/>
      <c r="F14" s="2431"/>
      <c r="G14" s="2431"/>
      <c r="H14" s="2431"/>
      <c r="I14" s="2431"/>
    </row>
    <row r="15" spans="1:11" s="98" customFormat="1" ht="10.5" customHeight="1">
      <c r="A15" s="2432" t="s">
        <v>3585</v>
      </c>
      <c r="B15" s="2432"/>
      <c r="C15" s="2432"/>
      <c r="D15" s="2432"/>
      <c r="E15" s="2432"/>
      <c r="F15" s="2432"/>
      <c r="G15" s="2432"/>
      <c r="H15" s="2432"/>
      <c r="I15" s="2432"/>
    </row>
    <row r="16" spans="1:11" s="98" customFormat="1" ht="11.25">
      <c r="A16" s="2406" t="s">
        <v>1883</v>
      </c>
      <c r="B16" s="2406"/>
      <c r="C16" s="2406"/>
      <c r="D16" s="2406"/>
      <c r="E16" s="2406"/>
      <c r="F16" s="2406"/>
      <c r="G16" s="2406"/>
      <c r="H16" s="2406"/>
      <c r="I16" s="2406"/>
    </row>
  </sheetData>
  <mergeCells count="11">
    <mergeCell ref="A13:K13"/>
    <mergeCell ref="A14:I14"/>
    <mergeCell ref="A15:I15"/>
    <mergeCell ref="A16:I16"/>
    <mergeCell ref="A2:K2"/>
    <mergeCell ref="A4:A5"/>
    <mergeCell ref="B4:C4"/>
    <mergeCell ref="D4:E4"/>
    <mergeCell ref="F4:G4"/>
    <mergeCell ref="H4:I4"/>
    <mergeCell ref="J4:K4"/>
  </mergeCells>
  <pageMargins left="0.7" right="0.7" top="0.75" bottom="0.75" header="0.3" footer="0.3"/>
  <pageSetup paperSize="14" scale="90" orientation="landscape" r:id="rId1"/>
</worksheet>
</file>

<file path=xl/worksheets/sheet205.xml><?xml version="1.0" encoding="utf-8"?>
<worksheet xmlns="http://schemas.openxmlformats.org/spreadsheetml/2006/main" xmlns:r="http://schemas.openxmlformats.org/officeDocument/2006/relationships">
  <dimension ref="A1:AA23"/>
  <sheetViews>
    <sheetView zoomScaleNormal="100" workbookViewId="0">
      <selection activeCell="B27" sqref="B27"/>
    </sheetView>
  </sheetViews>
  <sheetFormatPr baseColWidth="10" defaultRowHeight="12"/>
  <cols>
    <col min="1" max="1" width="12.5703125" style="100" customWidth="1"/>
    <col min="2" max="2" width="12.42578125" style="100" customWidth="1"/>
    <col min="3" max="3" width="12.5703125" style="100" customWidth="1"/>
    <col min="4" max="4" width="13" style="100" customWidth="1"/>
    <col min="5" max="5" width="11.42578125" style="100"/>
    <col min="6" max="6" width="12.5703125" style="100" customWidth="1"/>
    <col min="7" max="7" width="11.42578125" style="100"/>
    <col min="8" max="8" width="12.85546875" style="100" customWidth="1"/>
    <col min="9" max="9" width="11.42578125" style="100"/>
    <col min="10" max="10" width="12" style="100" customWidth="1"/>
    <col min="11" max="11" width="5.5703125" style="100" customWidth="1"/>
    <col min="12" max="16384" width="11.42578125" style="100"/>
  </cols>
  <sheetData>
    <row r="1" spans="1:27">
      <c r="A1" s="843"/>
    </row>
    <row r="2" spans="1:27" s="987" customFormat="1" ht="23.25" customHeight="1">
      <c r="A2" s="2217" t="s">
        <v>3269</v>
      </c>
      <c r="B2" s="2217"/>
      <c r="C2" s="2217"/>
      <c r="D2" s="2217"/>
      <c r="E2" s="2217"/>
      <c r="F2" s="2217"/>
      <c r="G2" s="2217"/>
      <c r="H2" s="2217"/>
      <c r="I2" s="2217"/>
      <c r="J2" s="2217"/>
      <c r="L2" s="100"/>
      <c r="M2" s="100"/>
      <c r="N2" s="100"/>
      <c r="O2" s="100"/>
      <c r="P2" s="100"/>
      <c r="Q2" s="100"/>
      <c r="R2" s="100"/>
      <c r="S2" s="100"/>
      <c r="T2" s="100"/>
      <c r="U2" s="100"/>
      <c r="V2" s="100"/>
      <c r="W2" s="100"/>
      <c r="X2" s="100"/>
      <c r="Y2" s="100"/>
      <c r="Z2" s="100"/>
      <c r="AA2" s="100"/>
    </row>
    <row r="3" spans="1:27" s="987" customFormat="1">
      <c r="A3" s="946"/>
      <c r="B3" s="1020"/>
      <c r="C3" s="1020"/>
      <c r="D3" s="1020"/>
      <c r="E3" s="1020"/>
      <c r="L3" s="100"/>
      <c r="M3" s="100"/>
      <c r="N3" s="100"/>
      <c r="O3" s="100"/>
      <c r="P3" s="100"/>
      <c r="Q3" s="100"/>
      <c r="R3" s="100"/>
      <c r="S3" s="100"/>
      <c r="T3" s="100"/>
      <c r="U3" s="100"/>
      <c r="V3" s="100"/>
      <c r="W3" s="100"/>
      <c r="X3" s="100"/>
      <c r="Y3" s="100"/>
      <c r="Z3" s="100"/>
      <c r="AA3" s="100"/>
    </row>
    <row r="4" spans="1:27" ht="13.5">
      <c r="A4" s="2246" t="s">
        <v>1916</v>
      </c>
      <c r="B4" s="1021" t="s">
        <v>3577</v>
      </c>
      <c r="C4" s="1021" t="s">
        <v>3578</v>
      </c>
      <c r="D4" s="1021" t="s">
        <v>3566</v>
      </c>
      <c r="E4" s="2435">
        <v>2012</v>
      </c>
      <c r="F4" s="2435"/>
      <c r="G4" s="2435">
        <v>2013</v>
      </c>
      <c r="H4" s="2435"/>
      <c r="I4" s="2435">
        <v>2014</v>
      </c>
      <c r="J4" s="2435"/>
    </row>
    <row r="5" spans="1:27" ht="36" customHeight="1">
      <c r="A5" s="2247"/>
      <c r="B5" s="1022" t="s">
        <v>1917</v>
      </c>
      <c r="C5" s="1022" t="s">
        <v>1917</v>
      </c>
      <c r="D5" s="1022" t="s">
        <v>1917</v>
      </c>
      <c r="E5" s="1022" t="s">
        <v>755</v>
      </c>
      <c r="F5" s="1022" t="s">
        <v>1918</v>
      </c>
      <c r="G5" s="1022" t="s">
        <v>755</v>
      </c>
      <c r="H5" s="1022" t="s">
        <v>1918</v>
      </c>
      <c r="I5" s="1022" t="s">
        <v>755</v>
      </c>
      <c r="J5" s="1022" t="s">
        <v>1918</v>
      </c>
    </row>
    <row r="6" spans="1:27">
      <c r="A6" s="974" t="s">
        <v>6</v>
      </c>
      <c r="B6" s="1014">
        <f t="shared" ref="B6:J6" si="0">SUM(B7:B16)</f>
        <v>34</v>
      </c>
      <c r="C6" s="1014">
        <f t="shared" si="0"/>
        <v>16</v>
      </c>
      <c r="D6" s="1014">
        <f>SUM(D7:D16)</f>
        <v>16</v>
      </c>
      <c r="E6" s="1014">
        <f t="shared" si="0"/>
        <v>412</v>
      </c>
      <c r="F6" s="1014">
        <f t="shared" si="0"/>
        <v>2789</v>
      </c>
      <c r="G6" s="1014">
        <f t="shared" si="0"/>
        <v>510</v>
      </c>
      <c r="H6" s="1014">
        <f t="shared" si="0"/>
        <v>2573</v>
      </c>
      <c r="I6" s="1009">
        <f t="shared" si="0"/>
        <v>1621</v>
      </c>
      <c r="J6" s="1009">
        <f t="shared" si="0"/>
        <v>2094</v>
      </c>
      <c r="L6" s="1023"/>
    </row>
    <row r="7" spans="1:27">
      <c r="A7" s="1015" t="s">
        <v>1919</v>
      </c>
      <c r="B7" s="1017">
        <v>4</v>
      </c>
      <c r="C7" s="1017">
        <v>4</v>
      </c>
      <c r="D7" s="1017">
        <v>6</v>
      </c>
      <c r="E7" s="1017">
        <v>20</v>
      </c>
      <c r="F7" s="1018">
        <f>70-E7</f>
        <v>50</v>
      </c>
      <c r="G7" s="1017">
        <v>17</v>
      </c>
      <c r="H7" s="1018">
        <f>65-G7</f>
        <v>48</v>
      </c>
      <c r="I7" s="966">
        <v>40</v>
      </c>
      <c r="J7" s="966">
        <v>64</v>
      </c>
    </row>
    <row r="8" spans="1:27">
      <c r="A8" s="1015" t="s">
        <v>1920</v>
      </c>
      <c r="B8" s="1017">
        <v>30</v>
      </c>
      <c r="C8" s="1017">
        <v>12</v>
      </c>
      <c r="D8" s="1017">
        <v>10</v>
      </c>
      <c r="E8" s="1017">
        <v>209</v>
      </c>
      <c r="F8" s="1018">
        <f>382-E8</f>
        <v>173</v>
      </c>
      <c r="G8" s="1017">
        <v>350</v>
      </c>
      <c r="H8" s="1018">
        <f>557-G8</f>
        <v>207</v>
      </c>
      <c r="I8" s="966">
        <v>1464</v>
      </c>
      <c r="J8" s="966">
        <v>182</v>
      </c>
    </row>
    <row r="9" spans="1:27">
      <c r="A9" s="1015" t="s">
        <v>1921</v>
      </c>
      <c r="B9" s="1024" t="s">
        <v>55</v>
      </c>
      <c r="C9" s="1024" t="s">
        <v>55</v>
      </c>
      <c r="D9" s="1024" t="s">
        <v>55</v>
      </c>
      <c r="E9" s="1017">
        <v>40</v>
      </c>
      <c r="F9" s="1018">
        <f>40-E9</f>
        <v>0</v>
      </c>
      <c r="G9" s="1017">
        <v>40</v>
      </c>
      <c r="H9" s="1018">
        <f>40-G9</f>
        <v>0</v>
      </c>
      <c r="I9" s="966">
        <v>14</v>
      </c>
      <c r="J9" s="966">
        <v>0</v>
      </c>
    </row>
    <row r="10" spans="1:27">
      <c r="A10" s="1015" t="s">
        <v>926</v>
      </c>
      <c r="B10" s="1024" t="s">
        <v>55</v>
      </c>
      <c r="C10" s="1024" t="s">
        <v>55</v>
      </c>
      <c r="D10" s="1024" t="s">
        <v>55</v>
      </c>
      <c r="E10" s="1016">
        <v>28</v>
      </c>
      <c r="F10" s="1017">
        <f>2063-E10</f>
        <v>2035</v>
      </c>
      <c r="G10" s="1016">
        <v>28</v>
      </c>
      <c r="H10" s="1017">
        <f>1985-G10</f>
        <v>1957</v>
      </c>
      <c r="I10" s="966">
        <v>33</v>
      </c>
      <c r="J10" s="966">
        <v>1546</v>
      </c>
    </row>
    <row r="11" spans="1:27">
      <c r="A11" s="1015" t="s">
        <v>1922</v>
      </c>
      <c r="B11" s="1024" t="s">
        <v>55</v>
      </c>
      <c r="C11" s="1024" t="s">
        <v>55</v>
      </c>
      <c r="D11" s="1024" t="s">
        <v>55</v>
      </c>
      <c r="E11" s="1016">
        <v>12</v>
      </c>
      <c r="F11" s="1017">
        <f>13-E11</f>
        <v>1</v>
      </c>
      <c r="G11" s="1016">
        <v>8</v>
      </c>
      <c r="H11" s="1017">
        <f>8-G11</f>
        <v>0</v>
      </c>
      <c r="I11" s="966">
        <v>0</v>
      </c>
      <c r="J11" s="966">
        <v>0</v>
      </c>
    </row>
    <row r="12" spans="1:27">
      <c r="A12" s="1015" t="s">
        <v>1923</v>
      </c>
      <c r="B12" s="1024" t="s">
        <v>55</v>
      </c>
      <c r="C12" s="1024" t="s">
        <v>55</v>
      </c>
      <c r="D12" s="1024" t="s">
        <v>55</v>
      </c>
      <c r="E12" s="1016">
        <v>16</v>
      </c>
      <c r="F12" s="1017">
        <f>506-E12</f>
        <v>490</v>
      </c>
      <c r="G12" s="1016">
        <v>7</v>
      </c>
      <c r="H12" s="1017">
        <f>315-G12</f>
        <v>308</v>
      </c>
      <c r="I12" s="966">
        <v>14</v>
      </c>
      <c r="J12" s="966">
        <v>229</v>
      </c>
    </row>
    <row r="13" spans="1:27">
      <c r="A13" s="1015" t="s">
        <v>1924</v>
      </c>
      <c r="B13" s="1024" t="s">
        <v>55</v>
      </c>
      <c r="C13" s="1024" t="s">
        <v>55</v>
      </c>
      <c r="D13" s="1024" t="s">
        <v>55</v>
      </c>
      <c r="E13" s="1016">
        <v>8</v>
      </c>
      <c r="F13" s="1017">
        <f>34-E13</f>
        <v>26</v>
      </c>
      <c r="G13" s="1016">
        <v>21</v>
      </c>
      <c r="H13" s="1017">
        <f>61-G13</f>
        <v>40</v>
      </c>
      <c r="I13" s="966">
        <v>11</v>
      </c>
      <c r="J13" s="966">
        <v>66</v>
      </c>
    </row>
    <row r="14" spans="1:27">
      <c r="A14" s="1015" t="s">
        <v>1925</v>
      </c>
      <c r="B14" s="1024" t="s">
        <v>55</v>
      </c>
      <c r="C14" s="1024" t="s">
        <v>55</v>
      </c>
      <c r="D14" s="1024" t="s">
        <v>55</v>
      </c>
      <c r="E14" s="1016">
        <v>8</v>
      </c>
      <c r="F14" s="1017">
        <f>14-E14</f>
        <v>6</v>
      </c>
      <c r="G14" s="1016">
        <v>11</v>
      </c>
      <c r="H14" s="1017">
        <f>13-G14</f>
        <v>2</v>
      </c>
      <c r="I14" s="966">
        <v>15</v>
      </c>
      <c r="J14" s="966">
        <v>0</v>
      </c>
    </row>
    <row r="15" spans="1:27">
      <c r="A15" s="1015" t="s">
        <v>1926</v>
      </c>
      <c r="B15" s="1024" t="s">
        <v>55</v>
      </c>
      <c r="C15" s="1024" t="s">
        <v>55</v>
      </c>
      <c r="D15" s="1024" t="s">
        <v>55</v>
      </c>
      <c r="E15" s="1016">
        <v>71</v>
      </c>
      <c r="F15" s="1017">
        <f>79-E15</f>
        <v>8</v>
      </c>
      <c r="G15" s="1016">
        <v>24</v>
      </c>
      <c r="H15" s="1017">
        <f>33-G15</f>
        <v>9</v>
      </c>
      <c r="I15" s="966">
        <v>16</v>
      </c>
      <c r="J15" s="966">
        <v>7</v>
      </c>
    </row>
    <row r="16" spans="1:27">
      <c r="A16" s="1015" t="s">
        <v>1927</v>
      </c>
      <c r="B16" s="1024" t="s">
        <v>55</v>
      </c>
      <c r="C16" s="1024" t="s">
        <v>55</v>
      </c>
      <c r="D16" s="1024" t="s">
        <v>55</v>
      </c>
      <c r="E16" s="1016">
        <v>0</v>
      </c>
      <c r="F16" s="1017">
        <v>0</v>
      </c>
      <c r="G16" s="1016">
        <v>4</v>
      </c>
      <c r="H16" s="1017">
        <f>6-G16</f>
        <v>2</v>
      </c>
      <c r="I16" s="966">
        <v>14</v>
      </c>
      <c r="J16" s="966">
        <v>0</v>
      </c>
    </row>
    <row r="17" spans="1:10">
      <c r="A17" s="1015"/>
      <c r="B17" s="987"/>
      <c r="C17" s="987"/>
      <c r="D17" s="987"/>
      <c r="E17" s="987"/>
      <c r="F17" s="987"/>
      <c r="G17" s="987"/>
      <c r="H17" s="987"/>
      <c r="J17" s="1025"/>
    </row>
    <row r="18" spans="1:10">
      <c r="A18" s="1026" t="s">
        <v>3579</v>
      </c>
      <c r="B18" s="1026"/>
      <c r="C18" s="1026"/>
      <c r="D18" s="1026"/>
      <c r="E18" s="1026"/>
      <c r="F18" s="1026"/>
      <c r="G18" s="1026"/>
      <c r="H18" s="1026"/>
      <c r="I18" s="1027"/>
      <c r="J18" s="1027"/>
    </row>
    <row r="19" spans="1:10">
      <c r="A19" s="2436" t="s">
        <v>3580</v>
      </c>
      <c r="B19" s="2436"/>
      <c r="C19" s="2436"/>
      <c r="D19" s="2436"/>
      <c r="E19" s="2436"/>
      <c r="F19" s="2436"/>
      <c r="G19" s="2436"/>
      <c r="H19" s="2436"/>
      <c r="I19" s="2436"/>
      <c r="J19" s="2436"/>
    </row>
    <row r="20" spans="1:10">
      <c r="A20" s="2434" t="s">
        <v>22</v>
      </c>
      <c r="B20" s="2434"/>
      <c r="C20" s="2434"/>
      <c r="D20" s="2434"/>
      <c r="E20" s="2434"/>
      <c r="F20" s="2434"/>
      <c r="G20" s="2434"/>
      <c r="H20" s="2434"/>
      <c r="I20" s="2434"/>
      <c r="J20" s="2434"/>
    </row>
    <row r="21" spans="1:10">
      <c r="A21" s="2185" t="s">
        <v>160</v>
      </c>
      <c r="B21" s="2185"/>
      <c r="C21" s="2185"/>
      <c r="D21" s="2185"/>
      <c r="E21" s="2185"/>
      <c r="F21" s="2185"/>
      <c r="G21" s="1026"/>
      <c r="H21" s="1026"/>
    </row>
    <row r="22" spans="1:10">
      <c r="A22" s="2185" t="s">
        <v>1093</v>
      </c>
      <c r="B22" s="2185"/>
      <c r="C22" s="2185"/>
      <c r="D22" s="2185"/>
      <c r="E22" s="2185"/>
      <c r="F22" s="2185"/>
      <c r="G22" s="2185"/>
      <c r="H22" s="2185"/>
    </row>
    <row r="23" spans="1:10">
      <c r="A23" s="135"/>
      <c r="B23" s="135"/>
      <c r="C23" s="1015"/>
      <c r="D23" s="1015"/>
      <c r="E23" s="1015"/>
      <c r="F23" s="1015"/>
      <c r="G23" s="135"/>
      <c r="H23" s="987"/>
    </row>
  </sheetData>
  <mergeCells count="9">
    <mergeCell ref="A20:J20"/>
    <mergeCell ref="A21:F21"/>
    <mergeCell ref="A22:H22"/>
    <mergeCell ref="A2:J2"/>
    <mergeCell ref="A4:A5"/>
    <mergeCell ref="E4:F4"/>
    <mergeCell ref="G4:H4"/>
    <mergeCell ref="I4:J4"/>
    <mergeCell ref="A19:J19"/>
  </mergeCells>
  <pageMargins left="0.7" right="0.7" top="0.75" bottom="0.75" header="0.3" footer="0.3"/>
  <pageSetup paperSize="14" scale="90" orientation="landscape" r:id="rId1"/>
</worksheet>
</file>

<file path=xl/worksheets/sheet206.xml><?xml version="1.0" encoding="utf-8"?>
<worksheet xmlns="http://schemas.openxmlformats.org/spreadsheetml/2006/main" xmlns:r="http://schemas.openxmlformats.org/officeDocument/2006/relationships">
  <dimension ref="A1:H19"/>
  <sheetViews>
    <sheetView zoomScaleNormal="100" workbookViewId="0">
      <selection activeCell="D27" sqref="D27"/>
    </sheetView>
  </sheetViews>
  <sheetFormatPr baseColWidth="10" defaultRowHeight="12"/>
  <cols>
    <col min="1" max="1" width="15.42578125" style="100" customWidth="1"/>
    <col min="2" max="7" width="11.42578125" style="100"/>
    <col min="8" max="8" width="5" style="100" customWidth="1"/>
    <col min="9" max="16384" width="11.42578125" style="100"/>
  </cols>
  <sheetData>
    <row r="1" spans="1:7">
      <c r="A1" s="843"/>
    </row>
    <row r="2" spans="1:7" ht="39.75" customHeight="1">
      <c r="A2" s="2209" t="s">
        <v>1928</v>
      </c>
      <c r="B2" s="2209"/>
      <c r="C2" s="2209"/>
      <c r="D2" s="2209"/>
      <c r="E2" s="2209"/>
      <c r="F2" s="2209"/>
      <c r="G2" s="2209"/>
    </row>
    <row r="3" spans="1:7">
      <c r="A3" s="133"/>
      <c r="B3" s="1012"/>
      <c r="C3" s="1012"/>
      <c r="D3" s="1012"/>
      <c r="E3" s="1012"/>
      <c r="F3" s="1012"/>
    </row>
    <row r="4" spans="1:7">
      <c r="A4" s="2229" t="s">
        <v>1929</v>
      </c>
      <c r="B4" s="2435" t="s">
        <v>1930</v>
      </c>
      <c r="C4" s="2435"/>
      <c r="D4" s="2435"/>
      <c r="E4" s="2435"/>
      <c r="F4" s="2435"/>
      <c r="G4" s="2435"/>
    </row>
    <row r="5" spans="1:7">
      <c r="A5" s="2230"/>
      <c r="B5" s="1013">
        <v>2009</v>
      </c>
      <c r="C5" s="1013">
        <v>2010</v>
      </c>
      <c r="D5" s="1013">
        <v>2011</v>
      </c>
      <c r="E5" s="1013">
        <v>2012</v>
      </c>
      <c r="F5" s="1013">
        <v>2013</v>
      </c>
      <c r="G5" s="1013">
        <v>2014</v>
      </c>
    </row>
    <row r="6" spans="1:7">
      <c r="A6" s="974" t="s">
        <v>6</v>
      </c>
      <c r="B6" s="1014">
        <f t="shared" ref="B6:G6" si="0">SUM(B7:B16)</f>
        <v>34</v>
      </c>
      <c r="C6" s="1014">
        <f t="shared" si="0"/>
        <v>16</v>
      </c>
      <c r="D6" s="1014">
        <f t="shared" si="0"/>
        <v>16</v>
      </c>
      <c r="E6" s="1014">
        <f t="shared" si="0"/>
        <v>3201</v>
      </c>
      <c r="F6" s="1014">
        <f t="shared" si="0"/>
        <v>3083</v>
      </c>
      <c r="G6" s="1014">
        <f t="shared" si="0"/>
        <v>3715</v>
      </c>
    </row>
    <row r="7" spans="1:7">
      <c r="A7" s="1015" t="s">
        <v>1931</v>
      </c>
      <c r="B7" s="1016">
        <v>4</v>
      </c>
      <c r="C7" s="1017">
        <v>4</v>
      </c>
      <c r="D7" s="1017">
        <v>6</v>
      </c>
      <c r="E7" s="1017">
        <v>70</v>
      </c>
      <c r="F7" s="1018">
        <v>65</v>
      </c>
      <c r="G7" s="860">
        <v>104</v>
      </c>
    </row>
    <row r="8" spans="1:7">
      <c r="A8" s="1015" t="s">
        <v>1932</v>
      </c>
      <c r="B8" s="1016">
        <v>30</v>
      </c>
      <c r="C8" s="1017">
        <v>12</v>
      </c>
      <c r="D8" s="1017">
        <v>10</v>
      </c>
      <c r="E8" s="1017">
        <v>382</v>
      </c>
      <c r="F8" s="1018">
        <v>557</v>
      </c>
      <c r="G8" s="860">
        <v>1646</v>
      </c>
    </row>
    <row r="9" spans="1:7">
      <c r="A9" s="98" t="s">
        <v>1921</v>
      </c>
      <c r="B9" s="1016">
        <v>0</v>
      </c>
      <c r="C9" s="1016">
        <v>0</v>
      </c>
      <c r="D9" s="1016">
        <v>0</v>
      </c>
      <c r="E9" s="1017">
        <v>40</v>
      </c>
      <c r="F9" s="1018">
        <v>40</v>
      </c>
      <c r="G9" s="860">
        <v>14</v>
      </c>
    </row>
    <row r="10" spans="1:7">
      <c r="A10" s="98" t="s">
        <v>926</v>
      </c>
      <c r="B10" s="1016">
        <v>0</v>
      </c>
      <c r="C10" s="1016">
        <v>0</v>
      </c>
      <c r="D10" s="1016">
        <v>0</v>
      </c>
      <c r="E10" s="1017">
        <v>2063</v>
      </c>
      <c r="F10" s="1018">
        <v>1985</v>
      </c>
      <c r="G10" s="860">
        <v>1579</v>
      </c>
    </row>
    <row r="11" spans="1:7">
      <c r="A11" s="98" t="s">
        <v>1922</v>
      </c>
      <c r="B11" s="1016">
        <v>0</v>
      </c>
      <c r="C11" s="1016">
        <v>0</v>
      </c>
      <c r="D11" s="1016">
        <v>0</v>
      </c>
      <c r="E11" s="1017">
        <v>13</v>
      </c>
      <c r="F11" s="1018">
        <v>8</v>
      </c>
      <c r="G11" s="860">
        <v>0</v>
      </c>
    </row>
    <row r="12" spans="1:7">
      <c r="A12" s="98" t="s">
        <v>1933</v>
      </c>
      <c r="B12" s="1016">
        <v>0</v>
      </c>
      <c r="C12" s="1016">
        <v>0</v>
      </c>
      <c r="D12" s="1016">
        <v>0</v>
      </c>
      <c r="E12" s="1017">
        <v>506</v>
      </c>
      <c r="F12" s="1018">
        <v>315</v>
      </c>
      <c r="G12" s="860">
        <v>243</v>
      </c>
    </row>
    <row r="13" spans="1:7">
      <c r="A13" s="98" t="s">
        <v>1924</v>
      </c>
      <c r="B13" s="1016">
        <v>0</v>
      </c>
      <c r="C13" s="1016">
        <v>0</v>
      </c>
      <c r="D13" s="1016">
        <v>0</v>
      </c>
      <c r="E13" s="1017">
        <v>34</v>
      </c>
      <c r="F13" s="1018">
        <v>61</v>
      </c>
      <c r="G13" s="860">
        <v>77</v>
      </c>
    </row>
    <row r="14" spans="1:7">
      <c r="A14" s="98" t="s">
        <v>1925</v>
      </c>
      <c r="B14" s="1016">
        <v>0</v>
      </c>
      <c r="C14" s="1016">
        <v>0</v>
      </c>
      <c r="D14" s="1016">
        <v>0</v>
      </c>
      <c r="E14" s="1017">
        <v>14</v>
      </c>
      <c r="F14" s="1018">
        <v>13</v>
      </c>
      <c r="G14" s="860">
        <v>15</v>
      </c>
    </row>
    <row r="15" spans="1:7">
      <c r="A15" s="98" t="s">
        <v>1934</v>
      </c>
      <c r="B15" s="1016">
        <v>0</v>
      </c>
      <c r="C15" s="1016">
        <v>0</v>
      </c>
      <c r="D15" s="1016">
        <v>0</v>
      </c>
      <c r="E15" s="1017">
        <v>79</v>
      </c>
      <c r="F15" s="1018">
        <v>33</v>
      </c>
      <c r="G15" s="860">
        <v>23</v>
      </c>
    </row>
    <row r="16" spans="1:7">
      <c r="A16" s="98" t="s">
        <v>1935</v>
      </c>
      <c r="B16" s="1016">
        <v>0</v>
      </c>
      <c r="C16" s="1016">
        <v>0</v>
      </c>
      <c r="D16" s="1016">
        <v>0</v>
      </c>
      <c r="E16" s="1017">
        <v>0</v>
      </c>
      <c r="F16" s="1018">
        <v>6</v>
      </c>
      <c r="G16" s="860">
        <v>14</v>
      </c>
    </row>
    <row r="17" spans="1:8">
      <c r="A17" s="98"/>
      <c r="B17" s="1016"/>
      <c r="C17" s="1016"/>
      <c r="D17" s="1016"/>
      <c r="E17" s="1017"/>
      <c r="F17" s="1018"/>
      <c r="G17" s="860"/>
    </row>
    <row r="18" spans="1:8">
      <c r="A18" s="2434" t="s">
        <v>22</v>
      </c>
      <c r="B18" s="2434"/>
      <c r="C18" s="2434"/>
      <c r="D18" s="2434"/>
      <c r="E18" s="2434"/>
      <c r="F18" s="2434"/>
      <c r="G18" s="2434"/>
      <c r="H18" s="1019"/>
    </row>
    <row r="19" spans="1:8">
      <c r="A19" s="2185" t="s">
        <v>1093</v>
      </c>
      <c r="B19" s="2185"/>
      <c r="C19" s="2185"/>
      <c r="D19" s="2185"/>
      <c r="E19" s="2185"/>
      <c r="F19" s="2185"/>
      <c r="G19" s="2185"/>
      <c r="H19" s="2185"/>
    </row>
  </sheetData>
  <mergeCells count="5">
    <mergeCell ref="A2:G2"/>
    <mergeCell ref="A4:A5"/>
    <mergeCell ref="B4:G4"/>
    <mergeCell ref="A18:G18"/>
    <mergeCell ref="A19:H19"/>
  </mergeCells>
  <pageMargins left="0.7" right="0.7" top="0.75" bottom="0.75" header="0.3" footer="0.3"/>
  <pageSetup paperSize="14" scale="90" orientation="landscape" r:id="rId1"/>
</worksheet>
</file>

<file path=xl/worksheets/sheet207.xml><?xml version="1.0" encoding="utf-8"?>
<worksheet xmlns="http://schemas.openxmlformats.org/spreadsheetml/2006/main" xmlns:r="http://schemas.openxmlformats.org/officeDocument/2006/relationships">
  <dimension ref="A1:G11"/>
  <sheetViews>
    <sheetView zoomScaleNormal="100" workbookViewId="0">
      <selection activeCell="A16" sqref="A16"/>
    </sheetView>
  </sheetViews>
  <sheetFormatPr baseColWidth="10" defaultRowHeight="12"/>
  <cols>
    <col min="1" max="1" width="24" style="100" customWidth="1"/>
    <col min="2" max="2" width="12.7109375" style="100" customWidth="1"/>
    <col min="3" max="3" width="12.5703125" style="100" customWidth="1"/>
    <col min="4" max="4" width="12.85546875" style="100" customWidth="1"/>
    <col min="5" max="5" width="11.42578125" style="100"/>
    <col min="6" max="6" width="12.140625" style="100" customWidth="1"/>
    <col min="7" max="7" width="11.42578125" style="100"/>
    <col min="8" max="8" width="4.28515625" style="100" customWidth="1"/>
    <col min="9" max="16384" width="11.42578125" style="100"/>
  </cols>
  <sheetData>
    <row r="1" spans="1:7">
      <c r="A1" s="937"/>
    </row>
    <row r="2" spans="1:7" ht="39" customHeight="1">
      <c r="A2" s="2186" t="s">
        <v>1936</v>
      </c>
      <c r="B2" s="2186"/>
      <c r="C2" s="2186"/>
      <c r="D2" s="2186"/>
      <c r="E2" s="2186"/>
      <c r="F2" s="2186"/>
      <c r="G2" s="2186"/>
    </row>
    <row r="3" spans="1:7" s="98" customFormat="1" ht="11.25">
      <c r="A3" s="991"/>
      <c r="B3" s="991"/>
      <c r="C3" s="991"/>
      <c r="D3" s="991"/>
      <c r="E3" s="991"/>
      <c r="F3" s="991"/>
    </row>
    <row r="4" spans="1:7" s="98" customFormat="1" ht="11.25">
      <c r="A4" s="2246" t="s">
        <v>1916</v>
      </c>
      <c r="B4" s="2437" t="s">
        <v>671</v>
      </c>
      <c r="C4" s="2437"/>
      <c r="D4" s="2437"/>
      <c r="E4" s="2437"/>
      <c r="F4" s="2437"/>
      <c r="G4" s="2437"/>
    </row>
    <row r="5" spans="1:7" s="98" customFormat="1" ht="11.25">
      <c r="A5" s="2247"/>
      <c r="B5" s="999">
        <v>2009</v>
      </c>
      <c r="C5" s="999">
        <v>2010</v>
      </c>
      <c r="D5" s="999">
        <v>2011</v>
      </c>
      <c r="E5" s="999">
        <v>2012</v>
      </c>
      <c r="F5" s="999">
        <v>2013</v>
      </c>
      <c r="G5" s="999">
        <v>2014</v>
      </c>
    </row>
    <row r="6" spans="1:7" s="98" customFormat="1" ht="11.25">
      <c r="A6" s="974" t="s">
        <v>6</v>
      </c>
      <c r="B6" s="1009">
        <v>34</v>
      </c>
      <c r="C6" s="1009">
        <v>16</v>
      </c>
      <c r="D6" s="1009">
        <v>16</v>
      </c>
      <c r="E6" s="1009">
        <f>SUM(E7:E8)</f>
        <v>3201</v>
      </c>
      <c r="F6" s="1009">
        <f>SUM(F7:F8)</f>
        <v>3083</v>
      </c>
      <c r="G6" s="1010">
        <f>SUM(G7:G8)</f>
        <v>3715</v>
      </c>
    </row>
    <row r="7" spans="1:7" s="98" customFormat="1" ht="11.25">
      <c r="A7" s="135" t="s">
        <v>755</v>
      </c>
      <c r="B7" s="985" t="s">
        <v>55</v>
      </c>
      <c r="C7" s="985" t="s">
        <v>55</v>
      </c>
      <c r="D7" s="985" t="s">
        <v>55</v>
      </c>
      <c r="E7" s="1011">
        <f>'[1]3.7.2-15 ok'!E6</f>
        <v>412</v>
      </c>
      <c r="F7" s="1011">
        <f>'[1]3.7.2-15 ok'!G6</f>
        <v>510</v>
      </c>
      <c r="G7" s="953">
        <v>1621</v>
      </c>
    </row>
    <row r="8" spans="1:7" s="98" customFormat="1" ht="11.25">
      <c r="A8" s="135" t="s">
        <v>1918</v>
      </c>
      <c r="B8" s="985" t="s">
        <v>55</v>
      </c>
      <c r="C8" s="985" t="s">
        <v>55</v>
      </c>
      <c r="D8" s="985" t="s">
        <v>55</v>
      </c>
      <c r="E8" s="1011">
        <f>'[1]3.7.2-15 ok'!F6</f>
        <v>2789</v>
      </c>
      <c r="F8" s="1011">
        <f>'[1]3.7.2-15 ok'!H6</f>
        <v>2573</v>
      </c>
      <c r="G8" s="953">
        <v>2094</v>
      </c>
    </row>
    <row r="9" spans="1:7" s="98" customFormat="1" ht="11.25">
      <c r="A9" s="135"/>
      <c r="B9" s="985"/>
      <c r="C9" s="985"/>
      <c r="D9" s="985"/>
      <c r="E9" s="1011"/>
      <c r="F9" s="1011"/>
      <c r="G9" s="953"/>
    </row>
    <row r="10" spans="1:7" s="98" customFormat="1" ht="11.25">
      <c r="A10" s="2185" t="s">
        <v>160</v>
      </c>
      <c r="B10" s="2185"/>
      <c r="C10" s="2185"/>
      <c r="D10" s="2185"/>
      <c r="E10" s="2185"/>
      <c r="F10" s="2185"/>
      <c r="G10" s="2185"/>
    </row>
    <row r="11" spans="1:7" s="98" customFormat="1" ht="11.25">
      <c r="A11" s="2185" t="s">
        <v>1093</v>
      </c>
      <c r="B11" s="2185"/>
      <c r="C11" s="2185"/>
      <c r="D11" s="2185"/>
      <c r="E11" s="2185"/>
      <c r="F11" s="2185"/>
    </row>
  </sheetData>
  <mergeCells count="5">
    <mergeCell ref="A2:G2"/>
    <mergeCell ref="A4:A5"/>
    <mergeCell ref="B4:G4"/>
    <mergeCell ref="A10:G10"/>
    <mergeCell ref="A11:F11"/>
  </mergeCells>
  <pageMargins left="0.7" right="0.7" top="0.75" bottom="0.75" header="0.3" footer="0.3"/>
  <pageSetup paperSize="14" scale="90" orientation="landscape" r:id="rId1"/>
</worksheet>
</file>

<file path=xl/worksheets/sheet208.xml><?xml version="1.0" encoding="utf-8"?>
<worksheet xmlns="http://schemas.openxmlformats.org/spreadsheetml/2006/main" xmlns:r="http://schemas.openxmlformats.org/officeDocument/2006/relationships">
  <dimension ref="A2:G24"/>
  <sheetViews>
    <sheetView zoomScaleNormal="100" workbookViewId="0">
      <selection activeCell="A27" sqref="A27"/>
    </sheetView>
  </sheetViews>
  <sheetFormatPr baseColWidth="10" defaultRowHeight="12"/>
  <cols>
    <col min="1" max="1" width="30" style="107" customWidth="1"/>
    <col min="2" max="2" width="14.7109375" style="107" bestFit="1" customWidth="1"/>
    <col min="3" max="3" width="15.28515625" style="107" customWidth="1"/>
    <col min="4" max="4" width="11.42578125" style="107"/>
    <col min="5" max="5" width="16.5703125" style="107" bestFit="1" customWidth="1"/>
    <col min="6" max="7" width="17.140625" style="107" bestFit="1" customWidth="1"/>
    <col min="8" max="16384" width="11.42578125" style="107"/>
  </cols>
  <sheetData>
    <row r="2" spans="1:7" ht="25.5" customHeight="1">
      <c r="A2" s="2153" t="s">
        <v>3268</v>
      </c>
      <c r="B2" s="2153"/>
      <c r="C2" s="2153"/>
      <c r="D2" s="2153"/>
      <c r="E2" s="2153"/>
      <c r="F2" s="2153"/>
      <c r="G2" s="2153"/>
    </row>
    <row r="3" spans="1:7">
      <c r="A3" s="996"/>
      <c r="B3" s="997"/>
      <c r="C3" s="997"/>
      <c r="D3" s="997"/>
      <c r="E3" s="997"/>
      <c r="F3" s="997"/>
      <c r="G3" s="997"/>
    </row>
    <row r="4" spans="1:7" s="998" customFormat="1" ht="18.75" customHeight="1">
      <c r="A4" s="2229" t="s">
        <v>1937</v>
      </c>
      <c r="B4" s="2438" t="s">
        <v>1111</v>
      </c>
      <c r="C4" s="2439"/>
      <c r="D4" s="2439"/>
      <c r="E4" s="2439"/>
      <c r="F4" s="2439"/>
      <c r="G4" s="2440"/>
    </row>
    <row r="5" spans="1:7" s="998" customFormat="1" ht="18.75" customHeight="1">
      <c r="A5" s="2230"/>
      <c r="B5" s="999">
        <v>2009</v>
      </c>
      <c r="C5" s="999">
        <v>2010</v>
      </c>
      <c r="D5" s="999" t="s">
        <v>3566</v>
      </c>
      <c r="E5" s="999" t="s">
        <v>3567</v>
      </c>
      <c r="F5" s="999" t="s">
        <v>3568</v>
      </c>
      <c r="G5" s="999">
        <v>2014</v>
      </c>
    </row>
    <row r="6" spans="1:7" s="96" customFormat="1" ht="12.75">
      <c r="A6" s="996" t="s">
        <v>3569</v>
      </c>
      <c r="B6" s="754">
        <v>505581180</v>
      </c>
      <c r="C6" s="754">
        <v>22085830</v>
      </c>
      <c r="D6" s="754" t="s">
        <v>55</v>
      </c>
      <c r="E6" s="1000">
        <f>+E7</f>
        <v>2537679279</v>
      </c>
      <c r="F6" s="1000">
        <f>+F7</f>
        <v>2223896987</v>
      </c>
      <c r="G6" s="1000">
        <f>+G7+G8</f>
        <v>2946905584</v>
      </c>
    </row>
    <row r="7" spans="1:7" s="108" customFormat="1" ht="11.25">
      <c r="A7" s="133" t="s">
        <v>1938</v>
      </c>
      <c r="B7" s="1001" t="s">
        <v>55</v>
      </c>
      <c r="C7" s="1001" t="s">
        <v>55</v>
      </c>
      <c r="D7" s="1001" t="s">
        <v>55</v>
      </c>
      <c r="E7" s="1002">
        <f>SUM(E9:E11)</f>
        <v>2537679279</v>
      </c>
      <c r="F7" s="1002">
        <f>SUM(F9:F11)</f>
        <v>2223896987</v>
      </c>
      <c r="G7" s="1000">
        <f>SUM(G9:G11)</f>
        <v>2933163401</v>
      </c>
    </row>
    <row r="8" spans="1:7" s="108" customFormat="1" ht="11.25">
      <c r="A8" s="133" t="s">
        <v>1939</v>
      </c>
      <c r="B8" s="1001" t="s">
        <v>55</v>
      </c>
      <c r="C8" s="1001" t="s">
        <v>55</v>
      </c>
      <c r="D8" s="1001" t="s">
        <v>55</v>
      </c>
      <c r="E8" s="1001" t="s">
        <v>55</v>
      </c>
      <c r="F8" s="1001" t="s">
        <v>55</v>
      </c>
      <c r="G8" s="1000">
        <v>13742183</v>
      </c>
    </row>
    <row r="9" spans="1:7" s="108" customFormat="1" ht="11.25">
      <c r="A9" s="994" t="s">
        <v>1940</v>
      </c>
      <c r="B9" s="1001" t="s">
        <v>55</v>
      </c>
      <c r="C9" s="1001" t="s">
        <v>55</v>
      </c>
      <c r="D9" s="1001" t="s">
        <v>55</v>
      </c>
      <c r="E9" s="1003">
        <v>961607277</v>
      </c>
      <c r="F9" s="1003">
        <v>1310333477</v>
      </c>
      <c r="G9" s="1003">
        <v>1651522749</v>
      </c>
    </row>
    <row r="10" spans="1:7" s="108" customFormat="1" ht="11.25">
      <c r="A10" s="994" t="s">
        <v>1941</v>
      </c>
      <c r="B10" s="1001" t="s">
        <v>55</v>
      </c>
      <c r="C10" s="1001" t="s">
        <v>55</v>
      </c>
      <c r="D10" s="1001" t="s">
        <v>55</v>
      </c>
      <c r="E10" s="1003">
        <v>1518195389</v>
      </c>
      <c r="F10" s="1003">
        <v>806300068</v>
      </c>
      <c r="G10" s="1003">
        <v>1053111905</v>
      </c>
    </row>
    <row r="11" spans="1:7" s="108" customFormat="1" ht="11.25">
      <c r="A11" s="994" t="s">
        <v>1942</v>
      </c>
      <c r="B11" s="1001" t="s">
        <v>55</v>
      </c>
      <c r="C11" s="1001" t="s">
        <v>55</v>
      </c>
      <c r="D11" s="1001" t="s">
        <v>55</v>
      </c>
      <c r="E11" s="1003">
        <v>57876613</v>
      </c>
      <c r="F11" s="1003">
        <f>107792264-528822</f>
        <v>107263442</v>
      </c>
      <c r="G11" s="1003">
        <v>228528747</v>
      </c>
    </row>
    <row r="12" spans="1:7" s="96" customFormat="1" ht="11.25">
      <c r="A12" s="1004" t="s">
        <v>1943</v>
      </c>
      <c r="B12" s="1005"/>
      <c r="C12" s="1005"/>
      <c r="D12" s="1005"/>
      <c r="E12" s="1006"/>
      <c r="F12" s="1006"/>
      <c r="G12" s="1006">
        <v>13742183</v>
      </c>
    </row>
    <row r="13" spans="1:7" s="108" customFormat="1" ht="11.25">
      <c r="A13" s="133"/>
      <c r="B13" s="1001"/>
      <c r="C13" s="1001"/>
      <c r="D13" s="1001"/>
      <c r="E13" s="1000"/>
      <c r="F13" s="1000"/>
      <c r="G13" s="1000"/>
    </row>
    <row r="14" spans="1:7" s="108" customFormat="1" ht="12.75">
      <c r="A14" s="133" t="s">
        <v>3570</v>
      </c>
      <c r="B14" s="1000">
        <f>SUM(B15:B16)</f>
        <v>366043219</v>
      </c>
      <c r="C14" s="1000">
        <f>SUM(C15:C16)</f>
        <v>16725790</v>
      </c>
      <c r="D14" s="1000" t="s">
        <v>55</v>
      </c>
      <c r="E14" s="1000" t="s">
        <v>55</v>
      </c>
      <c r="F14" s="1000">
        <f>SUM(F15:F16)</f>
        <v>2099744177.8482528</v>
      </c>
      <c r="G14" s="1000">
        <f>SUM(G15:G16)</f>
        <v>1301763492</v>
      </c>
    </row>
    <row r="15" spans="1:7" s="108" customFormat="1" ht="11.25">
      <c r="A15" s="1007" t="s">
        <v>1944</v>
      </c>
      <c r="B15" s="1001">
        <v>366043219</v>
      </c>
      <c r="C15" s="1001">
        <v>16725790</v>
      </c>
      <c r="D15" s="1005" t="s">
        <v>55</v>
      </c>
      <c r="E15" s="1003" t="s">
        <v>55</v>
      </c>
      <c r="F15" s="1003">
        <f>1284288667+6976509+320508084</f>
        <v>1611773260</v>
      </c>
      <c r="G15" s="1003">
        <f>751421095+174997764</f>
        <v>926418859</v>
      </c>
    </row>
    <row r="16" spans="1:7" s="108" customFormat="1" ht="11.25">
      <c r="A16" s="1007" t="s">
        <v>1945</v>
      </c>
      <c r="B16" s="1003" t="s">
        <v>55</v>
      </c>
      <c r="C16" s="1003" t="s">
        <v>55</v>
      </c>
      <c r="D16" s="1003" t="s">
        <v>55</v>
      </c>
      <c r="E16" s="1003" t="s">
        <v>55</v>
      </c>
      <c r="F16" s="1003">
        <v>487970917.84825289</v>
      </c>
      <c r="G16" s="1003">
        <v>375344633</v>
      </c>
    </row>
    <row r="17" spans="1:7" s="108" customFormat="1" ht="11.25">
      <c r="A17" s="1007"/>
      <c r="B17" s="1003"/>
      <c r="C17" s="1003"/>
      <c r="D17" s="1003"/>
      <c r="E17" s="1003"/>
      <c r="F17" s="1003"/>
      <c r="G17" s="1003"/>
    </row>
    <row r="18" spans="1:7" s="108" customFormat="1" ht="15.75" customHeight="1">
      <c r="A18" s="1008" t="s">
        <v>3571</v>
      </c>
      <c r="B18" s="1008"/>
      <c r="C18" s="1008"/>
      <c r="D18" s="1008"/>
      <c r="E18" s="1008"/>
      <c r="F18" s="1008"/>
    </row>
    <row r="19" spans="1:7" s="108" customFormat="1" ht="69.75" customHeight="1">
      <c r="A19" s="2441" t="s">
        <v>3572</v>
      </c>
      <c r="B19" s="2441"/>
      <c r="C19" s="2441"/>
      <c r="D19" s="2441"/>
      <c r="E19" s="2441"/>
      <c r="F19" s="2441"/>
      <c r="G19" s="2441"/>
    </row>
    <row r="20" spans="1:7" s="108" customFormat="1" ht="21" customHeight="1">
      <c r="A20" s="2185" t="s">
        <v>3573</v>
      </c>
      <c r="B20" s="2185"/>
      <c r="C20" s="2185"/>
      <c r="D20" s="2185"/>
      <c r="E20" s="2185"/>
      <c r="F20" s="2185"/>
      <c r="G20" s="2185"/>
    </row>
    <row r="21" spans="1:7" s="108" customFormat="1" ht="25.5" customHeight="1">
      <c r="A21" s="2210" t="s">
        <v>3574</v>
      </c>
      <c r="B21" s="2210"/>
      <c r="C21" s="2210"/>
      <c r="D21" s="2210"/>
      <c r="E21" s="2210"/>
      <c r="F21" s="2210"/>
      <c r="G21" s="2210"/>
    </row>
    <row r="22" spans="1:7" s="108" customFormat="1" ht="21" customHeight="1">
      <c r="A22" s="2210" t="s">
        <v>3575</v>
      </c>
      <c r="B22" s="2210"/>
      <c r="C22" s="2210"/>
      <c r="D22" s="2210"/>
      <c r="E22" s="2210"/>
      <c r="F22" s="2210"/>
      <c r="G22" s="2210"/>
    </row>
    <row r="23" spans="1:7" s="108" customFormat="1" ht="18" customHeight="1">
      <c r="A23" s="2185" t="s">
        <v>3576</v>
      </c>
      <c r="B23" s="2185"/>
      <c r="C23" s="2185"/>
      <c r="D23" s="2185"/>
      <c r="E23" s="2185"/>
      <c r="F23" s="2185"/>
      <c r="G23" s="2185"/>
    </row>
    <row r="24" spans="1:7" s="108" customFormat="1" ht="16.5" customHeight="1">
      <c r="A24" s="2185" t="s">
        <v>1093</v>
      </c>
      <c r="B24" s="2185"/>
      <c r="C24" s="2185"/>
      <c r="D24" s="2185"/>
      <c r="E24" s="2185"/>
      <c r="F24" s="2185"/>
      <c r="G24" s="2185"/>
    </row>
  </sheetData>
  <mergeCells count="9">
    <mergeCell ref="A22:G22"/>
    <mergeCell ref="A23:G23"/>
    <mergeCell ref="A24:G24"/>
    <mergeCell ref="A2:G2"/>
    <mergeCell ref="A4:A5"/>
    <mergeCell ref="B4:G4"/>
    <mergeCell ref="A19:G19"/>
    <mergeCell ref="A20:G20"/>
    <mergeCell ref="A21:G21"/>
  </mergeCells>
  <pageMargins left="0.75" right="0.75" top="1" bottom="1" header="0.5" footer="0.5"/>
  <pageSetup orientation="portrait" horizontalDpi="4294967292" verticalDpi="4294967292" r:id="rId1"/>
</worksheet>
</file>

<file path=xl/worksheets/sheet209.xml><?xml version="1.0" encoding="utf-8"?>
<worksheet xmlns="http://schemas.openxmlformats.org/spreadsheetml/2006/main" xmlns:r="http://schemas.openxmlformats.org/officeDocument/2006/relationships">
  <dimension ref="A1:AB13"/>
  <sheetViews>
    <sheetView zoomScaleNormal="100" workbookViewId="0">
      <selection activeCell="A17" sqref="A17"/>
    </sheetView>
  </sheetViews>
  <sheetFormatPr baseColWidth="10" defaultRowHeight="12"/>
  <cols>
    <col min="1" max="1" width="18.42578125" style="100" customWidth="1"/>
    <col min="2" max="5" width="13.5703125" style="100" customWidth="1"/>
    <col min="6" max="10" width="11.42578125" style="100"/>
    <col min="11" max="11" width="4" style="100" customWidth="1"/>
    <col min="12" max="16384" width="11.42578125" style="100"/>
  </cols>
  <sheetData>
    <row r="1" spans="1:28">
      <c r="A1" s="843"/>
      <c r="B1" s="843"/>
    </row>
    <row r="2" spans="1:28" s="987" customFormat="1" ht="28.5" customHeight="1">
      <c r="A2" s="2442" t="s">
        <v>3188</v>
      </c>
      <c r="B2" s="2442"/>
      <c r="C2" s="2442"/>
      <c r="D2" s="2442"/>
      <c r="E2" s="2442"/>
      <c r="F2" s="2442"/>
      <c r="G2" s="2442"/>
      <c r="H2" s="2442"/>
      <c r="I2" s="2442"/>
      <c r="J2" s="2442"/>
      <c r="L2" s="100"/>
      <c r="M2" s="100"/>
      <c r="N2" s="100"/>
      <c r="O2" s="100"/>
      <c r="P2" s="100"/>
      <c r="Q2" s="100"/>
      <c r="R2" s="100"/>
      <c r="S2" s="100"/>
      <c r="T2" s="100"/>
      <c r="U2" s="100"/>
      <c r="V2" s="100"/>
      <c r="W2" s="100"/>
      <c r="X2" s="100"/>
      <c r="Y2" s="100"/>
      <c r="Z2" s="100"/>
      <c r="AA2" s="100"/>
      <c r="AB2" s="100"/>
    </row>
    <row r="3" spans="1:28" s="987" customFormat="1">
      <c r="A3" s="988"/>
      <c r="B3" s="988"/>
      <c r="C3" s="270"/>
      <c r="D3" s="270"/>
      <c r="E3" s="270"/>
      <c r="F3" s="989"/>
      <c r="G3" s="989"/>
      <c r="H3" s="88"/>
      <c r="L3" s="100"/>
      <c r="M3" s="100"/>
      <c r="N3" s="100"/>
      <c r="O3" s="100"/>
      <c r="P3" s="100"/>
      <c r="Q3" s="100"/>
      <c r="R3" s="100"/>
      <c r="S3" s="100"/>
      <c r="T3" s="100"/>
      <c r="U3" s="100"/>
      <c r="V3" s="100"/>
      <c r="W3" s="100"/>
      <c r="X3" s="100"/>
    </row>
    <row r="4" spans="1:28" s="987" customFormat="1" ht="13.5">
      <c r="A4" s="2443" t="s">
        <v>1946</v>
      </c>
      <c r="B4" s="2444" t="s">
        <v>3564</v>
      </c>
      <c r="C4" s="2444"/>
      <c r="D4" s="2444"/>
      <c r="E4" s="2444"/>
      <c r="F4" s="2444"/>
      <c r="G4" s="2444"/>
      <c r="H4" s="2444">
        <v>2014</v>
      </c>
      <c r="I4" s="2444"/>
      <c r="J4" s="2444"/>
      <c r="L4" s="100"/>
      <c r="M4" s="100"/>
      <c r="N4" s="100"/>
      <c r="O4" s="100"/>
      <c r="P4" s="100"/>
      <c r="Q4" s="100"/>
      <c r="R4" s="100"/>
      <c r="S4" s="100"/>
      <c r="T4" s="100"/>
      <c r="U4" s="100"/>
      <c r="V4" s="100"/>
      <c r="W4" s="100"/>
      <c r="X4" s="100"/>
    </row>
    <row r="5" spans="1:28" s="987" customFormat="1" ht="26.25" customHeight="1">
      <c r="A5" s="2443"/>
      <c r="B5" s="2445" t="s">
        <v>1947</v>
      </c>
      <c r="C5" s="2445"/>
      <c r="D5" s="2445"/>
      <c r="E5" s="2445" t="s">
        <v>1948</v>
      </c>
      <c r="F5" s="2445"/>
      <c r="G5" s="2445"/>
      <c r="H5" s="2445" t="s">
        <v>1949</v>
      </c>
      <c r="I5" s="2445"/>
      <c r="J5" s="2445"/>
      <c r="L5" s="100"/>
      <c r="M5" s="100"/>
      <c r="N5" s="100"/>
      <c r="O5" s="100"/>
      <c r="P5" s="100"/>
      <c r="Q5" s="100"/>
      <c r="R5" s="100"/>
      <c r="S5" s="100"/>
      <c r="T5" s="100"/>
      <c r="U5" s="100"/>
      <c r="V5" s="100"/>
      <c r="W5" s="100"/>
      <c r="X5" s="100"/>
    </row>
    <row r="6" spans="1:28" s="987" customFormat="1">
      <c r="A6" s="2443"/>
      <c r="B6" s="734" t="s">
        <v>26</v>
      </c>
      <c r="C6" s="990" t="s">
        <v>163</v>
      </c>
      <c r="D6" s="735" t="s">
        <v>164</v>
      </c>
      <c r="E6" s="735" t="s">
        <v>26</v>
      </c>
      <c r="F6" s="990" t="s">
        <v>163</v>
      </c>
      <c r="G6" s="735" t="s">
        <v>164</v>
      </c>
      <c r="H6" s="735" t="s">
        <v>26</v>
      </c>
      <c r="I6" s="990" t="s">
        <v>163</v>
      </c>
      <c r="J6" s="735" t="s">
        <v>164</v>
      </c>
      <c r="L6" s="100"/>
      <c r="M6" s="100"/>
      <c r="N6" s="100"/>
      <c r="O6" s="100"/>
      <c r="P6" s="100"/>
      <c r="Q6" s="100"/>
      <c r="R6" s="100"/>
      <c r="S6" s="100"/>
      <c r="T6" s="100"/>
      <c r="U6" s="100"/>
      <c r="V6" s="100"/>
      <c r="W6" s="100"/>
      <c r="X6" s="100"/>
    </row>
    <row r="7" spans="1:28" s="987" customFormat="1">
      <c r="A7" s="991" t="s">
        <v>6</v>
      </c>
      <c r="B7" s="992">
        <f>SUM(C7:D7)</f>
        <v>3186</v>
      </c>
      <c r="C7" s="755">
        <f>SUM(C8:C9)</f>
        <v>1790</v>
      </c>
      <c r="D7" s="755">
        <f>SUM(D8:D9)</f>
        <v>1396</v>
      </c>
      <c r="E7" s="992">
        <f>SUM(F7:G7)</f>
        <v>4247</v>
      </c>
      <c r="F7" s="755">
        <f>SUM(F8:F9)</f>
        <v>2376</v>
      </c>
      <c r="G7" s="755">
        <f>SUM(G8:G9)</f>
        <v>1871</v>
      </c>
      <c r="H7" s="992">
        <f>SUM(I7:J7)</f>
        <v>2089</v>
      </c>
      <c r="I7" s="755">
        <f>SUM(I8:I9)</f>
        <v>879</v>
      </c>
      <c r="J7" s="755">
        <f>SUM(J8:J9)</f>
        <v>1210</v>
      </c>
      <c r="L7" s="100"/>
      <c r="M7" s="100"/>
      <c r="N7" s="100"/>
      <c r="O7" s="100"/>
      <c r="P7" s="100"/>
      <c r="Q7" s="100"/>
      <c r="R7" s="100"/>
      <c r="S7" s="100"/>
      <c r="T7" s="100"/>
      <c r="U7" s="100"/>
      <c r="V7" s="100"/>
      <c r="W7" s="100"/>
      <c r="X7" s="100"/>
    </row>
    <row r="8" spans="1:28" s="987" customFormat="1">
      <c r="A8" s="272" t="s">
        <v>1505</v>
      </c>
      <c r="B8" s="993">
        <f>SUM(C8:D8)</f>
        <v>1123</v>
      </c>
      <c r="C8" s="757">
        <v>620</v>
      </c>
      <c r="D8" s="757">
        <v>503</v>
      </c>
      <c r="E8" s="993">
        <f>SUM(F8:G8)</f>
        <v>1069</v>
      </c>
      <c r="F8" s="757">
        <v>563</v>
      </c>
      <c r="G8" s="757">
        <v>506</v>
      </c>
      <c r="H8" s="993">
        <f>SUM(I8:J8)</f>
        <v>879</v>
      </c>
      <c r="I8" s="757">
        <v>466</v>
      </c>
      <c r="J8" s="757">
        <v>413</v>
      </c>
      <c r="L8" s="100"/>
      <c r="M8" s="100"/>
      <c r="N8" s="100"/>
      <c r="O8" s="100"/>
      <c r="P8" s="100"/>
      <c r="Q8" s="100"/>
      <c r="R8" s="100"/>
      <c r="S8" s="100"/>
      <c r="T8" s="100"/>
      <c r="U8" s="100"/>
      <c r="V8" s="100"/>
      <c r="W8" s="100"/>
      <c r="X8" s="100"/>
    </row>
    <row r="9" spans="1:28" s="987" customFormat="1">
      <c r="A9" s="272" t="s">
        <v>1950</v>
      </c>
      <c r="B9" s="993">
        <f>SUM(C9:D9)</f>
        <v>2063</v>
      </c>
      <c r="C9" s="775">
        <v>1170</v>
      </c>
      <c r="D9" s="775">
        <v>893</v>
      </c>
      <c r="E9" s="993">
        <f>SUM(F9:G9)</f>
        <v>3178</v>
      </c>
      <c r="F9" s="775">
        <v>1813</v>
      </c>
      <c r="G9" s="775">
        <v>1365</v>
      </c>
      <c r="H9" s="993">
        <f>SUM(I9:J9)</f>
        <v>1210</v>
      </c>
      <c r="I9" s="775">
        <v>413</v>
      </c>
      <c r="J9" s="775">
        <v>797</v>
      </c>
      <c r="K9" s="100"/>
      <c r="L9" s="100"/>
      <c r="M9" s="100"/>
      <c r="N9" s="100"/>
      <c r="O9" s="100"/>
      <c r="P9" s="100"/>
      <c r="Q9" s="100"/>
      <c r="R9" s="100"/>
      <c r="S9" s="100"/>
      <c r="T9" s="100"/>
      <c r="U9" s="100"/>
      <c r="V9" s="100"/>
      <c r="W9" s="100"/>
      <c r="X9" s="100"/>
      <c r="Y9" s="100"/>
      <c r="Z9" s="100"/>
      <c r="AA9" s="100"/>
      <c r="AB9" s="100"/>
    </row>
    <row r="10" spans="1:28" s="987" customFormat="1">
      <c r="A10" s="994"/>
      <c r="B10" s="995"/>
      <c r="C10" s="757"/>
      <c r="D10" s="757"/>
      <c r="E10" s="757"/>
      <c r="F10" s="129"/>
      <c r="H10" s="88"/>
      <c r="L10" s="100"/>
      <c r="M10" s="100"/>
      <c r="N10" s="100"/>
      <c r="O10" s="100"/>
      <c r="P10" s="100"/>
      <c r="Q10" s="100"/>
      <c r="R10" s="100"/>
      <c r="S10" s="100"/>
      <c r="T10" s="100"/>
      <c r="U10" s="100"/>
      <c r="V10" s="100"/>
      <c r="W10" s="100"/>
      <c r="X10" s="100"/>
      <c r="Y10" s="100"/>
      <c r="Z10" s="100"/>
      <c r="AA10" s="100"/>
      <c r="AB10" s="100"/>
    </row>
    <row r="11" spans="1:28" s="987" customFormat="1">
      <c r="A11" s="2152" t="s">
        <v>3565</v>
      </c>
      <c r="B11" s="2152"/>
      <c r="C11" s="2152"/>
      <c r="D11" s="2152"/>
      <c r="E11" s="2152"/>
      <c r="F11" s="2152"/>
      <c r="G11" s="2152"/>
      <c r="H11" s="88"/>
      <c r="L11" s="100"/>
      <c r="M11" s="100"/>
      <c r="N11" s="100"/>
      <c r="O11" s="100"/>
      <c r="P11" s="100"/>
      <c r="Q11" s="100"/>
      <c r="R11" s="100"/>
      <c r="S11" s="100"/>
      <c r="T11" s="100"/>
      <c r="U11" s="100"/>
      <c r="V11" s="100"/>
      <c r="W11" s="100"/>
      <c r="X11" s="100"/>
      <c r="Y11" s="100"/>
      <c r="Z11" s="100"/>
      <c r="AA11" s="100"/>
      <c r="AB11" s="100"/>
    </row>
    <row r="12" spans="1:28" s="987" customFormat="1">
      <c r="A12" s="2152" t="s">
        <v>1093</v>
      </c>
      <c r="B12" s="2152"/>
      <c r="C12" s="2152"/>
      <c r="D12" s="2152"/>
      <c r="E12" s="2152"/>
      <c r="F12" s="2152"/>
      <c r="G12" s="2152"/>
      <c r="H12" s="88"/>
      <c r="L12" s="100"/>
      <c r="M12" s="100"/>
      <c r="N12" s="100"/>
      <c r="O12" s="100"/>
      <c r="P12" s="100"/>
      <c r="Q12" s="100"/>
      <c r="R12" s="100"/>
      <c r="S12" s="100"/>
      <c r="T12" s="100"/>
      <c r="U12" s="100"/>
      <c r="V12" s="100"/>
      <c r="W12" s="100"/>
      <c r="X12" s="100"/>
      <c r="Y12" s="100"/>
      <c r="Z12" s="100"/>
      <c r="AA12" s="100"/>
      <c r="AB12" s="100"/>
    </row>
    <row r="13" spans="1:28" s="987" customFormat="1">
      <c r="L13" s="100"/>
      <c r="M13" s="100"/>
      <c r="N13" s="100"/>
      <c r="O13" s="100"/>
      <c r="P13" s="100"/>
      <c r="Q13" s="100"/>
      <c r="R13" s="100"/>
      <c r="S13" s="100"/>
      <c r="T13" s="100"/>
      <c r="U13" s="100"/>
      <c r="V13" s="100"/>
      <c r="W13" s="100"/>
      <c r="X13" s="100"/>
      <c r="Y13" s="100"/>
      <c r="Z13" s="100"/>
      <c r="AA13" s="100"/>
      <c r="AB13" s="100"/>
    </row>
  </sheetData>
  <mergeCells count="9">
    <mergeCell ref="A11:G11"/>
    <mergeCell ref="A12:G12"/>
    <mergeCell ref="A2:J2"/>
    <mergeCell ref="A4:A6"/>
    <mergeCell ref="B4:G4"/>
    <mergeCell ref="H4:J4"/>
    <mergeCell ref="B5:D5"/>
    <mergeCell ref="E5:G5"/>
    <mergeCell ref="H5:J5"/>
  </mergeCells>
  <pageMargins left="0.7" right="0.7" top="0.75" bottom="0.75" header="0.3" footer="0.3"/>
  <pageSetup paperSize="14" scale="90" orientation="landscape" r:id="rId1"/>
</worksheet>
</file>

<file path=xl/worksheets/sheet21.xml><?xml version="1.0" encoding="utf-8"?>
<worksheet xmlns="http://schemas.openxmlformats.org/spreadsheetml/2006/main" xmlns:r="http://schemas.openxmlformats.org/officeDocument/2006/relationships">
  <dimension ref="A2:K19"/>
  <sheetViews>
    <sheetView zoomScaleNormal="100" workbookViewId="0">
      <selection activeCell="C28" sqref="C28"/>
    </sheetView>
  </sheetViews>
  <sheetFormatPr baseColWidth="10" defaultRowHeight="11.25"/>
  <cols>
    <col min="1" max="2" width="11.42578125" style="53"/>
    <col min="3" max="5" width="7" style="53" bestFit="1" customWidth="1"/>
    <col min="6" max="8" width="6.42578125" style="53" bestFit="1" customWidth="1"/>
    <col min="9" max="9" width="6.85546875" style="53" bestFit="1" customWidth="1"/>
    <col min="10" max="10" width="6.42578125" style="53" bestFit="1" customWidth="1"/>
    <col min="11" max="11" width="12.140625" style="53" customWidth="1"/>
    <col min="12" max="16384" width="11.42578125" style="53"/>
  </cols>
  <sheetData>
    <row r="2" spans="1:11" ht="25.5" customHeight="1">
      <c r="A2" s="2055" t="s">
        <v>950</v>
      </c>
      <c r="B2" s="2055"/>
      <c r="C2" s="2055"/>
      <c r="D2" s="2055"/>
      <c r="E2" s="2055"/>
      <c r="F2" s="2055"/>
      <c r="G2" s="2055"/>
      <c r="H2" s="2055"/>
      <c r="I2" s="2055"/>
      <c r="J2" s="2055"/>
      <c r="K2" s="2055"/>
    </row>
    <row r="4" spans="1:11">
      <c r="A4" s="2058" t="s">
        <v>151</v>
      </c>
      <c r="B4" s="2059" t="s">
        <v>152</v>
      </c>
      <c r="C4" s="2060"/>
      <c r="D4" s="2060"/>
      <c r="E4" s="2060"/>
      <c r="F4" s="2061"/>
      <c r="G4" s="2058" t="s">
        <v>153</v>
      </c>
      <c r="H4" s="2058"/>
      <c r="I4" s="2058"/>
      <c r="J4" s="2058"/>
      <c r="K4" s="2058"/>
    </row>
    <row r="5" spans="1:11" ht="12.75">
      <c r="A5" s="2058"/>
      <c r="B5" s="1831">
        <v>2010</v>
      </c>
      <c r="C5" s="1831" t="s">
        <v>3481</v>
      </c>
      <c r="D5" s="1831" t="s">
        <v>3482</v>
      </c>
      <c r="E5" s="1831" t="s">
        <v>3890</v>
      </c>
      <c r="F5" s="1831">
        <v>2014</v>
      </c>
      <c r="G5" s="1831">
        <v>2010</v>
      </c>
      <c r="H5" s="1831">
        <v>2011</v>
      </c>
      <c r="I5" s="1831">
        <v>2012</v>
      </c>
      <c r="J5" s="1831">
        <v>2013</v>
      </c>
      <c r="K5" s="316" t="s">
        <v>3891</v>
      </c>
    </row>
    <row r="6" spans="1:11">
      <c r="A6" s="150" t="s">
        <v>6</v>
      </c>
      <c r="B6" s="1877" t="s">
        <v>55</v>
      </c>
      <c r="C6" s="1877">
        <f>SUM(C7:C11)</f>
        <v>3</v>
      </c>
      <c r="D6" s="1877">
        <f>SUM(D7:D11)</f>
        <v>2</v>
      </c>
      <c r="E6" s="1877">
        <f>SUM(E7:E11)</f>
        <v>6</v>
      </c>
      <c r="F6" s="1877">
        <f>SUM(F7:F11)</f>
        <v>2</v>
      </c>
      <c r="G6" s="1877" t="s">
        <v>55</v>
      </c>
      <c r="H6" s="1877">
        <f>SUM(H7:H11)</f>
        <v>7</v>
      </c>
      <c r="I6" s="1877">
        <f>SUM(I7:I11)</f>
        <v>327</v>
      </c>
      <c r="J6" s="1877">
        <f>SUM(J7:J11)</f>
        <v>85</v>
      </c>
      <c r="K6" s="1877">
        <f>SUM(K7:K11)</f>
        <v>24</v>
      </c>
    </row>
    <row r="7" spans="1:11">
      <c r="A7" s="53" t="s">
        <v>154</v>
      </c>
      <c r="B7" s="1818" t="s">
        <v>55</v>
      </c>
      <c r="C7" s="1818" t="s">
        <v>155</v>
      </c>
      <c r="D7" s="1818" t="s">
        <v>155</v>
      </c>
      <c r="E7" s="1818">
        <v>0</v>
      </c>
      <c r="F7" s="1818">
        <v>0</v>
      </c>
      <c r="G7" s="1818" t="s">
        <v>55</v>
      </c>
      <c r="H7" s="1818" t="s">
        <v>155</v>
      </c>
      <c r="I7" s="1818" t="s">
        <v>155</v>
      </c>
      <c r="J7" s="1818">
        <v>0</v>
      </c>
      <c r="K7" s="1818">
        <v>0</v>
      </c>
    </row>
    <row r="8" spans="1:11">
      <c r="A8" s="53" t="s">
        <v>156</v>
      </c>
      <c r="B8" s="1818" t="s">
        <v>55</v>
      </c>
      <c r="C8" s="1818">
        <v>2</v>
      </c>
      <c r="D8" s="1818" t="s">
        <v>155</v>
      </c>
      <c r="E8" s="1818">
        <v>2</v>
      </c>
      <c r="F8" s="1818">
        <v>1</v>
      </c>
      <c r="G8" s="1818" t="s">
        <v>55</v>
      </c>
      <c r="H8" s="1818">
        <v>5</v>
      </c>
      <c r="I8" s="1818" t="s">
        <v>155</v>
      </c>
      <c r="J8" s="1818">
        <v>75</v>
      </c>
      <c r="K8" s="53">
        <v>23</v>
      </c>
    </row>
    <row r="9" spans="1:11">
      <c r="A9" s="53" t="s">
        <v>157</v>
      </c>
      <c r="B9" s="1818" t="s">
        <v>55</v>
      </c>
      <c r="C9" s="1818">
        <v>1</v>
      </c>
      <c r="D9" s="1818">
        <v>1</v>
      </c>
      <c r="E9" s="1818">
        <v>1</v>
      </c>
      <c r="F9" s="1818">
        <v>0</v>
      </c>
      <c r="G9" s="1818" t="s">
        <v>55</v>
      </c>
      <c r="H9" s="1818">
        <v>2</v>
      </c>
      <c r="I9" s="1818">
        <v>7</v>
      </c>
      <c r="J9" s="1818">
        <v>1</v>
      </c>
      <c r="K9" s="1818">
        <v>0</v>
      </c>
    </row>
    <row r="10" spans="1:11">
      <c r="A10" s="53" t="s">
        <v>158</v>
      </c>
      <c r="B10" s="1818" t="s">
        <v>55</v>
      </c>
      <c r="C10" s="1818" t="s">
        <v>155</v>
      </c>
      <c r="D10" s="1818">
        <v>1</v>
      </c>
      <c r="E10" s="1818">
        <v>3</v>
      </c>
      <c r="F10" s="1818">
        <v>1</v>
      </c>
      <c r="G10" s="1818" t="s">
        <v>55</v>
      </c>
      <c r="H10" s="1818" t="s">
        <v>155</v>
      </c>
      <c r="I10" s="1818">
        <v>320</v>
      </c>
      <c r="J10" s="1818">
        <v>9</v>
      </c>
      <c r="K10" s="53">
        <v>1</v>
      </c>
    </row>
    <row r="11" spans="1:11">
      <c r="A11" s="53" t="s">
        <v>159</v>
      </c>
      <c r="B11" s="1818" t="s">
        <v>55</v>
      </c>
      <c r="C11" s="1818" t="s">
        <v>155</v>
      </c>
      <c r="D11" s="1818" t="s">
        <v>155</v>
      </c>
      <c r="E11" s="1818">
        <v>0</v>
      </c>
      <c r="F11" s="1818">
        <v>0</v>
      </c>
      <c r="G11" s="1818" t="s">
        <v>55</v>
      </c>
      <c r="H11" s="1818" t="s">
        <v>155</v>
      </c>
      <c r="I11" s="1818" t="s">
        <v>155</v>
      </c>
      <c r="J11" s="1818">
        <v>0</v>
      </c>
      <c r="K11" s="1818">
        <v>0</v>
      </c>
    </row>
    <row r="13" spans="1:11">
      <c r="A13" s="2056" t="s">
        <v>3892</v>
      </c>
      <c r="B13" s="2056"/>
      <c r="C13" s="2056"/>
      <c r="D13" s="2056"/>
      <c r="E13" s="2056"/>
      <c r="F13" s="2056"/>
      <c r="G13" s="2056"/>
      <c r="H13" s="2056"/>
      <c r="I13" s="2056"/>
      <c r="J13" s="2056"/>
      <c r="K13" s="2056"/>
    </row>
    <row r="14" spans="1:11">
      <c r="A14" s="2056" t="s">
        <v>3893</v>
      </c>
      <c r="B14" s="2056"/>
      <c r="C14" s="2056"/>
      <c r="D14" s="2056"/>
      <c r="E14" s="2056"/>
      <c r="F14" s="2056"/>
      <c r="G14" s="2056"/>
      <c r="H14" s="2056"/>
      <c r="I14" s="2056"/>
      <c r="J14" s="2056"/>
      <c r="K14" s="2056"/>
    </row>
    <row r="15" spans="1:11">
      <c r="A15" s="2056" t="s">
        <v>3894</v>
      </c>
      <c r="B15" s="2056"/>
      <c r="C15" s="2056"/>
      <c r="D15" s="2056"/>
      <c r="E15" s="2056"/>
      <c r="F15" s="2056"/>
      <c r="G15" s="2056"/>
      <c r="H15" s="2056"/>
      <c r="I15" s="2056"/>
      <c r="J15" s="2056"/>
      <c r="K15" s="2056"/>
    </row>
    <row r="16" spans="1:11">
      <c r="A16" s="2057" t="s">
        <v>3895</v>
      </c>
      <c r="B16" s="2057"/>
      <c r="C16" s="2057"/>
      <c r="D16" s="2057"/>
      <c r="E16" s="2057"/>
      <c r="F16" s="2057"/>
      <c r="G16" s="2057"/>
      <c r="H16" s="2057"/>
      <c r="I16" s="2057"/>
      <c r="J16" s="2057"/>
      <c r="K16" s="2057"/>
    </row>
    <row r="17" spans="1:11">
      <c r="A17" s="2056" t="s">
        <v>160</v>
      </c>
      <c r="B17" s="2056"/>
      <c r="C17" s="2056"/>
      <c r="D17" s="2056"/>
      <c r="E17" s="2056"/>
      <c r="F17" s="2056"/>
      <c r="G17" s="2056"/>
      <c r="H17" s="2056"/>
      <c r="I17" s="2056"/>
      <c r="J17" s="2056"/>
      <c r="K17" s="2056"/>
    </row>
    <row r="18" spans="1:11">
      <c r="A18" s="2056" t="s">
        <v>161</v>
      </c>
      <c r="B18" s="2056"/>
      <c r="C18" s="2056"/>
      <c r="D18" s="2056"/>
      <c r="E18" s="2056"/>
      <c r="F18" s="2056"/>
      <c r="G18" s="2056"/>
      <c r="H18" s="2056"/>
      <c r="I18" s="2056"/>
      <c r="J18" s="2056"/>
      <c r="K18" s="2056"/>
    </row>
    <row r="19" spans="1:11">
      <c r="A19" s="2056" t="s">
        <v>23</v>
      </c>
      <c r="B19" s="2056"/>
      <c r="C19" s="2056"/>
      <c r="D19" s="2056"/>
      <c r="E19" s="2056"/>
      <c r="F19" s="2056"/>
      <c r="G19" s="2056"/>
      <c r="H19" s="2056"/>
      <c r="I19" s="2056"/>
      <c r="J19" s="2056"/>
      <c r="K19" s="2056"/>
    </row>
  </sheetData>
  <mergeCells count="11">
    <mergeCell ref="A4:A5"/>
    <mergeCell ref="B4:F4"/>
    <mergeCell ref="G4:K4"/>
    <mergeCell ref="A13:K13"/>
    <mergeCell ref="A2:K2"/>
    <mergeCell ref="A19:K19"/>
    <mergeCell ref="A14:K14"/>
    <mergeCell ref="A15:K15"/>
    <mergeCell ref="A16:K16"/>
    <mergeCell ref="A17:K17"/>
    <mergeCell ref="A18:K18"/>
  </mergeCells>
  <pageMargins left="0.7" right="0.7" top="0.75" bottom="0.75" header="0.3" footer="0.3"/>
</worksheet>
</file>

<file path=xl/worksheets/sheet210.xml><?xml version="1.0" encoding="utf-8"?>
<worksheet xmlns="http://schemas.openxmlformats.org/spreadsheetml/2006/main" xmlns:r="http://schemas.openxmlformats.org/officeDocument/2006/relationships">
  <dimension ref="A1:C14"/>
  <sheetViews>
    <sheetView zoomScaleNormal="100" workbookViewId="0">
      <selection activeCell="A24" sqref="A24"/>
    </sheetView>
  </sheetViews>
  <sheetFormatPr baseColWidth="10" defaultRowHeight="12"/>
  <cols>
    <col min="1" max="1" width="33" style="100" customWidth="1"/>
    <col min="2" max="2" width="14.85546875" style="100" customWidth="1"/>
    <col min="3" max="3" width="5.140625" style="100" customWidth="1"/>
    <col min="4" max="16384" width="11.42578125" style="100"/>
  </cols>
  <sheetData>
    <row r="1" spans="1:3">
      <c r="A1" s="843"/>
    </row>
    <row r="2" spans="1:3" s="98" customFormat="1" ht="34.5" customHeight="1">
      <c r="A2" s="2446" t="s">
        <v>1951</v>
      </c>
      <c r="B2" s="2446"/>
      <c r="C2" s="101"/>
    </row>
    <row r="3" spans="1:3" s="98" customFormat="1" ht="11.25">
      <c r="A3" s="101"/>
      <c r="B3" s="101"/>
      <c r="C3" s="101"/>
    </row>
    <row r="4" spans="1:3" s="957" customFormat="1" ht="18" customHeight="1">
      <c r="A4" s="853" t="s">
        <v>1952</v>
      </c>
      <c r="B4" s="853" t="s">
        <v>3562</v>
      </c>
      <c r="C4" s="846"/>
    </row>
    <row r="5" spans="1:3" s="98" customFormat="1" ht="11.25">
      <c r="A5" s="984" t="s">
        <v>1953</v>
      </c>
      <c r="B5" s="985">
        <v>450</v>
      </c>
      <c r="C5" s="101"/>
    </row>
    <row r="6" spans="1:3" s="98" customFormat="1" ht="11.25">
      <c r="A6" s="984" t="s">
        <v>1954</v>
      </c>
      <c r="B6" s="967">
        <f>(2040519/3600)</f>
        <v>566.81083333333333</v>
      </c>
      <c r="C6" s="101"/>
    </row>
    <row r="7" spans="1:3" s="98" customFormat="1" ht="11.25">
      <c r="A7" s="984" t="s">
        <v>1955</v>
      </c>
      <c r="B7" s="967">
        <f>(1856640/3600)</f>
        <v>515.73333333333335</v>
      </c>
      <c r="C7" s="101"/>
    </row>
    <row r="8" spans="1:3" s="98" customFormat="1" ht="11.25">
      <c r="A8" s="984" t="s">
        <v>1956</v>
      </c>
      <c r="B8" s="967">
        <f>(2400205/3600)</f>
        <v>666.72361111111115</v>
      </c>
      <c r="C8" s="101"/>
    </row>
    <row r="9" spans="1:3" s="98" customFormat="1" ht="11.25">
      <c r="A9" s="984" t="s">
        <v>1957</v>
      </c>
      <c r="B9" s="985">
        <f>(3003283/3600)</f>
        <v>834.2452777777778</v>
      </c>
      <c r="C9" s="101"/>
    </row>
    <row r="10" spans="1:3" s="98" customFormat="1" ht="11.25">
      <c r="A10" s="984" t="s">
        <v>1958</v>
      </c>
      <c r="B10" s="985">
        <f>(4012328/3600)</f>
        <v>1114.5355555555554</v>
      </c>
      <c r="C10" s="101"/>
    </row>
    <row r="11" spans="1:3" s="98" customFormat="1" ht="11.25">
      <c r="A11" s="984" t="s">
        <v>1959</v>
      </c>
      <c r="B11" s="967">
        <f>(5661713/3600)</f>
        <v>1572.6980555555556</v>
      </c>
      <c r="C11" s="101"/>
    </row>
    <row r="12" spans="1:3" s="98" customFormat="1" ht="6.75" customHeight="1">
      <c r="A12" s="986"/>
      <c r="B12" s="966"/>
      <c r="C12" s="101"/>
    </row>
    <row r="13" spans="1:3" s="98" customFormat="1" ht="24" customHeight="1">
      <c r="A13" s="2424" t="s">
        <v>3563</v>
      </c>
      <c r="B13" s="2424"/>
      <c r="C13" s="101"/>
    </row>
    <row r="14" spans="1:3" s="98" customFormat="1" ht="11.25">
      <c r="A14" s="2406" t="s">
        <v>1883</v>
      </c>
      <c r="B14" s="2406"/>
      <c r="C14" s="968"/>
    </row>
  </sheetData>
  <mergeCells count="3">
    <mergeCell ref="A2:B2"/>
    <mergeCell ref="A13:B13"/>
    <mergeCell ref="A14:B14"/>
  </mergeCells>
  <pageMargins left="0.7" right="0.7" top="0.75" bottom="0.75" header="0.3" footer="0.3"/>
  <pageSetup paperSize="14" scale="90" orientation="landscape" r:id="rId1"/>
</worksheet>
</file>

<file path=xl/worksheets/sheet211.xml><?xml version="1.0" encoding="utf-8"?>
<worksheet xmlns="http://schemas.openxmlformats.org/spreadsheetml/2006/main" xmlns:r="http://schemas.openxmlformats.org/officeDocument/2006/relationships">
  <dimension ref="A2:D22"/>
  <sheetViews>
    <sheetView zoomScaleNormal="100" workbookViewId="0"/>
  </sheetViews>
  <sheetFormatPr baseColWidth="10" defaultRowHeight="12"/>
  <cols>
    <col min="1" max="1" width="21" style="100" customWidth="1"/>
    <col min="2" max="2" width="15.42578125" style="100" customWidth="1"/>
    <col min="3" max="3" width="19" style="100" customWidth="1"/>
    <col min="4" max="4" width="5.42578125" style="100" customWidth="1"/>
    <col min="5" max="16384" width="11.42578125" style="100"/>
  </cols>
  <sheetData>
    <row r="2" spans="1:4" s="98" customFormat="1" ht="33.75" customHeight="1">
      <c r="A2" s="2446" t="s">
        <v>1960</v>
      </c>
      <c r="B2" s="2446"/>
      <c r="C2" s="2446"/>
    </row>
    <row r="3" spans="1:4" s="98" customFormat="1" ht="11.25">
      <c r="A3" s="101"/>
      <c r="B3" s="101"/>
      <c r="C3" s="101"/>
    </row>
    <row r="4" spans="1:4" s="98" customFormat="1" ht="12.75" customHeight="1">
      <c r="A4" s="2447" t="s">
        <v>1893</v>
      </c>
      <c r="B4" s="2449" t="s">
        <v>3560</v>
      </c>
      <c r="C4" s="2450"/>
    </row>
    <row r="5" spans="1:4" s="98" customFormat="1" ht="11.25">
      <c r="A5" s="2448"/>
      <c r="B5" s="938" t="s">
        <v>1848</v>
      </c>
      <c r="C5" s="938" t="s">
        <v>455</v>
      </c>
    </row>
    <row r="6" spans="1:4" s="98" customFormat="1" ht="11.25">
      <c r="A6" s="959" t="s">
        <v>6</v>
      </c>
      <c r="B6" s="981">
        <f>SUM(B7:B19)</f>
        <v>449.88166666666666</v>
      </c>
      <c r="C6" s="981">
        <f>SUM(C7:C19)</f>
        <v>100</v>
      </c>
    </row>
    <row r="7" spans="1:4" s="98" customFormat="1" ht="11.25">
      <c r="A7" s="101" t="s">
        <v>1902</v>
      </c>
      <c r="B7" s="971">
        <f>(912/3600)</f>
        <v>0.25333333333333335</v>
      </c>
      <c r="C7" s="971">
        <f>+B7/$B$6*100</f>
        <v>5.631110403106003E-2</v>
      </c>
      <c r="D7" s="982"/>
    </row>
    <row r="8" spans="1:4" s="98" customFormat="1" ht="11.25">
      <c r="A8" s="101" t="s">
        <v>1896</v>
      </c>
      <c r="B8" s="983">
        <f>(5316/3600)</f>
        <v>1.4766666666666666</v>
      </c>
      <c r="C8" s="971">
        <f t="shared" ref="C8:C19" si="0">+B8/$B$6*100</f>
        <v>0.32823446165473141</v>
      </c>
      <c r="D8" s="982"/>
    </row>
    <row r="9" spans="1:4" s="98" customFormat="1" ht="11.25">
      <c r="A9" s="101" t="s">
        <v>1833</v>
      </c>
      <c r="B9" s="983">
        <f>(8289/3600)</f>
        <v>2.3025000000000002</v>
      </c>
      <c r="C9" s="971">
        <f t="shared" si="0"/>
        <v>0.51180125144019362</v>
      </c>
    </row>
    <row r="10" spans="1:4" s="98" customFormat="1" ht="11.25">
      <c r="A10" s="101" t="s">
        <v>842</v>
      </c>
      <c r="B10" s="983">
        <f>(9006/3600)</f>
        <v>2.5016666666666665</v>
      </c>
      <c r="C10" s="971">
        <f t="shared" si="0"/>
        <v>0.55607215230671769</v>
      </c>
    </row>
    <row r="11" spans="1:4" s="98" customFormat="1" ht="11.25">
      <c r="A11" s="101" t="s">
        <v>1898</v>
      </c>
      <c r="B11" s="983">
        <f>(38520/3600)</f>
        <v>10.7</v>
      </c>
      <c r="C11" s="971">
        <f t="shared" si="0"/>
        <v>2.3784032097329297</v>
      </c>
    </row>
    <row r="12" spans="1:4" s="98" customFormat="1" ht="11.25">
      <c r="A12" s="101" t="s">
        <v>1286</v>
      </c>
      <c r="B12" s="983">
        <f>(57710/3600)</f>
        <v>16.030555555555555</v>
      </c>
      <c r="C12" s="971">
        <f t="shared" si="0"/>
        <v>3.5632826903864845</v>
      </c>
    </row>
    <row r="13" spans="1:4" s="98" customFormat="1" ht="11.25">
      <c r="A13" s="101" t="s">
        <v>1899</v>
      </c>
      <c r="B13" s="983">
        <f>(37702/3600)</f>
        <v>10.472777777777777</v>
      </c>
      <c r="C13" s="971">
        <f t="shared" si="0"/>
        <v>2.3278961010734922</v>
      </c>
    </row>
    <row r="14" spans="1:4" s="98" customFormat="1" ht="11.25">
      <c r="A14" s="101" t="s">
        <v>1894</v>
      </c>
      <c r="B14" s="983">
        <f>(140041/3600)</f>
        <v>38.900277777777781</v>
      </c>
      <c r="C14" s="971">
        <f t="shared" si="0"/>
        <v>8.6467799557167506</v>
      </c>
    </row>
    <row r="15" spans="1:4" s="98" customFormat="1" ht="11.25">
      <c r="A15" s="101" t="s">
        <v>1897</v>
      </c>
      <c r="B15" s="983">
        <f>(119899/3600)</f>
        <v>33.305277777777775</v>
      </c>
      <c r="C15" s="971">
        <f t="shared" si="0"/>
        <v>7.4031195857676142</v>
      </c>
    </row>
    <row r="16" spans="1:4" s="98" customFormat="1" ht="11.25">
      <c r="A16" s="101" t="s">
        <v>738</v>
      </c>
      <c r="B16" s="983">
        <f>(208195/3600)</f>
        <v>57.831944444444446</v>
      </c>
      <c r="C16" s="971">
        <f t="shared" si="0"/>
        <v>12.854923578669453</v>
      </c>
    </row>
    <row r="17" spans="1:3" s="98" customFormat="1" ht="11.25">
      <c r="A17" s="101" t="s">
        <v>1901</v>
      </c>
      <c r="B17" s="983">
        <f>(345820/3600)</f>
        <v>96.061111111111117</v>
      </c>
      <c r="C17" s="971">
        <f t="shared" si="0"/>
        <v>21.352528504409186</v>
      </c>
    </row>
    <row r="18" spans="1:3" s="98" customFormat="1" ht="11.25">
      <c r="A18" s="101" t="s">
        <v>1900</v>
      </c>
      <c r="B18" s="983">
        <f>(252701/3600)</f>
        <v>70.194722222222225</v>
      </c>
      <c r="C18" s="971">
        <f t="shared" si="0"/>
        <v>15.602930153237828</v>
      </c>
    </row>
    <row r="19" spans="1:3" s="98" customFormat="1" ht="11.25">
      <c r="A19" s="101" t="s">
        <v>1895</v>
      </c>
      <c r="B19" s="983">
        <f>(395463/3600)</f>
        <v>109.85083333333333</v>
      </c>
      <c r="C19" s="971">
        <f t="shared" si="0"/>
        <v>24.417717251573563</v>
      </c>
    </row>
    <row r="20" spans="1:3" s="98" customFormat="1" ht="6.75" customHeight="1">
      <c r="A20" s="101"/>
      <c r="B20" s="970"/>
      <c r="C20" s="971"/>
    </row>
    <row r="21" spans="1:3" s="98" customFormat="1" ht="12.75" customHeight="1">
      <c r="A21" s="2451" t="s">
        <v>3561</v>
      </c>
      <c r="B21" s="2451"/>
      <c r="C21" s="2451"/>
    </row>
    <row r="22" spans="1:3" s="98" customFormat="1" ht="11.25">
      <c r="A22" s="2406" t="s">
        <v>1883</v>
      </c>
      <c r="B22" s="2406"/>
      <c r="C22" s="2406"/>
    </row>
  </sheetData>
  <mergeCells count="5">
    <mergeCell ref="A2:C2"/>
    <mergeCell ref="A4:A5"/>
    <mergeCell ref="B4:C4"/>
    <mergeCell ref="A21:C21"/>
    <mergeCell ref="A22:C22"/>
  </mergeCells>
  <pageMargins left="0.7" right="0.7" top="0.75" bottom="0.75" header="0.3" footer="0.3"/>
  <pageSetup paperSize="14" scale="90" orientation="landscape" r:id="rId1"/>
</worksheet>
</file>

<file path=xl/worksheets/sheet212.xml><?xml version="1.0" encoding="utf-8"?>
<worksheet xmlns="http://schemas.openxmlformats.org/spreadsheetml/2006/main" xmlns:r="http://schemas.openxmlformats.org/officeDocument/2006/relationships">
  <dimension ref="A2:F13"/>
  <sheetViews>
    <sheetView zoomScaleNormal="100" workbookViewId="0"/>
  </sheetViews>
  <sheetFormatPr baseColWidth="10" defaultRowHeight="12"/>
  <cols>
    <col min="1" max="1" width="20.7109375" style="100" customWidth="1"/>
    <col min="2" max="5" width="11.42578125" style="100"/>
    <col min="6" max="6" width="3.5703125" style="100" customWidth="1"/>
    <col min="7" max="16384" width="11.42578125" style="100"/>
  </cols>
  <sheetData>
    <row r="2" spans="1:6" s="98" customFormat="1" ht="22.5" customHeight="1">
      <c r="A2" s="2419" t="s">
        <v>1961</v>
      </c>
      <c r="B2" s="2419"/>
      <c r="C2" s="2419"/>
      <c r="D2" s="2419"/>
      <c r="E2" s="2419"/>
    </row>
    <row r="3" spans="1:6" s="98" customFormat="1" ht="11.25">
      <c r="A3" s="97"/>
    </row>
    <row r="4" spans="1:6" s="98" customFormat="1" ht="13.5" customHeight="1">
      <c r="A4" s="2453" t="s">
        <v>1904</v>
      </c>
      <c r="B4" s="2429" t="s">
        <v>1962</v>
      </c>
      <c r="C4" s="2429"/>
      <c r="D4" s="2429"/>
      <c r="E4" s="2429"/>
    </row>
    <row r="5" spans="1:6" s="98" customFormat="1" ht="12.75" customHeight="1">
      <c r="A5" s="2454"/>
      <c r="B5" s="2456" t="s">
        <v>3555</v>
      </c>
      <c r="C5" s="2456"/>
      <c r="D5" s="2456" t="s">
        <v>3556</v>
      </c>
      <c r="E5" s="2457"/>
    </row>
    <row r="6" spans="1:6" s="98" customFormat="1" ht="22.5">
      <c r="A6" s="2455"/>
      <c r="B6" s="973" t="s">
        <v>1963</v>
      </c>
      <c r="C6" s="973" t="s">
        <v>1149</v>
      </c>
      <c r="D6" s="973" t="s">
        <v>1963</v>
      </c>
      <c r="E6" s="973" t="s">
        <v>1149</v>
      </c>
    </row>
    <row r="7" spans="1:6" s="98" customFormat="1" ht="11.25">
      <c r="A7" s="974" t="s">
        <v>6</v>
      </c>
      <c r="B7" s="975">
        <f>SUM(B8:B9)</f>
        <v>3916.7166666666667</v>
      </c>
      <c r="C7" s="961">
        <f>SUM(C8:C9)</f>
        <v>1</v>
      </c>
      <c r="D7" s="975">
        <f>SUM(D8:D9)</f>
        <v>449.88166666666666</v>
      </c>
      <c r="E7" s="961">
        <f>SUM(E8:E9)</f>
        <v>1</v>
      </c>
    </row>
    <row r="8" spans="1:6" s="98" customFormat="1" ht="11.25">
      <c r="A8" s="976" t="s">
        <v>763</v>
      </c>
      <c r="B8" s="967">
        <f>(438300/3600)</f>
        <v>121.75</v>
      </c>
      <c r="C8" s="977">
        <f>B8/B7</f>
        <v>3.1084709556899272E-2</v>
      </c>
      <c r="D8" s="978">
        <f>(1090428/3600)</f>
        <v>302.89666666666665</v>
      </c>
      <c r="E8" s="977">
        <f>D8/D7</f>
        <v>0.67328075160505163</v>
      </c>
      <c r="F8" s="979"/>
    </row>
    <row r="9" spans="1:6" s="98" customFormat="1" ht="11.25">
      <c r="A9" s="976" t="s">
        <v>1905</v>
      </c>
      <c r="B9" s="967">
        <f>(13661880/3600)</f>
        <v>3794.9666666666667</v>
      </c>
      <c r="C9" s="977">
        <f>B9/B7</f>
        <v>0.96891529044310076</v>
      </c>
      <c r="D9" s="978">
        <f>(529146/3600)</f>
        <v>146.98500000000001</v>
      </c>
      <c r="E9" s="977">
        <f>D9/D7</f>
        <v>0.32671924839494831</v>
      </c>
      <c r="F9" s="979"/>
    </row>
    <row r="10" spans="1:6" s="98" customFormat="1" ht="6" customHeight="1"/>
    <row r="11" spans="1:6" s="98" customFormat="1" ht="10.5" customHeight="1">
      <c r="A11" s="2430" t="s">
        <v>3557</v>
      </c>
      <c r="B11" s="2430"/>
      <c r="C11" s="2430"/>
    </row>
    <row r="12" spans="1:6" s="98" customFormat="1" ht="10.5" customHeight="1">
      <c r="A12" s="2452" t="s">
        <v>3559</v>
      </c>
      <c r="B12" s="2424"/>
      <c r="C12" s="2424"/>
      <c r="D12" s="2424"/>
      <c r="E12" s="980"/>
    </row>
    <row r="13" spans="1:6" s="98" customFormat="1" ht="11.25">
      <c r="A13" s="2406" t="s">
        <v>1883</v>
      </c>
      <c r="B13" s="2406"/>
      <c r="C13" s="2406"/>
      <c r="D13" s="2406"/>
      <c r="E13" s="2406"/>
    </row>
  </sheetData>
  <mergeCells count="8">
    <mergeCell ref="A12:D12"/>
    <mergeCell ref="A13:E13"/>
    <mergeCell ref="A2:E2"/>
    <mergeCell ref="A4:A6"/>
    <mergeCell ref="B4:E4"/>
    <mergeCell ref="B5:C5"/>
    <mergeCell ref="D5:E5"/>
    <mergeCell ref="A11:C11"/>
  </mergeCells>
  <pageMargins left="0.7" right="0.7" top="0.75" bottom="0.75" header="0.3" footer="0.3"/>
  <pageSetup paperSize="14" scale="90" orientation="landscape" r:id="rId1"/>
</worksheet>
</file>

<file path=xl/worksheets/sheet213.xml><?xml version="1.0" encoding="utf-8"?>
<worksheet xmlns="http://schemas.openxmlformats.org/spreadsheetml/2006/main" xmlns:r="http://schemas.openxmlformats.org/officeDocument/2006/relationships">
  <dimension ref="A1:G23"/>
  <sheetViews>
    <sheetView zoomScaleNormal="100" workbookViewId="0">
      <selection activeCell="A27" sqref="A27"/>
    </sheetView>
  </sheetViews>
  <sheetFormatPr baseColWidth="10" defaultRowHeight="11.25"/>
  <cols>
    <col min="1" max="1" width="31.42578125" style="98" customWidth="1"/>
    <col min="2" max="5" width="17.42578125" style="98" customWidth="1"/>
    <col min="6" max="6" width="4.42578125" style="98" customWidth="1"/>
    <col min="7" max="16384" width="11.42578125" style="98"/>
  </cols>
  <sheetData>
    <row r="1" spans="1:7" ht="12">
      <c r="A1" s="843"/>
      <c r="B1" s="99"/>
      <c r="E1" s="101"/>
    </row>
    <row r="2" spans="1:7" ht="35.25" customHeight="1">
      <c r="A2" s="2446" t="s">
        <v>1964</v>
      </c>
      <c r="B2" s="2446"/>
      <c r="C2" s="2446"/>
      <c r="D2" s="2446"/>
      <c r="E2" s="2446"/>
    </row>
    <row r="4" spans="1:7" s="957" customFormat="1" ht="13.5" customHeight="1">
      <c r="A4" s="2458" t="s">
        <v>1847</v>
      </c>
      <c r="B4" s="2458" t="s">
        <v>3555</v>
      </c>
      <c r="C4" s="2458"/>
      <c r="D4" s="2458" t="s">
        <v>3556</v>
      </c>
      <c r="E4" s="2458"/>
      <c r="F4" s="846"/>
    </row>
    <row r="5" spans="1:7" s="957" customFormat="1" ht="13.5" customHeight="1">
      <c r="A5" s="2458"/>
      <c r="B5" s="958" t="s">
        <v>1848</v>
      </c>
      <c r="C5" s="958" t="s">
        <v>1149</v>
      </c>
      <c r="D5" s="958" t="s">
        <v>1848</v>
      </c>
      <c r="E5" s="958" t="s">
        <v>1149</v>
      </c>
      <c r="F5" s="846"/>
    </row>
    <row r="6" spans="1:7">
      <c r="A6" s="959" t="s">
        <v>6</v>
      </c>
      <c r="B6" s="960">
        <f>SUM(B7:B8)</f>
        <v>51860.25</v>
      </c>
      <c r="C6" s="961">
        <f>SUM(C7:C8)</f>
        <v>1</v>
      </c>
      <c r="D6" s="960">
        <f>SUM(D7:D8)</f>
        <v>831.11333333333334</v>
      </c>
      <c r="E6" s="961">
        <f>SUM(E7:E8)</f>
        <v>1</v>
      </c>
      <c r="F6" s="101"/>
    </row>
    <row r="7" spans="1:7" ht="12" customHeight="1">
      <c r="A7" s="962" t="s">
        <v>1965</v>
      </c>
      <c r="B7" s="963">
        <f>(185428080/3600)</f>
        <v>51507.8</v>
      </c>
      <c r="C7" s="964">
        <f>B7/$B$6</f>
        <v>0.99320385073346162</v>
      </c>
      <c r="D7" s="965">
        <f>(2971738/3600)</f>
        <v>825.48277777777776</v>
      </c>
      <c r="E7" s="964">
        <f>D7/$D$6</f>
        <v>0.993225285493889</v>
      </c>
      <c r="F7" s="101"/>
    </row>
    <row r="8" spans="1:7">
      <c r="A8" s="962" t="s">
        <v>1966</v>
      </c>
      <c r="B8" s="963">
        <f>(1268820/3600)</f>
        <v>352.45</v>
      </c>
      <c r="C8" s="964">
        <f>B8/$B$6</f>
        <v>6.7961492665384376E-3</v>
      </c>
      <c r="D8" s="965">
        <f>(20270/3600)</f>
        <v>5.6305555555555555</v>
      </c>
      <c r="E8" s="964">
        <f>D8/$D$6</f>
        <v>6.7747145061109459E-3</v>
      </c>
      <c r="F8" s="101"/>
    </row>
    <row r="9" spans="1:7" ht="6" customHeight="1">
      <c r="A9" s="962"/>
      <c r="B9" s="966"/>
      <c r="C9" s="964"/>
      <c r="D9" s="967"/>
      <c r="E9" s="964"/>
      <c r="F9" s="101"/>
    </row>
    <row r="10" spans="1:7">
      <c r="A10" s="2459" t="s">
        <v>3557</v>
      </c>
      <c r="B10" s="2459"/>
      <c r="C10" s="2459"/>
      <c r="D10" s="2459"/>
      <c r="E10" s="2459"/>
    </row>
    <row r="11" spans="1:7">
      <c r="A11" s="2451" t="s">
        <v>3558</v>
      </c>
      <c r="B11" s="2451"/>
      <c r="C11" s="2451"/>
      <c r="D11" s="2451"/>
      <c r="E11" s="2451"/>
      <c r="F11" s="101"/>
    </row>
    <row r="12" spans="1:7">
      <c r="A12" s="2406" t="s">
        <v>1883</v>
      </c>
      <c r="B12" s="2406"/>
      <c r="C12" s="2406"/>
      <c r="D12" s="2406"/>
      <c r="E12" s="2406"/>
      <c r="F12" s="968"/>
      <c r="G12" s="968"/>
    </row>
    <row r="15" spans="1:7">
      <c r="A15" s="101"/>
      <c r="B15" s="101"/>
      <c r="C15" s="101"/>
    </row>
    <row r="16" spans="1:7" s="101" customFormat="1">
      <c r="A16" s="969"/>
      <c r="B16" s="969"/>
      <c r="C16" s="969"/>
    </row>
    <row r="17" spans="1:3" s="101" customFormat="1">
      <c r="B17" s="970"/>
      <c r="C17" s="971"/>
    </row>
    <row r="18" spans="1:3" s="101" customFormat="1">
      <c r="B18" s="970"/>
      <c r="C18" s="971"/>
    </row>
    <row r="19" spans="1:3" s="101" customFormat="1">
      <c r="B19" s="970"/>
      <c r="C19" s="971"/>
    </row>
    <row r="20" spans="1:3" s="101" customFormat="1">
      <c r="B20" s="970"/>
      <c r="C20" s="971"/>
    </row>
    <row r="21" spans="1:3" s="101" customFormat="1">
      <c r="A21" s="833"/>
      <c r="B21" s="833"/>
      <c r="C21" s="833"/>
    </row>
    <row r="22" spans="1:3" s="101" customFormat="1">
      <c r="A22" s="972"/>
      <c r="B22" s="972"/>
      <c r="C22" s="972"/>
    </row>
    <row r="23" spans="1:3" s="101" customFormat="1"/>
  </sheetData>
  <mergeCells count="7">
    <mergeCell ref="A12:E12"/>
    <mergeCell ref="A2:E2"/>
    <mergeCell ref="A4:A5"/>
    <mergeCell ref="B4:C4"/>
    <mergeCell ref="D4:E4"/>
    <mergeCell ref="A10:E10"/>
    <mergeCell ref="A11:E11"/>
  </mergeCells>
  <pageMargins left="0.7" right="0.7" top="0.75" bottom="0.75" header="0.3" footer="0.3"/>
  <pageSetup paperSize="14" scale="90" orientation="landscape" r:id="rId1"/>
</worksheet>
</file>

<file path=xl/worksheets/sheet214.xml><?xml version="1.0" encoding="utf-8"?>
<worksheet xmlns="http://schemas.openxmlformats.org/spreadsheetml/2006/main" xmlns:r="http://schemas.openxmlformats.org/officeDocument/2006/relationships">
  <dimension ref="A1:B13"/>
  <sheetViews>
    <sheetView zoomScaleNormal="100" workbookViewId="0">
      <selection activeCell="B17" sqref="B17"/>
    </sheetView>
  </sheetViews>
  <sheetFormatPr baseColWidth="10" defaultRowHeight="12"/>
  <cols>
    <col min="1" max="2" width="28.42578125" style="100" customWidth="1"/>
    <col min="3" max="3" width="8.42578125" style="100" customWidth="1"/>
    <col min="4" max="16384" width="11.42578125" style="100"/>
  </cols>
  <sheetData>
    <row r="1" spans="1:2">
      <c r="A1" s="843"/>
    </row>
    <row r="2" spans="1:2" ht="30" customHeight="1">
      <c r="A2" s="2743" t="s">
        <v>1967</v>
      </c>
      <c r="B2" s="2743"/>
    </row>
    <row r="3" spans="1:2">
      <c r="A3" s="98"/>
      <c r="B3" s="98"/>
    </row>
    <row r="4" spans="1:2" ht="21.75" customHeight="1">
      <c r="A4" s="853" t="s">
        <v>1968</v>
      </c>
      <c r="B4" s="847" t="s">
        <v>1969</v>
      </c>
    </row>
    <row r="5" spans="1:2">
      <c r="A5" s="97" t="s">
        <v>6</v>
      </c>
      <c r="B5" s="956">
        <f>SUM(B6:B11)</f>
        <v>229</v>
      </c>
    </row>
    <row r="6" spans="1:2">
      <c r="A6" s="98" t="s">
        <v>1970</v>
      </c>
      <c r="B6" s="98">
        <v>137</v>
      </c>
    </row>
    <row r="7" spans="1:2">
      <c r="A7" s="98" t="s">
        <v>1420</v>
      </c>
      <c r="B7" s="98">
        <v>40</v>
      </c>
    </row>
    <row r="8" spans="1:2">
      <c r="A8" s="98" t="s">
        <v>158</v>
      </c>
      <c r="B8" s="98">
        <v>32</v>
      </c>
    </row>
    <row r="9" spans="1:2">
      <c r="A9" s="98" t="s">
        <v>1971</v>
      </c>
      <c r="B9" s="98">
        <v>11</v>
      </c>
    </row>
    <row r="10" spans="1:2">
      <c r="A10" s="98" t="s">
        <v>1972</v>
      </c>
      <c r="B10" s="98">
        <v>6</v>
      </c>
    </row>
    <row r="11" spans="1:2">
      <c r="A11" s="98" t="s">
        <v>154</v>
      </c>
      <c r="B11" s="98">
        <v>3</v>
      </c>
    </row>
    <row r="12" spans="1:2">
      <c r="A12" s="98"/>
      <c r="B12" s="98"/>
    </row>
    <row r="13" spans="1:2">
      <c r="A13" s="2460" t="s">
        <v>1973</v>
      </c>
      <c r="B13" s="2460"/>
    </row>
  </sheetData>
  <mergeCells count="2">
    <mergeCell ref="A2:B2"/>
    <mergeCell ref="A13:B13"/>
  </mergeCells>
  <pageMargins left="0.7" right="0.7" top="0.75" bottom="0.75" header="0.3" footer="0.3"/>
  <pageSetup paperSize="14" scale="90" orientation="landscape" r:id="rId1"/>
</worksheet>
</file>

<file path=xl/worksheets/sheet215.xml><?xml version="1.0" encoding="utf-8"?>
<worksheet xmlns="http://schemas.openxmlformats.org/spreadsheetml/2006/main" xmlns:r="http://schemas.openxmlformats.org/officeDocument/2006/relationships">
  <dimension ref="A1:Q27"/>
  <sheetViews>
    <sheetView zoomScaleNormal="100" workbookViewId="0">
      <selection activeCell="B35" sqref="B35"/>
    </sheetView>
  </sheetViews>
  <sheetFormatPr baseColWidth="10" defaultRowHeight="11.25"/>
  <cols>
    <col min="1" max="1" width="19" style="98" customWidth="1"/>
    <col min="2" max="3" width="12.7109375" style="98" customWidth="1"/>
    <col min="4" max="6" width="11.42578125" style="98"/>
    <col min="7" max="7" width="16.7109375" style="98" customWidth="1"/>
    <col min="8" max="8" width="14" style="98" customWidth="1"/>
    <col min="9" max="9" width="6.85546875" style="98" customWidth="1"/>
    <col min="10" max="16384" width="11.42578125" style="98"/>
  </cols>
  <sheetData>
    <row r="1" spans="1:8" ht="12">
      <c r="A1" s="843"/>
    </row>
    <row r="2" spans="1:8">
      <c r="A2" s="2462" t="s">
        <v>1974</v>
      </c>
      <c r="B2" s="2462"/>
      <c r="C2" s="2462"/>
      <c r="D2" s="2462"/>
      <c r="E2" s="2462"/>
      <c r="F2" s="2462"/>
      <c r="G2" s="2462"/>
      <c r="H2" s="2462"/>
    </row>
    <row r="4" spans="1:8" ht="12.75" customHeight="1">
      <c r="A4" s="2458" t="s">
        <v>0</v>
      </c>
      <c r="B4" s="2461" t="s">
        <v>1975</v>
      </c>
      <c r="C4" s="2429" t="s">
        <v>1976</v>
      </c>
      <c r="D4" s="2429"/>
      <c r="E4" s="2429"/>
      <c r="F4" s="2429"/>
      <c r="G4" s="2429"/>
      <c r="H4" s="2429"/>
    </row>
    <row r="5" spans="1:8" ht="12.75">
      <c r="A5" s="2458"/>
      <c r="B5" s="2461"/>
      <c r="C5" s="847" t="s">
        <v>3553</v>
      </c>
      <c r="D5" s="847" t="s">
        <v>1420</v>
      </c>
      <c r="E5" s="847" t="s">
        <v>158</v>
      </c>
      <c r="F5" s="847" t="s">
        <v>1971</v>
      </c>
      <c r="G5" s="836" t="s">
        <v>1977</v>
      </c>
      <c r="H5" s="847" t="s">
        <v>154</v>
      </c>
    </row>
    <row r="6" spans="1:8">
      <c r="A6" s="946" t="s">
        <v>6</v>
      </c>
      <c r="B6" s="947">
        <f>SUM(B7:B21)</f>
        <v>229</v>
      </c>
      <c r="C6" s="947">
        <f t="shared" ref="C6:H6" si="0">SUM(C7:C21)</f>
        <v>137</v>
      </c>
      <c r="D6" s="947">
        <f t="shared" si="0"/>
        <v>40</v>
      </c>
      <c r="E6" s="947">
        <f t="shared" si="0"/>
        <v>32</v>
      </c>
      <c r="F6" s="947">
        <f t="shared" si="0"/>
        <v>1</v>
      </c>
      <c r="G6" s="947">
        <f t="shared" si="0"/>
        <v>10</v>
      </c>
      <c r="H6" s="947">
        <f t="shared" si="0"/>
        <v>9</v>
      </c>
    </row>
    <row r="7" spans="1:8">
      <c r="A7" s="948" t="s">
        <v>7</v>
      </c>
      <c r="B7" s="947">
        <f>SUM(C7:H7)</f>
        <v>9</v>
      </c>
      <c r="C7" s="949">
        <v>7</v>
      </c>
      <c r="D7" s="949">
        <v>2</v>
      </c>
      <c r="E7" s="949">
        <v>0</v>
      </c>
      <c r="F7" s="949">
        <v>0</v>
      </c>
      <c r="G7" s="949">
        <v>0</v>
      </c>
      <c r="H7" s="949">
        <v>0</v>
      </c>
    </row>
    <row r="8" spans="1:8">
      <c r="A8" s="948" t="s">
        <v>8</v>
      </c>
      <c r="B8" s="947">
        <f t="shared" ref="B8:B21" si="1">SUM(C8:H8)</f>
        <v>10</v>
      </c>
      <c r="C8" s="949">
        <v>7</v>
      </c>
      <c r="D8" s="949">
        <v>3</v>
      </c>
      <c r="E8" s="949">
        <v>0</v>
      </c>
      <c r="F8" s="949">
        <v>0</v>
      </c>
      <c r="G8" s="949">
        <v>0</v>
      </c>
      <c r="H8" s="949">
        <v>0</v>
      </c>
    </row>
    <row r="9" spans="1:8">
      <c r="A9" s="948" t="s">
        <v>9</v>
      </c>
      <c r="B9" s="947">
        <f t="shared" si="1"/>
        <v>13</v>
      </c>
      <c r="C9" s="949">
        <v>9</v>
      </c>
      <c r="D9" s="949">
        <v>2</v>
      </c>
      <c r="E9" s="949">
        <v>2</v>
      </c>
      <c r="F9" s="949">
        <v>0</v>
      </c>
      <c r="G9" s="949">
        <v>0</v>
      </c>
      <c r="H9" s="949">
        <v>0</v>
      </c>
    </row>
    <row r="10" spans="1:8">
      <c r="A10" s="948" t="s">
        <v>10</v>
      </c>
      <c r="B10" s="947">
        <f>SUM(C10:H10)</f>
        <v>10</v>
      </c>
      <c r="C10" s="949">
        <v>8</v>
      </c>
      <c r="D10" s="949">
        <v>2</v>
      </c>
      <c r="E10" s="949">
        <v>0</v>
      </c>
      <c r="F10" s="949">
        <v>0</v>
      </c>
      <c r="G10" s="949">
        <v>0</v>
      </c>
      <c r="H10" s="949">
        <v>0</v>
      </c>
    </row>
    <row r="11" spans="1:8">
      <c r="A11" s="948" t="s">
        <v>11</v>
      </c>
      <c r="B11" s="947">
        <f t="shared" si="1"/>
        <v>12</v>
      </c>
      <c r="C11" s="949">
        <v>8</v>
      </c>
      <c r="D11" s="949">
        <v>3</v>
      </c>
      <c r="E11" s="949">
        <v>1</v>
      </c>
      <c r="F11" s="949">
        <v>0</v>
      </c>
      <c r="G11" s="949">
        <v>0</v>
      </c>
      <c r="H11" s="949">
        <v>0</v>
      </c>
    </row>
    <row r="12" spans="1:8">
      <c r="A12" s="948" t="s">
        <v>12</v>
      </c>
      <c r="B12" s="947">
        <f t="shared" si="1"/>
        <v>23</v>
      </c>
      <c r="C12" s="949">
        <v>14</v>
      </c>
      <c r="D12" s="949">
        <v>4</v>
      </c>
      <c r="E12" s="949">
        <v>3</v>
      </c>
      <c r="F12" s="949">
        <v>0</v>
      </c>
      <c r="G12" s="949">
        <v>2</v>
      </c>
      <c r="H12" s="949"/>
    </row>
    <row r="13" spans="1:8">
      <c r="A13" s="948" t="s">
        <v>13</v>
      </c>
      <c r="B13" s="947">
        <f t="shared" si="1"/>
        <v>69</v>
      </c>
      <c r="C13" s="949">
        <v>35</v>
      </c>
      <c r="D13" s="949">
        <v>10</v>
      </c>
      <c r="E13" s="949">
        <v>9</v>
      </c>
      <c r="F13" s="949">
        <v>1</v>
      </c>
      <c r="G13" s="949">
        <v>5</v>
      </c>
      <c r="H13" s="949">
        <v>9</v>
      </c>
    </row>
    <row r="14" spans="1:8">
      <c r="A14" s="948" t="s">
        <v>14</v>
      </c>
      <c r="B14" s="947">
        <f t="shared" si="1"/>
        <v>14</v>
      </c>
      <c r="C14" s="949">
        <v>10</v>
      </c>
      <c r="D14" s="949">
        <v>3</v>
      </c>
      <c r="E14" s="949">
        <v>1</v>
      </c>
      <c r="F14" s="949">
        <v>0</v>
      </c>
      <c r="G14" s="949">
        <v>0</v>
      </c>
      <c r="H14" s="949">
        <v>0</v>
      </c>
    </row>
    <row r="15" spans="1:8">
      <c r="A15" s="948" t="s">
        <v>15</v>
      </c>
      <c r="B15" s="947">
        <f t="shared" si="1"/>
        <v>15</v>
      </c>
      <c r="C15" s="949">
        <v>12</v>
      </c>
      <c r="D15" s="949">
        <v>2</v>
      </c>
      <c r="E15" s="949">
        <v>1</v>
      </c>
      <c r="F15" s="949">
        <v>0</v>
      </c>
      <c r="G15" s="949">
        <v>0</v>
      </c>
      <c r="H15" s="949">
        <v>0</v>
      </c>
    </row>
    <row r="16" spans="1:8">
      <c r="A16" s="948" t="s">
        <v>16</v>
      </c>
      <c r="B16" s="947">
        <f t="shared" si="1"/>
        <v>19</v>
      </c>
      <c r="C16" s="949">
        <v>11</v>
      </c>
      <c r="D16" s="949">
        <v>3</v>
      </c>
      <c r="E16" s="949">
        <v>3</v>
      </c>
      <c r="F16" s="949">
        <v>0</v>
      </c>
      <c r="G16" s="949">
        <v>2</v>
      </c>
      <c r="H16" s="949">
        <v>0</v>
      </c>
    </row>
    <row r="17" spans="1:17">
      <c r="A17" s="948" t="s">
        <v>17</v>
      </c>
      <c r="B17" s="947">
        <f t="shared" si="1"/>
        <v>9</v>
      </c>
      <c r="C17" s="949">
        <v>6</v>
      </c>
      <c r="D17" s="949">
        <v>2</v>
      </c>
      <c r="E17" s="949">
        <v>1</v>
      </c>
      <c r="F17" s="949">
        <v>0</v>
      </c>
      <c r="G17" s="949">
        <v>0</v>
      </c>
      <c r="H17" s="949">
        <v>0</v>
      </c>
    </row>
    <row r="18" spans="1:17">
      <c r="A18" s="948" t="s">
        <v>18</v>
      </c>
      <c r="B18" s="947">
        <f t="shared" si="1"/>
        <v>16</v>
      </c>
      <c r="C18" s="949">
        <v>7</v>
      </c>
      <c r="D18" s="949">
        <v>3</v>
      </c>
      <c r="E18" s="949">
        <v>5</v>
      </c>
      <c r="F18" s="949">
        <v>0</v>
      </c>
      <c r="G18" s="949">
        <v>1</v>
      </c>
      <c r="H18" s="949">
        <v>0</v>
      </c>
    </row>
    <row r="19" spans="1:17">
      <c r="A19" s="948" t="s">
        <v>19</v>
      </c>
      <c r="B19" s="947">
        <f t="shared" si="1"/>
        <v>9</v>
      </c>
      <c r="C19" s="949">
        <v>3</v>
      </c>
      <c r="D19" s="949">
        <v>1</v>
      </c>
      <c r="E19" s="949">
        <v>5</v>
      </c>
      <c r="F19" s="949">
        <v>0</v>
      </c>
      <c r="G19" s="949">
        <v>0</v>
      </c>
      <c r="H19" s="949">
        <v>0</v>
      </c>
    </row>
    <row r="20" spans="1:17">
      <c r="A20" s="948" t="s">
        <v>20</v>
      </c>
      <c r="B20" s="950">
        <f t="shared" si="1"/>
        <v>0</v>
      </c>
      <c r="C20" s="951">
        <v>0</v>
      </c>
      <c r="D20" s="951">
        <v>0</v>
      </c>
      <c r="E20" s="951">
        <v>0</v>
      </c>
      <c r="F20" s="949">
        <v>0</v>
      </c>
      <c r="G20" s="949">
        <v>0</v>
      </c>
      <c r="H20" s="949">
        <v>0</v>
      </c>
    </row>
    <row r="21" spans="1:17">
      <c r="A21" s="948" t="s">
        <v>21</v>
      </c>
      <c r="B21" s="947">
        <f t="shared" si="1"/>
        <v>1</v>
      </c>
      <c r="C21" s="949">
        <v>0</v>
      </c>
      <c r="D21" s="949">
        <v>0</v>
      </c>
      <c r="E21" s="949">
        <v>1</v>
      </c>
      <c r="F21" s="949">
        <v>0</v>
      </c>
      <c r="G21" s="949">
        <v>0</v>
      </c>
      <c r="H21" s="949">
        <v>0</v>
      </c>
    </row>
    <row r="22" spans="1:17">
      <c r="A22" s="952"/>
      <c r="B22" s="953"/>
      <c r="C22" s="953"/>
      <c r="D22" s="953"/>
      <c r="E22" s="953"/>
      <c r="F22" s="953"/>
      <c r="G22" s="953"/>
      <c r="H22" s="953"/>
    </row>
    <row r="23" spans="1:17" s="35" customFormat="1" ht="36" customHeight="1">
      <c r="A23" s="2463" t="s">
        <v>3554</v>
      </c>
      <c r="B23" s="2463"/>
      <c r="C23" s="2463"/>
      <c r="D23" s="2463"/>
      <c r="E23" s="2463"/>
      <c r="F23" s="2463"/>
      <c r="G23" s="2463"/>
      <c r="H23" s="2463"/>
    </row>
    <row r="24" spans="1:17" s="14" customFormat="1" ht="11.25" customHeight="1">
      <c r="A24" s="954" t="s">
        <v>22</v>
      </c>
      <c r="B24" s="863"/>
      <c r="C24" s="863"/>
      <c r="D24" s="863"/>
      <c r="E24" s="863"/>
      <c r="F24" s="863"/>
      <c r="G24" s="863"/>
      <c r="H24" s="863"/>
      <c r="J24" s="28"/>
      <c r="K24" s="28"/>
      <c r="L24" s="28"/>
      <c r="M24" s="28"/>
      <c r="N24" s="28"/>
      <c r="O24" s="28"/>
      <c r="P24" s="28"/>
      <c r="Q24" s="28"/>
    </row>
    <row r="25" spans="1:17">
      <c r="A25" s="15" t="s">
        <v>1973</v>
      </c>
      <c r="B25" s="15"/>
      <c r="C25" s="15"/>
      <c r="D25" s="15"/>
      <c r="E25" s="15"/>
      <c r="F25" s="15"/>
      <c r="G25" s="15"/>
      <c r="H25" s="15"/>
    </row>
    <row r="27" spans="1:17">
      <c r="E27" s="955"/>
    </row>
  </sheetData>
  <mergeCells count="5">
    <mergeCell ref="A4:A5"/>
    <mergeCell ref="B4:B5"/>
    <mergeCell ref="C4:H4"/>
    <mergeCell ref="A2:H2"/>
    <mergeCell ref="A23:H23"/>
  </mergeCells>
  <pageMargins left="0.7" right="0.7" top="0.75" bottom="0.75" header="0.3" footer="0.3"/>
  <pageSetup paperSize="14" scale="90" orientation="landscape" r:id="rId1"/>
</worksheet>
</file>

<file path=xl/worksheets/sheet216.xml><?xml version="1.0" encoding="utf-8"?>
<worksheet xmlns="http://schemas.openxmlformats.org/spreadsheetml/2006/main" xmlns:r="http://schemas.openxmlformats.org/officeDocument/2006/relationships">
  <dimension ref="A1:S24"/>
  <sheetViews>
    <sheetView zoomScaleNormal="100" workbookViewId="0">
      <selection activeCell="A27" sqref="A27"/>
    </sheetView>
  </sheetViews>
  <sheetFormatPr baseColWidth="10" defaultRowHeight="11.25"/>
  <cols>
    <col min="1" max="1" width="29.140625" style="99" customWidth="1"/>
    <col min="2" max="2" width="9.28515625" style="99" customWidth="1"/>
    <col min="3" max="4" width="15.42578125" style="99" customWidth="1"/>
    <col min="5" max="5" width="3.7109375" style="99" customWidth="1"/>
    <col min="6" max="16384" width="11.42578125" style="99"/>
  </cols>
  <sheetData>
    <row r="1" spans="1:4" s="943" customFormat="1" ht="12">
      <c r="A1" s="843"/>
    </row>
    <row r="2" spans="1:4" ht="26.25" customHeight="1">
      <c r="A2" s="2464" t="s">
        <v>1978</v>
      </c>
      <c r="B2" s="2464"/>
      <c r="C2" s="2464"/>
      <c r="D2" s="2464"/>
    </row>
    <row r="4" spans="1:4" ht="15.75" customHeight="1">
      <c r="A4" s="2376" t="s">
        <v>0</v>
      </c>
      <c r="B4" s="2465" t="s">
        <v>26</v>
      </c>
      <c r="C4" s="2376" t="s">
        <v>1979</v>
      </c>
      <c r="D4" s="2376"/>
    </row>
    <row r="5" spans="1:4" ht="15.75" customHeight="1">
      <c r="A5" s="2376"/>
      <c r="B5" s="2466"/>
      <c r="C5" s="894" t="s">
        <v>763</v>
      </c>
      <c r="D5" s="894" t="s">
        <v>1980</v>
      </c>
    </row>
    <row r="6" spans="1:4">
      <c r="A6" s="943" t="s">
        <v>6</v>
      </c>
      <c r="B6" s="896">
        <f>SUM(C6:D6)</f>
        <v>15</v>
      </c>
      <c r="C6" s="944">
        <f>SUM(C7:C21)</f>
        <v>9</v>
      </c>
      <c r="D6" s="944">
        <f>SUM(D7:D21)</f>
        <v>6</v>
      </c>
    </row>
    <row r="7" spans="1:4">
      <c r="A7" s="945" t="s">
        <v>7</v>
      </c>
      <c r="B7" s="896">
        <f t="shared" ref="B7:B21" si="0">SUM(C7:D7)</f>
        <v>0</v>
      </c>
      <c r="C7" s="905">
        <v>0</v>
      </c>
      <c r="D7" s="905">
        <v>0</v>
      </c>
    </row>
    <row r="8" spans="1:4">
      <c r="A8" s="945" t="s">
        <v>8</v>
      </c>
      <c r="B8" s="896">
        <f t="shared" si="0"/>
        <v>0</v>
      </c>
      <c r="C8" s="905">
        <v>0</v>
      </c>
      <c r="D8" s="905">
        <v>0</v>
      </c>
    </row>
    <row r="9" spans="1:4">
      <c r="A9" s="945" t="s">
        <v>9</v>
      </c>
      <c r="B9" s="896">
        <f t="shared" si="0"/>
        <v>0</v>
      </c>
      <c r="C9" s="905">
        <v>0</v>
      </c>
      <c r="D9" s="905">
        <v>0</v>
      </c>
    </row>
    <row r="10" spans="1:4">
      <c r="A10" s="945" t="s">
        <v>10</v>
      </c>
      <c r="B10" s="896">
        <f t="shared" si="0"/>
        <v>0</v>
      </c>
      <c r="C10" s="905">
        <v>0</v>
      </c>
      <c r="D10" s="905">
        <v>0</v>
      </c>
    </row>
    <row r="11" spans="1:4">
      <c r="A11" s="945" t="s">
        <v>11</v>
      </c>
      <c r="B11" s="896">
        <f t="shared" si="0"/>
        <v>0</v>
      </c>
      <c r="C11" s="905">
        <v>0</v>
      </c>
      <c r="D11" s="905">
        <v>0</v>
      </c>
    </row>
    <row r="12" spans="1:4">
      <c r="A12" s="945" t="s">
        <v>12</v>
      </c>
      <c r="B12" s="896">
        <f t="shared" si="0"/>
        <v>0</v>
      </c>
      <c r="C12" s="905">
        <v>0</v>
      </c>
      <c r="D12" s="905">
        <v>0</v>
      </c>
    </row>
    <row r="13" spans="1:4">
      <c r="A13" s="945" t="s">
        <v>13</v>
      </c>
      <c r="B13" s="896">
        <f t="shared" si="0"/>
        <v>14</v>
      </c>
      <c r="C13" s="905">
        <v>8</v>
      </c>
      <c r="D13" s="905">
        <v>6</v>
      </c>
    </row>
    <row r="14" spans="1:4">
      <c r="A14" s="945" t="s">
        <v>14</v>
      </c>
      <c r="B14" s="896">
        <f t="shared" si="0"/>
        <v>0</v>
      </c>
      <c r="C14" s="905">
        <v>0</v>
      </c>
      <c r="D14" s="905">
        <v>0</v>
      </c>
    </row>
    <row r="15" spans="1:4">
      <c r="A15" s="945" t="s">
        <v>15</v>
      </c>
      <c r="B15" s="896">
        <f t="shared" si="0"/>
        <v>0</v>
      </c>
      <c r="C15" s="905">
        <v>0</v>
      </c>
      <c r="D15" s="905">
        <v>0</v>
      </c>
    </row>
    <row r="16" spans="1:4">
      <c r="A16" s="945" t="s">
        <v>16</v>
      </c>
      <c r="B16" s="896">
        <f t="shared" si="0"/>
        <v>0</v>
      </c>
      <c r="C16" s="905">
        <v>0</v>
      </c>
      <c r="D16" s="905">
        <v>0</v>
      </c>
    </row>
    <row r="17" spans="1:19">
      <c r="A17" s="945" t="s">
        <v>17</v>
      </c>
      <c r="B17" s="896">
        <f t="shared" si="0"/>
        <v>0</v>
      </c>
      <c r="C17" s="905">
        <v>0</v>
      </c>
      <c r="D17" s="905">
        <v>0</v>
      </c>
    </row>
    <row r="18" spans="1:19">
      <c r="A18" s="945" t="s">
        <v>18</v>
      </c>
      <c r="B18" s="896">
        <f t="shared" si="0"/>
        <v>1</v>
      </c>
      <c r="C18" s="905">
        <v>1</v>
      </c>
      <c r="D18" s="905">
        <v>0</v>
      </c>
    </row>
    <row r="19" spans="1:19">
      <c r="A19" s="945" t="s">
        <v>19</v>
      </c>
      <c r="B19" s="896">
        <f t="shared" si="0"/>
        <v>0</v>
      </c>
      <c r="C19" s="905">
        <v>0</v>
      </c>
      <c r="D19" s="905">
        <v>0</v>
      </c>
    </row>
    <row r="20" spans="1:19">
      <c r="A20" s="945" t="s">
        <v>20</v>
      </c>
      <c r="B20" s="896">
        <f t="shared" si="0"/>
        <v>0</v>
      </c>
      <c r="C20" s="905">
        <v>0</v>
      </c>
      <c r="D20" s="905">
        <v>0</v>
      </c>
    </row>
    <row r="21" spans="1:19">
      <c r="A21" s="945" t="s">
        <v>21</v>
      </c>
      <c r="B21" s="896">
        <f t="shared" si="0"/>
        <v>0</v>
      </c>
      <c r="C21" s="905">
        <v>0</v>
      </c>
      <c r="D21" s="905">
        <v>0</v>
      </c>
    </row>
    <row r="22" spans="1:19" ht="8.25" customHeight="1">
      <c r="A22" s="875"/>
      <c r="B22" s="875"/>
    </row>
    <row r="23" spans="1:19" s="14" customFormat="1" ht="11.25" customHeight="1">
      <c r="A23" s="2467" t="s">
        <v>22</v>
      </c>
      <c r="B23" s="2467"/>
      <c r="C23" s="2467"/>
      <c r="D23" s="2467"/>
      <c r="E23" s="864"/>
      <c r="F23" s="864"/>
      <c r="G23" s="864"/>
      <c r="I23" s="865"/>
      <c r="J23" s="15"/>
      <c r="K23" s="28"/>
      <c r="L23" s="28"/>
      <c r="M23" s="28"/>
      <c r="N23" s="28"/>
      <c r="O23" s="28"/>
      <c r="P23" s="28"/>
      <c r="Q23" s="28"/>
      <c r="R23" s="28"/>
      <c r="S23" s="28"/>
    </row>
    <row r="24" spans="1:19">
      <c r="A24" s="2460" t="s">
        <v>1973</v>
      </c>
      <c r="B24" s="2460"/>
      <c r="C24" s="2460"/>
      <c r="D24" s="2460"/>
    </row>
  </sheetData>
  <mergeCells count="6">
    <mergeCell ref="A24:D24"/>
    <mergeCell ref="A2:D2"/>
    <mergeCell ref="A4:A5"/>
    <mergeCell ref="B4:B5"/>
    <mergeCell ref="C4:D4"/>
    <mergeCell ref="A23:D23"/>
  </mergeCells>
  <pageMargins left="0.7" right="0.7" top="0.75" bottom="0.75" header="0.3" footer="0.3"/>
  <pageSetup paperSize="14" scale="90" orientation="landscape" r:id="rId1"/>
</worksheet>
</file>

<file path=xl/worksheets/sheet217.xml><?xml version="1.0" encoding="utf-8"?>
<worksheet xmlns="http://schemas.openxmlformats.org/spreadsheetml/2006/main" xmlns:r="http://schemas.openxmlformats.org/officeDocument/2006/relationships">
  <dimension ref="A1:S25"/>
  <sheetViews>
    <sheetView zoomScaleNormal="100" workbookViewId="0">
      <selection activeCell="A32" sqref="A32"/>
    </sheetView>
  </sheetViews>
  <sheetFormatPr baseColWidth="10" defaultRowHeight="11.25"/>
  <cols>
    <col min="1" max="1" width="28.7109375" style="98" customWidth="1"/>
    <col min="2" max="2" width="7.140625" style="98" customWidth="1"/>
    <col min="3" max="4" width="12.28515625" style="98" customWidth="1"/>
    <col min="5" max="5" width="5.7109375" style="98" customWidth="1"/>
    <col min="6" max="16384" width="11.42578125" style="98"/>
  </cols>
  <sheetData>
    <row r="1" spans="1:5">
      <c r="A1" s="937"/>
    </row>
    <row r="2" spans="1:5" ht="25.5" customHeight="1">
      <c r="A2" s="2468" t="s">
        <v>1981</v>
      </c>
      <c r="B2" s="2468"/>
      <c r="C2" s="2468"/>
      <c r="D2" s="2468"/>
      <c r="E2" s="97"/>
    </row>
    <row r="3" spans="1:5" ht="4.5" customHeight="1"/>
    <row r="4" spans="1:5" ht="12.75" customHeight="1">
      <c r="A4" s="2447" t="s">
        <v>0</v>
      </c>
      <c r="B4" s="2426" t="s">
        <v>26</v>
      </c>
      <c r="C4" s="2429" t="s">
        <v>1982</v>
      </c>
      <c r="D4" s="2429"/>
    </row>
    <row r="5" spans="1:5">
      <c r="A5" s="2469"/>
      <c r="B5" s="2427"/>
      <c r="C5" s="2449" t="s">
        <v>1062</v>
      </c>
      <c r="D5" s="2450"/>
    </row>
    <row r="6" spans="1:5">
      <c r="A6" s="2448"/>
      <c r="B6" s="2428"/>
      <c r="C6" s="938" t="s">
        <v>1983</v>
      </c>
      <c r="D6" s="938" t="s">
        <v>1984</v>
      </c>
    </row>
    <row r="7" spans="1:5">
      <c r="A7" s="939" t="s">
        <v>6</v>
      </c>
      <c r="B7" s="940">
        <f>SUM(C7:D7)</f>
        <v>48</v>
      </c>
      <c r="C7" s="857">
        <f>SUM(C8:C22)</f>
        <v>19</v>
      </c>
      <c r="D7" s="857">
        <f>SUM(D8:D22)</f>
        <v>29</v>
      </c>
    </row>
    <row r="8" spans="1:5">
      <c r="A8" s="941" t="s">
        <v>7</v>
      </c>
      <c r="B8" s="940">
        <f t="shared" ref="B8:B22" si="0">SUM(C8:D8)</f>
        <v>0</v>
      </c>
      <c r="C8" s="860">
        <v>0</v>
      </c>
      <c r="D8" s="860">
        <v>0</v>
      </c>
    </row>
    <row r="9" spans="1:5">
      <c r="A9" s="941" t="s">
        <v>8</v>
      </c>
      <c r="B9" s="940">
        <f t="shared" si="0"/>
        <v>0</v>
      </c>
      <c r="C9" s="860">
        <v>0</v>
      </c>
      <c r="D9" s="860">
        <v>0</v>
      </c>
    </row>
    <row r="10" spans="1:5">
      <c r="A10" s="941" t="s">
        <v>9</v>
      </c>
      <c r="B10" s="940">
        <f>SUM(C10:D10)</f>
        <v>0</v>
      </c>
      <c r="C10" s="860">
        <v>0</v>
      </c>
      <c r="D10" s="860">
        <v>0</v>
      </c>
    </row>
    <row r="11" spans="1:5">
      <c r="A11" s="941" t="s">
        <v>10</v>
      </c>
      <c r="B11" s="940">
        <f t="shared" si="0"/>
        <v>0</v>
      </c>
      <c r="C11" s="860">
        <v>0</v>
      </c>
      <c r="D11" s="860">
        <v>0</v>
      </c>
    </row>
    <row r="12" spans="1:5">
      <c r="A12" s="941" t="s">
        <v>11</v>
      </c>
      <c r="B12" s="940">
        <f t="shared" si="0"/>
        <v>0</v>
      </c>
      <c r="C12" s="860">
        <v>0</v>
      </c>
      <c r="D12" s="860">
        <v>0</v>
      </c>
    </row>
    <row r="13" spans="1:5">
      <c r="A13" s="941" t="s">
        <v>12</v>
      </c>
      <c r="B13" s="940">
        <f t="shared" si="0"/>
        <v>0</v>
      </c>
      <c r="C13" s="860">
        <v>0</v>
      </c>
      <c r="D13" s="860">
        <v>0</v>
      </c>
    </row>
    <row r="14" spans="1:5">
      <c r="A14" s="941" t="s">
        <v>13</v>
      </c>
      <c r="B14" s="940">
        <f>SUM(C14:D14)</f>
        <v>45</v>
      </c>
      <c r="C14" s="98">
        <v>16</v>
      </c>
      <c r="D14" s="98">
        <v>29</v>
      </c>
    </row>
    <row r="15" spans="1:5">
      <c r="A15" s="941" t="s">
        <v>14</v>
      </c>
      <c r="B15" s="940">
        <f t="shared" si="0"/>
        <v>0</v>
      </c>
      <c r="C15" s="860">
        <v>0</v>
      </c>
      <c r="D15" s="860">
        <v>0</v>
      </c>
    </row>
    <row r="16" spans="1:5">
      <c r="A16" s="941" t="s">
        <v>15</v>
      </c>
      <c r="B16" s="940">
        <f t="shared" si="0"/>
        <v>0</v>
      </c>
      <c r="C16" s="860">
        <v>0</v>
      </c>
      <c r="D16" s="860">
        <v>0</v>
      </c>
    </row>
    <row r="17" spans="1:19">
      <c r="A17" s="941" t="s">
        <v>16</v>
      </c>
      <c r="B17" s="940">
        <f t="shared" si="0"/>
        <v>0</v>
      </c>
      <c r="C17" s="860">
        <v>0</v>
      </c>
      <c r="D17" s="860">
        <v>0</v>
      </c>
    </row>
    <row r="18" spans="1:19">
      <c r="A18" s="941" t="s">
        <v>17</v>
      </c>
      <c r="B18" s="940">
        <f t="shared" si="0"/>
        <v>0</v>
      </c>
      <c r="C18" s="860">
        <v>0</v>
      </c>
      <c r="D18" s="860">
        <v>0</v>
      </c>
    </row>
    <row r="19" spans="1:19">
      <c r="A19" s="941" t="s">
        <v>18</v>
      </c>
      <c r="B19" s="940">
        <f t="shared" si="0"/>
        <v>3</v>
      </c>
      <c r="C19" s="860">
        <v>3</v>
      </c>
      <c r="D19" s="860">
        <v>0</v>
      </c>
      <c r="E19" s="860"/>
    </row>
    <row r="20" spans="1:19">
      <c r="A20" s="941" t="s">
        <v>19</v>
      </c>
      <c r="B20" s="940">
        <f t="shared" si="0"/>
        <v>0</v>
      </c>
      <c r="C20" s="860">
        <v>0</v>
      </c>
      <c r="D20" s="860">
        <v>0</v>
      </c>
    </row>
    <row r="21" spans="1:19">
      <c r="A21" s="941" t="s">
        <v>20</v>
      </c>
      <c r="B21" s="940">
        <f t="shared" si="0"/>
        <v>0</v>
      </c>
      <c r="C21" s="860">
        <v>0</v>
      </c>
      <c r="D21" s="860">
        <v>0</v>
      </c>
    </row>
    <row r="22" spans="1:19">
      <c r="A22" s="941" t="s">
        <v>21</v>
      </c>
      <c r="B22" s="940">
        <f t="shared" si="0"/>
        <v>0</v>
      </c>
      <c r="C22" s="860">
        <v>0</v>
      </c>
      <c r="D22" s="860">
        <v>0</v>
      </c>
    </row>
    <row r="23" spans="1:19" ht="6.75" customHeight="1">
      <c r="A23" s="942"/>
      <c r="B23" s="942"/>
    </row>
    <row r="24" spans="1:19" s="14" customFormat="1" ht="12" customHeight="1">
      <c r="A24" s="2467" t="s">
        <v>22</v>
      </c>
      <c r="B24" s="2467"/>
      <c r="C24" s="2467"/>
      <c r="D24" s="2467"/>
      <c r="E24" s="2467"/>
      <c r="F24" s="864"/>
      <c r="G24" s="864"/>
      <c r="I24" s="865"/>
      <c r="J24" s="15"/>
      <c r="K24" s="28"/>
      <c r="L24" s="28"/>
      <c r="M24" s="28"/>
      <c r="N24" s="28"/>
      <c r="O24" s="28"/>
      <c r="P24" s="28"/>
      <c r="Q24" s="28"/>
      <c r="R24" s="28"/>
      <c r="S24" s="28"/>
    </row>
    <row r="25" spans="1:19">
      <c r="A25" s="2460" t="s">
        <v>1973</v>
      </c>
      <c r="B25" s="2460"/>
      <c r="C25" s="2460"/>
      <c r="D25" s="2460"/>
    </row>
  </sheetData>
  <mergeCells count="7">
    <mergeCell ref="A25:D25"/>
    <mergeCell ref="A2:D2"/>
    <mergeCell ref="A4:A6"/>
    <mergeCell ref="B4:B6"/>
    <mergeCell ref="C4:D4"/>
    <mergeCell ref="C5:D5"/>
    <mergeCell ref="A24:E24"/>
  </mergeCells>
  <pageMargins left="0.7" right="0.7" top="0.75" bottom="0.75" header="0.3" footer="0.3"/>
  <pageSetup paperSize="14" scale="90" orientation="landscape" r:id="rId1"/>
</worksheet>
</file>

<file path=xl/worksheets/sheet218.xml><?xml version="1.0" encoding="utf-8"?>
<worksheet xmlns="http://schemas.openxmlformats.org/spreadsheetml/2006/main" xmlns:r="http://schemas.openxmlformats.org/officeDocument/2006/relationships">
  <dimension ref="A1:O17"/>
  <sheetViews>
    <sheetView zoomScaleNormal="100" workbookViewId="0">
      <selection activeCell="B27" sqref="B27"/>
    </sheetView>
  </sheetViews>
  <sheetFormatPr baseColWidth="10" defaultRowHeight="12"/>
  <cols>
    <col min="1" max="1" width="24.140625" style="100" customWidth="1"/>
    <col min="2" max="6" width="17.5703125" style="100" bestFit="1" customWidth="1"/>
    <col min="7" max="7" width="17.28515625" style="100" bestFit="1" customWidth="1"/>
    <col min="8" max="16384" width="11.42578125" style="100"/>
  </cols>
  <sheetData>
    <row r="1" spans="1:15" ht="9" customHeight="1">
      <c r="A1" s="843"/>
    </row>
    <row r="2" spans="1:15" s="98" customFormat="1" ht="26.25" customHeight="1">
      <c r="A2" s="2377" t="s">
        <v>3189</v>
      </c>
      <c r="B2" s="2377"/>
      <c r="C2" s="2377"/>
      <c r="D2" s="2377"/>
      <c r="E2" s="2377"/>
      <c r="F2" s="2377"/>
      <c r="G2" s="2377"/>
    </row>
    <row r="3" spans="1:15" s="98" customFormat="1" ht="6" customHeight="1">
      <c r="A3" s="97"/>
    </row>
    <row r="4" spans="1:15" s="98" customFormat="1" ht="22.5" customHeight="1">
      <c r="A4" s="836" t="s">
        <v>1968</v>
      </c>
      <c r="B4" s="894">
        <v>2009</v>
      </c>
      <c r="C4" s="894">
        <v>2010</v>
      </c>
      <c r="D4" s="894">
        <v>2011</v>
      </c>
      <c r="E4" s="894">
        <v>2012</v>
      </c>
      <c r="F4" s="894">
        <v>2013</v>
      </c>
      <c r="G4" s="894">
        <v>2014</v>
      </c>
    </row>
    <row r="5" spans="1:15" s="98" customFormat="1" ht="11.25">
      <c r="A5" s="16" t="s">
        <v>6</v>
      </c>
      <c r="B5" s="935">
        <f t="shared" ref="B5:G5" si="0">SUM(B6:B11)</f>
        <v>38021998200</v>
      </c>
      <c r="C5" s="935">
        <f t="shared" si="0"/>
        <v>41378327513</v>
      </c>
      <c r="D5" s="935">
        <f t="shared" si="0"/>
        <v>49805751320</v>
      </c>
      <c r="E5" s="935">
        <f t="shared" si="0"/>
        <v>59262051629</v>
      </c>
      <c r="F5" s="935">
        <f t="shared" si="0"/>
        <v>61955346256</v>
      </c>
      <c r="G5" s="935">
        <f t="shared" si="0"/>
        <v>67932590956</v>
      </c>
    </row>
    <row r="6" spans="1:15" s="98" customFormat="1" ht="11.25">
      <c r="A6" s="895" t="s">
        <v>1420</v>
      </c>
      <c r="B6" s="861">
        <f>641555000+239362000+231455000+460511000+16349000+3555000+303502000+425998000</f>
        <v>2322287000</v>
      </c>
      <c r="C6" s="861">
        <f>310776250+221184332+105242300+81977500+72147598+52265950+1667000+145600+23300</f>
        <v>845429830</v>
      </c>
      <c r="D6" s="861">
        <f>995642801+526843473+481150152+273033382+162970700+102535200+64046050+31454856+10796400+2786000+81977500+122500+45000+30100</f>
        <v>2733434114</v>
      </c>
      <c r="E6" s="861">
        <f>5696822382+607040618+185490736+33271217+995642801+122500+10000</f>
        <v>7518400254</v>
      </c>
      <c r="F6" s="861">
        <f>2689528524+952220566+423481151+197650852+125059709+24471818+6062907+8922848+995642801+484531816+394619923+302717699</f>
        <v>6604910614</v>
      </c>
      <c r="G6" s="861">
        <v>1422929944</v>
      </c>
      <c r="H6" s="861"/>
    </row>
    <row r="7" spans="1:15" s="98" customFormat="1" ht="11.25">
      <c r="A7" s="895" t="s">
        <v>1970</v>
      </c>
      <c r="B7" s="861">
        <f>38021998200-2322287000-124389700-74673000</f>
        <v>35500648500</v>
      </c>
      <c r="C7" s="861">
        <f>41305872513-845429830</f>
        <v>40460442683</v>
      </c>
      <c r="D7" s="861">
        <f>49805751320-2733434114-41600650</f>
        <v>47030716556</v>
      </c>
      <c r="E7" s="861">
        <f>59262051629-7518400254-94482944</f>
        <v>51649168431</v>
      </c>
      <c r="F7" s="861">
        <f>61542080368-6604910614</f>
        <v>54937169754</v>
      </c>
      <c r="G7" s="861">
        <f>64708638645-826124834</f>
        <v>63882513811</v>
      </c>
      <c r="H7" s="861"/>
    </row>
    <row r="8" spans="1:15" s="98" customFormat="1" ht="12.75">
      <c r="A8" s="895" t="s">
        <v>3551</v>
      </c>
      <c r="B8" s="861">
        <f>69754000+54635700</f>
        <v>124389700</v>
      </c>
      <c r="C8" s="861">
        <f>55029000+17426000</f>
        <v>72455000</v>
      </c>
      <c r="D8" s="861">
        <f>10603100+30952550+45000</f>
        <v>41600650</v>
      </c>
      <c r="E8" s="861">
        <f>71972740+22510204</f>
        <v>94482944</v>
      </c>
      <c r="F8" s="861">
        <f>85788959+12812397</f>
        <v>98601356</v>
      </c>
      <c r="G8" s="861">
        <v>1882668553</v>
      </c>
      <c r="H8" s="861"/>
    </row>
    <row r="9" spans="1:15" s="98" customFormat="1" ht="11.25">
      <c r="A9" s="895" t="s">
        <v>1977</v>
      </c>
      <c r="B9" s="861">
        <v>74673000</v>
      </c>
      <c r="C9" s="860">
        <v>0</v>
      </c>
      <c r="D9" s="860">
        <v>0</v>
      </c>
      <c r="E9" s="860">
        <v>0</v>
      </c>
      <c r="F9" s="861">
        <v>158414215</v>
      </c>
      <c r="G9" s="861">
        <v>550887150</v>
      </c>
      <c r="H9" s="861"/>
    </row>
    <row r="10" spans="1:15" s="98" customFormat="1" ht="11.25">
      <c r="A10" s="895" t="s">
        <v>3167</v>
      </c>
      <c r="B10" s="936" t="s">
        <v>55</v>
      </c>
      <c r="C10" s="936" t="s">
        <v>55</v>
      </c>
      <c r="D10" s="936" t="s">
        <v>55</v>
      </c>
      <c r="E10" s="936" t="s">
        <v>55</v>
      </c>
      <c r="F10" s="936" t="s">
        <v>55</v>
      </c>
      <c r="G10" s="936" t="s">
        <v>55</v>
      </c>
      <c r="H10" s="861"/>
    </row>
    <row r="11" spans="1:15" s="98" customFormat="1" ht="11.25">
      <c r="A11" s="895" t="s">
        <v>1985</v>
      </c>
      <c r="B11" s="860">
        <v>0</v>
      </c>
      <c r="C11" s="860">
        <v>0</v>
      </c>
      <c r="D11" s="860">
        <v>0</v>
      </c>
      <c r="E11" s="860">
        <v>0</v>
      </c>
      <c r="F11" s="861">
        <f>93550372+62632745+67200</f>
        <v>156250317</v>
      </c>
      <c r="G11" s="861">
        <v>193591498</v>
      </c>
      <c r="H11" s="861"/>
    </row>
    <row r="12" spans="1:15" s="98" customFormat="1" ht="5.25" customHeight="1">
      <c r="A12" s="895"/>
      <c r="B12" s="860"/>
      <c r="C12" s="860"/>
      <c r="D12" s="860"/>
      <c r="E12" s="860"/>
      <c r="F12" s="861"/>
      <c r="H12" s="861"/>
    </row>
    <row r="13" spans="1:15" s="35" customFormat="1" ht="22.5" customHeight="1">
      <c r="A13" s="2470" t="s">
        <v>3552</v>
      </c>
      <c r="B13" s="2470"/>
      <c r="C13" s="2470"/>
      <c r="D13" s="2470"/>
      <c r="E13" s="2470"/>
      <c r="F13" s="2470"/>
      <c r="G13" s="2470"/>
      <c r="H13" s="33"/>
    </row>
    <row r="14" spans="1:15" s="14" customFormat="1" ht="12" customHeight="1">
      <c r="A14" s="2467" t="s">
        <v>22</v>
      </c>
      <c r="B14" s="2467"/>
      <c r="C14" s="2467"/>
      <c r="D14" s="2467"/>
      <c r="E14" s="2467"/>
      <c r="F14" s="2467"/>
      <c r="G14" s="864"/>
      <c r="H14" s="28"/>
      <c r="I14" s="28"/>
      <c r="J14" s="28"/>
      <c r="K14" s="28"/>
      <c r="L14" s="28"/>
      <c r="M14" s="28"/>
      <c r="N14" s="28"/>
      <c r="O14" s="28"/>
    </row>
    <row r="15" spans="1:15" s="14" customFormat="1" ht="12" customHeight="1">
      <c r="A15" s="2471" t="s">
        <v>149</v>
      </c>
      <c r="B15" s="2471"/>
      <c r="C15" s="2471"/>
      <c r="D15" s="2471"/>
      <c r="E15" s="2471"/>
      <c r="F15" s="2471"/>
      <c r="G15" s="864"/>
      <c r="H15" s="28"/>
      <c r="I15" s="28"/>
      <c r="J15" s="28"/>
      <c r="K15" s="28"/>
      <c r="L15" s="28"/>
      <c r="M15" s="28"/>
      <c r="N15" s="28"/>
      <c r="O15" s="28"/>
    </row>
    <row r="16" spans="1:15" s="98" customFormat="1" ht="11.25">
      <c r="A16" s="2460" t="s">
        <v>1973</v>
      </c>
      <c r="B16" s="2460"/>
      <c r="C16" s="2460"/>
      <c r="D16" s="2460"/>
      <c r="E16" s="2460"/>
      <c r="F16" s="2460"/>
    </row>
    <row r="17" s="98" customFormat="1" ht="11.25"/>
  </sheetData>
  <mergeCells count="5">
    <mergeCell ref="A2:G2"/>
    <mergeCell ref="A13:G13"/>
    <mergeCell ref="A14:F14"/>
    <mergeCell ref="A15:F15"/>
    <mergeCell ref="A16:F16"/>
  </mergeCells>
  <pageMargins left="0.7" right="0.7" top="0.75" bottom="0.75" header="0.3" footer="0.3"/>
  <pageSetup paperSize="14" scale="90" orientation="landscape" r:id="rId1"/>
</worksheet>
</file>

<file path=xl/worksheets/sheet219.xml><?xml version="1.0" encoding="utf-8"?>
<worksheet xmlns="http://schemas.openxmlformats.org/spreadsheetml/2006/main" xmlns:r="http://schemas.openxmlformats.org/officeDocument/2006/relationships">
  <dimension ref="A1:F25"/>
  <sheetViews>
    <sheetView zoomScaleNormal="100" workbookViewId="0">
      <selection activeCell="E40" sqref="E40"/>
    </sheetView>
  </sheetViews>
  <sheetFormatPr baseColWidth="10" defaultRowHeight="11.25"/>
  <cols>
    <col min="1" max="1" width="20.85546875" style="108" customWidth="1"/>
    <col min="2" max="2" width="13.42578125" style="108" customWidth="1"/>
    <col min="3" max="4" width="15.42578125" style="108" customWidth="1"/>
    <col min="5" max="5" width="13.42578125" style="108" customWidth="1"/>
    <col min="6" max="6" width="15.42578125" style="108" customWidth="1"/>
    <col min="7" max="16384" width="11.42578125" style="108"/>
  </cols>
  <sheetData>
    <row r="1" spans="1:6">
      <c r="A1" s="924"/>
    </row>
    <row r="2" spans="1:6" s="96" customFormat="1" ht="25.5" customHeight="1">
      <c r="A2" s="2641" t="s">
        <v>1986</v>
      </c>
      <c r="B2" s="2641"/>
      <c r="C2" s="2641"/>
      <c r="D2" s="2641"/>
      <c r="E2" s="2641"/>
      <c r="F2" s="95"/>
    </row>
    <row r="4" spans="1:6">
      <c r="A4" s="2472" t="s">
        <v>0</v>
      </c>
      <c r="B4" s="2474" t="s">
        <v>3473</v>
      </c>
      <c r="C4" s="2474" t="s">
        <v>1743</v>
      </c>
      <c r="D4" s="2474"/>
      <c r="E4" s="2474"/>
    </row>
    <row r="5" spans="1:6" ht="25.5" customHeight="1">
      <c r="A5" s="2473"/>
      <c r="B5" s="2474"/>
      <c r="C5" s="925" t="s">
        <v>26</v>
      </c>
      <c r="D5" s="925" t="s">
        <v>1744</v>
      </c>
      <c r="E5" s="925" t="s">
        <v>1745</v>
      </c>
    </row>
    <row r="6" spans="1:6">
      <c r="A6" s="926" t="s">
        <v>6</v>
      </c>
      <c r="B6" s="927">
        <f>SUM(B7:B20)</f>
        <v>3055</v>
      </c>
      <c r="C6" s="928">
        <f>SUM(C7:C20)</f>
        <v>347075</v>
      </c>
      <c r="D6" s="927">
        <f>SUM(D7:D20)</f>
        <v>51014</v>
      </c>
      <c r="E6" s="927">
        <f>SUM(E7:E20)</f>
        <v>296061</v>
      </c>
    </row>
    <row r="7" spans="1:6">
      <c r="A7" s="929" t="s">
        <v>7</v>
      </c>
      <c r="B7" s="930">
        <v>16</v>
      </c>
      <c r="C7" s="930">
        <f>SUM(D7:E7)</f>
        <v>1175</v>
      </c>
      <c r="D7" s="931">
        <v>0</v>
      </c>
      <c r="E7" s="931">
        <v>1175</v>
      </c>
    </row>
    <row r="8" spans="1:6">
      <c r="A8" s="929" t="s">
        <v>8</v>
      </c>
      <c r="B8" s="930">
        <v>8</v>
      </c>
      <c r="C8" s="930">
        <f t="shared" ref="C8:C20" si="0">SUM(D8:E8)</f>
        <v>565</v>
      </c>
      <c r="D8" s="931">
        <v>0</v>
      </c>
      <c r="E8" s="931">
        <v>565</v>
      </c>
    </row>
    <row r="9" spans="1:6">
      <c r="A9" s="929" t="s">
        <v>9</v>
      </c>
      <c r="B9" s="930">
        <v>79</v>
      </c>
      <c r="C9" s="930">
        <f t="shared" si="0"/>
        <v>2560</v>
      </c>
      <c r="D9" s="931">
        <v>0</v>
      </c>
      <c r="E9" s="931">
        <v>2560</v>
      </c>
    </row>
    <row r="10" spans="1:6">
      <c r="A10" s="929" t="s">
        <v>10</v>
      </c>
      <c r="B10" s="930">
        <v>122</v>
      </c>
      <c r="C10" s="930">
        <f t="shared" si="0"/>
        <v>22295</v>
      </c>
      <c r="D10" s="931">
        <v>700</v>
      </c>
      <c r="E10" s="931">
        <v>21595</v>
      </c>
    </row>
    <row r="11" spans="1:6">
      <c r="A11" s="929" t="s">
        <v>11</v>
      </c>
      <c r="B11" s="930">
        <v>24</v>
      </c>
      <c r="C11" s="930">
        <f t="shared" si="0"/>
        <v>2050</v>
      </c>
      <c r="D11" s="931">
        <v>0</v>
      </c>
      <c r="E11" s="931">
        <v>2050</v>
      </c>
    </row>
    <row r="12" spans="1:6">
      <c r="A12" s="929" t="s">
        <v>12</v>
      </c>
      <c r="B12" s="930">
        <v>319</v>
      </c>
      <c r="C12" s="930">
        <f t="shared" si="0"/>
        <v>34630</v>
      </c>
      <c r="D12" s="931">
        <v>4324</v>
      </c>
      <c r="E12" s="931">
        <v>30306</v>
      </c>
    </row>
    <row r="13" spans="1:6">
      <c r="A13" s="929" t="s">
        <v>13</v>
      </c>
      <c r="B13" s="930">
        <v>1018</v>
      </c>
      <c r="C13" s="930">
        <f t="shared" si="0"/>
        <v>69002</v>
      </c>
      <c r="D13" s="931">
        <v>12456</v>
      </c>
      <c r="E13" s="931">
        <v>56546</v>
      </c>
    </row>
    <row r="14" spans="1:6">
      <c r="A14" s="929" t="s">
        <v>14</v>
      </c>
      <c r="B14" s="930">
        <v>187</v>
      </c>
      <c r="C14" s="930">
        <f t="shared" si="0"/>
        <v>35088</v>
      </c>
      <c r="D14" s="931">
        <v>783</v>
      </c>
      <c r="E14" s="931">
        <v>34305</v>
      </c>
    </row>
    <row r="15" spans="1:6">
      <c r="A15" s="929" t="s">
        <v>15</v>
      </c>
      <c r="B15" s="930">
        <v>317</v>
      </c>
      <c r="C15" s="930">
        <f t="shared" si="0"/>
        <v>64714</v>
      </c>
      <c r="D15" s="931">
        <v>1413</v>
      </c>
      <c r="E15" s="931">
        <v>63301</v>
      </c>
    </row>
    <row r="16" spans="1:6">
      <c r="A16" s="929" t="s">
        <v>16</v>
      </c>
      <c r="B16" s="930">
        <v>505</v>
      </c>
      <c r="C16" s="930">
        <f t="shared" si="0"/>
        <v>58937</v>
      </c>
      <c r="D16" s="931">
        <v>26382</v>
      </c>
      <c r="E16" s="931">
        <v>32555</v>
      </c>
    </row>
    <row r="17" spans="1:6">
      <c r="A17" s="929" t="s">
        <v>17</v>
      </c>
      <c r="B17" s="930">
        <v>158</v>
      </c>
      <c r="C17" s="930">
        <f t="shared" si="0"/>
        <v>13842</v>
      </c>
      <c r="D17" s="931">
        <v>0</v>
      </c>
      <c r="E17" s="931">
        <v>13842</v>
      </c>
    </row>
    <row r="18" spans="1:6">
      <c r="A18" s="929" t="s">
        <v>18</v>
      </c>
      <c r="B18" s="930">
        <v>106</v>
      </c>
      <c r="C18" s="930">
        <f t="shared" si="0"/>
        <v>26778</v>
      </c>
      <c r="D18" s="931">
        <v>4437</v>
      </c>
      <c r="E18" s="931">
        <v>22341</v>
      </c>
    </row>
    <row r="19" spans="1:6">
      <c r="A19" s="929" t="s">
        <v>19</v>
      </c>
      <c r="B19" s="930">
        <v>130</v>
      </c>
      <c r="C19" s="930">
        <f t="shared" si="0"/>
        <v>10754</v>
      </c>
      <c r="D19" s="931">
        <v>519</v>
      </c>
      <c r="E19" s="931">
        <v>10235</v>
      </c>
    </row>
    <row r="20" spans="1:6">
      <c r="A20" s="929" t="s">
        <v>20</v>
      </c>
      <c r="B20" s="930">
        <v>66</v>
      </c>
      <c r="C20" s="930">
        <f t="shared" si="0"/>
        <v>4685</v>
      </c>
      <c r="D20" s="931">
        <v>0</v>
      </c>
      <c r="E20" s="931">
        <v>4685</v>
      </c>
    </row>
    <row r="21" spans="1:6">
      <c r="A21" s="929" t="s">
        <v>21</v>
      </c>
      <c r="B21" s="930">
        <v>0</v>
      </c>
      <c r="C21" s="930">
        <f>SUM(D21:E21)</f>
        <v>0</v>
      </c>
      <c r="D21" s="931">
        <v>0</v>
      </c>
      <c r="E21" s="931">
        <v>0</v>
      </c>
    </row>
    <row r="23" spans="1:6" s="96" customFormat="1" ht="45.75" customHeight="1">
      <c r="A23" s="2197" t="s">
        <v>3550</v>
      </c>
      <c r="B23" s="2197"/>
      <c r="C23" s="2197"/>
      <c r="D23" s="2197"/>
      <c r="E23" s="2197"/>
      <c r="F23" s="932"/>
    </row>
    <row r="24" spans="1:6" s="96" customFormat="1">
      <c r="A24" s="933" t="s">
        <v>161</v>
      </c>
      <c r="B24" s="934"/>
      <c r="C24" s="934"/>
      <c r="D24" s="934"/>
      <c r="E24" s="934"/>
      <c r="F24" s="934"/>
    </row>
    <row r="25" spans="1:6" s="96" customFormat="1">
      <c r="A25" s="245" t="s">
        <v>1122</v>
      </c>
      <c r="B25" s="177"/>
      <c r="C25" s="177"/>
      <c r="D25" s="177"/>
      <c r="E25" s="177"/>
      <c r="F25" s="177"/>
    </row>
  </sheetData>
  <mergeCells count="5">
    <mergeCell ref="A4:A5"/>
    <mergeCell ref="B4:B5"/>
    <mergeCell ref="C4:E4"/>
    <mergeCell ref="A2:E2"/>
    <mergeCell ref="A23:E23"/>
  </mergeCells>
  <pageMargins left="0.70866141732283472" right="0.70866141732283472" top="0.74803149606299213" bottom="0.74803149606299213" header="0.31496062992125984" footer="0.31496062992125984"/>
  <pageSetup paperSize="14" scale="120" orientation="landscape" r:id="rId1"/>
</worksheet>
</file>

<file path=xl/worksheets/sheet22.xml><?xml version="1.0" encoding="utf-8"?>
<worksheet xmlns="http://schemas.openxmlformats.org/spreadsheetml/2006/main" xmlns:r="http://schemas.openxmlformats.org/officeDocument/2006/relationships">
  <dimension ref="A2:G17"/>
  <sheetViews>
    <sheetView zoomScaleNormal="100" workbookViewId="0">
      <selection activeCell="A33" sqref="A33"/>
    </sheetView>
  </sheetViews>
  <sheetFormatPr baseColWidth="10" defaultRowHeight="11.25"/>
  <cols>
    <col min="1" max="1" width="42.7109375" style="53" customWidth="1"/>
    <col min="2" max="8" width="11.42578125" style="53"/>
    <col min="9" max="9" width="14.7109375" style="53" customWidth="1"/>
    <col min="10" max="16384" width="11.42578125" style="53"/>
  </cols>
  <sheetData>
    <row r="2" spans="1:7">
      <c r="A2" s="2063" t="s">
        <v>951</v>
      </c>
      <c r="B2" s="2063"/>
      <c r="C2" s="2063"/>
      <c r="D2" s="2063"/>
      <c r="E2" s="2063"/>
      <c r="F2" s="2063"/>
      <c r="G2" s="2063"/>
    </row>
    <row r="4" spans="1:7">
      <c r="A4" s="2058" t="s">
        <v>871</v>
      </c>
      <c r="B4" s="2058" t="s">
        <v>6</v>
      </c>
      <c r="C4" s="2058" t="s">
        <v>151</v>
      </c>
      <c r="D4" s="2058"/>
      <c r="E4" s="2058"/>
      <c r="F4" s="2058"/>
      <c r="G4" s="2058"/>
    </row>
    <row r="5" spans="1:7" ht="12.75">
      <c r="A5" s="2058"/>
      <c r="B5" s="2058"/>
      <c r="C5" s="1831" t="s">
        <v>3880</v>
      </c>
      <c r="D5" s="1831" t="s">
        <v>3881</v>
      </c>
      <c r="E5" s="1831" t="s">
        <v>3882</v>
      </c>
      <c r="F5" s="1831" t="s">
        <v>3883</v>
      </c>
      <c r="G5" s="1831" t="s">
        <v>3884</v>
      </c>
    </row>
    <row r="6" spans="1:7">
      <c r="A6" s="150" t="s">
        <v>6</v>
      </c>
      <c r="B6" s="1821">
        <f>SUM(C6:G6)</f>
        <v>24</v>
      </c>
      <c r="C6" s="1821">
        <f>SUM(C7:C9)</f>
        <v>0</v>
      </c>
      <c r="D6" s="1821">
        <f>SUM(D7:D9)</f>
        <v>1</v>
      </c>
      <c r="E6" s="1821">
        <f>SUM(E7:E9)</f>
        <v>23</v>
      </c>
      <c r="F6" s="1821">
        <f>SUM(F7:F9)</f>
        <v>0</v>
      </c>
      <c r="G6" s="1821">
        <f>SUM(G7:G9)</f>
        <v>0</v>
      </c>
    </row>
    <row r="7" spans="1:7">
      <c r="A7" s="53" t="s">
        <v>146</v>
      </c>
      <c r="B7" s="1204">
        <f>SUM(C7:G7)</f>
        <v>24</v>
      </c>
      <c r="C7" s="1204">
        <v>0</v>
      </c>
      <c r="D7" s="1204">
        <v>1</v>
      </c>
      <c r="E7" s="1204">
        <v>23</v>
      </c>
      <c r="F7" s="1204">
        <v>0</v>
      </c>
      <c r="G7" s="1204">
        <v>0</v>
      </c>
    </row>
    <row r="8" spans="1:7">
      <c r="A8" s="53" t="s">
        <v>872</v>
      </c>
      <c r="B8" s="1204">
        <f>SUM(C8:G8)</f>
        <v>0</v>
      </c>
      <c r="C8" s="1204">
        <v>0</v>
      </c>
      <c r="D8" s="1204">
        <v>0</v>
      </c>
      <c r="E8" s="1204">
        <v>0</v>
      </c>
      <c r="F8" s="1204">
        <v>0</v>
      </c>
      <c r="G8" s="1204">
        <v>0</v>
      </c>
    </row>
    <row r="9" spans="1:7">
      <c r="A9" s="53" t="s">
        <v>873</v>
      </c>
      <c r="B9" s="1204">
        <f>SUM(C9:G9)</f>
        <v>0</v>
      </c>
      <c r="C9" s="1204">
        <v>0</v>
      </c>
      <c r="D9" s="1204">
        <v>0</v>
      </c>
      <c r="E9" s="1204">
        <v>0</v>
      </c>
      <c r="F9" s="1204">
        <v>0</v>
      </c>
      <c r="G9" s="1204">
        <v>0</v>
      </c>
    </row>
    <row r="11" spans="1:7">
      <c r="A11" s="2064" t="s">
        <v>3885</v>
      </c>
      <c r="B11" s="2064"/>
      <c r="C11" s="2064"/>
      <c r="D11" s="2064"/>
      <c r="E11" s="2064"/>
      <c r="F11" s="2064"/>
      <c r="G11" s="2064"/>
    </row>
    <row r="12" spans="1:7">
      <c r="A12" s="2064" t="s">
        <v>3886</v>
      </c>
      <c r="B12" s="2064"/>
      <c r="C12" s="2064"/>
      <c r="D12" s="2064"/>
      <c r="E12" s="2064"/>
      <c r="F12" s="2064"/>
      <c r="G12" s="2064"/>
    </row>
    <row r="13" spans="1:7">
      <c r="A13" s="2064" t="s">
        <v>3887</v>
      </c>
      <c r="B13" s="2064"/>
      <c r="C13" s="2064"/>
      <c r="D13" s="2064"/>
      <c r="E13" s="2064"/>
      <c r="F13" s="2064"/>
      <c r="G13" s="2064"/>
    </row>
    <row r="14" spans="1:7">
      <c r="A14" s="2064" t="s">
        <v>3888</v>
      </c>
      <c r="B14" s="2064"/>
      <c r="C14" s="2064"/>
      <c r="D14" s="2064"/>
      <c r="E14" s="2064"/>
      <c r="F14" s="2064"/>
      <c r="G14" s="2064"/>
    </row>
    <row r="15" spans="1:7">
      <c r="A15" s="2064" t="s">
        <v>3889</v>
      </c>
      <c r="B15" s="2064"/>
      <c r="C15" s="2064"/>
      <c r="D15" s="2064"/>
      <c r="E15" s="2064"/>
      <c r="F15" s="2064"/>
      <c r="G15" s="2064"/>
    </row>
    <row r="16" spans="1:7">
      <c r="A16" s="2065" t="s">
        <v>22</v>
      </c>
      <c r="B16" s="2065"/>
      <c r="C16" s="2065"/>
      <c r="D16" s="2065"/>
      <c r="E16" s="2065"/>
      <c r="F16" s="2065"/>
      <c r="G16" s="2065"/>
    </row>
    <row r="17" spans="1:7">
      <c r="A17" s="2062" t="s">
        <v>23</v>
      </c>
      <c r="B17" s="2062"/>
      <c r="C17" s="2062"/>
      <c r="D17" s="2062"/>
      <c r="E17" s="2062"/>
      <c r="F17" s="2062"/>
      <c r="G17" s="2062"/>
    </row>
  </sheetData>
  <mergeCells count="11">
    <mergeCell ref="A17:G17"/>
    <mergeCell ref="A2:G2"/>
    <mergeCell ref="A4:A5"/>
    <mergeCell ref="B4:B5"/>
    <mergeCell ref="C4:G4"/>
    <mergeCell ref="A11:G11"/>
    <mergeCell ref="A12:G12"/>
    <mergeCell ref="A13:G13"/>
    <mergeCell ref="A14:G14"/>
    <mergeCell ref="A15:G15"/>
    <mergeCell ref="A16:G16"/>
  </mergeCells>
  <pageMargins left="0.7" right="0.7" top="0.75" bottom="0.75" header="0.3" footer="0.3"/>
</worksheet>
</file>

<file path=xl/worksheets/sheet220.xml><?xml version="1.0" encoding="utf-8"?>
<worksheet xmlns="http://schemas.openxmlformats.org/spreadsheetml/2006/main" xmlns:r="http://schemas.openxmlformats.org/officeDocument/2006/relationships">
  <dimension ref="A2:M25"/>
  <sheetViews>
    <sheetView zoomScaleNormal="100" workbookViewId="0">
      <selection activeCell="A35" sqref="A35"/>
    </sheetView>
  </sheetViews>
  <sheetFormatPr baseColWidth="10" defaultColWidth="6.28515625" defaultRowHeight="11.25"/>
  <cols>
    <col min="1" max="1" width="22.140625" style="14" customWidth="1"/>
    <col min="2" max="3" width="16.85546875" style="14" customWidth="1"/>
    <col min="4" max="4" width="13.28515625" style="14" customWidth="1"/>
    <col min="5" max="5" width="14.5703125" style="14" customWidth="1"/>
    <col min="6" max="6" width="8.28515625" style="14" customWidth="1"/>
    <col min="7" max="7" width="8.7109375" style="14" customWidth="1"/>
    <col min="8" max="8" width="13.7109375" style="14" customWidth="1"/>
    <col min="9" max="9" width="10.140625" style="14" customWidth="1"/>
    <col min="10" max="10" width="12.85546875" style="14" customWidth="1"/>
    <col min="11" max="11" width="14.140625" style="14" customWidth="1"/>
    <col min="12" max="12" width="20.5703125" style="14" customWidth="1"/>
    <col min="13" max="13" width="10.85546875" style="14" customWidth="1"/>
    <col min="14" max="16384" width="6.28515625" style="14"/>
  </cols>
  <sheetData>
    <row r="2" spans="1:13" ht="25.5" customHeight="1">
      <c r="A2" s="2476" t="s">
        <v>3267</v>
      </c>
      <c r="B2" s="2476"/>
      <c r="C2" s="2476"/>
      <c r="H2" s="15"/>
      <c r="I2" s="15"/>
      <c r="J2" s="15"/>
      <c r="K2" s="15"/>
      <c r="L2" s="15"/>
    </row>
    <row r="3" spans="1:13">
      <c r="A3" s="16"/>
      <c r="B3" s="16"/>
      <c r="C3" s="16"/>
      <c r="H3" s="15"/>
      <c r="I3" s="15"/>
      <c r="J3" s="15"/>
      <c r="K3" s="15"/>
      <c r="L3" s="15"/>
    </row>
    <row r="4" spans="1:13" ht="34.5" customHeight="1">
      <c r="A4" s="894" t="s">
        <v>0</v>
      </c>
      <c r="B4" s="835" t="s">
        <v>1987</v>
      </c>
      <c r="C4" s="835" t="s">
        <v>1988</v>
      </c>
      <c r="E4" s="99"/>
      <c r="F4" s="99"/>
      <c r="G4" s="99"/>
      <c r="H4" s="865"/>
      <c r="I4" s="909"/>
      <c r="J4" s="909"/>
      <c r="K4" s="15"/>
      <c r="L4" s="15"/>
      <c r="M4" s="16"/>
    </row>
    <row r="5" spans="1:13" s="18" customFormat="1">
      <c r="A5" s="16" t="s">
        <v>6</v>
      </c>
      <c r="B5" s="910">
        <f>SUM(B6:B20)</f>
        <v>323</v>
      </c>
      <c r="C5" s="911">
        <f>SUM(C6:C20)</f>
        <v>67944</v>
      </c>
      <c r="D5" s="17"/>
      <c r="E5" s="99"/>
      <c r="F5" s="99"/>
      <c r="G5" s="99"/>
      <c r="H5" s="15"/>
      <c r="I5" s="912"/>
      <c r="J5" s="912"/>
      <c r="K5" s="15"/>
      <c r="L5" s="15"/>
      <c r="M5" s="16"/>
    </row>
    <row r="6" spans="1:13">
      <c r="A6" s="875" t="s">
        <v>7</v>
      </c>
      <c r="B6" s="913">
        <v>1</v>
      </c>
      <c r="C6" s="914">
        <v>476</v>
      </c>
      <c r="E6" s="99"/>
      <c r="F6" s="99"/>
      <c r="G6" s="99"/>
      <c r="H6" s="915"/>
      <c r="I6" s="916"/>
      <c r="J6" s="916"/>
      <c r="K6" s="15"/>
      <c r="L6" s="19"/>
      <c r="M6" s="20"/>
    </row>
    <row r="7" spans="1:13">
      <c r="A7" s="875" t="s">
        <v>8</v>
      </c>
      <c r="B7" s="913">
        <v>6</v>
      </c>
      <c r="C7" s="914">
        <v>1477</v>
      </c>
      <c r="E7" s="99"/>
      <c r="F7" s="99"/>
      <c r="G7" s="99"/>
      <c r="H7" s="915"/>
      <c r="I7" s="916"/>
      <c r="J7" s="916"/>
      <c r="K7" s="15"/>
      <c r="L7" s="19"/>
      <c r="M7" s="21"/>
    </row>
    <row r="8" spans="1:13">
      <c r="A8" s="875" t="s">
        <v>9</v>
      </c>
      <c r="B8" s="913">
        <f>6+6+6</f>
        <v>18</v>
      </c>
      <c r="C8" s="914">
        <f>1293+1389+1199</f>
        <v>3881</v>
      </c>
      <c r="D8" s="22"/>
      <c r="E8" s="99"/>
      <c r="F8" s="99"/>
      <c r="G8" s="99"/>
      <c r="H8" s="915"/>
      <c r="I8" s="916"/>
      <c r="J8" s="916"/>
      <c r="K8" s="23"/>
      <c r="L8" s="19"/>
      <c r="M8" s="16"/>
    </row>
    <row r="9" spans="1:13">
      <c r="A9" s="875" t="s">
        <v>10</v>
      </c>
      <c r="B9" s="913">
        <v>2</v>
      </c>
      <c r="C9" s="914">
        <f>175+175</f>
        <v>350</v>
      </c>
      <c r="D9" s="22"/>
      <c r="E9" s="99"/>
      <c r="F9" s="99"/>
      <c r="G9" s="99"/>
      <c r="H9" s="915"/>
      <c r="I9" s="916"/>
      <c r="J9" s="916"/>
      <c r="K9" s="23"/>
      <c r="L9" s="19"/>
      <c r="M9" s="24"/>
    </row>
    <row r="10" spans="1:13">
      <c r="A10" s="875" t="s">
        <v>11</v>
      </c>
      <c r="B10" s="913">
        <f>6+3</f>
        <v>9</v>
      </c>
      <c r="C10" s="914">
        <f>1855</f>
        <v>1855</v>
      </c>
      <c r="D10" s="25"/>
      <c r="E10" s="99"/>
      <c r="F10" s="99"/>
      <c r="G10" s="99"/>
      <c r="H10" s="915"/>
      <c r="I10" s="916"/>
      <c r="J10" s="916"/>
      <c r="K10" s="26"/>
      <c r="L10" s="19"/>
      <c r="M10" s="20"/>
    </row>
    <row r="11" spans="1:13">
      <c r="A11" s="875" t="s">
        <v>12</v>
      </c>
      <c r="B11" s="913">
        <f>8+6+5</f>
        <v>19</v>
      </c>
      <c r="C11" s="914">
        <f>1795+1245+1020</f>
        <v>4060</v>
      </c>
      <c r="E11" s="99"/>
      <c r="F11" s="99"/>
      <c r="G11" s="99"/>
      <c r="H11" s="915"/>
      <c r="I11" s="916"/>
      <c r="J11" s="916"/>
      <c r="K11" s="15"/>
      <c r="L11" s="19"/>
      <c r="M11" s="20"/>
    </row>
    <row r="12" spans="1:13">
      <c r="A12" s="875" t="s">
        <v>13</v>
      </c>
      <c r="B12" s="913">
        <f>12+11+10+6+6+7+16+8+14+8+10+8+6+6+6+6+6+3+14+12+8+7</f>
        <v>190</v>
      </c>
      <c r="C12" s="914">
        <f>2135+2376+2217+1510+1518+1243+3528+1615+2321+1696+1921+1530+1020+887+843+1313+1299+678+2844+2577+1913+1218</f>
        <v>38202</v>
      </c>
      <c r="D12" s="27"/>
      <c r="E12" s="28"/>
      <c r="F12" s="28"/>
      <c r="G12" s="28"/>
      <c r="H12" s="915"/>
      <c r="I12" s="916"/>
      <c r="J12" s="916"/>
      <c r="K12" s="29"/>
      <c r="L12" s="19"/>
      <c r="M12" s="30"/>
    </row>
    <row r="13" spans="1:13">
      <c r="A13" s="875" t="s">
        <v>14</v>
      </c>
      <c r="B13" s="913">
        <f>5+5</f>
        <v>10</v>
      </c>
      <c r="C13" s="914">
        <f>1457+1050</f>
        <v>2507</v>
      </c>
      <c r="E13" s="99"/>
      <c r="F13" s="99"/>
      <c r="G13" s="99"/>
      <c r="H13" s="915"/>
      <c r="I13" s="916"/>
      <c r="J13" s="916"/>
      <c r="K13" s="15"/>
      <c r="L13" s="19"/>
      <c r="M13" s="20"/>
    </row>
    <row r="14" spans="1:13">
      <c r="A14" s="875" t="s">
        <v>15</v>
      </c>
      <c r="B14" s="913">
        <v>6</v>
      </c>
      <c r="C14" s="914">
        <v>1538</v>
      </c>
      <c r="E14" s="99"/>
      <c r="F14" s="99"/>
      <c r="G14" s="99"/>
      <c r="H14" s="915"/>
      <c r="I14" s="916"/>
      <c r="J14" s="916"/>
      <c r="K14" s="15"/>
      <c r="L14" s="19"/>
      <c r="M14" s="20"/>
    </row>
    <row r="15" spans="1:13">
      <c r="A15" s="875" t="s">
        <v>16</v>
      </c>
      <c r="B15" s="913">
        <f>9+9+6+7</f>
        <v>31</v>
      </c>
      <c r="C15" s="914">
        <f>1897+1896+1286+1300</f>
        <v>6379</v>
      </c>
      <c r="E15" s="99"/>
      <c r="F15" s="99"/>
      <c r="G15" s="99"/>
      <c r="H15" s="915"/>
      <c r="I15" s="916"/>
      <c r="J15" s="916"/>
      <c r="K15" s="15"/>
      <c r="L15" s="19"/>
      <c r="M15" s="20"/>
    </row>
    <row r="16" spans="1:13">
      <c r="A16" s="875" t="s">
        <v>379</v>
      </c>
      <c r="B16" s="913">
        <f>5+6</f>
        <v>11</v>
      </c>
      <c r="C16" s="914">
        <f>991+1641</f>
        <v>2632</v>
      </c>
      <c r="D16" s="27"/>
      <c r="E16" s="99"/>
      <c r="F16" s="99"/>
      <c r="G16" s="99"/>
      <c r="H16" s="915"/>
      <c r="I16" s="916"/>
      <c r="J16" s="916"/>
      <c r="K16" s="29"/>
      <c r="L16" s="19"/>
      <c r="M16" s="30"/>
    </row>
    <row r="17" spans="1:13">
      <c r="A17" s="875" t="s">
        <v>18</v>
      </c>
      <c r="B17" s="913">
        <v>5</v>
      </c>
      <c r="C17" s="914">
        <v>998</v>
      </c>
      <c r="D17" s="27"/>
      <c r="E17" s="99"/>
      <c r="F17" s="99"/>
      <c r="G17" s="99"/>
      <c r="H17" s="915"/>
      <c r="I17" s="916"/>
      <c r="J17" s="916"/>
      <c r="K17" s="29"/>
      <c r="L17" s="19"/>
      <c r="M17" s="30"/>
    </row>
    <row r="18" spans="1:13">
      <c r="A18" s="875" t="s">
        <v>19</v>
      </c>
      <c r="B18" s="913">
        <f>4+5</f>
        <v>9</v>
      </c>
      <c r="C18" s="914">
        <f>794+1421</f>
        <v>2215</v>
      </c>
      <c r="E18" s="99"/>
      <c r="F18" s="99"/>
      <c r="G18" s="99"/>
      <c r="H18" s="915"/>
      <c r="I18" s="916"/>
      <c r="J18" s="916"/>
      <c r="K18" s="15"/>
      <c r="L18" s="19"/>
      <c r="M18" s="20"/>
    </row>
    <row r="19" spans="1:13">
      <c r="A19" s="875" t="s">
        <v>20</v>
      </c>
      <c r="B19" s="913">
        <v>1</v>
      </c>
      <c r="C19" s="914">
        <v>450</v>
      </c>
      <c r="D19" s="27"/>
      <c r="E19" s="99"/>
      <c r="F19" s="99"/>
      <c r="G19" s="99"/>
      <c r="H19" s="915"/>
      <c r="I19" s="916"/>
      <c r="J19" s="916"/>
      <c r="K19" s="29"/>
      <c r="L19" s="19"/>
      <c r="M19" s="20"/>
    </row>
    <row r="20" spans="1:13">
      <c r="A20" s="875" t="s">
        <v>21</v>
      </c>
      <c r="B20" s="913">
        <v>5</v>
      </c>
      <c r="C20" s="914">
        <v>924</v>
      </c>
      <c r="D20" s="27"/>
      <c r="E20" s="99"/>
      <c r="F20" s="99"/>
      <c r="G20" s="99"/>
      <c r="H20" s="915"/>
      <c r="I20" s="916"/>
      <c r="J20" s="916"/>
      <c r="K20" s="29"/>
      <c r="L20" s="19"/>
      <c r="M20" s="30"/>
    </row>
    <row r="21" spans="1:13" ht="7.5" customHeight="1">
      <c r="A21" s="875"/>
      <c r="B21" s="917"/>
      <c r="C21" s="917"/>
      <c r="D21" s="27"/>
      <c r="E21" s="28"/>
      <c r="F21" s="28"/>
      <c r="G21" s="28"/>
      <c r="H21" s="915"/>
      <c r="I21" s="916"/>
      <c r="J21" s="916"/>
      <c r="K21" s="29"/>
      <c r="L21" s="19"/>
      <c r="M21" s="30"/>
    </row>
    <row r="22" spans="1:13" s="921" customFormat="1" ht="26.25" customHeight="1">
      <c r="A22" s="2477" t="s">
        <v>3543</v>
      </c>
      <c r="B22" s="2477"/>
      <c r="C22" s="2477"/>
      <c r="D22" s="918"/>
      <c r="E22" s="919"/>
      <c r="F22" s="918"/>
      <c r="G22" s="918"/>
      <c r="H22" s="918"/>
      <c r="I22" s="919"/>
      <c r="J22" s="919"/>
      <c r="K22" s="919"/>
      <c r="L22" s="919"/>
      <c r="M22" s="920"/>
    </row>
    <row r="23" spans="1:13">
      <c r="A23" s="2460" t="s">
        <v>1973</v>
      </c>
      <c r="B23" s="2460"/>
      <c r="C23" s="2460"/>
      <c r="D23" s="30"/>
      <c r="E23" s="28"/>
      <c r="F23" s="922"/>
      <c r="G23" s="28"/>
      <c r="H23" s="15"/>
      <c r="I23" s="15"/>
      <c r="J23" s="29"/>
      <c r="K23" s="912"/>
      <c r="L23" s="29"/>
      <c r="M23" s="20"/>
    </row>
    <row r="24" spans="1:13">
      <c r="A24" s="923"/>
      <c r="C24" s="27"/>
      <c r="D24" s="30"/>
      <c r="E24" s="28"/>
      <c r="F24" s="922"/>
      <c r="G24" s="28"/>
      <c r="H24" s="892"/>
      <c r="I24" s="912"/>
      <c r="J24" s="912"/>
      <c r="K24" s="30"/>
      <c r="L24" s="30"/>
      <c r="M24" s="30"/>
    </row>
    <row r="25" spans="1:13">
      <c r="E25" s="28"/>
      <c r="F25" s="28"/>
      <c r="G25" s="28"/>
      <c r="H25" s="892"/>
      <c r="I25" s="912"/>
      <c r="J25" s="912"/>
      <c r="K25" s="30"/>
      <c r="L25" s="30"/>
      <c r="M25" s="20"/>
    </row>
  </sheetData>
  <mergeCells count="3">
    <mergeCell ref="A2:C2"/>
    <mergeCell ref="A22:C22"/>
    <mergeCell ref="A23:C23"/>
  </mergeCells>
  <pageMargins left="0.7" right="0.7" top="0.75" bottom="0.75" header="0.3" footer="0.3"/>
  <pageSetup paperSize="14" scale="90" orientation="landscape" r:id="rId1"/>
</worksheet>
</file>

<file path=xl/worksheets/sheet221.xml><?xml version="1.0" encoding="utf-8"?>
<worksheet xmlns="http://schemas.openxmlformats.org/spreadsheetml/2006/main" xmlns:r="http://schemas.openxmlformats.org/officeDocument/2006/relationships">
  <dimension ref="A1:R24"/>
  <sheetViews>
    <sheetView zoomScaleNormal="100" workbookViewId="0">
      <selection activeCell="C21" sqref="C21"/>
    </sheetView>
  </sheetViews>
  <sheetFormatPr baseColWidth="10" defaultRowHeight="12"/>
  <cols>
    <col min="1" max="1" width="7.140625" style="831" customWidth="1"/>
    <col min="2" max="2" width="16" style="831" customWidth="1"/>
    <col min="3" max="4" width="13.7109375" style="831" customWidth="1"/>
    <col min="5" max="5" width="12.42578125" style="831" customWidth="1"/>
    <col min="6" max="6" width="15.7109375" style="831" customWidth="1"/>
    <col min="7" max="7" width="17.28515625" style="831" bestFit="1" customWidth="1"/>
    <col min="8" max="8" width="9.85546875" style="831" bestFit="1" customWidth="1"/>
    <col min="9" max="9" width="7.28515625" style="831" customWidth="1"/>
    <col min="10" max="16384" width="11.42578125" style="831"/>
  </cols>
  <sheetData>
    <row r="1" spans="1:18">
      <c r="A1" s="830"/>
    </row>
    <row r="2" spans="1:18" ht="12.75">
      <c r="A2" s="2478" t="s">
        <v>3266</v>
      </c>
      <c r="B2" s="2478"/>
      <c r="C2" s="2478"/>
      <c r="D2" s="2478"/>
      <c r="E2" s="2478"/>
      <c r="F2" s="2478"/>
      <c r="G2" s="2478"/>
      <c r="H2" s="2478"/>
    </row>
    <row r="3" spans="1:18">
      <c r="C3" s="891"/>
      <c r="D3" s="891"/>
      <c r="E3" s="893"/>
    </row>
    <row r="4" spans="1:18">
      <c r="A4" s="2376" t="s">
        <v>1092</v>
      </c>
      <c r="B4" s="2479" t="s">
        <v>1989</v>
      </c>
      <c r="C4" s="2479"/>
      <c r="D4" s="2479"/>
      <c r="E4" s="2479"/>
      <c r="F4" s="2479"/>
      <c r="G4" s="2479"/>
      <c r="H4" s="2479"/>
    </row>
    <row r="5" spans="1:18">
      <c r="A5" s="2376"/>
      <c r="B5" s="2376" t="s">
        <v>2</v>
      </c>
      <c r="C5" s="2376" t="s">
        <v>1990</v>
      </c>
      <c r="D5" s="2376"/>
      <c r="E5" s="2376"/>
      <c r="F5" s="2376"/>
      <c r="G5" s="2376"/>
      <c r="H5" s="2376"/>
    </row>
    <row r="6" spans="1:18" s="35" customFormat="1" ht="25.5">
      <c r="A6" s="2376"/>
      <c r="B6" s="2376"/>
      <c r="C6" s="894" t="s">
        <v>1420</v>
      </c>
      <c r="D6" s="894" t="s">
        <v>1991</v>
      </c>
      <c r="E6" s="894" t="s">
        <v>158</v>
      </c>
      <c r="F6" s="836" t="s">
        <v>1977</v>
      </c>
      <c r="G6" s="836" t="s">
        <v>3546</v>
      </c>
      <c r="H6" s="836" t="s">
        <v>1992</v>
      </c>
    </row>
    <row r="7" spans="1:18" s="35" customFormat="1" ht="11.25">
      <c r="A7" s="895">
        <v>2009</v>
      </c>
      <c r="B7" s="896">
        <f t="shared" ref="B7:B12" si="0">SUM(C7:H7)</f>
        <v>14442596</v>
      </c>
      <c r="C7" s="897">
        <v>562119</v>
      </c>
      <c r="D7" s="897">
        <v>12501351</v>
      </c>
      <c r="E7" s="897">
        <v>226572</v>
      </c>
      <c r="F7" s="898">
        <v>5100</v>
      </c>
      <c r="G7" s="898">
        <v>1112722</v>
      </c>
      <c r="H7" s="898">
        <v>34732</v>
      </c>
    </row>
    <row r="8" spans="1:18" s="35" customFormat="1" ht="11.25">
      <c r="A8" s="899">
        <v>2010</v>
      </c>
      <c r="B8" s="896">
        <f t="shared" si="0"/>
        <v>14714031</v>
      </c>
      <c r="C8" s="900">
        <v>345662</v>
      </c>
      <c r="D8" s="900">
        <v>13732183</v>
      </c>
      <c r="E8" s="900">
        <v>164531</v>
      </c>
      <c r="F8" s="900">
        <v>88931</v>
      </c>
      <c r="G8" s="900">
        <v>380182</v>
      </c>
      <c r="H8" s="900">
        <v>2542</v>
      </c>
      <c r="I8" s="33"/>
    </row>
    <row r="9" spans="1:18" s="35" customFormat="1" ht="11.25">
      <c r="A9" s="899" t="s">
        <v>801</v>
      </c>
      <c r="B9" s="896">
        <f t="shared" si="0"/>
        <v>17320697</v>
      </c>
      <c r="C9" s="900">
        <v>912332</v>
      </c>
      <c r="D9" s="900">
        <v>15946588</v>
      </c>
      <c r="E9" s="900">
        <v>200671</v>
      </c>
      <c r="F9" s="900">
        <v>27500</v>
      </c>
      <c r="G9" s="900">
        <v>228420</v>
      </c>
      <c r="H9" s="900">
        <v>5186</v>
      </c>
      <c r="I9" s="33"/>
    </row>
    <row r="10" spans="1:18" s="35" customFormat="1" ht="11.25">
      <c r="A10" s="899" t="s">
        <v>802</v>
      </c>
      <c r="B10" s="896">
        <f t="shared" si="0"/>
        <v>20122604</v>
      </c>
      <c r="C10" s="900">
        <v>2495367</v>
      </c>
      <c r="D10" s="900">
        <v>16323896</v>
      </c>
      <c r="E10" s="900">
        <v>585461</v>
      </c>
      <c r="F10" s="900">
        <v>26481</v>
      </c>
      <c r="G10" s="900">
        <v>665532</v>
      </c>
      <c r="H10" s="900">
        <v>25867</v>
      </c>
      <c r="I10" s="33"/>
    </row>
    <row r="11" spans="1:18" s="35" customFormat="1" ht="11.25">
      <c r="A11" s="899" t="s">
        <v>803</v>
      </c>
      <c r="B11" s="896">
        <f t="shared" si="0"/>
        <v>21019442</v>
      </c>
      <c r="C11" s="900">
        <v>1914511</v>
      </c>
      <c r="D11" s="900">
        <v>18985868</v>
      </c>
      <c r="E11" s="900">
        <v>36963</v>
      </c>
      <c r="F11" s="900">
        <v>46297</v>
      </c>
      <c r="G11" s="897" t="s">
        <v>55</v>
      </c>
      <c r="H11" s="900">
        <v>35803</v>
      </c>
      <c r="I11" s="33"/>
    </row>
    <row r="12" spans="1:18" s="35" customFormat="1" ht="11.25">
      <c r="A12" s="899" t="s">
        <v>804</v>
      </c>
      <c r="B12" s="896">
        <f t="shared" si="0"/>
        <v>22015883</v>
      </c>
      <c r="C12" s="34">
        <v>940185</v>
      </c>
      <c r="D12" s="34">
        <v>18639997</v>
      </c>
      <c r="E12" s="34">
        <v>1870193</v>
      </c>
      <c r="F12" s="34">
        <v>35236</v>
      </c>
      <c r="G12" s="874" t="s">
        <v>55</v>
      </c>
      <c r="H12" s="34">
        <v>530272</v>
      </c>
      <c r="I12" s="33"/>
    </row>
    <row r="13" spans="1:18" s="35" customFormat="1" ht="6.75" customHeight="1">
      <c r="A13" s="901"/>
      <c r="B13" s="32"/>
      <c r="C13" s="33"/>
      <c r="D13" s="33"/>
      <c r="E13" s="33"/>
      <c r="F13" s="33"/>
      <c r="G13" s="33"/>
      <c r="H13" s="33"/>
      <c r="I13" s="33"/>
    </row>
    <row r="14" spans="1:18" s="35" customFormat="1" ht="27.75" customHeight="1">
      <c r="A14" s="2744" t="s">
        <v>3548</v>
      </c>
      <c r="B14" s="2744"/>
      <c r="C14" s="2744"/>
      <c r="D14" s="2744"/>
      <c r="E14" s="2744"/>
      <c r="F14" s="2744"/>
      <c r="G14" s="2744"/>
      <c r="H14" s="2744"/>
      <c r="I14" s="33"/>
    </row>
    <row r="15" spans="1:18" s="35" customFormat="1" ht="16.5" customHeight="1">
      <c r="A15" s="902" t="s">
        <v>3549</v>
      </c>
      <c r="B15" s="902"/>
      <c r="C15" s="902"/>
      <c r="D15" s="902"/>
      <c r="E15" s="902"/>
      <c r="F15" s="902"/>
      <c r="G15" s="902"/>
      <c r="H15" s="902"/>
    </row>
    <row r="16" spans="1:18" s="14" customFormat="1" ht="10.5" customHeight="1">
      <c r="A16" s="903" t="s">
        <v>149</v>
      </c>
      <c r="B16" s="864"/>
      <c r="C16" s="864"/>
      <c r="D16" s="864"/>
      <c r="E16" s="864"/>
      <c r="F16" s="864"/>
      <c r="G16" s="864"/>
      <c r="H16" s="864"/>
      <c r="J16" s="28"/>
      <c r="K16" s="28"/>
      <c r="L16" s="28"/>
      <c r="M16" s="28"/>
      <c r="N16" s="28"/>
      <c r="O16" s="28"/>
      <c r="P16" s="28"/>
      <c r="Q16" s="28"/>
      <c r="R16" s="28"/>
    </row>
    <row r="17" spans="1:8">
      <c r="A17" s="892" t="s">
        <v>1973</v>
      </c>
      <c r="B17" s="892"/>
      <c r="C17" s="892"/>
      <c r="D17" s="892"/>
      <c r="E17" s="892"/>
      <c r="F17" s="892"/>
      <c r="G17" s="892"/>
      <c r="H17" s="892"/>
    </row>
    <row r="19" spans="1:8">
      <c r="B19" s="904"/>
      <c r="C19" s="905"/>
      <c r="D19" s="905"/>
      <c r="E19" s="905"/>
      <c r="F19" s="905"/>
      <c r="G19" s="897"/>
      <c r="H19" s="905"/>
    </row>
    <row r="20" spans="1:8">
      <c r="B20" s="904"/>
      <c r="C20" s="906"/>
      <c r="D20" s="906"/>
      <c r="E20" s="906"/>
      <c r="F20" s="906"/>
      <c r="G20" s="906"/>
      <c r="H20" s="906"/>
    </row>
    <row r="21" spans="1:8">
      <c r="B21" s="907"/>
      <c r="C21" s="908"/>
      <c r="D21" s="905"/>
      <c r="E21" s="905"/>
      <c r="F21" s="905"/>
      <c r="G21" s="897"/>
      <c r="H21" s="905"/>
    </row>
    <row r="22" spans="1:8">
      <c r="B22" s="904"/>
      <c r="C22" s="904"/>
      <c r="D22" s="904"/>
      <c r="E22" s="904"/>
      <c r="F22" s="904"/>
      <c r="G22" s="904"/>
      <c r="H22" s="904"/>
    </row>
    <row r="23" spans="1:8">
      <c r="B23" s="904"/>
      <c r="C23" s="904"/>
      <c r="D23" s="904"/>
      <c r="E23" s="904"/>
      <c r="F23" s="904"/>
      <c r="G23" s="904"/>
      <c r="H23" s="904"/>
    </row>
    <row r="24" spans="1:8">
      <c r="B24" s="904"/>
      <c r="C24" s="904"/>
      <c r="D24" s="904"/>
      <c r="E24" s="904"/>
      <c r="F24" s="904"/>
      <c r="G24" s="904"/>
      <c r="H24" s="904"/>
    </row>
  </sheetData>
  <mergeCells count="6">
    <mergeCell ref="A14:H14"/>
    <mergeCell ref="A2:H2"/>
    <mergeCell ref="A4:A6"/>
    <mergeCell ref="B4:H4"/>
    <mergeCell ref="B5:B6"/>
    <mergeCell ref="C5:H5"/>
  </mergeCells>
  <pageMargins left="0.7" right="0.7" top="0.75" bottom="0.75" header="0.3" footer="0.3"/>
  <pageSetup paperSize="14" scale="90" orientation="landscape" r:id="rId1"/>
</worksheet>
</file>

<file path=xl/worksheets/sheet222.xml><?xml version="1.0" encoding="utf-8"?>
<worksheet xmlns="http://schemas.openxmlformats.org/spreadsheetml/2006/main" xmlns:r="http://schemas.openxmlformats.org/officeDocument/2006/relationships">
  <dimension ref="A1:K29"/>
  <sheetViews>
    <sheetView zoomScaleNormal="100" workbookViewId="0">
      <selection activeCell="C35" sqref="C35"/>
    </sheetView>
  </sheetViews>
  <sheetFormatPr baseColWidth="10" defaultRowHeight="12"/>
  <cols>
    <col min="1" max="1" width="17.42578125" style="100" customWidth="1"/>
    <col min="2" max="2" width="14.42578125" style="100" bestFit="1" customWidth="1"/>
    <col min="3" max="3" width="11.28515625" style="100" bestFit="1" customWidth="1"/>
    <col min="4" max="4" width="14.42578125" style="100" bestFit="1" customWidth="1"/>
    <col min="5" max="5" width="13.140625" style="100" bestFit="1" customWidth="1"/>
    <col min="6" max="6" width="14.85546875" style="100" customWidth="1"/>
    <col min="7" max="7" width="18.28515625" style="100" customWidth="1"/>
    <col min="8" max="8" width="17.28515625" style="100" bestFit="1" customWidth="1"/>
    <col min="9" max="9" width="12.7109375" style="100" customWidth="1"/>
    <col min="10" max="10" width="8.140625" style="100" customWidth="1"/>
    <col min="11" max="16384" width="11.42578125" style="100"/>
  </cols>
  <sheetData>
    <row r="1" spans="1:11">
      <c r="A1" s="843"/>
    </row>
    <row r="2" spans="1:11" ht="12.75">
      <c r="A2" s="2478" t="s">
        <v>3265</v>
      </c>
      <c r="B2" s="2478"/>
      <c r="C2" s="2478"/>
      <c r="D2" s="2478"/>
      <c r="E2" s="2478"/>
      <c r="F2" s="2478"/>
      <c r="G2" s="2478"/>
      <c r="H2" s="2478"/>
      <c r="I2" s="888"/>
      <c r="J2" s="831"/>
    </row>
    <row r="3" spans="1:11">
      <c r="A3" s="889"/>
      <c r="B3" s="889"/>
      <c r="C3" s="889"/>
      <c r="D3" s="889"/>
      <c r="E3" s="889"/>
      <c r="F3" s="889"/>
      <c r="G3" s="889"/>
      <c r="H3" s="889"/>
      <c r="I3" s="831"/>
      <c r="J3" s="831"/>
      <c r="K3" s="98"/>
    </row>
    <row r="4" spans="1:11">
      <c r="A4" s="2480" t="s">
        <v>0</v>
      </c>
      <c r="B4" s="2484" t="s">
        <v>1989</v>
      </c>
      <c r="C4" s="2485"/>
      <c r="D4" s="2485"/>
      <c r="E4" s="2485"/>
      <c r="F4" s="2485"/>
      <c r="G4" s="2485"/>
      <c r="H4" s="2486"/>
      <c r="I4" s="890"/>
      <c r="J4" s="831"/>
    </row>
    <row r="5" spans="1:11">
      <c r="A5" s="2480"/>
      <c r="B5" s="2481" t="s">
        <v>2</v>
      </c>
      <c r="C5" s="2483" t="s">
        <v>1976</v>
      </c>
      <c r="D5" s="2483"/>
      <c r="E5" s="2483"/>
      <c r="F5" s="2483"/>
      <c r="G5" s="2483"/>
      <c r="H5" s="2483"/>
      <c r="I5" s="831"/>
    </row>
    <row r="6" spans="1:11" ht="24">
      <c r="A6" s="2480"/>
      <c r="B6" s="2482"/>
      <c r="C6" s="836" t="s">
        <v>1420</v>
      </c>
      <c r="D6" s="836" t="s">
        <v>1993</v>
      </c>
      <c r="E6" s="836" t="s">
        <v>158</v>
      </c>
      <c r="F6" s="836" t="s">
        <v>1977</v>
      </c>
      <c r="G6" s="836" t="s">
        <v>3546</v>
      </c>
      <c r="H6" s="836" t="s">
        <v>1992</v>
      </c>
      <c r="I6" s="831"/>
    </row>
    <row r="7" spans="1:11">
      <c r="A7" s="16" t="s">
        <v>6</v>
      </c>
      <c r="B7" s="866">
        <f>SUM(B8:B22)</f>
        <v>22015883</v>
      </c>
      <c r="C7" s="866">
        <f>SUM(C8:C22)</f>
        <v>940185</v>
      </c>
      <c r="D7" s="866">
        <f>SUM(D8:D22)</f>
        <v>18639997</v>
      </c>
      <c r="E7" s="866">
        <f>SUM(E8:E22)</f>
        <v>1870193</v>
      </c>
      <c r="F7" s="866">
        <f>SUM(F8:F22)</f>
        <v>35236</v>
      </c>
      <c r="G7" s="873" t="s">
        <v>55</v>
      </c>
      <c r="H7" s="866">
        <f>SUM(H8:H22)</f>
        <v>530272</v>
      </c>
      <c r="I7" s="31"/>
    </row>
    <row r="8" spans="1:11">
      <c r="A8" s="875" t="s">
        <v>7</v>
      </c>
      <c r="B8" s="866">
        <f t="shared" ref="B8:B22" si="0">SUM(C8:H8)</f>
        <v>139545</v>
      </c>
      <c r="C8" s="34">
        <v>5189</v>
      </c>
      <c r="D8" s="34">
        <v>121155</v>
      </c>
      <c r="E8" s="34">
        <f>1017+558+1789+1377</f>
        <v>4741</v>
      </c>
      <c r="F8" s="34">
        <v>85</v>
      </c>
      <c r="G8" s="874">
        <v>0</v>
      </c>
      <c r="H8" s="34">
        <f>5299+1996+1080</f>
        <v>8375</v>
      </c>
      <c r="I8" s="32"/>
    </row>
    <row r="9" spans="1:11">
      <c r="A9" s="875" t="s">
        <v>8</v>
      </c>
      <c r="B9" s="866">
        <f>SUM(C9:H9)</f>
        <v>446532</v>
      </c>
      <c r="C9" s="34">
        <v>22015</v>
      </c>
      <c r="D9" s="34">
        <v>384563</v>
      </c>
      <c r="E9" s="34">
        <f>12192+3504+8948+2618+481+200</f>
        <v>27943</v>
      </c>
      <c r="F9" s="34">
        <f>1246+277</f>
        <v>1523</v>
      </c>
      <c r="G9" s="874">
        <v>0</v>
      </c>
      <c r="H9" s="34">
        <f>5996+872+3620</f>
        <v>10488</v>
      </c>
      <c r="I9" s="32"/>
    </row>
    <row r="10" spans="1:11">
      <c r="A10" s="875" t="s">
        <v>9</v>
      </c>
      <c r="B10" s="866">
        <f t="shared" si="0"/>
        <v>986745</v>
      </c>
      <c r="C10" s="34">
        <v>28777</v>
      </c>
      <c r="D10" s="34">
        <v>888091</v>
      </c>
      <c r="E10" s="34">
        <f>362+30729+5224+8775+10382+1014</f>
        <v>56486</v>
      </c>
      <c r="F10" s="34">
        <f>104+1107</f>
        <v>1211</v>
      </c>
      <c r="G10" s="874">
        <v>0</v>
      </c>
      <c r="H10" s="34">
        <f>11737+443</f>
        <v>12180</v>
      </c>
      <c r="I10" s="32"/>
    </row>
    <row r="11" spans="1:11">
      <c r="A11" s="875" t="s">
        <v>10</v>
      </c>
      <c r="B11" s="866">
        <f t="shared" si="0"/>
        <v>132187</v>
      </c>
      <c r="C11" s="34">
        <v>4346</v>
      </c>
      <c r="D11" s="34">
        <v>119525</v>
      </c>
      <c r="E11" s="34">
        <f>562+1048+1059+296+2969</f>
        <v>5934</v>
      </c>
      <c r="F11" s="34">
        <v>167</v>
      </c>
      <c r="G11" s="874">
        <v>0</v>
      </c>
      <c r="H11" s="34">
        <f>448+1767</f>
        <v>2215</v>
      </c>
      <c r="I11" s="32"/>
    </row>
    <row r="12" spans="1:11">
      <c r="A12" s="875" t="s">
        <v>11</v>
      </c>
      <c r="B12" s="866">
        <f t="shared" si="0"/>
        <v>698369</v>
      </c>
      <c r="C12" s="34">
        <v>30249</v>
      </c>
      <c r="D12" s="34">
        <v>600236</v>
      </c>
      <c r="E12" s="34">
        <f>1950+1443+22692+327+7838+8911+6347</f>
        <v>49508</v>
      </c>
      <c r="F12" s="34">
        <v>1313</v>
      </c>
      <c r="G12" s="874">
        <v>0</v>
      </c>
      <c r="H12" s="34">
        <f>702+12212+4082+67</f>
        <v>17063</v>
      </c>
      <c r="I12" s="32"/>
    </row>
    <row r="13" spans="1:11">
      <c r="A13" s="875" t="s">
        <v>12</v>
      </c>
      <c r="B13" s="866">
        <f>SUM(C13:H13)</f>
        <v>1815565</v>
      </c>
      <c r="C13" s="34">
        <v>68197</v>
      </c>
      <c r="D13" s="34">
        <v>1530341</v>
      </c>
      <c r="E13" s="34">
        <f>1237+2245+1551+57353+14721+24660+651+19641+23851+4840+1159+5663</f>
        <v>157572</v>
      </c>
      <c r="F13" s="34">
        <f>8478+216+172</f>
        <v>8866</v>
      </c>
      <c r="G13" s="874">
        <v>0</v>
      </c>
      <c r="H13" s="34">
        <f>3810+29917+201+89+1045+2788+89+13+3312+1166+8159</f>
        <v>50589</v>
      </c>
      <c r="I13" s="32"/>
    </row>
    <row r="14" spans="1:11">
      <c r="A14" s="875" t="s">
        <v>13</v>
      </c>
      <c r="B14" s="866">
        <f t="shared" si="0"/>
        <v>13085187</v>
      </c>
      <c r="C14" s="34">
        <f>459346+141850</f>
        <v>601196</v>
      </c>
      <c r="D14" s="34">
        <v>10865951</v>
      </c>
      <c r="E14" s="34">
        <f>46+25652+258530+304357+139238+287+22333+472848+15565+12611+16262</f>
        <v>1267729</v>
      </c>
      <c r="F14" s="34">
        <v>9758</v>
      </c>
      <c r="G14" s="874">
        <v>0</v>
      </c>
      <c r="H14" s="34">
        <f>5506+29320+43379+25+3679+1022+17944+26429+2212+211037</f>
        <v>340553</v>
      </c>
      <c r="I14" s="32"/>
    </row>
    <row r="15" spans="1:11">
      <c r="A15" s="875" t="s">
        <v>14</v>
      </c>
      <c r="B15" s="866">
        <f t="shared" si="0"/>
        <v>573191</v>
      </c>
      <c r="C15" s="34">
        <f>20366+19686</f>
        <v>40052</v>
      </c>
      <c r="D15" s="34">
        <v>507711</v>
      </c>
      <c r="E15" s="34">
        <f>196+555+4813+7308</f>
        <v>12872</v>
      </c>
      <c r="F15" s="34">
        <f>162+1172+837</f>
        <v>2171</v>
      </c>
      <c r="G15" s="874">
        <v>0</v>
      </c>
      <c r="H15" s="34">
        <f>6666+129+2567+283+740</f>
        <v>10385</v>
      </c>
      <c r="I15" s="32"/>
    </row>
    <row r="16" spans="1:11">
      <c r="A16" s="875" t="s">
        <v>15</v>
      </c>
      <c r="B16" s="866">
        <f t="shared" si="0"/>
        <v>426090</v>
      </c>
      <c r="C16" s="34">
        <f>6301+13562</f>
        <v>19863</v>
      </c>
      <c r="D16" s="34">
        <v>355477</v>
      </c>
      <c r="E16" s="34">
        <f>361+399+5670+6543+13072+997+2929+2001+2642+3026+3489+3768</f>
        <v>44897</v>
      </c>
      <c r="F16" s="34">
        <f>443+577+982</f>
        <v>2002</v>
      </c>
      <c r="G16" s="874">
        <v>0</v>
      </c>
      <c r="H16" s="34">
        <f>842+2396+83+530</f>
        <v>3851</v>
      </c>
      <c r="I16" s="32"/>
    </row>
    <row r="17" spans="1:10">
      <c r="A17" s="875" t="s">
        <v>16</v>
      </c>
      <c r="B17" s="866">
        <f t="shared" si="0"/>
        <v>2114706</v>
      </c>
      <c r="C17" s="34">
        <v>84255</v>
      </c>
      <c r="D17" s="34">
        <v>1831273</v>
      </c>
      <c r="E17" s="34">
        <f>1045+2359+18769+30793+23139+578+588+72768+489</f>
        <v>150528</v>
      </c>
      <c r="F17" s="34">
        <f>321+988+4724</f>
        <v>6033</v>
      </c>
      <c r="G17" s="874">
        <v>0</v>
      </c>
      <c r="H17" s="34">
        <f>80+754+662+7967+459+1410+250+31035</f>
        <v>42617</v>
      </c>
      <c r="I17" s="32"/>
    </row>
    <row r="18" spans="1:10">
      <c r="A18" s="875" t="s">
        <v>17</v>
      </c>
      <c r="B18" s="866">
        <f t="shared" si="0"/>
        <v>620964</v>
      </c>
      <c r="C18" s="34">
        <v>18836</v>
      </c>
      <c r="D18" s="34">
        <v>551664</v>
      </c>
      <c r="E18" s="34">
        <f>5263+6626+4501+418+18926</f>
        <v>35734</v>
      </c>
      <c r="F18" s="34">
        <f>810+79</f>
        <v>889</v>
      </c>
      <c r="G18" s="874">
        <v>0</v>
      </c>
      <c r="H18" s="34">
        <f>389+1858+11594</f>
        <v>13841</v>
      </c>
      <c r="I18" s="32"/>
    </row>
    <row r="19" spans="1:10">
      <c r="A19" s="875" t="s">
        <v>18</v>
      </c>
      <c r="B19" s="866">
        <f t="shared" si="0"/>
        <v>277309</v>
      </c>
      <c r="C19" s="34">
        <v>7637</v>
      </c>
      <c r="D19" s="34">
        <v>236902</v>
      </c>
      <c r="E19" s="34">
        <f>7770+193+8065+2707+5871+1788</f>
        <v>26394</v>
      </c>
      <c r="F19" s="34">
        <v>247</v>
      </c>
      <c r="G19" s="874">
        <v>0</v>
      </c>
      <c r="H19" s="34">
        <f>4890+1239</f>
        <v>6129</v>
      </c>
      <c r="I19" s="32"/>
    </row>
    <row r="20" spans="1:10">
      <c r="A20" s="875" t="s">
        <v>19</v>
      </c>
      <c r="B20" s="866">
        <f t="shared" si="0"/>
        <v>512642</v>
      </c>
      <c r="C20" s="34">
        <v>0</v>
      </c>
      <c r="D20" s="34">
        <v>470993</v>
      </c>
      <c r="E20" s="34">
        <f>1293+19066+2443+6284+671</f>
        <v>29757</v>
      </c>
      <c r="F20" s="34">
        <f>93+878</f>
        <v>971</v>
      </c>
      <c r="G20" s="874">
        <v>0</v>
      </c>
      <c r="H20" s="34">
        <f>2661+7032+979+249</f>
        <v>10921</v>
      </c>
      <c r="I20" s="32"/>
    </row>
    <row r="21" spans="1:10">
      <c r="A21" s="875" t="s">
        <v>20</v>
      </c>
      <c r="B21" s="866">
        <f t="shared" si="0"/>
        <v>0</v>
      </c>
      <c r="C21" s="34">
        <v>0</v>
      </c>
      <c r="D21" s="34">
        <v>0</v>
      </c>
      <c r="E21" s="34">
        <v>0</v>
      </c>
      <c r="F21" s="34">
        <v>0</v>
      </c>
      <c r="G21" s="874">
        <v>0</v>
      </c>
      <c r="H21" s="34">
        <v>0</v>
      </c>
      <c r="I21" s="32"/>
    </row>
    <row r="22" spans="1:10">
      <c r="A22" s="875" t="s">
        <v>21</v>
      </c>
      <c r="B22" s="866">
        <f t="shared" si="0"/>
        <v>186851</v>
      </c>
      <c r="C22" s="34">
        <v>9573</v>
      </c>
      <c r="D22" s="34">
        <v>176115</v>
      </c>
      <c r="E22" s="34">
        <v>98</v>
      </c>
      <c r="F22" s="34">
        <v>0</v>
      </c>
      <c r="G22" s="874">
        <v>0</v>
      </c>
      <c r="H22" s="34">
        <f>89+976</f>
        <v>1065</v>
      </c>
      <c r="I22" s="32"/>
    </row>
    <row r="23" spans="1:10">
      <c r="A23" s="875"/>
      <c r="B23" s="866"/>
      <c r="C23" s="866"/>
      <c r="D23" s="34"/>
      <c r="E23" s="34"/>
      <c r="F23" s="34"/>
      <c r="G23" s="34"/>
      <c r="H23" s="34"/>
      <c r="I23" s="34"/>
      <c r="J23" s="32"/>
    </row>
    <row r="24" spans="1:10">
      <c r="A24" s="2460" t="s">
        <v>3543</v>
      </c>
      <c r="B24" s="2460"/>
      <c r="C24" s="2460"/>
      <c r="D24" s="2460"/>
      <c r="E24" s="2460"/>
      <c r="F24" s="2460"/>
      <c r="G24" s="2460"/>
      <c r="H24" s="2460"/>
      <c r="I24" s="2460"/>
      <c r="J24" s="14"/>
    </row>
    <row r="25" spans="1:10" ht="28.5" customHeight="1">
      <c r="A25" s="2471" t="s">
        <v>3547</v>
      </c>
      <c r="B25" s="2471"/>
      <c r="C25" s="2471"/>
      <c r="D25" s="2471"/>
      <c r="E25" s="2471"/>
      <c r="F25" s="2471"/>
      <c r="G25" s="2471"/>
      <c r="H25" s="2471"/>
      <c r="I25" s="864"/>
      <c r="J25" s="14"/>
    </row>
    <row r="26" spans="1:10">
      <c r="A26" s="2467" t="s">
        <v>22</v>
      </c>
      <c r="B26" s="2467"/>
      <c r="C26" s="2467"/>
      <c r="D26" s="2467"/>
      <c r="E26" s="2467"/>
      <c r="F26" s="2467"/>
      <c r="G26" s="2467"/>
      <c r="H26" s="2467"/>
      <c r="I26" s="2467"/>
      <c r="J26" s="14"/>
    </row>
    <row r="27" spans="1:10">
      <c r="A27" s="2471" t="s">
        <v>149</v>
      </c>
      <c r="B27" s="2471"/>
      <c r="C27" s="2471"/>
      <c r="D27" s="2471"/>
      <c r="E27" s="2471"/>
      <c r="F27" s="2471"/>
      <c r="G27" s="2471"/>
      <c r="H27" s="2471"/>
      <c r="I27" s="2471"/>
      <c r="J27" s="14"/>
    </row>
    <row r="28" spans="1:10">
      <c r="A28" s="2460" t="s">
        <v>1973</v>
      </c>
      <c r="B28" s="2460"/>
      <c r="C28" s="2460"/>
      <c r="D28" s="2460"/>
      <c r="E28" s="2460"/>
      <c r="F28" s="2460"/>
      <c r="G28" s="2460"/>
      <c r="H28" s="2460"/>
      <c r="I28" s="2460"/>
      <c r="J28" s="891"/>
    </row>
    <row r="29" spans="1:10">
      <c r="A29" s="892"/>
      <c r="B29" s="892"/>
      <c r="C29" s="892"/>
      <c r="D29" s="892"/>
      <c r="E29" s="892"/>
      <c r="F29" s="892"/>
      <c r="G29" s="892"/>
      <c r="H29" s="892"/>
      <c r="I29" s="892"/>
      <c r="J29" s="891"/>
    </row>
  </sheetData>
  <mergeCells count="10">
    <mergeCell ref="A2:H2"/>
    <mergeCell ref="A25:H25"/>
    <mergeCell ref="A26:I26"/>
    <mergeCell ref="A27:I27"/>
    <mergeCell ref="A28:I28"/>
    <mergeCell ref="A4:A6"/>
    <mergeCell ref="B5:B6"/>
    <mergeCell ref="C5:H5"/>
    <mergeCell ref="A24:I24"/>
    <mergeCell ref="B4:H4"/>
  </mergeCells>
  <pageMargins left="0.7" right="0.7" top="0.75" bottom="0.75" header="0.3" footer="0.3"/>
  <pageSetup paperSize="14" scale="90" orientation="landscape" r:id="rId1"/>
</worksheet>
</file>

<file path=xl/worksheets/sheet223.xml><?xml version="1.0" encoding="utf-8"?>
<worksheet xmlns="http://schemas.openxmlformats.org/spreadsheetml/2006/main" xmlns:r="http://schemas.openxmlformats.org/officeDocument/2006/relationships">
  <dimension ref="A1:O28"/>
  <sheetViews>
    <sheetView zoomScaleNormal="100" workbookViewId="0">
      <selection activeCell="A34" sqref="A34"/>
    </sheetView>
  </sheetViews>
  <sheetFormatPr baseColWidth="10" defaultRowHeight="12"/>
  <cols>
    <col min="1" max="1" width="27.42578125" style="831" customWidth="1"/>
    <col min="2" max="3" width="14.42578125" style="831" bestFit="1" customWidth="1"/>
    <col min="4" max="4" width="13.140625" style="831" bestFit="1" customWidth="1"/>
    <col min="5" max="5" width="13.28515625" style="831" bestFit="1" customWidth="1"/>
    <col min="6" max="6" width="14.28515625" style="831" bestFit="1" customWidth="1"/>
    <col min="7" max="7" width="8.28515625" style="831" customWidth="1"/>
    <col min="8" max="16384" width="11.42578125" style="831"/>
  </cols>
  <sheetData>
    <row r="1" spans="1:8">
      <c r="A1" s="830"/>
    </row>
    <row r="2" spans="1:8" s="880" customFormat="1" ht="27.75" customHeight="1">
      <c r="A2" s="2487" t="s">
        <v>3264</v>
      </c>
      <c r="B2" s="2487"/>
      <c r="C2" s="2487"/>
      <c r="D2" s="2487"/>
      <c r="E2" s="2487"/>
      <c r="F2" s="2487"/>
      <c r="G2" s="94"/>
      <c r="H2" s="879"/>
    </row>
    <row r="3" spans="1:8" s="880" customFormat="1" ht="11.25">
      <c r="H3" s="879"/>
    </row>
    <row r="4" spans="1:8" s="880" customFormat="1" ht="11.25">
      <c r="A4" s="2376" t="s">
        <v>0</v>
      </c>
      <c r="B4" s="2479" t="s">
        <v>1989</v>
      </c>
      <c r="C4" s="2479"/>
      <c r="D4" s="2479"/>
      <c r="E4" s="2479"/>
      <c r="F4" s="2479"/>
      <c r="H4" s="879"/>
    </row>
    <row r="5" spans="1:8" s="881" customFormat="1" ht="12.75" customHeight="1">
      <c r="A5" s="2376"/>
      <c r="B5" s="2479" t="s">
        <v>26</v>
      </c>
      <c r="C5" s="2479" t="s">
        <v>1994</v>
      </c>
      <c r="D5" s="2479"/>
      <c r="E5" s="2479"/>
      <c r="F5" s="2479"/>
      <c r="H5" s="879"/>
    </row>
    <row r="6" spans="1:8" s="881" customFormat="1" ht="24.75" customHeight="1">
      <c r="A6" s="2376"/>
      <c r="B6" s="2479"/>
      <c r="C6" s="882" t="s">
        <v>1995</v>
      </c>
      <c r="D6" s="882" t="s">
        <v>1996</v>
      </c>
      <c r="E6" s="882" t="s">
        <v>1997</v>
      </c>
      <c r="F6" s="882" t="s">
        <v>1998</v>
      </c>
      <c r="H6" s="879"/>
    </row>
    <row r="7" spans="1:8" s="31" customFormat="1" ht="11.25">
      <c r="A7" s="883" t="s">
        <v>6</v>
      </c>
      <c r="B7" s="884">
        <f t="shared" ref="B7:B22" si="0">SUM(C7:F7)</f>
        <v>22015883</v>
      </c>
      <c r="C7" s="884">
        <f>SUM(C8:C22)</f>
        <v>10060311</v>
      </c>
      <c r="D7" s="884">
        <f>SUM(D8:D22)</f>
        <v>4748721</v>
      </c>
      <c r="E7" s="884">
        <f>SUM(E8:E22)</f>
        <v>277584</v>
      </c>
      <c r="F7" s="884">
        <f>SUM(F8:F22)</f>
        <v>6929267</v>
      </c>
      <c r="H7" s="885"/>
    </row>
    <row r="8" spans="1:8">
      <c r="A8" s="886" t="s">
        <v>7</v>
      </c>
      <c r="B8" s="884">
        <f t="shared" si="0"/>
        <v>139545</v>
      </c>
      <c r="C8" s="887">
        <v>74827</v>
      </c>
      <c r="D8" s="887">
        <v>26091</v>
      </c>
      <c r="E8" s="887">
        <v>0</v>
      </c>
      <c r="F8" s="887">
        <v>38627</v>
      </c>
    </row>
    <row r="9" spans="1:8">
      <c r="A9" s="886" t="s">
        <v>8</v>
      </c>
      <c r="B9" s="884">
        <f t="shared" si="0"/>
        <v>446532</v>
      </c>
      <c r="C9" s="887">
        <v>205037</v>
      </c>
      <c r="D9" s="887">
        <v>94142</v>
      </c>
      <c r="E9" s="887">
        <v>3915</v>
      </c>
      <c r="F9" s="887">
        <v>143438</v>
      </c>
    </row>
    <row r="10" spans="1:8">
      <c r="A10" s="886" t="s">
        <v>9</v>
      </c>
      <c r="B10" s="884">
        <f t="shared" si="0"/>
        <v>986739</v>
      </c>
      <c r="C10" s="887">
        <v>470194</v>
      </c>
      <c r="D10" s="887">
        <v>200776</v>
      </c>
      <c r="E10" s="887">
        <v>5457</v>
      </c>
      <c r="F10" s="887">
        <v>310312</v>
      </c>
    </row>
    <row r="11" spans="1:8">
      <c r="A11" s="886" t="s">
        <v>10</v>
      </c>
      <c r="B11" s="884">
        <f t="shared" si="0"/>
        <v>132187</v>
      </c>
      <c r="C11" s="887">
        <v>63827</v>
      </c>
      <c r="D11" s="887">
        <v>27263</v>
      </c>
      <c r="E11" s="887">
        <v>583</v>
      </c>
      <c r="F11" s="887">
        <v>40514</v>
      </c>
    </row>
    <row r="12" spans="1:8">
      <c r="A12" s="886" t="s">
        <v>11</v>
      </c>
      <c r="B12" s="884">
        <f t="shared" si="0"/>
        <v>698369</v>
      </c>
      <c r="C12" s="887">
        <v>323983</v>
      </c>
      <c r="D12" s="887">
        <v>124540</v>
      </c>
      <c r="E12" s="887">
        <v>1205</v>
      </c>
      <c r="F12" s="887">
        <v>248641</v>
      </c>
    </row>
    <row r="13" spans="1:8">
      <c r="A13" s="886" t="s">
        <v>12</v>
      </c>
      <c r="B13" s="884">
        <f t="shared" si="0"/>
        <v>1815565</v>
      </c>
      <c r="C13" s="887">
        <v>844142</v>
      </c>
      <c r="D13" s="887">
        <v>364864</v>
      </c>
      <c r="E13" s="887">
        <v>22126</v>
      </c>
      <c r="F13" s="887">
        <v>584433</v>
      </c>
    </row>
    <row r="14" spans="1:8">
      <c r="A14" s="886" t="s">
        <v>13</v>
      </c>
      <c r="B14" s="884">
        <f t="shared" si="0"/>
        <v>13085193</v>
      </c>
      <c r="C14" s="887">
        <f>5802589+6</f>
        <v>5802595</v>
      </c>
      <c r="D14" s="887">
        <v>3002265</v>
      </c>
      <c r="E14" s="887">
        <v>214152</v>
      </c>
      <c r="F14" s="887">
        <v>4066181</v>
      </c>
    </row>
    <row r="15" spans="1:8">
      <c r="A15" s="886" t="s">
        <v>14</v>
      </c>
      <c r="B15" s="884">
        <f t="shared" si="0"/>
        <v>573191</v>
      </c>
      <c r="C15" s="887">
        <v>288696</v>
      </c>
      <c r="D15" s="887">
        <v>104194</v>
      </c>
      <c r="E15" s="887">
        <v>2661</v>
      </c>
      <c r="F15" s="887">
        <v>177640</v>
      </c>
    </row>
    <row r="16" spans="1:8">
      <c r="A16" s="886" t="s">
        <v>15</v>
      </c>
      <c r="B16" s="884">
        <f t="shared" si="0"/>
        <v>426090</v>
      </c>
      <c r="C16" s="887">
        <v>201634</v>
      </c>
      <c r="D16" s="887">
        <v>72122</v>
      </c>
      <c r="E16" s="887">
        <v>1154</v>
      </c>
      <c r="F16" s="887">
        <v>151180</v>
      </c>
    </row>
    <row r="17" spans="1:15">
      <c r="A17" s="886" t="s">
        <v>16</v>
      </c>
      <c r="B17" s="884">
        <f t="shared" si="0"/>
        <v>2114706</v>
      </c>
      <c r="C17" s="887">
        <v>996910</v>
      </c>
      <c r="D17" s="887">
        <v>432930</v>
      </c>
      <c r="E17" s="887">
        <v>21198</v>
      </c>
      <c r="F17" s="887">
        <v>663668</v>
      </c>
    </row>
    <row r="18" spans="1:15">
      <c r="A18" s="886" t="s">
        <v>17</v>
      </c>
      <c r="B18" s="884">
        <f t="shared" si="0"/>
        <v>620964</v>
      </c>
      <c r="C18" s="887">
        <v>311679</v>
      </c>
      <c r="D18" s="887">
        <v>107704</v>
      </c>
      <c r="E18" s="887">
        <v>1517</v>
      </c>
      <c r="F18" s="887">
        <v>200064</v>
      </c>
    </row>
    <row r="19" spans="1:15">
      <c r="A19" s="886" t="s">
        <v>276</v>
      </c>
      <c r="B19" s="884">
        <f t="shared" si="0"/>
        <v>277309</v>
      </c>
      <c r="C19" s="887">
        <v>140678</v>
      </c>
      <c r="D19" s="887">
        <v>47050</v>
      </c>
      <c r="E19" s="887">
        <v>1157</v>
      </c>
      <c r="F19" s="887">
        <v>88424</v>
      </c>
    </row>
    <row r="20" spans="1:15">
      <c r="A20" s="886" t="s">
        <v>19</v>
      </c>
      <c r="B20" s="884">
        <f t="shared" si="0"/>
        <v>512642</v>
      </c>
      <c r="C20" s="887">
        <v>253974</v>
      </c>
      <c r="D20" s="887">
        <v>101046</v>
      </c>
      <c r="E20" s="887">
        <v>1680</v>
      </c>
      <c r="F20" s="887">
        <v>155942</v>
      </c>
    </row>
    <row r="21" spans="1:15" ht="12.75">
      <c r="A21" s="886" t="s">
        <v>3542</v>
      </c>
      <c r="B21" s="884">
        <f t="shared" si="0"/>
        <v>0</v>
      </c>
      <c r="C21" s="887">
        <v>0</v>
      </c>
      <c r="D21" s="887">
        <v>0</v>
      </c>
      <c r="E21" s="887">
        <v>0</v>
      </c>
      <c r="F21" s="887">
        <v>0</v>
      </c>
    </row>
    <row r="22" spans="1:15">
      <c r="A22" s="886" t="s">
        <v>21</v>
      </c>
      <c r="B22" s="884">
        <f t="shared" si="0"/>
        <v>186851</v>
      </c>
      <c r="C22" s="887">
        <v>82135</v>
      </c>
      <c r="D22" s="887">
        <v>43734</v>
      </c>
      <c r="E22" s="887">
        <v>779</v>
      </c>
      <c r="F22" s="887">
        <v>60203</v>
      </c>
    </row>
    <row r="23" spans="1:15" s="14" customFormat="1" ht="7.5" customHeight="1">
      <c r="A23" s="28"/>
      <c r="B23" s="28"/>
      <c r="C23" s="28"/>
      <c r="D23" s="28"/>
      <c r="E23" s="28"/>
      <c r="G23" s="33"/>
      <c r="H23" s="15"/>
    </row>
    <row r="24" spans="1:15" s="14" customFormat="1" ht="29.25" customHeight="1">
      <c r="A24" s="2477" t="s">
        <v>3543</v>
      </c>
      <c r="B24" s="2477"/>
      <c r="C24" s="2477"/>
      <c r="D24" s="2477"/>
      <c r="E24" s="2477"/>
      <c r="F24" s="2477"/>
      <c r="G24" s="15"/>
      <c r="H24" s="28"/>
      <c r="I24" s="28"/>
      <c r="J24" s="28"/>
      <c r="K24" s="28"/>
      <c r="L24" s="28"/>
      <c r="M24" s="28"/>
      <c r="N24" s="28"/>
      <c r="O24" s="28"/>
    </row>
    <row r="25" spans="1:15" s="14" customFormat="1" ht="24.75" customHeight="1">
      <c r="A25" s="2477" t="s">
        <v>3545</v>
      </c>
      <c r="B25" s="2477"/>
      <c r="C25" s="2477"/>
      <c r="D25" s="2477"/>
      <c r="E25" s="2477"/>
      <c r="F25" s="2477"/>
      <c r="G25" s="15"/>
      <c r="H25" s="28"/>
      <c r="I25" s="28"/>
      <c r="J25" s="28"/>
      <c r="K25" s="28"/>
      <c r="L25" s="28"/>
      <c r="M25" s="28"/>
      <c r="N25" s="28"/>
      <c r="O25" s="28"/>
    </row>
    <row r="26" spans="1:15" s="14" customFormat="1" ht="11.25">
      <c r="A26" s="863" t="s">
        <v>22</v>
      </c>
      <c r="B26" s="863"/>
      <c r="C26" s="863"/>
      <c r="D26" s="863"/>
      <c r="E26" s="863"/>
      <c r="F26" s="863"/>
      <c r="G26" s="864"/>
      <c r="H26" s="28"/>
      <c r="I26" s="28"/>
      <c r="J26" s="28"/>
      <c r="K26" s="28"/>
      <c r="L26" s="28"/>
      <c r="M26" s="28"/>
      <c r="N26" s="28"/>
      <c r="O26" s="28"/>
    </row>
    <row r="27" spans="1:15" s="14" customFormat="1" ht="11.25">
      <c r="A27" s="2460" t="s">
        <v>1973</v>
      </c>
      <c r="B27" s="2460"/>
      <c r="C27" s="2460"/>
      <c r="D27" s="2460"/>
      <c r="E27" s="2460"/>
      <c r="F27" s="2460"/>
      <c r="H27" s="15"/>
    </row>
    <row r="28" spans="1:15">
      <c r="A28" s="35"/>
      <c r="B28" s="878"/>
      <c r="C28" s="878"/>
      <c r="D28" s="878"/>
      <c r="E28" s="878"/>
      <c r="F28" s="878"/>
    </row>
  </sheetData>
  <mergeCells count="8">
    <mergeCell ref="A25:F25"/>
    <mergeCell ref="A27:F27"/>
    <mergeCell ref="A2:F2"/>
    <mergeCell ref="A4:A6"/>
    <mergeCell ref="B4:F4"/>
    <mergeCell ref="B5:B6"/>
    <mergeCell ref="C5:F5"/>
    <mergeCell ref="A24:F24"/>
  </mergeCells>
  <pageMargins left="0.7" right="0.7" top="0.75" bottom="0.75" header="0.3" footer="0.3"/>
  <pageSetup paperSize="14" scale="90" orientation="landscape" r:id="rId1"/>
</worksheet>
</file>

<file path=xl/worksheets/sheet224.xml><?xml version="1.0" encoding="utf-8"?>
<worksheet xmlns="http://schemas.openxmlformats.org/spreadsheetml/2006/main" xmlns:r="http://schemas.openxmlformats.org/officeDocument/2006/relationships">
  <dimension ref="A1:R28"/>
  <sheetViews>
    <sheetView zoomScaleNormal="100" zoomScaleSheetLayoutView="150" workbookViewId="0">
      <selection activeCell="B36" sqref="B36"/>
    </sheetView>
  </sheetViews>
  <sheetFormatPr baseColWidth="10" defaultRowHeight="11.25"/>
  <cols>
    <col min="1" max="1" width="21" style="35" customWidth="1"/>
    <col min="2" max="2" width="14.42578125" style="35" bestFit="1" customWidth="1"/>
    <col min="3" max="14" width="13.140625" style="35" bestFit="1" customWidth="1"/>
    <col min="15" max="15" width="6.28515625" style="35" customWidth="1"/>
    <col min="16" max="16384" width="11.42578125" style="35"/>
  </cols>
  <sheetData>
    <row r="1" spans="1:15" ht="12">
      <c r="A1" s="843"/>
    </row>
    <row r="2" spans="1:15" s="868" customFormat="1" ht="15" customHeight="1">
      <c r="A2" s="2487" t="s">
        <v>3263</v>
      </c>
      <c r="B2" s="2487"/>
      <c r="C2" s="2487"/>
      <c r="D2" s="2487"/>
      <c r="E2" s="2487"/>
      <c r="F2" s="2487"/>
      <c r="G2" s="2487"/>
      <c r="H2" s="2487"/>
      <c r="I2" s="2487"/>
      <c r="J2" s="2487"/>
      <c r="K2" s="2487"/>
      <c r="L2" s="2487"/>
      <c r="M2" s="2487"/>
      <c r="N2" s="2487"/>
    </row>
    <row r="3" spans="1:15" s="868" customFormat="1">
      <c r="A3" s="869"/>
      <c r="B3" s="869"/>
      <c r="C3" s="869"/>
      <c r="D3" s="869"/>
      <c r="E3" s="869"/>
      <c r="F3" s="869"/>
      <c r="G3" s="869"/>
      <c r="H3" s="869"/>
      <c r="I3" s="869"/>
      <c r="J3" s="869"/>
      <c r="K3" s="869"/>
      <c r="L3" s="869"/>
      <c r="M3" s="869"/>
      <c r="N3" s="869"/>
    </row>
    <row r="4" spans="1:15" s="870" customFormat="1">
      <c r="A4" s="2376" t="s">
        <v>0</v>
      </c>
      <c r="B4" s="2488" t="s">
        <v>26</v>
      </c>
      <c r="C4" s="2489" t="s">
        <v>1999</v>
      </c>
      <c r="D4" s="2489"/>
      <c r="E4" s="2489"/>
      <c r="F4" s="2489"/>
      <c r="G4" s="2489"/>
      <c r="H4" s="2489"/>
      <c r="I4" s="2489"/>
      <c r="J4" s="2489"/>
      <c r="K4" s="2489"/>
      <c r="L4" s="2489"/>
      <c r="M4" s="2489"/>
      <c r="N4" s="2489"/>
    </row>
    <row r="5" spans="1:15" s="870" customFormat="1" ht="19.5" customHeight="1">
      <c r="A5" s="2376"/>
      <c r="B5" s="2488"/>
      <c r="C5" s="871" t="s">
        <v>1135</v>
      </c>
      <c r="D5" s="871" t="s">
        <v>1136</v>
      </c>
      <c r="E5" s="871" t="s">
        <v>1137</v>
      </c>
      <c r="F5" s="871" t="s">
        <v>1138</v>
      </c>
      <c r="G5" s="871" t="s">
        <v>1139</v>
      </c>
      <c r="H5" s="871" t="s">
        <v>1140</v>
      </c>
      <c r="I5" s="871" t="s">
        <v>1141</v>
      </c>
      <c r="J5" s="871" t="s">
        <v>1142</v>
      </c>
      <c r="K5" s="871" t="s">
        <v>1143</v>
      </c>
      <c r="L5" s="871" t="s">
        <v>1144</v>
      </c>
      <c r="M5" s="871" t="s">
        <v>1145</v>
      </c>
      <c r="N5" s="871" t="s">
        <v>1146</v>
      </c>
    </row>
    <row r="6" spans="1:15">
      <c r="A6" s="16" t="s">
        <v>6</v>
      </c>
      <c r="B6" s="866">
        <f>SUM(B7:B21)</f>
        <v>22015883</v>
      </c>
      <c r="C6" s="866">
        <f t="shared" ref="C6:N6" si="0">SUM(C7:C21)</f>
        <v>2010237</v>
      </c>
      <c r="D6" s="866">
        <f t="shared" si="0"/>
        <v>1586319</v>
      </c>
      <c r="E6" s="866">
        <f t="shared" si="0"/>
        <v>1372413</v>
      </c>
      <c r="F6" s="866">
        <f t="shared" si="0"/>
        <v>1682902</v>
      </c>
      <c r="G6" s="866">
        <f t="shared" si="0"/>
        <v>1935718</v>
      </c>
      <c r="H6" s="866">
        <f t="shared" si="0"/>
        <v>1730897</v>
      </c>
      <c r="I6" s="866">
        <f t="shared" si="0"/>
        <v>3093780</v>
      </c>
      <c r="J6" s="866">
        <f t="shared" si="0"/>
        <v>1883884</v>
      </c>
      <c r="K6" s="866">
        <f t="shared" si="0"/>
        <v>1365598</v>
      </c>
      <c r="L6" s="866">
        <f t="shared" si="0"/>
        <v>2211705</v>
      </c>
      <c r="M6" s="866">
        <f t="shared" si="0"/>
        <v>1488410</v>
      </c>
      <c r="N6" s="866">
        <f t="shared" si="0"/>
        <v>1654020</v>
      </c>
      <c r="O6" s="34"/>
    </row>
    <row r="7" spans="1:15">
      <c r="A7" s="872" t="s">
        <v>7</v>
      </c>
      <c r="B7" s="873">
        <f t="shared" ref="B7:B21" si="1">SUM(C7:N7)</f>
        <v>139545</v>
      </c>
      <c r="C7" s="34">
        <v>9962</v>
      </c>
      <c r="D7" s="34">
        <v>5131</v>
      </c>
      <c r="E7" s="34">
        <v>6044</v>
      </c>
      <c r="F7" s="34">
        <v>9998</v>
      </c>
      <c r="G7" s="34">
        <v>14138</v>
      </c>
      <c r="H7" s="34">
        <v>11184</v>
      </c>
      <c r="I7" s="34">
        <v>20357</v>
      </c>
      <c r="J7" s="34">
        <v>12997</v>
      </c>
      <c r="K7" s="34">
        <v>8781</v>
      </c>
      <c r="L7" s="34">
        <f>14444+7319</f>
        <v>21763</v>
      </c>
      <c r="M7" s="34">
        <v>8527</v>
      </c>
      <c r="N7" s="34">
        <v>10663</v>
      </c>
      <c r="O7" s="33"/>
    </row>
    <row r="8" spans="1:15">
      <c r="A8" s="872" t="s">
        <v>8</v>
      </c>
      <c r="B8" s="873">
        <f t="shared" si="1"/>
        <v>446532</v>
      </c>
      <c r="C8" s="34">
        <v>40926</v>
      </c>
      <c r="D8" s="34">
        <v>32903</v>
      </c>
      <c r="E8" s="34">
        <v>30538</v>
      </c>
      <c r="F8" s="34">
        <v>26774</v>
      </c>
      <c r="G8" s="34">
        <v>39901</v>
      </c>
      <c r="H8" s="34">
        <v>34829</v>
      </c>
      <c r="I8" s="34">
        <v>50913</v>
      </c>
      <c r="J8" s="34">
        <v>42071</v>
      </c>
      <c r="K8" s="34">
        <v>31717</v>
      </c>
      <c r="L8" s="34">
        <v>52585</v>
      </c>
      <c r="M8" s="34">
        <v>29806</v>
      </c>
      <c r="N8" s="34">
        <v>33569</v>
      </c>
      <c r="O8" s="33"/>
    </row>
    <row r="9" spans="1:15">
      <c r="A9" s="872" t="s">
        <v>9</v>
      </c>
      <c r="B9" s="873">
        <f t="shared" si="1"/>
        <v>986745</v>
      </c>
      <c r="C9" s="34">
        <f>44696+24096+18637</f>
        <v>87429</v>
      </c>
      <c r="D9" s="34">
        <f>32019+16614+15892</f>
        <v>64525</v>
      </c>
      <c r="E9" s="34">
        <f>35056+14048+15110</f>
        <v>64214</v>
      </c>
      <c r="F9" s="34">
        <f>38727+22654+18531</f>
        <v>79912</v>
      </c>
      <c r="G9" s="34">
        <f>45244+22001+20638</f>
        <v>87883</v>
      </c>
      <c r="H9" s="34">
        <f>43304+20120+19857</f>
        <v>83281</v>
      </c>
      <c r="I9" s="34">
        <f>57868+32358+34057</f>
        <v>124283</v>
      </c>
      <c r="J9" s="34">
        <f>45747+24312+21768</f>
        <v>91827</v>
      </c>
      <c r="K9" s="34">
        <f>37453+17001+13304</f>
        <v>67758</v>
      </c>
      <c r="L9" s="34">
        <f>51889+24735+26710</f>
        <v>103334</v>
      </c>
      <c r="M9" s="34">
        <f>34376+15649+12557</f>
        <v>62582</v>
      </c>
      <c r="N9" s="34">
        <f>36833+17768+15116</f>
        <v>69717</v>
      </c>
      <c r="O9" s="33"/>
    </row>
    <row r="10" spans="1:15">
      <c r="A10" s="872" t="s">
        <v>10</v>
      </c>
      <c r="B10" s="873">
        <f t="shared" si="1"/>
        <v>132187</v>
      </c>
      <c r="C10" s="34">
        <v>9968</v>
      </c>
      <c r="D10" s="34">
        <v>6805</v>
      </c>
      <c r="E10" s="34">
        <v>9777</v>
      </c>
      <c r="F10" s="34">
        <v>12191</v>
      </c>
      <c r="G10" s="34">
        <v>14197</v>
      </c>
      <c r="H10" s="34">
        <v>11381</v>
      </c>
      <c r="I10" s="34">
        <v>19591</v>
      </c>
      <c r="J10" s="34">
        <v>9779</v>
      </c>
      <c r="K10" s="34">
        <v>6356</v>
      </c>
      <c r="L10" s="34">
        <v>17876</v>
      </c>
      <c r="M10" s="34">
        <v>6949</v>
      </c>
      <c r="N10" s="34">
        <v>7317</v>
      </c>
      <c r="O10" s="33"/>
    </row>
    <row r="11" spans="1:15">
      <c r="A11" s="872" t="s">
        <v>11</v>
      </c>
      <c r="B11" s="873">
        <f t="shared" si="1"/>
        <v>698369</v>
      </c>
      <c r="C11" s="34">
        <v>58995</v>
      </c>
      <c r="D11" s="34">
        <v>52262</v>
      </c>
      <c r="E11" s="34">
        <f>37639+8300</f>
        <v>45939</v>
      </c>
      <c r="F11" s="34">
        <f>42738+14506</f>
        <v>57244</v>
      </c>
      <c r="G11" s="34">
        <f>45791+14986</f>
        <v>60777</v>
      </c>
      <c r="H11" s="34">
        <f>40691+11554</f>
        <v>52245</v>
      </c>
      <c r="I11" s="34">
        <f>69086+16201</f>
        <v>85287</v>
      </c>
      <c r="J11" s="34">
        <f>46557+13604</f>
        <v>60161</v>
      </c>
      <c r="K11" s="34">
        <f>33513+9524</f>
        <v>43037</v>
      </c>
      <c r="L11" s="34">
        <f>57884+18824</f>
        <v>76708</v>
      </c>
      <c r="M11" s="34">
        <f>9828+39278</f>
        <v>49106</v>
      </c>
      <c r="N11" s="34">
        <f>45594+11014</f>
        <v>56608</v>
      </c>
      <c r="O11" s="33"/>
    </row>
    <row r="12" spans="1:15">
      <c r="A12" s="872" t="s">
        <v>12</v>
      </c>
      <c r="B12" s="873">
        <f t="shared" si="1"/>
        <v>1815565</v>
      </c>
      <c r="C12" s="34">
        <f>50515+55615+13048+30933+26593</f>
        <v>176704</v>
      </c>
      <c r="D12" s="34">
        <f>47978+45468+10230+22746+22657+2133</f>
        <v>151212</v>
      </c>
      <c r="E12" s="34">
        <f>33469+34097+19047+1918+8408+17038</f>
        <v>113977</v>
      </c>
      <c r="F12" s="34">
        <f>44604+36552+10590+3698+19657+24614</f>
        <v>139715</v>
      </c>
      <c r="G12" s="34">
        <f>46639+40530+12834+27606+22711+3879</f>
        <v>154199</v>
      </c>
      <c r="H12" s="34">
        <f>44472+36543+11173+3616+23410+19329</f>
        <v>138543</v>
      </c>
      <c r="I12" s="34">
        <f>82973+66327+25145+7125+38549+47319</f>
        <v>267438</v>
      </c>
      <c r="J12" s="34">
        <f>38301+48763+9650+26703+16404+2417</f>
        <v>142238</v>
      </c>
      <c r="K12" s="34">
        <f>38079+27365+6301+1342+15925+10687</f>
        <v>99699</v>
      </c>
      <c r="L12" s="34">
        <f>53353+55712+13813+34268+20044+5088</f>
        <v>182278</v>
      </c>
      <c r="M12" s="34">
        <f>42091+42276+6831+19093+1815</f>
        <v>112106</v>
      </c>
      <c r="N12" s="34">
        <f>46053+46157+7969+21885+12820+2572</f>
        <v>137456</v>
      </c>
      <c r="O12" s="33"/>
    </row>
    <row r="13" spans="1:15">
      <c r="A13" s="872" t="s">
        <v>13</v>
      </c>
      <c r="B13" s="873">
        <f t="shared" si="1"/>
        <v>13085187</v>
      </c>
      <c r="C13" s="34">
        <f>167389+109358+102322+74774+72867+75692+74577+72454+66565+60267+44311+46902+37119+38771+32700+24185+21893+21172+22932+16768+14999+12924+12618+38771</f>
        <v>1262330</v>
      </c>
      <c r="D13" s="34">
        <f>125419+90520+75994+62085+55956+58479+59396+65565+53963+44715+31560+32474+27311+25049+27166+24500+16144+16804+14336+12184+10254+9759+10428</f>
        <v>950061</v>
      </c>
      <c r="E13" s="34">
        <f>110995+77804+55398+64079+54512+46245+48411+50568+44015+42674+25878+26998+21910+23060+16781+19789+18717+16365+8521+16185+12054+9722+7701</f>
        <v>818382</v>
      </c>
      <c r="F13" s="34">
        <f>127980+90565+88763+62197+63471+60099+50175+53399+58140+53437+41011+30634+28224+21746+27553+23905+25501+16459+12332+12732+10905+10768+3102+36221</f>
        <v>1009319</v>
      </c>
      <c r="G13" s="34">
        <f>159707+106355+104184+72088+67337+58713+62536+67315+60019+60860+37224+46687+32749+34326+29779+28646+31255+19783+23286+17765+17032+16565+12468</f>
        <v>1166679</v>
      </c>
      <c r="H13" s="34">
        <f>129678+92808+82723+63932+67585+53678+56665+54107+54761+57695+34395+37977+30727+31703+28874+28632+24370+19944+18983+15550+14355+12116+12230</f>
        <v>1023488</v>
      </c>
      <c r="I13" s="34">
        <f>213535+133822+163840+119718+104049+96161+112408+102184+78176+94984+68421+83109+57575+61558+54764+50091+45729+26988+34886+25620+29667+25077+20521</f>
        <v>1802883</v>
      </c>
      <c r="J13" s="34">
        <f>136864+97445+92602+71948+68715+57440+67188+65010+60709+64489+36091+44265+32613+34675+30513+25399+29807+19021+16896+16415+13712+11521+11941</f>
        <v>1105279</v>
      </c>
      <c r="K13" s="34">
        <f>99889+76139+53598+56498+49329+52448+53995+50093+46725+38373+23342+26863+25013+25514+22851+15003+18176+14860+14887+10464+9186+6943+6173</f>
        <v>796362</v>
      </c>
      <c r="L13" s="34">
        <f>145749+96842+83903+92354+79605+79815+84228+74497+57570+70153+53710+42489+42424+44248+39166+35081+29584+19522+22335+18015+18774+17666+13153</f>
        <v>1260883</v>
      </c>
      <c r="M13" s="34">
        <f>119338+86618+73772+58145+67130+51047+50572+51354+53407+42533+31271+25919+28738+17760+25965+22073+22595+16863+16569+12234+8878+10127+8734+10801</f>
        <v>912443</v>
      </c>
      <c r="N13" s="34">
        <f>138460+90853+72688+73111+59772+57789+53328+54482+57484+44541+27881+32397+27955+32010+25033+18323+25672+20500+15577+10860+10355+9045+18962</f>
        <v>977078</v>
      </c>
      <c r="O13" s="33"/>
    </row>
    <row r="14" spans="1:15">
      <c r="A14" s="872" t="s">
        <v>14</v>
      </c>
      <c r="B14" s="873">
        <f t="shared" si="1"/>
        <v>573191</v>
      </c>
      <c r="C14" s="34">
        <v>38513</v>
      </c>
      <c r="D14" s="34">
        <f>27105+9502+1956</f>
        <v>38563</v>
      </c>
      <c r="E14" s="34">
        <f>14142+20025+1336</f>
        <v>35503</v>
      </c>
      <c r="F14" s="34">
        <f>21538+20973+2283</f>
        <v>44794</v>
      </c>
      <c r="G14" s="34">
        <f>24798+22806+2004</f>
        <v>49608</v>
      </c>
      <c r="H14" s="34">
        <f>23292+22493+2179</f>
        <v>47964</v>
      </c>
      <c r="I14" s="34">
        <f>44793+43745+4963+13475</f>
        <v>106976</v>
      </c>
      <c r="J14" s="34">
        <f>24400+19922+1771</f>
        <v>46093</v>
      </c>
      <c r="K14" s="34">
        <f>16865+13080+322</f>
        <v>30267</v>
      </c>
      <c r="L14" s="34">
        <f>30148+29271+952</f>
        <v>60371</v>
      </c>
      <c r="M14" s="34">
        <f>17233+16864</f>
        <v>34097</v>
      </c>
      <c r="N14" s="34">
        <f>20105+19639+698</f>
        <v>40442</v>
      </c>
      <c r="O14" s="33"/>
    </row>
    <row r="15" spans="1:15">
      <c r="A15" s="872" t="s">
        <v>15</v>
      </c>
      <c r="B15" s="873">
        <f t="shared" si="1"/>
        <v>426090</v>
      </c>
      <c r="C15" s="34">
        <f>32247+6744</f>
        <v>38991</v>
      </c>
      <c r="D15" s="34">
        <f>24639+4219</f>
        <v>28858</v>
      </c>
      <c r="E15" s="34">
        <f>3608+20018</f>
        <v>23626</v>
      </c>
      <c r="F15" s="34">
        <f>26547+5365</f>
        <v>31912</v>
      </c>
      <c r="G15" s="34">
        <f>32123+7447</f>
        <v>39570</v>
      </c>
      <c r="H15" s="34">
        <f>29847+6279</f>
        <v>36126</v>
      </c>
      <c r="I15" s="34">
        <f>62857</f>
        <v>62857</v>
      </c>
      <c r="J15" s="34">
        <f>31261+5475</f>
        <v>36736</v>
      </c>
      <c r="K15" s="34">
        <f>20520+3315</f>
        <v>23835</v>
      </c>
      <c r="L15" s="34">
        <f>23611+9114+12416</f>
        <v>45141</v>
      </c>
      <c r="M15" s="34">
        <f>22501+3543+455</f>
        <v>26499</v>
      </c>
      <c r="N15" s="34">
        <f>26946+4993</f>
        <v>31939</v>
      </c>
      <c r="O15" s="33"/>
    </row>
    <row r="16" spans="1:15">
      <c r="A16" s="872" t="s">
        <v>16</v>
      </c>
      <c r="B16" s="873">
        <f>SUM(C16:N16)</f>
        <v>2114706</v>
      </c>
      <c r="C16" s="34">
        <f>51210+58987+33719+28445+18923</f>
        <v>191284</v>
      </c>
      <c r="D16" s="34">
        <f>50387+29119+24839+12396+39014</f>
        <v>155755</v>
      </c>
      <c r="E16" s="34">
        <f>36528+42081+26549+18005+9752</f>
        <v>132915</v>
      </c>
      <c r="F16" s="34">
        <f>50568+41834+27421+22179+13756+6213</f>
        <v>161971</v>
      </c>
      <c r="G16" s="34">
        <f>53948+31944+48672+25722+16284</f>
        <v>176570</v>
      </c>
      <c r="H16" s="34">
        <f>43308+50081+33111+23648+16895</f>
        <v>167043</v>
      </c>
      <c r="I16" s="34">
        <f>97968+81212+52098+52648+33193</f>
        <v>317119</v>
      </c>
      <c r="J16" s="34">
        <f>55723+49619+41575+27646+12642</f>
        <v>187205</v>
      </c>
      <c r="K16" s="34">
        <f>48080+38688+34381+19886</f>
        <v>141035</v>
      </c>
      <c r="L16" s="34">
        <f>63571+67669+45302+30091</f>
        <v>206633</v>
      </c>
      <c r="M16" s="34">
        <f>41301+43697+27552+17859</f>
        <v>130409</v>
      </c>
      <c r="N16" s="34">
        <f>45999+50036+30400+20332</f>
        <v>146767</v>
      </c>
      <c r="O16" s="33"/>
    </row>
    <row r="17" spans="1:18">
      <c r="A17" s="872" t="s">
        <v>17</v>
      </c>
      <c r="B17" s="873">
        <f t="shared" si="1"/>
        <v>620964</v>
      </c>
      <c r="C17" s="34">
        <f>16000+35007+1510</f>
        <v>52517</v>
      </c>
      <c r="D17" s="34">
        <f>27917+13012</f>
        <v>40929</v>
      </c>
      <c r="E17" s="34">
        <f>10156+25996</f>
        <v>36152</v>
      </c>
      <c r="F17" s="34">
        <f>31687+6676</f>
        <v>38363</v>
      </c>
      <c r="G17" s="34">
        <f>37699+16637</f>
        <v>54336</v>
      </c>
      <c r="H17" s="34">
        <f>37076+13823</f>
        <v>50899</v>
      </c>
      <c r="I17" s="34">
        <f>33129+66399</f>
        <v>99528</v>
      </c>
      <c r="J17" s="34">
        <f>38753+18074</f>
        <v>56827</v>
      </c>
      <c r="K17" s="34">
        <f>29087+11020</f>
        <v>40107</v>
      </c>
      <c r="L17" s="34">
        <f>42192+19313</f>
        <v>61505</v>
      </c>
      <c r="M17" s="34">
        <f>28781+10979</f>
        <v>39760</v>
      </c>
      <c r="N17" s="34">
        <f>35918+14123</f>
        <v>50041</v>
      </c>
      <c r="O17" s="33"/>
    </row>
    <row r="18" spans="1:18">
      <c r="A18" s="872" t="s">
        <v>18</v>
      </c>
      <c r="B18" s="873">
        <f>SUM(C18:N18)</f>
        <v>277309</v>
      </c>
      <c r="C18" s="34">
        <v>21912</v>
      </c>
      <c r="D18" s="34">
        <v>17375</v>
      </c>
      <c r="E18" s="34">
        <v>17110</v>
      </c>
      <c r="F18" s="34">
        <v>22280</v>
      </c>
      <c r="G18" s="34">
        <v>24266</v>
      </c>
      <c r="H18" s="34">
        <f>24106</f>
        <v>24106</v>
      </c>
      <c r="I18" s="34">
        <v>40874</v>
      </c>
      <c r="J18" s="34">
        <v>24573</v>
      </c>
      <c r="K18" s="34">
        <v>18920</v>
      </c>
      <c r="L18" s="34">
        <v>25375</v>
      </c>
      <c r="M18" s="34">
        <v>18033</v>
      </c>
      <c r="N18" s="34">
        <v>22485</v>
      </c>
      <c r="O18" s="33"/>
    </row>
    <row r="19" spans="1:18">
      <c r="A19" s="872" t="s">
        <v>19</v>
      </c>
      <c r="B19" s="873">
        <f t="shared" si="1"/>
        <v>512642</v>
      </c>
      <c r="C19" s="34">
        <f>3633</f>
        <v>3633</v>
      </c>
      <c r="D19" s="34">
        <f>2376+27095</f>
        <v>29471</v>
      </c>
      <c r="E19" s="34">
        <f>2046+23180</f>
        <v>25226</v>
      </c>
      <c r="F19" s="34">
        <f>3915+29019</f>
        <v>32934</v>
      </c>
      <c r="G19" s="34">
        <f>5548+33295</f>
        <v>38843</v>
      </c>
      <c r="H19" s="34">
        <f>4139+30605</f>
        <v>34744</v>
      </c>
      <c r="I19" s="34">
        <f>9075+62947</f>
        <v>72022</v>
      </c>
      <c r="J19" s="34">
        <f>34118+8874+8793</f>
        <v>51785</v>
      </c>
      <c r="K19" s="34">
        <f>24109+2430+19420</f>
        <v>45959</v>
      </c>
      <c r="L19" s="34">
        <f>25670+28208+16923+4873</f>
        <v>75674</v>
      </c>
      <c r="M19" s="34">
        <f>25448+18542+1737</f>
        <v>45727</v>
      </c>
      <c r="N19" s="34">
        <f>34096+18903+3625</f>
        <v>56624</v>
      </c>
      <c r="O19" s="33"/>
    </row>
    <row r="20" spans="1:18" ht="12.75">
      <c r="A20" s="872" t="s">
        <v>3542</v>
      </c>
      <c r="B20" s="873">
        <f t="shared" si="1"/>
        <v>0</v>
      </c>
      <c r="C20" s="34">
        <v>0</v>
      </c>
      <c r="D20" s="874">
        <v>0</v>
      </c>
      <c r="E20" s="874">
        <v>0</v>
      </c>
      <c r="F20" s="874">
        <v>0</v>
      </c>
      <c r="G20" s="874">
        <v>0</v>
      </c>
      <c r="H20" s="874">
        <v>0</v>
      </c>
      <c r="I20" s="874">
        <v>0</v>
      </c>
      <c r="J20" s="874">
        <v>0</v>
      </c>
      <c r="K20" s="874">
        <v>0</v>
      </c>
      <c r="L20" s="874">
        <v>0</v>
      </c>
      <c r="M20" s="874">
        <v>0</v>
      </c>
      <c r="N20" s="874">
        <v>0</v>
      </c>
      <c r="O20" s="33"/>
    </row>
    <row r="21" spans="1:18">
      <c r="A21" s="872" t="s">
        <v>21</v>
      </c>
      <c r="B21" s="873">
        <f t="shared" si="1"/>
        <v>186851</v>
      </c>
      <c r="C21" s="34">
        <f>6618+10455</f>
        <v>17073</v>
      </c>
      <c r="D21" s="34">
        <f>5347+7122</f>
        <v>12469</v>
      </c>
      <c r="E21" s="34">
        <f>7719+5291</f>
        <v>13010</v>
      </c>
      <c r="F21" s="34">
        <f>6674+8821</f>
        <v>15495</v>
      </c>
      <c r="G21" s="34">
        <f>8284+6467</f>
        <v>14751</v>
      </c>
      <c r="H21" s="34">
        <f>6559+8505</f>
        <v>15064</v>
      </c>
      <c r="I21" s="34">
        <f>9261+14391</f>
        <v>23652</v>
      </c>
      <c r="J21" s="34">
        <f>6905+9408</f>
        <v>16313</v>
      </c>
      <c r="K21" s="34">
        <f>5371+6394</f>
        <v>11765</v>
      </c>
      <c r="L21" s="34">
        <f>11884+9695</f>
        <v>21579</v>
      </c>
      <c r="M21" s="34">
        <f>7188+5178</f>
        <v>12366</v>
      </c>
      <c r="N21" s="34">
        <f>6908+6406</f>
        <v>13314</v>
      </c>
      <c r="O21" s="33"/>
    </row>
    <row r="22" spans="1:18" ht="7.5" customHeight="1">
      <c r="A22" s="875"/>
      <c r="B22" s="873"/>
      <c r="C22" s="33"/>
      <c r="D22" s="33"/>
      <c r="E22" s="33"/>
      <c r="F22" s="33"/>
      <c r="G22" s="33"/>
      <c r="H22" s="33"/>
      <c r="I22" s="33"/>
      <c r="J22" s="33"/>
      <c r="K22" s="33"/>
      <c r="L22" s="33"/>
      <c r="M22" s="33"/>
      <c r="N22" s="33"/>
      <c r="O22" s="33"/>
    </row>
    <row r="23" spans="1:18" s="14" customFormat="1" ht="11.25" customHeight="1">
      <c r="A23" s="2460" t="s">
        <v>3543</v>
      </c>
      <c r="B23" s="2460"/>
      <c r="C23" s="2460"/>
      <c r="D23" s="2460"/>
      <c r="E23" s="2460"/>
      <c r="F23" s="2460"/>
      <c r="G23" s="2460"/>
      <c r="H23" s="2460"/>
      <c r="I23" s="2460"/>
      <c r="J23" s="2460"/>
      <c r="K23" s="2460"/>
      <c r="L23" s="876"/>
      <c r="M23" s="876"/>
      <c r="N23" s="876"/>
      <c r="O23" s="30"/>
    </row>
    <row r="24" spans="1:18" s="14" customFormat="1" ht="11.25" customHeight="1">
      <c r="A24" s="2303" t="s">
        <v>3544</v>
      </c>
      <c r="B24" s="2303"/>
      <c r="C24" s="2303"/>
      <c r="D24" s="2303"/>
      <c r="E24" s="2303"/>
      <c r="F24" s="2303"/>
      <c r="G24" s="2303"/>
      <c r="H24" s="2303"/>
      <c r="I24" s="2303"/>
      <c r="J24" s="2303"/>
      <c r="K24" s="2303"/>
      <c r="L24" s="2303"/>
      <c r="M24" s="2303"/>
      <c r="N24" s="876"/>
      <c r="O24" s="30"/>
    </row>
    <row r="25" spans="1:18" s="14" customFormat="1" ht="11.25" customHeight="1">
      <c r="A25" s="877" t="s">
        <v>22</v>
      </c>
      <c r="B25" s="877"/>
      <c r="C25" s="877"/>
      <c r="D25" s="877"/>
      <c r="E25" s="877"/>
      <c r="F25" s="877"/>
      <c r="G25" s="877"/>
      <c r="H25" s="877"/>
      <c r="J25" s="865"/>
      <c r="K25" s="15"/>
      <c r="L25" s="28"/>
      <c r="M25" s="28"/>
      <c r="N25" s="28"/>
      <c r="O25" s="28"/>
      <c r="P25" s="28"/>
      <c r="Q25" s="28"/>
      <c r="R25" s="28"/>
    </row>
    <row r="26" spans="1:18" ht="11.25" customHeight="1">
      <c r="A26" s="2460" t="s">
        <v>1973</v>
      </c>
      <c r="B26" s="2460"/>
      <c r="C26" s="2460"/>
      <c r="D26" s="2460"/>
      <c r="E26" s="2460"/>
      <c r="F26" s="2460"/>
      <c r="G26" s="2460"/>
      <c r="H26" s="2460"/>
      <c r="I26" s="850"/>
      <c r="J26" s="850"/>
      <c r="K26" s="850"/>
      <c r="L26" s="850"/>
      <c r="M26" s="850"/>
      <c r="N26" s="850"/>
    </row>
    <row r="27" spans="1:18">
      <c r="B27" s="878"/>
      <c r="C27" s="33"/>
    </row>
    <row r="28" spans="1:18" ht="12">
      <c r="A28" s="16"/>
      <c r="B28" s="866"/>
      <c r="C28" s="867"/>
    </row>
  </sheetData>
  <mergeCells count="7">
    <mergeCell ref="A26:H26"/>
    <mergeCell ref="A2:N2"/>
    <mergeCell ref="A4:A5"/>
    <mergeCell ref="B4:B5"/>
    <mergeCell ref="C4:N4"/>
    <mergeCell ref="A23:K23"/>
    <mergeCell ref="A24:M24"/>
  </mergeCells>
  <pageMargins left="0.7" right="0.7" top="0.75" bottom="0.75" header="0.3" footer="0.3"/>
  <pageSetup paperSize="14" scale="79" orientation="landscape" r:id="rId1"/>
</worksheet>
</file>

<file path=xl/worksheets/sheet225.xml><?xml version="1.0" encoding="utf-8"?>
<worksheet xmlns="http://schemas.openxmlformats.org/spreadsheetml/2006/main" xmlns:r="http://schemas.openxmlformats.org/officeDocument/2006/relationships">
  <dimension ref="A1:R28"/>
  <sheetViews>
    <sheetView zoomScaleNormal="100" workbookViewId="0">
      <selection activeCell="B39" sqref="B39"/>
    </sheetView>
  </sheetViews>
  <sheetFormatPr baseColWidth="10" defaultRowHeight="12"/>
  <cols>
    <col min="1" max="1" width="19.28515625" style="100" customWidth="1"/>
    <col min="2" max="2" width="14.42578125" style="100" bestFit="1" customWidth="1"/>
    <col min="3" max="4" width="13.140625" style="100" bestFit="1" customWidth="1"/>
    <col min="5" max="5" width="11.28515625" style="100" bestFit="1" customWidth="1"/>
    <col min="6" max="7" width="13.140625" style="100" bestFit="1" customWidth="1"/>
    <col min="8" max="8" width="11.28515625" style="100" bestFit="1" customWidth="1"/>
    <col min="9" max="9" width="13.140625" style="100" bestFit="1" customWidth="1"/>
    <col min="10" max="10" width="12.42578125" style="100" bestFit="1" customWidth="1"/>
    <col min="11" max="11" width="11.28515625" style="100" bestFit="1" customWidth="1"/>
    <col min="12" max="12" width="11.85546875" style="100" bestFit="1" customWidth="1"/>
    <col min="13" max="13" width="5.140625" style="100" customWidth="1"/>
    <col min="14" max="16384" width="11.42578125" style="100"/>
  </cols>
  <sheetData>
    <row r="1" spans="1:13">
      <c r="A1" s="843"/>
    </row>
    <row r="2" spans="1:13" s="98" customFormat="1" ht="11.25">
      <c r="A2" s="2462" t="s">
        <v>2000</v>
      </c>
      <c r="B2" s="2462"/>
      <c r="C2" s="2462"/>
      <c r="D2" s="2462"/>
      <c r="E2" s="2462"/>
      <c r="F2" s="2462"/>
      <c r="G2" s="2462"/>
      <c r="H2" s="2462"/>
      <c r="I2" s="2462"/>
      <c r="J2" s="2462"/>
      <c r="K2" s="2462"/>
      <c r="L2" s="2462"/>
    </row>
    <row r="3" spans="1:13" s="98" customFormat="1" ht="11.25"/>
    <row r="4" spans="1:13" s="98" customFormat="1" ht="12.75" customHeight="1">
      <c r="A4" s="2458" t="s">
        <v>0</v>
      </c>
      <c r="B4" s="2490" t="s">
        <v>3540</v>
      </c>
      <c r="C4" s="2491"/>
      <c r="D4" s="2491"/>
      <c r="E4" s="2491"/>
      <c r="F4" s="2491"/>
      <c r="G4" s="2491"/>
      <c r="H4" s="2491"/>
      <c r="I4" s="2491"/>
      <c r="J4" s="2491"/>
      <c r="K4" s="2491"/>
      <c r="L4" s="2492"/>
    </row>
    <row r="5" spans="1:13" s="98" customFormat="1" ht="22.5">
      <c r="A5" s="2458"/>
      <c r="B5" s="853" t="s">
        <v>26</v>
      </c>
      <c r="C5" s="854" t="s">
        <v>2001</v>
      </c>
      <c r="D5" s="854" t="s">
        <v>2002</v>
      </c>
      <c r="E5" s="854" t="s">
        <v>2003</v>
      </c>
      <c r="F5" s="854" t="s">
        <v>2004</v>
      </c>
      <c r="G5" s="855" t="s">
        <v>3190</v>
      </c>
      <c r="H5" s="854" t="s">
        <v>2005</v>
      </c>
      <c r="I5" s="854" t="s">
        <v>1435</v>
      </c>
      <c r="J5" s="854" t="s">
        <v>1924</v>
      </c>
      <c r="K5" s="854" t="s">
        <v>3191</v>
      </c>
      <c r="L5" s="854" t="s">
        <v>2006</v>
      </c>
      <c r="M5" s="856"/>
    </row>
    <row r="6" spans="1:13" s="97" customFormat="1" ht="11.25">
      <c r="A6" s="16" t="s">
        <v>6</v>
      </c>
      <c r="B6" s="857">
        <f t="shared" ref="B6:B22" si="0">SUM(C6:L6)</f>
        <v>22015883</v>
      </c>
      <c r="C6" s="857">
        <f t="shared" ref="C6:L6" si="1">SUM(C8:C22)</f>
        <v>1931304</v>
      </c>
      <c r="D6" s="857">
        <f t="shared" si="1"/>
        <v>2915458</v>
      </c>
      <c r="E6" s="857">
        <f t="shared" si="1"/>
        <v>301978</v>
      </c>
      <c r="F6" s="857">
        <f t="shared" si="1"/>
        <v>8630310</v>
      </c>
      <c r="G6" s="857">
        <f t="shared" si="1"/>
        <v>2113131</v>
      </c>
      <c r="H6" s="857">
        <f t="shared" si="1"/>
        <v>107481</v>
      </c>
      <c r="I6" s="857">
        <f t="shared" si="1"/>
        <v>5109039</v>
      </c>
      <c r="J6" s="857">
        <f t="shared" si="1"/>
        <v>108105</v>
      </c>
      <c r="K6" s="857">
        <f t="shared" si="1"/>
        <v>20567</v>
      </c>
      <c r="L6" s="857">
        <f t="shared" si="1"/>
        <v>778510</v>
      </c>
    </row>
    <row r="7" spans="1:13" s="97" customFormat="1" ht="11.25">
      <c r="A7" s="16"/>
      <c r="B7" s="857"/>
      <c r="C7" s="858">
        <f>C6/$B$6</f>
        <v>8.772321328197466E-2</v>
      </c>
      <c r="D7" s="858">
        <f t="shared" ref="D7:L7" si="2">D6/$B$6</f>
        <v>0.13242521319721767</v>
      </c>
      <c r="E7" s="858">
        <f t="shared" si="2"/>
        <v>1.3716370131509148E-2</v>
      </c>
      <c r="F7" s="858">
        <f t="shared" si="2"/>
        <v>0.3920038092498947</v>
      </c>
      <c r="G7" s="858">
        <f t="shared" si="2"/>
        <v>9.598211436715938E-2</v>
      </c>
      <c r="H7" s="858">
        <f t="shared" si="2"/>
        <v>4.8819754356434399E-3</v>
      </c>
      <c r="I7" s="858">
        <f t="shared" si="2"/>
        <v>0.23206150759431271</v>
      </c>
      <c r="J7" s="858">
        <f t="shared" si="2"/>
        <v>4.9103186095238605E-3</v>
      </c>
      <c r="K7" s="858">
        <f t="shared" si="2"/>
        <v>9.3418919422854859E-4</v>
      </c>
      <c r="L7" s="858">
        <f t="shared" si="2"/>
        <v>3.5361288938535872E-2</v>
      </c>
    </row>
    <row r="8" spans="1:13" s="98" customFormat="1" ht="11.25">
      <c r="A8" s="859" t="s">
        <v>7</v>
      </c>
      <c r="B8" s="857">
        <f t="shared" si="0"/>
        <v>139545</v>
      </c>
      <c r="C8" s="860">
        <v>5879</v>
      </c>
      <c r="D8" s="860">
        <v>11677</v>
      </c>
      <c r="E8" s="860">
        <v>0</v>
      </c>
      <c r="F8" s="860">
        <v>62850</v>
      </c>
      <c r="G8" s="860">
        <f>5185+13386</f>
        <v>18571</v>
      </c>
      <c r="H8" s="860">
        <f>502+1251+85</f>
        <v>1838</v>
      </c>
      <c r="I8" s="860">
        <v>31648</v>
      </c>
      <c r="J8" s="860">
        <v>628</v>
      </c>
      <c r="K8" s="860">
        <v>0</v>
      </c>
      <c r="L8" s="860">
        <v>6454</v>
      </c>
      <c r="M8" s="861"/>
    </row>
    <row r="9" spans="1:13" s="98" customFormat="1" ht="11.25">
      <c r="A9" s="859" t="s">
        <v>8</v>
      </c>
      <c r="B9" s="857">
        <f>SUM(C9:L9)</f>
        <v>446532</v>
      </c>
      <c r="C9" s="860">
        <v>33309</v>
      </c>
      <c r="D9" s="860">
        <v>46473</v>
      </c>
      <c r="E9" s="860">
        <v>7721</v>
      </c>
      <c r="F9" s="860">
        <v>179299</v>
      </c>
      <c r="G9" s="860">
        <f>15394+31797</f>
        <v>47191</v>
      </c>
      <c r="H9" s="860">
        <f>2036+113+345</f>
        <v>2494</v>
      </c>
      <c r="I9" s="860">
        <v>110839</v>
      </c>
      <c r="J9" s="860">
        <v>2797</v>
      </c>
      <c r="K9" s="860">
        <f>235+663</f>
        <v>898</v>
      </c>
      <c r="L9" s="860">
        <v>15511</v>
      </c>
      <c r="M9" s="861"/>
    </row>
    <row r="10" spans="1:13" s="98" customFormat="1" ht="11.25">
      <c r="A10" s="859" t="s">
        <v>9</v>
      </c>
      <c r="B10" s="857">
        <f t="shared" si="0"/>
        <v>986745</v>
      </c>
      <c r="C10" s="860">
        <f>59279+1449+30</f>
        <v>60758</v>
      </c>
      <c r="D10" s="860">
        <v>108526</v>
      </c>
      <c r="E10" s="860">
        <f>5739+1126</f>
        <v>6865</v>
      </c>
      <c r="F10" s="860">
        <v>433921</v>
      </c>
      <c r="G10" s="860">
        <f>30613+76108</f>
        <v>106721</v>
      </c>
      <c r="H10" s="860">
        <f>3270+104</f>
        <v>3374</v>
      </c>
      <c r="I10" s="860">
        <v>230404</v>
      </c>
      <c r="J10" s="860">
        <v>6388</v>
      </c>
      <c r="K10" s="860">
        <v>0</v>
      </c>
      <c r="L10" s="860">
        <v>29788</v>
      </c>
      <c r="M10" s="861"/>
    </row>
    <row r="11" spans="1:13" s="98" customFormat="1" ht="11.25">
      <c r="A11" s="859" t="s">
        <v>10</v>
      </c>
      <c r="B11" s="857">
        <f t="shared" si="0"/>
        <v>132187</v>
      </c>
      <c r="C11" s="860">
        <f>6742+6742</f>
        <v>13484</v>
      </c>
      <c r="D11" s="860">
        <v>15389</v>
      </c>
      <c r="E11" s="860">
        <v>0</v>
      </c>
      <c r="F11" s="860">
        <v>52352</v>
      </c>
      <c r="G11" s="860">
        <f>13373+3015</f>
        <v>16388</v>
      </c>
      <c r="H11" s="860">
        <v>0</v>
      </c>
      <c r="I11" s="860">
        <v>30002</v>
      </c>
      <c r="J11" s="860">
        <v>0</v>
      </c>
      <c r="K11" s="860">
        <v>0</v>
      </c>
      <c r="L11" s="860">
        <v>4572</v>
      </c>
      <c r="M11" s="861"/>
    </row>
    <row r="12" spans="1:13" s="98" customFormat="1" ht="11.25">
      <c r="A12" s="859" t="s">
        <v>11</v>
      </c>
      <c r="B12" s="857">
        <f>SUM(C12:L12)</f>
        <v>698369</v>
      </c>
      <c r="C12" s="860">
        <f>857+55397</f>
        <v>56254</v>
      </c>
      <c r="D12" s="860">
        <v>81598</v>
      </c>
      <c r="E12" s="860">
        <f>5707+930</f>
        <v>6637</v>
      </c>
      <c r="F12" s="860">
        <v>267299</v>
      </c>
      <c r="G12" s="860">
        <f>18129+41071</f>
        <v>59200</v>
      </c>
      <c r="H12" s="860">
        <f>3449+12+43+588</f>
        <v>4092</v>
      </c>
      <c r="I12" s="860">
        <v>188536</v>
      </c>
      <c r="J12" s="860">
        <v>5408</v>
      </c>
      <c r="K12" s="860">
        <v>0</v>
      </c>
      <c r="L12" s="860">
        <v>29345</v>
      </c>
      <c r="M12" s="861"/>
    </row>
    <row r="13" spans="1:13" s="98" customFormat="1" ht="11.25">
      <c r="A13" s="859" t="s">
        <v>12</v>
      </c>
      <c r="B13" s="857">
        <f t="shared" si="0"/>
        <v>1815565</v>
      </c>
      <c r="C13" s="860">
        <f>137008+1472</f>
        <v>138480</v>
      </c>
      <c r="D13" s="860">
        <v>260977</v>
      </c>
      <c r="E13" s="860">
        <v>17152</v>
      </c>
      <c r="F13" s="860">
        <v>722847</v>
      </c>
      <c r="G13" s="860">
        <f>45532+129536</f>
        <v>175068</v>
      </c>
      <c r="H13" s="860">
        <f>17+31+5069+1685</f>
        <v>6802</v>
      </c>
      <c r="I13" s="860">
        <v>423806</v>
      </c>
      <c r="J13" s="860">
        <f>16+172</f>
        <v>188</v>
      </c>
      <c r="K13" s="860">
        <v>1365</v>
      </c>
      <c r="L13" s="860">
        <v>68880</v>
      </c>
      <c r="M13" s="861"/>
    </row>
    <row r="14" spans="1:13" s="98" customFormat="1" ht="11.25">
      <c r="A14" s="859" t="s">
        <v>13</v>
      </c>
      <c r="B14" s="857">
        <f t="shared" si="0"/>
        <v>13085187</v>
      </c>
      <c r="C14" s="860">
        <f>20848+1277965</f>
        <v>1298813</v>
      </c>
      <c r="D14" s="860">
        <v>1812594</v>
      </c>
      <c r="E14" s="860">
        <v>191493</v>
      </c>
      <c r="F14" s="860">
        <f>80050+4918926</f>
        <v>4998976</v>
      </c>
      <c r="G14" s="860">
        <f>359443+881506</f>
        <v>1240949</v>
      </c>
      <c r="H14" s="860">
        <f>33882+213+224+13395+9758+13484</f>
        <v>70956</v>
      </c>
      <c r="I14" s="860">
        <v>2942193</v>
      </c>
      <c r="J14" s="860">
        <v>67609</v>
      </c>
      <c r="K14" s="860">
        <v>17880</v>
      </c>
      <c r="L14" s="860">
        <v>443724</v>
      </c>
      <c r="M14" s="861"/>
    </row>
    <row r="15" spans="1:13" s="98" customFormat="1" ht="11.25">
      <c r="A15" s="859" t="s">
        <v>14</v>
      </c>
      <c r="B15" s="857">
        <f t="shared" si="0"/>
        <v>573191</v>
      </c>
      <c r="C15" s="860">
        <f>36609+1063</f>
        <v>37672</v>
      </c>
      <c r="D15" s="860">
        <v>59601</v>
      </c>
      <c r="E15" s="860">
        <f>3940+32225</f>
        <v>36165</v>
      </c>
      <c r="F15" s="860">
        <v>220922</v>
      </c>
      <c r="G15" s="860">
        <f>39198+12379</f>
        <v>51577</v>
      </c>
      <c r="H15" s="860">
        <f>30+2669</f>
        <v>2699</v>
      </c>
      <c r="I15" s="860">
        <v>142311</v>
      </c>
      <c r="J15" s="860">
        <v>3470</v>
      </c>
      <c r="K15" s="860">
        <v>424</v>
      </c>
      <c r="L15" s="860">
        <v>18350</v>
      </c>
      <c r="M15" s="861"/>
    </row>
    <row r="16" spans="1:13" s="98" customFormat="1" ht="11.25">
      <c r="A16" s="859" t="s">
        <v>15</v>
      </c>
      <c r="B16" s="857">
        <f t="shared" si="0"/>
        <v>426090</v>
      </c>
      <c r="C16" s="860">
        <f>128+23595</f>
        <v>23723</v>
      </c>
      <c r="D16" s="860">
        <v>52204</v>
      </c>
      <c r="E16" s="860">
        <v>420</v>
      </c>
      <c r="F16" s="860">
        <v>187510</v>
      </c>
      <c r="G16" s="860">
        <f>239+27246</f>
        <v>27485</v>
      </c>
      <c r="H16" s="860">
        <f>1756+443+608</f>
        <v>2807</v>
      </c>
      <c r="I16" s="860">
        <v>112397</v>
      </c>
      <c r="J16" s="860">
        <v>2554</v>
      </c>
      <c r="K16" s="860">
        <v>0</v>
      </c>
      <c r="L16" s="860">
        <v>16990</v>
      </c>
      <c r="M16" s="861"/>
    </row>
    <row r="17" spans="1:18" s="98" customFormat="1" ht="11.25">
      <c r="A17" s="859" t="s">
        <v>16</v>
      </c>
      <c r="B17" s="857">
        <f t="shared" si="0"/>
        <v>2114706</v>
      </c>
      <c r="C17" s="860">
        <f>2222+158005+2957</f>
        <v>163184</v>
      </c>
      <c r="D17" s="860">
        <v>277540</v>
      </c>
      <c r="E17" s="860">
        <v>20652</v>
      </c>
      <c r="F17" s="860">
        <f>860974+10186</f>
        <v>871160</v>
      </c>
      <c r="G17" s="860">
        <f>143614+53427</f>
        <v>197041</v>
      </c>
      <c r="H17" s="860">
        <f>988+1536+16+22+5300</f>
        <v>7862</v>
      </c>
      <c r="I17" s="860">
        <v>493348</v>
      </c>
      <c r="J17" s="860">
        <v>11194</v>
      </c>
      <c r="K17" s="860">
        <v>0</v>
      </c>
      <c r="L17" s="860">
        <v>72725</v>
      </c>
      <c r="M17" s="861"/>
    </row>
    <row r="18" spans="1:18" s="98" customFormat="1" ht="11.25">
      <c r="A18" s="859" t="s">
        <v>17</v>
      </c>
      <c r="B18" s="857">
        <f t="shared" si="0"/>
        <v>620964</v>
      </c>
      <c r="C18" s="860">
        <f>50+32976</f>
        <v>33026</v>
      </c>
      <c r="D18" s="860">
        <v>73230</v>
      </c>
      <c r="E18" s="860">
        <v>4903</v>
      </c>
      <c r="F18" s="860">
        <v>269516</v>
      </c>
      <c r="G18" s="860">
        <f>41865+15215</f>
        <v>57080</v>
      </c>
      <c r="H18" s="860">
        <f>79+853</f>
        <v>932</v>
      </c>
      <c r="I18" s="860">
        <f>156770-4494</f>
        <v>152276</v>
      </c>
      <c r="J18" s="860">
        <v>3065</v>
      </c>
      <c r="K18" s="860">
        <v>0</v>
      </c>
      <c r="L18" s="860">
        <v>26936</v>
      </c>
      <c r="M18" s="861"/>
    </row>
    <row r="19" spans="1:18" s="98" customFormat="1" ht="11.25">
      <c r="A19" s="859" t="s">
        <v>18</v>
      </c>
      <c r="B19" s="857">
        <f>SUM(C19:L19)</f>
        <v>277309</v>
      </c>
      <c r="C19" s="860">
        <v>12946</v>
      </c>
      <c r="D19" s="860">
        <v>33843</v>
      </c>
      <c r="E19" s="860">
        <v>4569</v>
      </c>
      <c r="F19" s="860">
        <v>114799</v>
      </c>
      <c r="G19" s="860">
        <f>16134+9125</f>
        <v>25259</v>
      </c>
      <c r="H19" s="860">
        <v>284</v>
      </c>
      <c r="I19" s="860">
        <v>70574</v>
      </c>
      <c r="J19" s="860">
        <v>1311</v>
      </c>
      <c r="K19" s="860">
        <v>0</v>
      </c>
      <c r="L19" s="860">
        <v>13724</v>
      </c>
      <c r="M19" s="861"/>
    </row>
    <row r="20" spans="1:18" s="98" customFormat="1" ht="11.25">
      <c r="A20" s="859" t="s">
        <v>19</v>
      </c>
      <c r="B20" s="857">
        <f t="shared" si="0"/>
        <v>512642</v>
      </c>
      <c r="C20" s="860">
        <f>897+39811</f>
        <v>40708</v>
      </c>
      <c r="D20" s="860">
        <v>58496</v>
      </c>
      <c r="E20" s="860">
        <v>3430</v>
      </c>
      <c r="F20" s="860">
        <v>181411</v>
      </c>
      <c r="G20" s="860">
        <f>19658+45491</f>
        <v>65149</v>
      </c>
      <c r="H20" s="860">
        <f>522+93+1990</f>
        <v>2605</v>
      </c>
      <c r="I20" s="860">
        <v>133445</v>
      </c>
      <c r="J20" s="860">
        <v>2290</v>
      </c>
      <c r="K20" s="860">
        <v>0</v>
      </c>
      <c r="L20" s="860">
        <v>25108</v>
      </c>
      <c r="M20" s="861"/>
    </row>
    <row r="21" spans="1:18" s="98" customFormat="1" ht="11.25">
      <c r="A21" s="859" t="s">
        <v>20</v>
      </c>
      <c r="B21" s="857">
        <f t="shared" si="0"/>
        <v>0</v>
      </c>
      <c r="C21" s="860">
        <v>0</v>
      </c>
      <c r="D21" s="860">
        <v>0</v>
      </c>
      <c r="E21" s="860">
        <v>0</v>
      </c>
      <c r="F21" s="860">
        <v>0</v>
      </c>
      <c r="G21" s="860">
        <v>0</v>
      </c>
      <c r="H21" s="860">
        <v>0</v>
      </c>
      <c r="I21" s="860">
        <v>0</v>
      </c>
      <c r="J21" s="860">
        <v>0</v>
      </c>
      <c r="K21" s="860">
        <v>0</v>
      </c>
      <c r="L21" s="860">
        <v>0</v>
      </c>
      <c r="M21" s="861"/>
    </row>
    <row r="22" spans="1:18" s="98" customFormat="1" ht="11.25">
      <c r="A22" s="859" t="s">
        <v>21</v>
      </c>
      <c r="B22" s="857">
        <f t="shared" si="0"/>
        <v>186851</v>
      </c>
      <c r="C22" s="860">
        <v>13068</v>
      </c>
      <c r="D22" s="860">
        <v>23310</v>
      </c>
      <c r="E22" s="860">
        <v>1971</v>
      </c>
      <c r="F22" s="860">
        <v>67448</v>
      </c>
      <c r="G22" s="860">
        <f>5462+19990</f>
        <v>25452</v>
      </c>
      <c r="H22" s="860">
        <f>709+27</f>
        <v>736</v>
      </c>
      <c r="I22" s="860">
        <v>47260</v>
      </c>
      <c r="J22" s="860">
        <v>1203</v>
      </c>
      <c r="K22" s="860"/>
      <c r="L22" s="860">
        <v>6403</v>
      </c>
      <c r="M22" s="861"/>
    </row>
    <row r="23" spans="1:18" s="98" customFormat="1" ht="6.75" customHeight="1">
      <c r="A23" s="862"/>
      <c r="B23" s="861"/>
      <c r="C23" s="861"/>
      <c r="D23" s="861"/>
      <c r="E23" s="861"/>
      <c r="F23" s="861"/>
      <c r="G23" s="861"/>
      <c r="H23" s="861"/>
      <c r="I23" s="861"/>
      <c r="J23" s="861"/>
      <c r="K23" s="861"/>
      <c r="L23" s="861"/>
      <c r="M23" s="861"/>
    </row>
    <row r="24" spans="1:18" s="98" customFormat="1" ht="13.5" customHeight="1">
      <c r="A24" s="856" t="s">
        <v>3541</v>
      </c>
      <c r="B24" s="856"/>
      <c r="C24" s="856"/>
      <c r="D24" s="856"/>
      <c r="E24" s="856"/>
    </row>
    <row r="25" spans="1:18" s="14" customFormat="1" ht="12" customHeight="1">
      <c r="A25" s="2467" t="s">
        <v>22</v>
      </c>
      <c r="B25" s="2467"/>
      <c r="C25" s="2467"/>
      <c r="D25" s="2467"/>
      <c r="E25" s="863"/>
      <c r="F25" s="863"/>
      <c r="G25" s="864"/>
      <c r="H25" s="864"/>
      <c r="J25" s="865"/>
      <c r="K25" s="15"/>
      <c r="L25" s="28"/>
      <c r="M25" s="28"/>
      <c r="N25" s="28"/>
      <c r="O25" s="28"/>
      <c r="P25" s="28"/>
      <c r="Q25" s="28"/>
      <c r="R25" s="28"/>
    </row>
    <row r="26" spans="1:18" s="98" customFormat="1" ht="11.25">
      <c r="A26" s="2460" t="s">
        <v>1973</v>
      </c>
      <c r="B26" s="2460"/>
      <c r="C26" s="2460"/>
      <c r="D26" s="2460"/>
      <c r="E26" s="2460"/>
    </row>
    <row r="27" spans="1:18" s="98" customFormat="1" ht="11.25"/>
    <row r="28" spans="1:18" s="98" customFormat="1">
      <c r="A28" s="16"/>
      <c r="B28" s="866"/>
      <c r="C28" s="867"/>
    </row>
  </sheetData>
  <mergeCells count="5">
    <mergeCell ref="A2:L2"/>
    <mergeCell ref="A4:A5"/>
    <mergeCell ref="B4:L4"/>
    <mergeCell ref="A25:D25"/>
    <mergeCell ref="A26:E26"/>
  </mergeCells>
  <pageMargins left="0.7" right="0.7" top="0.75" bottom="0.75" header="0.3" footer="0.3"/>
  <pageSetup paperSize="14" scale="90" orientation="landscape" r:id="rId1"/>
</worksheet>
</file>

<file path=xl/worksheets/sheet226.xml><?xml version="1.0" encoding="utf-8"?>
<worksheet xmlns="http://schemas.openxmlformats.org/spreadsheetml/2006/main" xmlns:r="http://schemas.openxmlformats.org/officeDocument/2006/relationships">
  <dimension ref="A1:J29"/>
  <sheetViews>
    <sheetView zoomScaleNormal="100" workbookViewId="0">
      <selection activeCell="A42" sqref="A42"/>
    </sheetView>
  </sheetViews>
  <sheetFormatPr baseColWidth="10" defaultRowHeight="11.25"/>
  <cols>
    <col min="1" max="1" width="35.5703125" style="101" customWidth="1"/>
    <col min="2" max="2" width="11.7109375" style="101" customWidth="1"/>
    <col min="3" max="3" width="15" style="844" customWidth="1"/>
    <col min="4" max="4" width="18.140625" style="101" customWidth="1"/>
    <col min="5" max="5" width="18.42578125" style="101" customWidth="1"/>
    <col min="6" max="6" width="13.140625" style="101" customWidth="1"/>
    <col min="7" max="7" width="15.42578125" style="101" customWidth="1"/>
    <col min="8" max="8" width="11.42578125" style="101"/>
    <col min="9" max="9" width="5.140625" style="101" customWidth="1"/>
    <col min="10" max="10" width="12.5703125" style="101" customWidth="1"/>
    <col min="11" max="16384" width="11.42578125" style="101"/>
  </cols>
  <sheetData>
    <row r="1" spans="1:10" ht="12">
      <c r="A1" s="843"/>
    </row>
    <row r="2" spans="1:10" s="846" customFormat="1" ht="23.25" customHeight="1">
      <c r="A2" s="2375" t="s">
        <v>2007</v>
      </c>
      <c r="B2" s="2375"/>
      <c r="C2" s="2375"/>
      <c r="D2" s="2375"/>
      <c r="E2" s="2375"/>
      <c r="F2" s="2375"/>
      <c r="G2" s="2375"/>
      <c r="H2" s="2375"/>
      <c r="I2" s="845"/>
      <c r="J2" s="845"/>
    </row>
    <row r="3" spans="1:10" ht="11.25" customHeight="1">
      <c r="A3" s="28"/>
      <c r="D3" s="844"/>
    </row>
    <row r="4" spans="1:10" ht="32.25" customHeight="1">
      <c r="A4" s="835" t="s">
        <v>2008</v>
      </c>
      <c r="B4" s="847" t="s">
        <v>3534</v>
      </c>
      <c r="C4" s="847" t="s">
        <v>2009</v>
      </c>
      <c r="D4" s="847" t="s">
        <v>2010</v>
      </c>
      <c r="E4" s="847" t="s">
        <v>2011</v>
      </c>
      <c r="F4" s="847" t="s">
        <v>3535</v>
      </c>
      <c r="G4" s="847" t="s">
        <v>2012</v>
      </c>
      <c r="H4" s="847" t="s">
        <v>2013</v>
      </c>
    </row>
    <row r="5" spans="1:10" ht="11.25" customHeight="1">
      <c r="A5" s="35" t="s">
        <v>2014</v>
      </c>
      <c r="B5" s="848">
        <v>1</v>
      </c>
      <c r="C5" s="848">
        <v>1007723</v>
      </c>
      <c r="D5" s="849">
        <v>41830</v>
      </c>
      <c r="E5" s="850" t="s">
        <v>2015</v>
      </c>
      <c r="F5" s="834" t="s">
        <v>2016</v>
      </c>
      <c r="G5" s="834">
        <v>54</v>
      </c>
      <c r="H5" s="834">
        <v>13</v>
      </c>
    </row>
    <row r="6" spans="1:10" ht="11.25" customHeight="1">
      <c r="A6" s="35" t="s">
        <v>2017</v>
      </c>
      <c r="B6" s="848">
        <v>2</v>
      </c>
      <c r="C6" s="848">
        <v>1061307</v>
      </c>
      <c r="D6" s="849">
        <v>41809</v>
      </c>
      <c r="E6" s="850" t="s">
        <v>2018</v>
      </c>
      <c r="F6" s="834" t="s">
        <v>2019</v>
      </c>
      <c r="G6" s="834">
        <v>54</v>
      </c>
      <c r="H6" s="834">
        <v>21</v>
      </c>
    </row>
    <row r="7" spans="1:10" ht="11.25" customHeight="1">
      <c r="A7" s="35" t="s">
        <v>2020</v>
      </c>
      <c r="B7" s="848">
        <v>3</v>
      </c>
      <c r="C7" s="848">
        <v>959719</v>
      </c>
      <c r="D7" s="849">
        <v>41739</v>
      </c>
      <c r="E7" s="850" t="str">
        <f>+E6</f>
        <v>Animada</v>
      </c>
      <c r="F7" s="834" t="str">
        <f>+F6</f>
        <v>TE</v>
      </c>
      <c r="G7" s="834">
        <v>54</v>
      </c>
      <c r="H7" s="834">
        <v>16</v>
      </c>
    </row>
    <row r="8" spans="1:10" ht="11.25" customHeight="1">
      <c r="A8" s="35" t="s">
        <v>2021</v>
      </c>
      <c r="B8" s="848">
        <v>4</v>
      </c>
      <c r="C8" s="848">
        <v>940959</v>
      </c>
      <c r="D8" s="849">
        <v>41641</v>
      </c>
      <c r="E8" s="850" t="str">
        <f>+E7</f>
        <v>Animada</v>
      </c>
      <c r="F8" s="834" t="str">
        <f>+F7</f>
        <v>TE</v>
      </c>
      <c r="G8" s="834">
        <v>50</v>
      </c>
      <c r="H8" s="834">
        <v>14</v>
      </c>
    </row>
    <row r="9" spans="1:10" ht="11.25" customHeight="1">
      <c r="A9" s="35" t="s">
        <v>2022</v>
      </c>
      <c r="B9" s="848">
        <v>5</v>
      </c>
      <c r="C9" s="848">
        <v>912298</v>
      </c>
      <c r="D9" s="849">
        <v>41914</v>
      </c>
      <c r="E9" s="850" t="s">
        <v>2023</v>
      </c>
      <c r="F9" s="834" t="s">
        <v>2024</v>
      </c>
      <c r="G9" s="834">
        <v>53</v>
      </c>
      <c r="H9" s="834">
        <v>9</v>
      </c>
    </row>
    <row r="10" spans="1:10" ht="11.25" customHeight="1">
      <c r="A10" s="35" t="s">
        <v>2025</v>
      </c>
      <c r="B10" s="848">
        <v>6</v>
      </c>
      <c r="C10" s="848">
        <v>733086</v>
      </c>
      <c r="D10" s="849">
        <v>41837</v>
      </c>
      <c r="E10" s="850" t="s">
        <v>2015</v>
      </c>
      <c r="F10" s="834" t="str">
        <f>+F5</f>
        <v>TE+7</v>
      </c>
      <c r="G10" s="834">
        <v>23</v>
      </c>
      <c r="H10" s="834">
        <v>12</v>
      </c>
    </row>
    <row r="11" spans="1:10" ht="11.25" customHeight="1">
      <c r="A11" s="35" t="s">
        <v>2026</v>
      </c>
      <c r="B11" s="848">
        <v>7</v>
      </c>
      <c r="C11" s="848">
        <v>685702</v>
      </c>
      <c r="D11" s="849">
        <v>41788</v>
      </c>
      <c r="E11" s="850" t="s">
        <v>2015</v>
      </c>
      <c r="F11" s="834" t="str">
        <f>+F10</f>
        <v>TE+7</v>
      </c>
      <c r="G11" s="834">
        <v>46</v>
      </c>
      <c r="H11" s="834">
        <v>14</v>
      </c>
    </row>
    <row r="12" spans="1:10" ht="11.25" customHeight="1">
      <c r="A12" s="35" t="s">
        <v>2027</v>
      </c>
      <c r="B12" s="848">
        <v>8</v>
      </c>
      <c r="C12" s="848">
        <v>671656</v>
      </c>
      <c r="D12" s="849">
        <v>41963</v>
      </c>
      <c r="E12" s="850" t="s">
        <v>2015</v>
      </c>
      <c r="F12" s="834" t="str">
        <f>+F9</f>
        <v>M 14</v>
      </c>
      <c r="G12" s="834">
        <v>21</v>
      </c>
      <c r="H12" s="834">
        <v>8</v>
      </c>
    </row>
    <row r="13" spans="1:10" ht="11.25" customHeight="1">
      <c r="A13" s="35" t="s">
        <v>2028</v>
      </c>
      <c r="B13" s="848">
        <v>9</v>
      </c>
      <c r="C13" s="848">
        <v>677675</v>
      </c>
      <c r="D13" s="849">
        <v>41802</v>
      </c>
      <c r="E13" s="850" t="s">
        <v>2002</v>
      </c>
      <c r="F13" s="834" t="str">
        <f>+F8</f>
        <v>TE</v>
      </c>
      <c r="G13" s="834">
        <v>40</v>
      </c>
      <c r="H13" s="834">
        <v>14</v>
      </c>
    </row>
    <row r="14" spans="1:10" ht="11.25" customHeight="1">
      <c r="A14" s="35" t="s">
        <v>2029</v>
      </c>
      <c r="B14" s="848">
        <v>10</v>
      </c>
      <c r="C14" s="848">
        <v>518353</v>
      </c>
      <c r="D14" s="849">
        <v>41781</v>
      </c>
      <c r="E14" s="850" t="str">
        <f>+E12</f>
        <v>Acción/Aventura</v>
      </c>
      <c r="F14" s="834" t="str">
        <f>+F11</f>
        <v>TE+7</v>
      </c>
      <c r="G14" s="834">
        <v>53</v>
      </c>
      <c r="H14" s="834">
        <v>11</v>
      </c>
    </row>
    <row r="15" spans="1:10" ht="11.25" customHeight="1">
      <c r="A15" s="35" t="s">
        <v>2030</v>
      </c>
      <c r="B15" s="848">
        <v>11</v>
      </c>
      <c r="C15" s="848">
        <v>454117</v>
      </c>
      <c r="D15" s="849">
        <v>41760</v>
      </c>
      <c r="E15" s="850" t="str">
        <f>+E12</f>
        <v>Acción/Aventura</v>
      </c>
      <c r="F15" s="834" t="str">
        <f t="shared" ref="F15:F20" si="0">+F14</f>
        <v>TE+7</v>
      </c>
      <c r="G15" s="834">
        <v>53</v>
      </c>
      <c r="H15" s="834">
        <v>11</v>
      </c>
    </row>
    <row r="16" spans="1:10" ht="11.25" customHeight="1">
      <c r="A16" s="35" t="s">
        <v>2031</v>
      </c>
      <c r="B16" s="848">
        <v>12</v>
      </c>
      <c r="C16" s="848">
        <v>511687</v>
      </c>
      <c r="D16" s="849">
        <v>41851</v>
      </c>
      <c r="E16" s="850" t="str">
        <f>+E15</f>
        <v>Acción/Aventura</v>
      </c>
      <c r="F16" s="834" t="str">
        <f>+F15</f>
        <v>TE+7</v>
      </c>
      <c r="G16" s="834">
        <v>54</v>
      </c>
      <c r="H16" s="834">
        <v>24</v>
      </c>
    </row>
    <row r="17" spans="1:10" ht="11.25" customHeight="1">
      <c r="A17" s="35" t="s">
        <v>2032</v>
      </c>
      <c r="B17" s="848">
        <v>13</v>
      </c>
      <c r="C17" s="848">
        <v>416052</v>
      </c>
      <c r="D17" s="849">
        <v>41984</v>
      </c>
      <c r="E17" s="850" t="str">
        <f>+E16</f>
        <v>Acción/Aventura</v>
      </c>
      <c r="F17" s="834" t="str">
        <f t="shared" si="0"/>
        <v>TE+7</v>
      </c>
      <c r="G17" s="834">
        <v>53</v>
      </c>
      <c r="H17" s="834">
        <v>5</v>
      </c>
    </row>
    <row r="18" spans="1:10" ht="11.25" customHeight="1">
      <c r="A18" s="35" t="s">
        <v>2033</v>
      </c>
      <c r="B18" s="848">
        <v>14</v>
      </c>
      <c r="C18" s="848">
        <v>490299</v>
      </c>
      <c r="D18" s="849">
        <v>41949</v>
      </c>
      <c r="E18" s="850" t="s">
        <v>2002</v>
      </c>
      <c r="F18" s="834" t="str">
        <f t="shared" si="0"/>
        <v>TE+7</v>
      </c>
      <c r="G18" s="834">
        <v>54</v>
      </c>
      <c r="H18" s="834">
        <v>10</v>
      </c>
    </row>
    <row r="19" spans="1:10" ht="11.25" customHeight="1">
      <c r="A19" s="35" t="s">
        <v>2034</v>
      </c>
      <c r="B19" s="848">
        <v>15</v>
      </c>
      <c r="C19" s="848">
        <v>411145</v>
      </c>
      <c r="D19" s="849">
        <v>41732</v>
      </c>
      <c r="E19" s="850" t="str">
        <f>+E18</f>
        <v>Drama</v>
      </c>
      <c r="F19" s="834" t="str">
        <f t="shared" si="0"/>
        <v>TE+7</v>
      </c>
      <c r="G19" s="834">
        <v>53</v>
      </c>
      <c r="H19" s="834">
        <v>9</v>
      </c>
    </row>
    <row r="20" spans="1:10" ht="11.25" customHeight="1">
      <c r="A20" s="35" t="s">
        <v>2035</v>
      </c>
      <c r="B20" s="848">
        <v>16</v>
      </c>
      <c r="C20" s="848">
        <v>430570</v>
      </c>
      <c r="D20" s="849">
        <v>41858</v>
      </c>
      <c r="E20" s="850" t="str">
        <f>+E17</f>
        <v>Acción/Aventura</v>
      </c>
      <c r="F20" s="834" t="str">
        <f t="shared" si="0"/>
        <v>TE+7</v>
      </c>
      <c r="G20" s="834">
        <v>52</v>
      </c>
      <c r="H20" s="834">
        <v>13</v>
      </c>
    </row>
    <row r="21" spans="1:10" ht="11.25" customHeight="1">
      <c r="A21" s="35" t="s">
        <v>2036</v>
      </c>
      <c r="B21" s="848">
        <v>17</v>
      </c>
      <c r="C21" s="848">
        <v>371798</v>
      </c>
      <c r="D21" s="849">
        <v>41725</v>
      </c>
      <c r="E21" s="850" t="str">
        <f>+E20</f>
        <v>Acción/Aventura</v>
      </c>
      <c r="F21" s="834" t="str">
        <f>+F12</f>
        <v>M 14</v>
      </c>
      <c r="G21" s="834">
        <v>51</v>
      </c>
      <c r="H21" s="834">
        <v>11</v>
      </c>
    </row>
    <row r="22" spans="1:10" ht="11.25" customHeight="1">
      <c r="A22" s="35" t="s">
        <v>2037</v>
      </c>
      <c r="B22" s="848">
        <v>18</v>
      </c>
      <c r="C22" s="848">
        <v>385425</v>
      </c>
      <c r="D22" s="849">
        <v>41774</v>
      </c>
      <c r="E22" s="850" t="str">
        <f>+E21</f>
        <v>Acción/Aventura</v>
      </c>
      <c r="F22" s="834" t="str">
        <f>+F20</f>
        <v>TE+7</v>
      </c>
      <c r="G22" s="834">
        <v>54</v>
      </c>
      <c r="H22" s="834">
        <v>10</v>
      </c>
    </row>
    <row r="23" spans="1:10" ht="11.25" customHeight="1">
      <c r="A23" s="35" t="s">
        <v>2038</v>
      </c>
      <c r="B23" s="848">
        <v>19</v>
      </c>
      <c r="C23" s="848">
        <v>344435</v>
      </c>
      <c r="D23" s="849">
        <v>41999</v>
      </c>
      <c r="E23" s="850" t="str">
        <f>+E22</f>
        <v>Acción/Aventura</v>
      </c>
      <c r="F23" s="834" t="str">
        <f>+F22</f>
        <v>TE+7</v>
      </c>
      <c r="G23" s="834">
        <v>52</v>
      </c>
      <c r="H23" s="834">
        <v>13</v>
      </c>
    </row>
    <row r="24" spans="1:10" ht="11.25" customHeight="1">
      <c r="A24" s="35" t="s">
        <v>2039</v>
      </c>
      <c r="B24" s="848">
        <v>20</v>
      </c>
      <c r="C24" s="848">
        <v>386713</v>
      </c>
      <c r="D24" s="849">
        <v>41907</v>
      </c>
      <c r="E24" s="850" t="str">
        <f>+E23</f>
        <v>Acción/Aventura</v>
      </c>
      <c r="F24" s="834" t="str">
        <f>+F23</f>
        <v>TE+7</v>
      </c>
      <c r="G24" s="834">
        <v>52</v>
      </c>
      <c r="H24" s="834">
        <v>13</v>
      </c>
    </row>
    <row r="25" spans="1:10" ht="5.25" customHeight="1">
      <c r="A25" s="28"/>
      <c r="B25" s="844"/>
      <c r="C25" s="851"/>
      <c r="D25" s="844"/>
      <c r="E25" s="844"/>
      <c r="F25" s="844"/>
      <c r="G25" s="844"/>
      <c r="H25" s="844"/>
    </row>
    <row r="26" spans="1:10">
      <c r="A26" s="2460" t="s">
        <v>3538</v>
      </c>
      <c r="B26" s="2460"/>
      <c r="C26" s="2460"/>
      <c r="D26" s="2460"/>
      <c r="E26" s="2460"/>
      <c r="F26" s="2460"/>
      <c r="G26" s="2460"/>
      <c r="H26" s="2460"/>
    </row>
    <row r="27" spans="1:10" ht="10.5" customHeight="1">
      <c r="A27" s="2430" t="s">
        <v>3539</v>
      </c>
      <c r="B27" s="2430"/>
      <c r="C27" s="2430"/>
      <c r="D27" s="2430"/>
      <c r="E27" s="2430"/>
      <c r="F27" s="2430"/>
      <c r="G27" s="2430"/>
      <c r="H27" s="2430"/>
      <c r="I27" s="852"/>
      <c r="J27" s="852"/>
    </row>
    <row r="28" spans="1:10" ht="11.25" customHeight="1">
      <c r="A28" s="2460" t="s">
        <v>1973</v>
      </c>
      <c r="B28" s="2460"/>
      <c r="C28" s="2460"/>
      <c r="D28" s="2460"/>
      <c r="E28" s="2460"/>
      <c r="F28" s="2460"/>
      <c r="G28" s="2460"/>
      <c r="H28" s="2460"/>
    </row>
    <row r="29" spans="1:10">
      <c r="A29" s="28"/>
    </row>
  </sheetData>
  <mergeCells count="4">
    <mergeCell ref="A2:H2"/>
    <mergeCell ref="A26:H26"/>
    <mergeCell ref="A27:H27"/>
    <mergeCell ref="A28:H28"/>
  </mergeCells>
  <pageMargins left="0.7" right="0.7" top="0.75" bottom="0.75" header="0.3" footer="0.3"/>
  <pageSetup paperSize="14" scale="90" orientation="landscape" r:id="rId1"/>
</worksheet>
</file>

<file path=xl/worksheets/sheet227.xml><?xml version="1.0" encoding="utf-8"?>
<worksheet xmlns="http://schemas.openxmlformats.org/spreadsheetml/2006/main" xmlns:r="http://schemas.openxmlformats.org/officeDocument/2006/relationships">
  <dimension ref="A1:J12"/>
  <sheetViews>
    <sheetView zoomScaleNormal="100" workbookViewId="0"/>
  </sheetViews>
  <sheetFormatPr baseColWidth="10" defaultRowHeight="12"/>
  <cols>
    <col min="1" max="1" width="24.42578125" style="831" customWidth="1"/>
    <col min="2" max="2" width="11.42578125" style="831"/>
    <col min="3" max="3" width="13.28515625" style="831" customWidth="1"/>
    <col min="4" max="7" width="11.42578125" style="831"/>
    <col min="8" max="8" width="12.7109375" style="831" customWidth="1"/>
    <col min="9" max="9" width="5.5703125" style="831" customWidth="1"/>
    <col min="10" max="16384" width="11.42578125" style="831"/>
  </cols>
  <sheetData>
    <row r="1" spans="1:10">
      <c r="A1" s="830"/>
    </row>
    <row r="2" spans="1:10" s="833" customFormat="1" ht="39.75" customHeight="1">
      <c r="A2" s="2464" t="s">
        <v>2040</v>
      </c>
      <c r="B2" s="2464"/>
      <c r="C2" s="2464"/>
      <c r="D2" s="2464"/>
      <c r="E2" s="2464"/>
      <c r="F2" s="2464"/>
      <c r="G2" s="2464"/>
      <c r="H2" s="2464"/>
      <c r="I2" s="832"/>
    </row>
    <row r="3" spans="1:10" s="99" customFormat="1" ht="11.25">
      <c r="C3" s="834"/>
    </row>
    <row r="4" spans="1:10" s="99" customFormat="1" ht="35.25">
      <c r="A4" s="835" t="s">
        <v>2008</v>
      </c>
      <c r="B4" s="836" t="s">
        <v>3534</v>
      </c>
      <c r="C4" s="836" t="s">
        <v>2009</v>
      </c>
      <c r="D4" s="836" t="s">
        <v>2010</v>
      </c>
      <c r="E4" s="836" t="s">
        <v>2011</v>
      </c>
      <c r="F4" s="836" t="s">
        <v>3535</v>
      </c>
      <c r="G4" s="836" t="s">
        <v>2012</v>
      </c>
      <c r="H4" s="836" t="s">
        <v>2013</v>
      </c>
    </row>
    <row r="5" spans="1:10" s="834" customFormat="1" ht="11.25">
      <c r="A5" s="35" t="s">
        <v>2041</v>
      </c>
      <c r="B5" s="834">
        <v>1</v>
      </c>
      <c r="C5" s="837">
        <v>321146</v>
      </c>
      <c r="D5" s="838">
        <v>41914</v>
      </c>
      <c r="E5" s="834" t="s">
        <v>2001</v>
      </c>
      <c r="F5" s="839" t="s">
        <v>2016</v>
      </c>
      <c r="G5" s="840">
        <v>61</v>
      </c>
      <c r="H5" s="840">
        <v>10</v>
      </c>
    </row>
    <row r="6" spans="1:10" s="834" customFormat="1" ht="11.25">
      <c r="A6" s="35" t="s">
        <v>2042</v>
      </c>
      <c r="B6" s="834">
        <v>2</v>
      </c>
      <c r="C6" s="837">
        <v>75251</v>
      </c>
      <c r="D6" s="838">
        <v>41683</v>
      </c>
      <c r="E6" s="834" t="str">
        <f>+E5</f>
        <v>Comedia</v>
      </c>
      <c r="F6" s="840" t="s">
        <v>2024</v>
      </c>
      <c r="G6" s="840">
        <v>36</v>
      </c>
      <c r="H6" s="840">
        <v>5</v>
      </c>
    </row>
    <row r="7" spans="1:10" s="834" customFormat="1" ht="11.25">
      <c r="A7" s="35" t="s">
        <v>2043</v>
      </c>
      <c r="B7" s="834">
        <v>3</v>
      </c>
      <c r="C7" s="837">
        <v>35974</v>
      </c>
      <c r="D7" s="838">
        <v>41746</v>
      </c>
      <c r="E7" s="834" t="s">
        <v>1924</v>
      </c>
      <c r="F7" s="840" t="s">
        <v>2019</v>
      </c>
      <c r="G7" s="840">
        <v>85</v>
      </c>
      <c r="H7" s="840">
        <v>7</v>
      </c>
    </row>
    <row r="8" spans="1:10" s="834" customFormat="1" ht="11.25">
      <c r="A8" s="841"/>
      <c r="C8" s="837"/>
      <c r="D8" s="838"/>
      <c r="F8" s="840"/>
      <c r="G8" s="840"/>
      <c r="H8" s="840"/>
    </row>
    <row r="9" spans="1:10" s="841" customFormat="1" ht="11.25">
      <c r="A9" s="2460" t="s">
        <v>3536</v>
      </c>
      <c r="B9" s="2460"/>
      <c r="C9" s="2460"/>
      <c r="D9" s="2460"/>
      <c r="E9" s="2460"/>
      <c r="F9" s="2460"/>
      <c r="G9" s="2460"/>
      <c r="H9" s="2460"/>
    </row>
    <row r="10" spans="1:10" s="99" customFormat="1" ht="23.25" customHeight="1">
      <c r="A10" s="2424" t="s">
        <v>3537</v>
      </c>
      <c r="B10" s="2424"/>
      <c r="C10" s="2424"/>
      <c r="D10" s="2424"/>
      <c r="E10" s="2424"/>
      <c r="F10" s="2424"/>
      <c r="G10" s="2424"/>
      <c r="H10" s="2424"/>
      <c r="I10" s="842"/>
      <c r="J10" s="842"/>
    </row>
    <row r="11" spans="1:10" s="99" customFormat="1" ht="11.25">
      <c r="A11" s="2460" t="s">
        <v>1973</v>
      </c>
      <c r="B11" s="2460"/>
      <c r="C11" s="2460"/>
      <c r="D11" s="2460"/>
      <c r="E11" s="2460"/>
      <c r="F11" s="2460"/>
      <c r="G11" s="2460"/>
      <c r="H11" s="2460"/>
    </row>
    <row r="12" spans="1:10" s="841" customFormat="1" ht="11.25">
      <c r="C12" s="834"/>
    </row>
  </sheetData>
  <mergeCells count="4">
    <mergeCell ref="A2:H2"/>
    <mergeCell ref="A9:H9"/>
    <mergeCell ref="A10:H10"/>
    <mergeCell ref="A11:H11"/>
  </mergeCells>
  <pageMargins left="0.7" right="0.7" top="0.75" bottom="0.75" header="0.3" footer="0.3"/>
  <pageSetup paperSize="14" scale="90" orientation="landscape" r:id="rId1"/>
</worksheet>
</file>

<file path=xl/worksheets/sheet228.xml><?xml version="1.0" encoding="utf-8"?>
<worksheet xmlns="http://schemas.openxmlformats.org/spreadsheetml/2006/main" xmlns:r="http://schemas.openxmlformats.org/officeDocument/2006/relationships">
  <dimension ref="A2:N24"/>
  <sheetViews>
    <sheetView zoomScaleNormal="100" workbookViewId="0">
      <selection activeCell="A30" sqref="A30"/>
    </sheetView>
  </sheetViews>
  <sheetFormatPr baseColWidth="10" defaultRowHeight="11.25"/>
  <cols>
    <col min="1" max="1" width="18.5703125" style="2" customWidth="1"/>
    <col min="2" max="2" width="17.28515625" style="2" customWidth="1"/>
    <col min="3" max="3" width="16.28515625" style="2" customWidth="1"/>
    <col min="4" max="4" width="17.28515625" style="2" customWidth="1"/>
    <col min="5" max="5" width="16.85546875" style="2" customWidth="1"/>
    <col min="6" max="6" width="6.28515625" style="2" customWidth="1"/>
    <col min="7" max="7" width="20.42578125" style="2" customWidth="1"/>
    <col min="8" max="16384" width="11.42578125" style="2"/>
  </cols>
  <sheetData>
    <row r="2" spans="1:14" ht="33" customHeight="1">
      <c r="A2" s="2494" t="s">
        <v>2044</v>
      </c>
      <c r="B2" s="2494"/>
      <c r="C2" s="2494"/>
      <c r="D2" s="2494"/>
      <c r="E2" s="2494"/>
      <c r="F2" s="93"/>
      <c r="G2" s="93"/>
      <c r="H2" s="148"/>
      <c r="I2" s="148"/>
      <c r="J2" s="2493"/>
      <c r="K2" s="2493"/>
      <c r="L2" s="2493"/>
      <c r="M2" s="2493"/>
      <c r="N2" s="2493"/>
    </row>
    <row r="3" spans="1:14" ht="6" customHeight="1">
      <c r="A3" s="811"/>
      <c r="B3" s="811"/>
      <c r="C3" s="811"/>
      <c r="D3" s="811"/>
      <c r="E3" s="811"/>
      <c r="F3" s="811"/>
      <c r="G3" s="811"/>
      <c r="H3" s="811"/>
      <c r="I3" s="811"/>
      <c r="J3" s="817"/>
      <c r="K3" s="817"/>
      <c r="L3" s="817"/>
      <c r="M3" s="817"/>
      <c r="N3" s="817"/>
    </row>
    <row r="4" spans="1:14" ht="86.25" customHeight="1">
      <c r="A4" s="818" t="s">
        <v>0</v>
      </c>
      <c r="B4" s="818" t="s">
        <v>2045</v>
      </c>
      <c r="C4" s="818" t="s">
        <v>2046</v>
      </c>
      <c r="D4" s="818" t="s">
        <v>2047</v>
      </c>
      <c r="E4" s="818" t="s">
        <v>2048</v>
      </c>
      <c r="F4" s="811"/>
      <c r="G4" s="811"/>
      <c r="H4" s="819"/>
      <c r="I4" s="819"/>
      <c r="J4" s="819"/>
      <c r="K4" s="819"/>
      <c r="L4" s="819"/>
    </row>
    <row r="5" spans="1:14">
      <c r="A5" s="5" t="s">
        <v>6</v>
      </c>
      <c r="B5" s="6">
        <f>SUM(B6:B20)</f>
        <v>3439</v>
      </c>
      <c r="C5" s="6">
        <f>SUM(C6:C20)</f>
        <v>102283</v>
      </c>
      <c r="D5" s="6">
        <f>SUM(D6:D20)</f>
        <v>70</v>
      </c>
      <c r="E5" s="6">
        <f>SUM(E6:E20)</f>
        <v>510</v>
      </c>
      <c r="F5" s="811"/>
      <c r="G5" s="811"/>
      <c r="H5" s="820"/>
      <c r="I5" s="821"/>
      <c r="J5" s="821"/>
      <c r="K5" s="821"/>
      <c r="L5" s="821"/>
    </row>
    <row r="6" spans="1:14">
      <c r="A6" s="822" t="s">
        <v>7</v>
      </c>
      <c r="B6" s="7">
        <v>8</v>
      </c>
      <c r="C6" s="7">
        <v>1877</v>
      </c>
      <c r="D6" s="7">
        <v>1</v>
      </c>
      <c r="E6" s="7">
        <v>9</v>
      </c>
      <c r="F6" s="811"/>
      <c r="G6" s="811"/>
      <c r="H6" s="823"/>
      <c r="I6" s="824"/>
      <c r="J6" s="825"/>
      <c r="K6" s="825"/>
      <c r="L6" s="825"/>
    </row>
    <row r="7" spans="1:14">
      <c r="A7" s="822" t="s">
        <v>8</v>
      </c>
      <c r="B7" s="7">
        <v>61</v>
      </c>
      <c r="C7" s="7">
        <v>2507</v>
      </c>
      <c r="D7" s="7">
        <v>1</v>
      </c>
      <c r="E7" s="7">
        <v>20</v>
      </c>
      <c r="F7" s="811"/>
      <c r="G7" s="811"/>
      <c r="H7" s="823"/>
      <c r="I7" s="824"/>
      <c r="J7" s="825"/>
      <c r="K7" s="825"/>
      <c r="L7" s="825"/>
    </row>
    <row r="8" spans="1:14">
      <c r="A8" s="822" t="s">
        <v>9</v>
      </c>
      <c r="B8" s="7">
        <v>173</v>
      </c>
      <c r="C8" s="7">
        <v>5657</v>
      </c>
      <c r="D8" s="7">
        <v>3</v>
      </c>
      <c r="E8" s="7">
        <v>16</v>
      </c>
      <c r="F8" s="811"/>
      <c r="G8" s="811"/>
      <c r="H8" s="823"/>
      <c r="I8" s="824"/>
      <c r="J8" s="825"/>
      <c r="K8" s="825"/>
      <c r="L8" s="825"/>
    </row>
    <row r="9" spans="1:14">
      <c r="A9" s="822" t="s">
        <v>10</v>
      </c>
      <c r="B9" s="7">
        <v>84</v>
      </c>
      <c r="C9" s="7">
        <v>4649</v>
      </c>
      <c r="D9" s="7">
        <v>2</v>
      </c>
      <c r="E9" s="7">
        <v>17</v>
      </c>
      <c r="F9" s="811"/>
      <c r="G9" s="811"/>
      <c r="H9" s="823"/>
      <c r="I9" s="824"/>
      <c r="J9" s="825"/>
      <c r="K9" s="825"/>
      <c r="L9" s="825"/>
    </row>
    <row r="10" spans="1:14">
      <c r="A10" s="822" t="s">
        <v>11</v>
      </c>
      <c r="B10" s="7">
        <v>233</v>
      </c>
      <c r="C10" s="7">
        <v>5367</v>
      </c>
      <c r="D10" s="7">
        <v>5</v>
      </c>
      <c r="E10" s="7">
        <v>21</v>
      </c>
      <c r="F10" s="811"/>
      <c r="G10" s="811"/>
      <c r="H10" s="823"/>
      <c r="I10" s="824"/>
      <c r="J10" s="825"/>
      <c r="K10" s="825"/>
      <c r="L10" s="825"/>
    </row>
    <row r="11" spans="1:14">
      <c r="A11" s="822" t="s">
        <v>12</v>
      </c>
      <c r="B11" s="7">
        <v>251</v>
      </c>
      <c r="C11" s="7">
        <v>9918</v>
      </c>
      <c r="D11" s="7">
        <v>5</v>
      </c>
      <c r="E11" s="7">
        <v>53</v>
      </c>
      <c r="F11" s="811"/>
      <c r="G11" s="811"/>
      <c r="H11" s="823"/>
      <c r="I11" s="824"/>
      <c r="J11" s="825"/>
      <c r="K11" s="825"/>
      <c r="L11" s="825"/>
    </row>
    <row r="12" spans="1:14">
      <c r="A12" s="822" t="s">
        <v>13</v>
      </c>
      <c r="B12" s="7">
        <v>1761</v>
      </c>
      <c r="C12" s="7">
        <v>33450</v>
      </c>
      <c r="D12" s="7">
        <v>26</v>
      </c>
      <c r="E12" s="7">
        <v>160</v>
      </c>
      <c r="F12" s="811"/>
      <c r="G12" s="811"/>
      <c r="H12" s="823"/>
      <c r="I12" s="824"/>
      <c r="J12" s="825"/>
      <c r="K12" s="825"/>
      <c r="L12" s="825"/>
    </row>
    <row r="13" spans="1:14">
      <c r="A13" s="822" t="s">
        <v>252</v>
      </c>
      <c r="B13" s="7">
        <v>185</v>
      </c>
      <c r="C13" s="7">
        <v>3886</v>
      </c>
      <c r="D13" s="7">
        <v>6</v>
      </c>
      <c r="E13" s="7">
        <v>17</v>
      </c>
      <c r="F13" s="811"/>
      <c r="G13" s="811"/>
      <c r="H13" s="823"/>
      <c r="I13" s="824"/>
      <c r="J13" s="825"/>
      <c r="K13" s="825"/>
      <c r="L13" s="825"/>
    </row>
    <row r="14" spans="1:14">
      <c r="A14" s="822" t="s">
        <v>15</v>
      </c>
      <c r="B14" s="7">
        <v>246</v>
      </c>
      <c r="C14" s="7">
        <v>6894</v>
      </c>
      <c r="D14" s="7">
        <v>7</v>
      </c>
      <c r="E14" s="7">
        <v>43</v>
      </c>
      <c r="F14" s="811"/>
      <c r="G14" s="811"/>
      <c r="H14" s="823"/>
      <c r="I14" s="824"/>
      <c r="J14" s="825"/>
      <c r="K14" s="825"/>
      <c r="L14" s="825"/>
    </row>
    <row r="15" spans="1:14">
      <c r="A15" s="822" t="s">
        <v>16</v>
      </c>
      <c r="B15" s="7">
        <v>158</v>
      </c>
      <c r="C15" s="7">
        <v>12813</v>
      </c>
      <c r="D15" s="7">
        <v>6</v>
      </c>
      <c r="E15" s="7">
        <v>65</v>
      </c>
      <c r="F15" s="811"/>
      <c r="G15" s="811"/>
      <c r="H15" s="823"/>
      <c r="I15" s="824"/>
      <c r="J15" s="825"/>
      <c r="K15" s="825"/>
      <c r="L15" s="825"/>
    </row>
    <row r="16" spans="1:14">
      <c r="A16" s="822" t="s">
        <v>17</v>
      </c>
      <c r="B16" s="7">
        <v>228</v>
      </c>
      <c r="C16" s="7">
        <v>7128</v>
      </c>
      <c r="D16" s="7">
        <v>6</v>
      </c>
      <c r="E16" s="7">
        <v>40</v>
      </c>
      <c r="F16" s="811"/>
      <c r="G16" s="811"/>
      <c r="H16" s="823"/>
      <c r="I16" s="824"/>
      <c r="J16" s="825"/>
      <c r="K16" s="825"/>
      <c r="L16" s="825"/>
    </row>
    <row r="17" spans="1:14">
      <c r="A17" s="822" t="s">
        <v>276</v>
      </c>
      <c r="B17" s="7">
        <v>0</v>
      </c>
      <c r="C17" s="7">
        <v>2706</v>
      </c>
      <c r="D17" s="7">
        <v>0</v>
      </c>
      <c r="E17" s="7">
        <v>16</v>
      </c>
      <c r="F17" s="811"/>
      <c r="G17" s="811"/>
      <c r="H17" s="823"/>
      <c r="I17" s="824"/>
      <c r="J17" s="825"/>
      <c r="K17" s="825"/>
      <c r="L17" s="825"/>
    </row>
    <row r="18" spans="1:14">
      <c r="A18" s="822" t="s">
        <v>280</v>
      </c>
      <c r="B18" s="7">
        <v>35</v>
      </c>
      <c r="C18" s="7">
        <v>3779</v>
      </c>
      <c r="D18" s="7">
        <v>1</v>
      </c>
      <c r="E18" s="7">
        <v>22</v>
      </c>
      <c r="F18" s="811"/>
      <c r="G18" s="811"/>
      <c r="H18" s="823"/>
      <c r="I18" s="824"/>
      <c r="J18" s="825"/>
      <c r="K18" s="825"/>
      <c r="L18" s="825"/>
    </row>
    <row r="19" spans="1:14">
      <c r="A19" s="822" t="s">
        <v>20</v>
      </c>
      <c r="B19" s="7">
        <v>0</v>
      </c>
      <c r="C19" s="7">
        <v>543</v>
      </c>
      <c r="D19" s="7">
        <v>0</v>
      </c>
      <c r="E19" s="7">
        <v>6</v>
      </c>
      <c r="F19" s="811"/>
      <c r="G19" s="811"/>
      <c r="H19" s="823"/>
      <c r="I19" s="824"/>
      <c r="J19" s="825"/>
      <c r="K19" s="825"/>
      <c r="L19" s="825"/>
    </row>
    <row r="20" spans="1:14">
      <c r="A20" s="822" t="s">
        <v>21</v>
      </c>
      <c r="B20" s="7">
        <v>16</v>
      </c>
      <c r="C20" s="7">
        <v>1109</v>
      </c>
      <c r="D20" s="7">
        <v>1</v>
      </c>
      <c r="E20" s="7">
        <v>5</v>
      </c>
      <c r="F20" s="811"/>
      <c r="G20" s="811"/>
      <c r="H20" s="823"/>
      <c r="I20" s="824"/>
      <c r="J20" s="825"/>
      <c r="K20" s="825"/>
      <c r="L20" s="825"/>
    </row>
    <row r="21" spans="1:14">
      <c r="A21" s="811"/>
      <c r="B21" s="811"/>
      <c r="C21" s="811"/>
      <c r="D21" s="811"/>
      <c r="E21" s="811"/>
      <c r="F21" s="811"/>
      <c r="G21" s="811"/>
      <c r="H21" s="811"/>
      <c r="I21" s="811"/>
      <c r="J21" s="823"/>
      <c r="K21" s="824"/>
      <c r="L21" s="825"/>
      <c r="M21" s="825"/>
      <c r="N21" s="825"/>
    </row>
    <row r="22" spans="1:14" ht="12" customHeight="1">
      <c r="A22" s="347" t="s">
        <v>22</v>
      </c>
      <c r="B22" s="811"/>
      <c r="C22" s="811"/>
      <c r="D22" s="811"/>
      <c r="E22" s="811"/>
      <c r="F22" s="811"/>
      <c r="G22" s="811"/>
      <c r="H22" s="811"/>
      <c r="I22" s="811"/>
      <c r="J22" s="826"/>
      <c r="K22" s="827"/>
      <c r="L22" s="827"/>
      <c r="M22" s="827"/>
      <c r="N22" s="827"/>
    </row>
    <row r="23" spans="1:14" ht="29.25" customHeight="1">
      <c r="A23" s="2495" t="s">
        <v>2049</v>
      </c>
      <c r="B23" s="2495"/>
      <c r="C23" s="2495"/>
      <c r="D23" s="2495"/>
      <c r="E23" s="2495"/>
      <c r="F23" s="812"/>
      <c r="G23" s="812"/>
      <c r="H23" s="811"/>
      <c r="I23" s="811"/>
      <c r="J23" s="828"/>
      <c r="K23" s="828"/>
      <c r="L23" s="828"/>
      <c r="M23" s="828"/>
      <c r="N23" s="828"/>
    </row>
    <row r="24" spans="1:14">
      <c r="A24" s="811"/>
      <c r="B24" s="811"/>
      <c r="C24" s="811"/>
      <c r="D24" s="811"/>
      <c r="E24" s="811"/>
      <c r="F24" s="811"/>
      <c r="G24" s="811"/>
      <c r="H24" s="811"/>
      <c r="I24" s="811"/>
      <c r="J24" s="829"/>
      <c r="K24" s="829"/>
      <c r="L24" s="829"/>
      <c r="M24" s="829"/>
      <c r="N24" s="829"/>
    </row>
  </sheetData>
  <mergeCells count="3">
    <mergeCell ref="J2:N2"/>
    <mergeCell ref="A2:E2"/>
    <mergeCell ref="A23:E23"/>
  </mergeCells>
  <pageMargins left="0.7" right="0.7" top="0.75" bottom="0.75" header="0.3" footer="0.3"/>
  <pageSetup paperSize="9" orientation="portrait" r:id="rId1"/>
</worksheet>
</file>

<file path=xl/worksheets/sheet229.xml><?xml version="1.0" encoding="utf-8"?>
<worksheet xmlns="http://schemas.openxmlformats.org/spreadsheetml/2006/main" xmlns:r="http://schemas.openxmlformats.org/officeDocument/2006/relationships">
  <dimension ref="A1:J15"/>
  <sheetViews>
    <sheetView zoomScaleNormal="100" workbookViewId="0">
      <selection activeCell="A21" sqref="A21"/>
    </sheetView>
  </sheetViews>
  <sheetFormatPr baseColWidth="10" defaultRowHeight="11.25"/>
  <cols>
    <col min="1" max="1" width="34.7109375" style="2" customWidth="1"/>
    <col min="2" max="2" width="18.7109375" style="2" customWidth="1"/>
    <col min="3" max="3" width="19" style="2" customWidth="1"/>
    <col min="4" max="5" width="20.42578125" style="2" customWidth="1"/>
    <col min="6" max="16384" width="11.42578125" style="2"/>
  </cols>
  <sheetData>
    <row r="1" spans="1:10">
      <c r="D1" s="808"/>
      <c r="E1" s="808"/>
      <c r="F1" s="808"/>
      <c r="G1" s="808"/>
      <c r="H1" s="808"/>
      <c r="I1" s="808"/>
      <c r="J1" s="808"/>
    </row>
    <row r="2" spans="1:10" ht="36.75" customHeight="1">
      <c r="A2" s="2745" t="s">
        <v>2050</v>
      </c>
      <c r="B2" s="2745"/>
      <c r="C2" s="2745"/>
      <c r="D2" s="64"/>
    </row>
    <row r="3" spans="1:10" s="1" customFormat="1"/>
    <row r="4" spans="1:10" s="1" customFormat="1" ht="24" customHeight="1">
      <c r="A4" s="815" t="s">
        <v>2051</v>
      </c>
      <c r="B4" s="805" t="s">
        <v>1879</v>
      </c>
      <c r="C4" s="805" t="s">
        <v>1149</v>
      </c>
      <c r="D4" s="806"/>
      <c r="E4" s="806"/>
      <c r="F4" s="806"/>
      <c r="G4" s="806"/>
      <c r="H4" s="806"/>
      <c r="I4" s="806"/>
      <c r="J4" s="806"/>
    </row>
    <row r="5" spans="1:10" s="1" customFormat="1">
      <c r="A5" s="405" t="s">
        <v>6</v>
      </c>
      <c r="B5" s="807">
        <f>SUM(B6:B12)</f>
        <v>3439</v>
      </c>
      <c r="C5" s="808">
        <f>B5/$B$5</f>
        <v>1</v>
      </c>
      <c r="D5" s="808"/>
      <c r="E5" s="808"/>
      <c r="F5" s="808"/>
      <c r="G5" s="808"/>
      <c r="H5" s="808"/>
      <c r="I5" s="808"/>
      <c r="J5" s="808"/>
    </row>
    <row r="6" spans="1:10" s="1" customFormat="1">
      <c r="A6" s="785" t="s">
        <v>2052</v>
      </c>
      <c r="B6" s="810">
        <v>1281</v>
      </c>
      <c r="C6" s="809">
        <f t="shared" ref="C6:C12" si="0">B6/$B$5</f>
        <v>0.37249200348938644</v>
      </c>
      <c r="D6" s="809"/>
      <c r="E6" s="809"/>
      <c r="F6" s="809"/>
      <c r="G6" s="809"/>
      <c r="H6" s="809"/>
      <c r="I6" s="809"/>
      <c r="J6" s="809"/>
    </row>
    <row r="7" spans="1:10" s="1" customFormat="1">
      <c r="A7" s="785" t="s">
        <v>2053</v>
      </c>
      <c r="B7" s="810">
        <v>1200</v>
      </c>
      <c r="C7" s="809">
        <f t="shared" si="0"/>
        <v>0.34893864495492877</v>
      </c>
      <c r="D7" s="809"/>
      <c r="E7" s="809"/>
      <c r="F7" s="809"/>
      <c r="G7" s="809"/>
      <c r="H7" s="809"/>
      <c r="I7" s="809"/>
      <c r="J7" s="809"/>
    </row>
    <row r="8" spans="1:10" s="1" customFormat="1">
      <c r="A8" s="785" t="s">
        <v>1046</v>
      </c>
      <c r="B8" s="1">
        <v>33</v>
      </c>
      <c r="C8" s="809">
        <f t="shared" si="0"/>
        <v>9.5958127362605408E-3</v>
      </c>
      <c r="D8" s="809"/>
      <c r="E8" s="809"/>
      <c r="F8" s="809"/>
      <c r="G8" s="809"/>
      <c r="H8" s="809"/>
      <c r="I8" s="809"/>
      <c r="J8" s="809"/>
    </row>
    <row r="9" spans="1:10" s="1" customFormat="1">
      <c r="A9" s="785" t="s">
        <v>2054</v>
      </c>
      <c r="B9" s="1">
        <v>859</v>
      </c>
      <c r="C9" s="809">
        <f t="shared" si="0"/>
        <v>0.24978191334690317</v>
      </c>
      <c r="D9" s="809"/>
      <c r="E9" s="809"/>
      <c r="F9" s="809"/>
      <c r="G9" s="809"/>
      <c r="H9" s="809"/>
      <c r="I9" s="809"/>
      <c r="J9" s="809"/>
    </row>
    <row r="10" spans="1:10" s="1" customFormat="1">
      <c r="A10" s="785" t="s">
        <v>2055</v>
      </c>
      <c r="B10" s="1">
        <v>2</v>
      </c>
      <c r="C10" s="809">
        <f t="shared" si="0"/>
        <v>5.8156440825821458E-4</v>
      </c>
      <c r="D10" s="809"/>
      <c r="E10" s="809"/>
      <c r="F10" s="809"/>
      <c r="G10" s="809"/>
      <c r="H10" s="809"/>
      <c r="I10" s="809"/>
      <c r="J10" s="809"/>
    </row>
    <row r="11" spans="1:10" s="1" customFormat="1">
      <c r="A11" s="785" t="s">
        <v>2056</v>
      </c>
      <c r="B11" s="1">
        <v>47</v>
      </c>
      <c r="C11" s="809">
        <f t="shared" si="0"/>
        <v>1.3666763594068043E-2</v>
      </c>
      <c r="D11" s="809"/>
      <c r="E11" s="809"/>
      <c r="F11" s="809"/>
      <c r="G11" s="809"/>
      <c r="H11" s="809"/>
      <c r="I11" s="809"/>
      <c r="J11" s="809"/>
    </row>
    <row r="12" spans="1:10" s="1" customFormat="1" ht="22.5">
      <c r="A12" s="785" t="s">
        <v>2057</v>
      </c>
      <c r="B12" s="1">
        <v>17</v>
      </c>
      <c r="C12" s="809">
        <f t="shared" si="0"/>
        <v>4.9432974701948242E-3</v>
      </c>
      <c r="D12" s="809"/>
      <c r="E12" s="809"/>
      <c r="F12" s="809"/>
      <c r="G12" s="809"/>
      <c r="H12" s="809"/>
      <c r="I12" s="809"/>
      <c r="J12" s="809"/>
    </row>
    <row r="13" spans="1:10" s="1" customFormat="1">
      <c r="A13" s="353"/>
      <c r="B13" s="811"/>
      <c r="C13" s="811"/>
      <c r="D13" s="811"/>
      <c r="E13" s="811"/>
    </row>
    <row r="14" spans="1:10" s="1" customFormat="1" ht="30" customHeight="1">
      <c r="A14" s="2495" t="s">
        <v>2049</v>
      </c>
      <c r="B14" s="2495"/>
      <c r="C14" s="2495"/>
      <c r="D14" s="812"/>
      <c r="E14" s="812"/>
    </row>
    <row r="15" spans="1:10">
      <c r="A15" s="53"/>
      <c r="B15" s="53"/>
      <c r="C15" s="53"/>
      <c r="D15" s="816"/>
      <c r="E15" s="816"/>
      <c r="F15" s="808"/>
      <c r="G15" s="808"/>
      <c r="H15" s="808"/>
      <c r="I15" s="808"/>
      <c r="J15" s="808"/>
    </row>
  </sheetData>
  <mergeCells count="2">
    <mergeCell ref="A14:C14"/>
    <mergeCell ref="A2:C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2:F79"/>
  <sheetViews>
    <sheetView zoomScaleNormal="100" workbookViewId="0"/>
  </sheetViews>
  <sheetFormatPr baseColWidth="10" defaultRowHeight="11.25"/>
  <cols>
    <col min="1" max="1" width="18.140625" style="53" customWidth="1"/>
    <col min="2" max="2" width="11.42578125" style="53"/>
    <col min="3" max="6" width="16" style="53" customWidth="1"/>
    <col min="7" max="16384" width="11.42578125" style="53"/>
  </cols>
  <sheetData>
    <row r="2" spans="1:6" s="148" customFormat="1" ht="27.75" customHeight="1">
      <c r="A2" s="2063" t="s">
        <v>952</v>
      </c>
      <c r="B2" s="2063"/>
      <c r="C2" s="2063"/>
      <c r="D2" s="2063"/>
      <c r="E2" s="2063"/>
      <c r="F2" s="2063"/>
    </row>
    <row r="4" spans="1:6" ht="25.5" customHeight="1">
      <c r="A4" s="2058" t="s">
        <v>0</v>
      </c>
      <c r="B4" s="2066" t="s">
        <v>1</v>
      </c>
      <c r="C4" s="2066"/>
      <c r="D4" s="2066"/>
      <c r="E4" s="2066"/>
      <c r="F4" s="2066"/>
    </row>
    <row r="5" spans="1:6" ht="35.25" customHeight="1">
      <c r="A5" s="2058"/>
      <c r="B5" s="818" t="s">
        <v>2</v>
      </c>
      <c r="C5" s="818" t="s">
        <v>3878</v>
      </c>
      <c r="D5" s="818" t="s">
        <v>3</v>
      </c>
      <c r="E5" s="818" t="s">
        <v>4</v>
      </c>
      <c r="F5" s="818" t="s">
        <v>5</v>
      </c>
    </row>
    <row r="6" spans="1:6" s="150" customFormat="1">
      <c r="A6" s="150" t="s">
        <v>6</v>
      </c>
      <c r="B6" s="1821">
        <f>SUM(B7:B21)</f>
        <v>22</v>
      </c>
      <c r="C6" s="1821">
        <f>SUM(C7:C21)</f>
        <v>6</v>
      </c>
      <c r="D6" s="1821">
        <f>SUM(D7:D21)</f>
        <v>13</v>
      </c>
      <c r="E6" s="1821">
        <f>SUM(E7:E21)</f>
        <v>0</v>
      </c>
      <c r="F6" s="1821">
        <f>SUM(F7:F21)</f>
        <v>3</v>
      </c>
    </row>
    <row r="7" spans="1:6">
      <c r="A7" s="53" t="s">
        <v>7</v>
      </c>
      <c r="B7" s="1204">
        <f>SUM(C7:F7)</f>
        <v>1</v>
      </c>
      <c r="C7" s="1204">
        <v>0</v>
      </c>
      <c r="D7" s="1204">
        <v>1</v>
      </c>
      <c r="E7" s="1204">
        <v>0</v>
      </c>
      <c r="F7" s="1204">
        <v>0</v>
      </c>
    </row>
    <row r="8" spans="1:6">
      <c r="A8" s="53" t="s">
        <v>8</v>
      </c>
      <c r="B8" s="1204">
        <f t="shared" ref="B8:B21" si="0">SUM(C8:F8)</f>
        <v>0</v>
      </c>
      <c r="C8" s="1204">
        <v>0</v>
      </c>
      <c r="D8" s="1204">
        <v>0</v>
      </c>
      <c r="E8" s="1204">
        <v>0</v>
      </c>
      <c r="F8" s="1204">
        <v>0</v>
      </c>
    </row>
    <row r="9" spans="1:6">
      <c r="A9" s="53" t="s">
        <v>9</v>
      </c>
      <c r="B9" s="1204">
        <f t="shared" si="0"/>
        <v>2</v>
      </c>
      <c r="C9" s="1204">
        <v>1</v>
      </c>
      <c r="D9" s="1204">
        <v>1</v>
      </c>
      <c r="E9" s="1204">
        <v>0</v>
      </c>
      <c r="F9" s="1204">
        <v>0</v>
      </c>
    </row>
    <row r="10" spans="1:6">
      <c r="A10" s="53" t="s">
        <v>10</v>
      </c>
      <c r="B10" s="1204">
        <f t="shared" si="0"/>
        <v>0</v>
      </c>
      <c r="C10" s="1204">
        <v>0</v>
      </c>
      <c r="D10" s="1204">
        <v>0</v>
      </c>
      <c r="E10" s="1204">
        <v>0</v>
      </c>
      <c r="F10" s="1204">
        <v>0</v>
      </c>
    </row>
    <row r="11" spans="1:6">
      <c r="A11" s="53" t="s">
        <v>11</v>
      </c>
      <c r="B11" s="1204">
        <f t="shared" si="0"/>
        <v>0</v>
      </c>
      <c r="C11" s="1204">
        <v>0</v>
      </c>
      <c r="D11" s="1204">
        <v>0</v>
      </c>
      <c r="E11" s="1204">
        <v>0</v>
      </c>
      <c r="F11" s="1204">
        <v>0</v>
      </c>
    </row>
    <row r="12" spans="1:6">
      <c r="A12" s="53" t="s">
        <v>12</v>
      </c>
      <c r="B12" s="1204">
        <f t="shared" si="0"/>
        <v>3</v>
      </c>
      <c r="C12" s="1204">
        <v>0</v>
      </c>
      <c r="D12" s="1204">
        <f>1+1</f>
        <v>2</v>
      </c>
      <c r="E12" s="1204">
        <v>0</v>
      </c>
      <c r="F12" s="1204">
        <v>1</v>
      </c>
    </row>
    <row r="13" spans="1:6">
      <c r="A13" s="53" t="s">
        <v>13</v>
      </c>
      <c r="B13" s="1204">
        <f t="shared" si="0"/>
        <v>11</v>
      </c>
      <c r="C13" s="1204">
        <v>4</v>
      </c>
      <c r="D13" s="1204">
        <f>2+4</f>
        <v>6</v>
      </c>
      <c r="E13" s="1204">
        <v>0</v>
      </c>
      <c r="F13" s="1204">
        <v>1</v>
      </c>
    </row>
    <row r="14" spans="1:6">
      <c r="A14" s="53" t="s">
        <v>14</v>
      </c>
      <c r="B14" s="1204">
        <f t="shared" si="0"/>
        <v>3</v>
      </c>
      <c r="C14" s="1204">
        <v>0</v>
      </c>
      <c r="D14" s="1204">
        <v>2</v>
      </c>
      <c r="E14" s="1204">
        <v>0</v>
      </c>
      <c r="F14" s="1204">
        <v>1</v>
      </c>
    </row>
    <row r="15" spans="1:6">
      <c r="A15" s="53" t="s">
        <v>15</v>
      </c>
      <c r="B15" s="1204">
        <f t="shared" si="0"/>
        <v>0</v>
      </c>
      <c r="C15" s="1204">
        <v>0</v>
      </c>
      <c r="D15" s="1204">
        <v>0</v>
      </c>
      <c r="E15" s="1204">
        <v>0</v>
      </c>
      <c r="F15" s="1204">
        <v>0</v>
      </c>
    </row>
    <row r="16" spans="1:6">
      <c r="A16" s="53" t="s">
        <v>16</v>
      </c>
      <c r="B16" s="1204">
        <f t="shared" si="0"/>
        <v>2</v>
      </c>
      <c r="C16" s="1204">
        <v>1</v>
      </c>
      <c r="D16" s="1204">
        <v>1</v>
      </c>
      <c r="E16" s="1204">
        <v>0</v>
      </c>
      <c r="F16" s="1204">
        <v>0</v>
      </c>
    </row>
    <row r="17" spans="1:6">
      <c r="A17" s="53" t="s">
        <v>17</v>
      </c>
      <c r="B17" s="1204">
        <f t="shared" si="0"/>
        <v>0</v>
      </c>
      <c r="C17" s="1204">
        <v>0</v>
      </c>
      <c r="D17" s="1204">
        <v>0</v>
      </c>
      <c r="E17" s="1204">
        <v>0</v>
      </c>
      <c r="F17" s="1204">
        <v>0</v>
      </c>
    </row>
    <row r="18" spans="1:6">
      <c r="A18" s="53" t="s">
        <v>18</v>
      </c>
      <c r="B18" s="1204">
        <f t="shared" si="0"/>
        <v>0</v>
      </c>
      <c r="C18" s="1204">
        <v>0</v>
      </c>
      <c r="D18" s="1204">
        <v>0</v>
      </c>
      <c r="E18" s="1204">
        <v>0</v>
      </c>
      <c r="F18" s="1204">
        <v>0</v>
      </c>
    </row>
    <row r="19" spans="1:6">
      <c r="A19" s="53" t="s">
        <v>19</v>
      </c>
      <c r="B19" s="1204">
        <f t="shared" si="0"/>
        <v>0</v>
      </c>
      <c r="C19" s="1204">
        <v>0</v>
      </c>
      <c r="D19" s="1204">
        <v>0</v>
      </c>
      <c r="E19" s="1204">
        <v>0</v>
      </c>
      <c r="F19" s="1204">
        <v>0</v>
      </c>
    </row>
    <row r="20" spans="1:6">
      <c r="A20" s="53" t="s">
        <v>20</v>
      </c>
      <c r="B20" s="1204">
        <f t="shared" si="0"/>
        <v>0</v>
      </c>
      <c r="C20" s="1204">
        <v>0</v>
      </c>
      <c r="D20" s="1204">
        <v>0</v>
      </c>
      <c r="E20" s="1204">
        <v>0</v>
      </c>
      <c r="F20" s="1204">
        <v>0</v>
      </c>
    </row>
    <row r="21" spans="1:6">
      <c r="A21" s="53" t="s">
        <v>21</v>
      </c>
      <c r="B21" s="1204">
        <f t="shared" si="0"/>
        <v>0</v>
      </c>
      <c r="C21" s="1204">
        <v>0</v>
      </c>
      <c r="D21" s="1204">
        <v>0</v>
      </c>
      <c r="E21" s="1204">
        <v>0</v>
      </c>
      <c r="F21" s="1204">
        <v>0</v>
      </c>
    </row>
    <row r="22" spans="1:6" ht="6" customHeight="1"/>
    <row r="23" spans="1:6" ht="39" customHeight="1">
      <c r="A23" s="2067" t="s">
        <v>3879</v>
      </c>
      <c r="B23" s="2067"/>
      <c r="C23" s="2067"/>
      <c r="D23" s="2067"/>
      <c r="E23" s="2067"/>
      <c r="F23" s="2067"/>
    </row>
    <row r="24" spans="1:6" ht="12" customHeight="1">
      <c r="A24" s="2056" t="s">
        <v>22</v>
      </c>
      <c r="B24" s="2056"/>
      <c r="C24" s="2056"/>
      <c r="D24" s="2056"/>
      <c r="E24" s="2056"/>
      <c r="F24" s="2056"/>
    </row>
    <row r="25" spans="1:6" ht="14.25" customHeight="1">
      <c r="A25" s="2056" t="s">
        <v>23</v>
      </c>
      <c r="B25" s="2056"/>
      <c r="C25" s="2056"/>
      <c r="D25" s="2056"/>
      <c r="E25" s="2056"/>
      <c r="F25" s="2056"/>
    </row>
    <row r="29" spans="1:6" s="1901" customFormat="1"/>
    <row r="30" spans="1:6" s="1902" customFormat="1"/>
    <row r="31" spans="1:6" s="1902" customFormat="1" ht="10.5" customHeight="1">
      <c r="A31" s="92"/>
      <c r="B31" s="92"/>
      <c r="C31" s="92"/>
      <c r="D31" s="92"/>
      <c r="E31" s="92"/>
      <c r="F31" s="92"/>
    </row>
    <row r="32" spans="1:6" s="1902" customFormat="1">
      <c r="A32" s="92"/>
      <c r="B32" s="1820"/>
      <c r="C32" s="1820"/>
      <c r="D32" s="1820"/>
      <c r="E32" s="1820"/>
      <c r="F32" s="1820"/>
    </row>
    <row r="33" spans="2:6" s="1901" customFormat="1" ht="10.5" customHeight="1">
      <c r="B33" s="1903"/>
      <c r="C33" s="1903"/>
      <c r="D33" s="1903"/>
      <c r="E33" s="1903"/>
      <c r="F33" s="1903"/>
    </row>
    <row r="34" spans="2:6" s="1902" customFormat="1">
      <c r="B34" s="1904"/>
      <c r="C34" s="1904"/>
      <c r="D34" s="1904"/>
      <c r="E34" s="1904"/>
      <c r="F34" s="1904"/>
    </row>
    <row r="35" spans="2:6" s="1902" customFormat="1">
      <c r="B35" s="1904"/>
      <c r="C35" s="1904"/>
      <c r="D35" s="1904"/>
      <c r="E35" s="1904"/>
      <c r="F35" s="1904"/>
    </row>
    <row r="36" spans="2:6" s="1902" customFormat="1">
      <c r="B36" s="1904"/>
      <c r="C36" s="1904"/>
      <c r="D36" s="1904"/>
      <c r="E36" s="1904"/>
      <c r="F36" s="1904"/>
    </row>
    <row r="37" spans="2:6" s="1902" customFormat="1">
      <c r="B37" s="1904"/>
      <c r="C37" s="1904"/>
      <c r="D37" s="1904"/>
      <c r="E37" s="1904"/>
      <c r="F37" s="1904"/>
    </row>
    <row r="38" spans="2:6" s="1902" customFormat="1">
      <c r="B38" s="1904"/>
      <c r="C38" s="1904"/>
      <c r="D38" s="1904"/>
      <c r="E38" s="1904"/>
      <c r="F38" s="1904"/>
    </row>
    <row r="39" spans="2:6" s="1902" customFormat="1">
      <c r="B39" s="1904"/>
      <c r="C39" s="1904"/>
      <c r="D39" s="1904"/>
      <c r="E39" s="1904"/>
      <c r="F39" s="1904"/>
    </row>
    <row r="40" spans="2:6" s="1902" customFormat="1">
      <c r="B40" s="1904"/>
      <c r="C40" s="1904"/>
      <c r="D40" s="1904"/>
      <c r="E40" s="1904"/>
      <c r="F40" s="1904"/>
    </row>
    <row r="41" spans="2:6" s="1902" customFormat="1">
      <c r="B41" s="1904"/>
      <c r="C41" s="1904"/>
      <c r="D41" s="1904"/>
      <c r="E41" s="1904"/>
      <c r="F41" s="1904"/>
    </row>
    <row r="42" spans="2:6" s="1902" customFormat="1">
      <c r="B42" s="1904"/>
      <c r="C42" s="1904"/>
      <c r="D42" s="1904"/>
      <c r="E42" s="1904"/>
      <c r="F42" s="1904"/>
    </row>
    <row r="43" spans="2:6" s="1902" customFormat="1">
      <c r="B43" s="1904"/>
      <c r="C43" s="1904"/>
      <c r="D43" s="1904"/>
      <c r="E43" s="1904"/>
      <c r="F43" s="1904"/>
    </row>
    <row r="44" spans="2:6" s="1902" customFormat="1">
      <c r="B44" s="1904"/>
      <c r="C44" s="1904"/>
      <c r="D44" s="1904"/>
      <c r="E44" s="1904"/>
      <c r="F44" s="1904"/>
    </row>
    <row r="45" spans="2:6" s="1902" customFormat="1">
      <c r="B45" s="1904"/>
      <c r="C45" s="1904"/>
      <c r="D45" s="1904"/>
      <c r="E45" s="1904"/>
      <c r="F45" s="1904"/>
    </row>
    <row r="46" spans="2:6" s="1902" customFormat="1">
      <c r="B46" s="1904"/>
      <c r="C46" s="1904"/>
      <c r="D46" s="1904"/>
      <c r="E46" s="1904"/>
      <c r="F46" s="1904"/>
    </row>
    <row r="47" spans="2:6" s="1902" customFormat="1">
      <c r="B47" s="1904"/>
      <c r="C47" s="1904"/>
      <c r="D47" s="1904"/>
      <c r="E47" s="1904"/>
      <c r="F47" s="1904"/>
    </row>
    <row r="48" spans="2:6" s="1902" customFormat="1">
      <c r="B48" s="1904"/>
      <c r="C48" s="1904"/>
      <c r="D48" s="1904"/>
      <c r="E48" s="1904"/>
      <c r="F48" s="1904"/>
    </row>
    <row r="49" spans="2:6" s="1902" customFormat="1"/>
    <row r="50" spans="2:6" s="1902" customFormat="1"/>
    <row r="51" spans="2:6" s="1902" customFormat="1"/>
    <row r="52" spans="2:6" s="1902" customFormat="1" ht="10.5" customHeight="1"/>
    <row r="58" spans="2:6">
      <c r="B58" s="1204"/>
      <c r="C58" s="1204"/>
      <c r="D58" s="1204"/>
      <c r="E58" s="1204"/>
      <c r="F58" s="1204"/>
    </row>
    <row r="59" spans="2:6">
      <c r="B59" s="1204"/>
      <c r="C59" s="1204"/>
      <c r="D59" s="1204"/>
      <c r="E59" s="1204"/>
      <c r="F59" s="1204"/>
    </row>
    <row r="60" spans="2:6">
      <c r="B60" s="1204"/>
      <c r="C60" s="1204"/>
      <c r="D60" s="1204"/>
      <c r="E60" s="1204"/>
      <c r="F60" s="1204"/>
    </row>
    <row r="61" spans="2:6">
      <c r="B61" s="1204"/>
      <c r="C61" s="1204"/>
      <c r="D61" s="1204"/>
      <c r="E61" s="1204"/>
      <c r="F61" s="1204"/>
    </row>
    <row r="62" spans="2:6">
      <c r="B62" s="1204"/>
      <c r="C62" s="1204"/>
      <c r="D62" s="1204"/>
      <c r="E62" s="1204"/>
      <c r="F62" s="1204"/>
    </row>
    <row r="63" spans="2:6">
      <c r="B63" s="1204"/>
      <c r="C63" s="1204"/>
      <c r="D63" s="1204"/>
      <c r="E63" s="1204"/>
      <c r="F63" s="1204"/>
    </row>
    <row r="64" spans="2:6">
      <c r="B64" s="1204"/>
      <c r="C64" s="1204"/>
      <c r="D64" s="1204"/>
      <c r="E64" s="1204"/>
      <c r="F64" s="1204"/>
    </row>
    <row r="65" spans="2:6">
      <c r="B65" s="1204"/>
      <c r="C65" s="1204"/>
      <c r="D65" s="1204"/>
      <c r="E65" s="1204"/>
      <c r="F65" s="1204"/>
    </row>
    <row r="66" spans="2:6">
      <c r="B66" s="1204"/>
      <c r="C66" s="1204"/>
      <c r="D66" s="1204"/>
      <c r="E66" s="1204"/>
      <c r="F66" s="1204"/>
    </row>
    <row r="67" spans="2:6">
      <c r="B67" s="1204"/>
      <c r="C67" s="1204"/>
      <c r="D67" s="1204"/>
      <c r="E67" s="1204"/>
      <c r="F67" s="1204"/>
    </row>
    <row r="68" spans="2:6">
      <c r="B68" s="1204"/>
      <c r="C68" s="1204"/>
      <c r="D68" s="1204"/>
      <c r="E68" s="1204"/>
      <c r="F68" s="1204"/>
    </row>
    <row r="69" spans="2:6">
      <c r="B69" s="1204"/>
      <c r="C69" s="1204"/>
      <c r="D69" s="1204"/>
      <c r="E69" s="1204"/>
      <c r="F69" s="1204"/>
    </row>
    <row r="70" spans="2:6">
      <c r="B70" s="1204"/>
      <c r="C70" s="1204"/>
      <c r="D70" s="1204"/>
      <c r="E70" s="1204"/>
      <c r="F70" s="1204"/>
    </row>
    <row r="71" spans="2:6">
      <c r="B71" s="1204"/>
      <c r="C71" s="1204"/>
      <c r="D71" s="1204"/>
      <c r="E71" s="1204"/>
      <c r="F71" s="1204"/>
    </row>
    <row r="72" spans="2:6">
      <c r="B72" s="1204"/>
      <c r="C72" s="1204"/>
      <c r="D72" s="1204"/>
      <c r="E72" s="1204"/>
      <c r="F72" s="1204"/>
    </row>
    <row r="73" spans="2:6">
      <c r="B73" s="1204"/>
      <c r="C73" s="1204"/>
      <c r="D73" s="1204"/>
      <c r="E73" s="1204"/>
      <c r="F73" s="1204"/>
    </row>
    <row r="74" spans="2:6">
      <c r="B74" s="1204"/>
      <c r="C74" s="1204"/>
      <c r="D74" s="1204"/>
      <c r="E74" s="1204"/>
      <c r="F74" s="1204"/>
    </row>
    <row r="75" spans="2:6">
      <c r="B75" s="1204"/>
      <c r="C75" s="1204"/>
      <c r="D75" s="1204"/>
      <c r="E75" s="1204"/>
      <c r="F75" s="1204"/>
    </row>
    <row r="76" spans="2:6">
      <c r="B76" s="1204"/>
      <c r="C76" s="1204"/>
      <c r="D76" s="1204"/>
      <c r="E76" s="1204"/>
      <c r="F76" s="1204"/>
    </row>
    <row r="77" spans="2:6">
      <c r="B77" s="1204"/>
      <c r="C77" s="1204"/>
      <c r="D77" s="1204"/>
      <c r="E77" s="1204"/>
      <c r="F77" s="1204"/>
    </row>
    <row r="78" spans="2:6">
      <c r="B78" s="1204"/>
      <c r="C78" s="1204"/>
      <c r="D78" s="1204"/>
      <c r="E78" s="1204"/>
      <c r="F78" s="1204"/>
    </row>
    <row r="79" spans="2:6">
      <c r="B79" s="1204"/>
      <c r="C79" s="1204"/>
      <c r="D79" s="1204"/>
      <c r="E79" s="1204"/>
      <c r="F79" s="1204"/>
    </row>
  </sheetData>
  <mergeCells count="6">
    <mergeCell ref="A25:F25"/>
    <mergeCell ref="A2:F2"/>
    <mergeCell ref="A4:A5"/>
    <mergeCell ref="B4:F4"/>
    <mergeCell ref="A23:F23"/>
    <mergeCell ref="A24:F24"/>
  </mergeCells>
  <pageMargins left="0.7" right="0.7" top="0.75" bottom="0.75" header="0.3" footer="0.3"/>
</worksheet>
</file>

<file path=xl/worksheets/sheet230.xml><?xml version="1.0" encoding="utf-8"?>
<worksheet xmlns="http://schemas.openxmlformats.org/spreadsheetml/2006/main" xmlns:r="http://schemas.openxmlformats.org/officeDocument/2006/relationships">
  <dimension ref="A2:L10"/>
  <sheetViews>
    <sheetView zoomScaleNormal="100" workbookViewId="0">
      <selection activeCell="A21" sqref="A21"/>
    </sheetView>
  </sheetViews>
  <sheetFormatPr baseColWidth="10" defaultRowHeight="11.25"/>
  <cols>
    <col min="1" max="1" width="23.42578125" style="2" customWidth="1"/>
    <col min="2" max="2" width="20.42578125" style="2" customWidth="1"/>
    <col min="3" max="3" width="19" style="2" customWidth="1"/>
    <col min="4" max="5" width="20.42578125" style="2" customWidth="1"/>
    <col min="6" max="16384" width="11.42578125" style="2"/>
  </cols>
  <sheetData>
    <row r="2" spans="1:12" ht="36" customHeight="1">
      <c r="A2" s="2096" t="s">
        <v>2058</v>
      </c>
      <c r="B2" s="2096"/>
      <c r="C2" s="2096"/>
    </row>
    <row r="3" spans="1:12">
      <c r="A3" s="803"/>
    </row>
    <row r="4" spans="1:12">
      <c r="A4" s="804"/>
      <c r="B4" s="805" t="s">
        <v>1879</v>
      </c>
      <c r="C4" s="805" t="s">
        <v>1149</v>
      </c>
      <c r="D4" s="806"/>
      <c r="E4" s="806"/>
      <c r="F4" s="806"/>
      <c r="G4" s="806"/>
      <c r="H4" s="806"/>
      <c r="I4" s="806"/>
      <c r="J4" s="806"/>
    </row>
    <row r="5" spans="1:12">
      <c r="A5" s="405" t="s">
        <v>6</v>
      </c>
      <c r="B5" s="807">
        <f>SUM(B6:B7)</f>
        <v>909627</v>
      </c>
      <c r="C5" s="808">
        <f>B5/$B$5</f>
        <v>1</v>
      </c>
      <c r="D5" s="809"/>
      <c r="E5" s="809"/>
      <c r="F5" s="809"/>
      <c r="G5" s="809"/>
      <c r="H5" s="809"/>
      <c r="I5" s="809"/>
      <c r="J5" s="809"/>
    </row>
    <row r="6" spans="1:12" ht="22.5">
      <c r="A6" s="786" t="s">
        <v>2059</v>
      </c>
      <c r="B6" s="810">
        <v>906188</v>
      </c>
      <c r="C6" s="809">
        <f>B6/$B$5</f>
        <v>0.99621932946141656</v>
      </c>
      <c r="D6" s="809"/>
      <c r="E6" s="809"/>
      <c r="F6" s="809"/>
      <c r="G6" s="809"/>
      <c r="H6" s="809"/>
      <c r="I6" s="809"/>
      <c r="J6" s="809"/>
    </row>
    <row r="7" spans="1:12" ht="22.5">
      <c r="A7" s="786" t="s">
        <v>2060</v>
      </c>
      <c r="B7" s="810">
        <v>3439</v>
      </c>
      <c r="C7" s="809">
        <f>B7/$B$5</f>
        <v>3.7806705385833974E-3</v>
      </c>
      <c r="D7" s="808"/>
      <c r="E7" s="808"/>
      <c r="F7" s="808"/>
      <c r="G7" s="808"/>
      <c r="H7" s="808"/>
      <c r="I7" s="808"/>
      <c r="J7" s="808"/>
    </row>
    <row r="8" spans="1:12">
      <c r="A8" s="353"/>
      <c r="B8" s="811"/>
      <c r="C8" s="811"/>
      <c r="D8" s="811"/>
      <c r="E8" s="811"/>
      <c r="F8" s="811"/>
      <c r="G8" s="811"/>
      <c r="H8" s="811"/>
      <c r="I8" s="811"/>
      <c r="J8" s="811"/>
      <c r="K8" s="811"/>
      <c r="L8" s="811"/>
    </row>
    <row r="9" spans="1:12" s="814" customFormat="1" ht="36.75" customHeight="1">
      <c r="A9" s="2495" t="s">
        <v>2049</v>
      </c>
      <c r="B9" s="2495"/>
      <c r="C9" s="2495"/>
      <c r="D9" s="812"/>
      <c r="E9" s="812"/>
      <c r="F9" s="813"/>
      <c r="G9" s="813"/>
      <c r="H9" s="813"/>
      <c r="I9" s="813"/>
      <c r="J9" s="813"/>
      <c r="K9" s="813"/>
      <c r="L9" s="813"/>
    </row>
    <row r="10" spans="1:12">
      <c r="D10" s="808"/>
      <c r="E10" s="808"/>
      <c r="F10" s="808"/>
      <c r="G10" s="808"/>
      <c r="H10" s="808"/>
      <c r="I10" s="808"/>
      <c r="J10" s="808"/>
    </row>
  </sheetData>
  <mergeCells count="2">
    <mergeCell ref="A2:C2"/>
    <mergeCell ref="A9:C9"/>
  </mergeCells>
  <pageMargins left="0.7" right="0.7" top="0.75" bottom="0.75" header="0.3" footer="0.3"/>
  <pageSetup paperSize="9" orientation="portrait" r:id="rId1"/>
</worksheet>
</file>

<file path=xl/worksheets/sheet231.xml><?xml version="1.0" encoding="utf-8"?>
<worksheet xmlns="http://schemas.openxmlformats.org/spreadsheetml/2006/main" xmlns:r="http://schemas.openxmlformats.org/officeDocument/2006/relationships">
  <sheetPr>
    <pageSetUpPr fitToPage="1"/>
  </sheetPr>
  <dimension ref="A1:H57"/>
  <sheetViews>
    <sheetView topLeftCell="A31" zoomScaleNormal="100" workbookViewId="0">
      <selection activeCell="A63" sqref="A63"/>
    </sheetView>
  </sheetViews>
  <sheetFormatPr baseColWidth="10" defaultRowHeight="11.25"/>
  <cols>
    <col min="1" max="1" width="26.42578125" style="367" customWidth="1"/>
    <col min="2" max="2" width="16.42578125" style="90" customWidth="1"/>
    <col min="3" max="3" width="19" style="90" customWidth="1"/>
    <col min="4" max="4" width="25.7109375" style="90" customWidth="1"/>
    <col min="5" max="5" width="18.42578125" style="90" customWidth="1"/>
    <col min="6" max="16384" width="11.42578125" style="90"/>
  </cols>
  <sheetData>
    <row r="1" spans="1:5" s="1" customFormat="1" ht="4.5" customHeight="1">
      <c r="A1" s="59"/>
    </row>
    <row r="2" spans="1:5" s="1" customFormat="1" ht="28.5" customHeight="1">
      <c r="A2" s="2286" t="s">
        <v>3262</v>
      </c>
      <c r="B2" s="2286"/>
      <c r="C2" s="2286"/>
      <c r="D2" s="2286"/>
      <c r="E2" s="2286"/>
    </row>
    <row r="3" spans="1:5" s="1" customFormat="1" ht="5.25" customHeight="1">
      <c r="A3" s="59"/>
    </row>
    <row r="4" spans="1:5" s="1" customFormat="1" ht="15" customHeight="1">
      <c r="A4" s="2496" t="s">
        <v>2061</v>
      </c>
      <c r="B4" s="2499" t="s">
        <v>2062</v>
      </c>
      <c r="C4" s="2499"/>
      <c r="D4" s="2499"/>
      <c r="E4" s="2499"/>
    </row>
    <row r="5" spans="1:5" s="1" customFormat="1" ht="15" customHeight="1">
      <c r="A5" s="2497"/>
      <c r="B5" s="2101" t="s">
        <v>2063</v>
      </c>
      <c r="C5" s="2499" t="s">
        <v>2064</v>
      </c>
      <c r="D5" s="2499"/>
      <c r="E5" s="2499"/>
    </row>
    <row r="6" spans="1:5" ht="43.5" customHeight="1">
      <c r="A6" s="2498"/>
      <c r="B6" s="2101"/>
      <c r="C6" s="801" t="s">
        <v>2065</v>
      </c>
      <c r="D6" s="801" t="s">
        <v>2066</v>
      </c>
      <c r="E6" s="801" t="s">
        <v>2067</v>
      </c>
    </row>
    <row r="7" spans="1:5">
      <c r="A7" s="64" t="s">
        <v>6</v>
      </c>
      <c r="B7" s="406">
        <f>SUM(B8,B12,B14,B17,B20,B25,B28,B34,B40,B43,B50)</f>
        <v>1411</v>
      </c>
      <c r="C7" s="406">
        <f>SUM(C8,C12,C14,C17,C20,C25,C28,C34,C40,C43,C50)</f>
        <v>565</v>
      </c>
      <c r="D7" s="406">
        <f>SUM(D8,D12,D14,D17,D20,D25,D28,D34,D40,D43,D50)</f>
        <v>749</v>
      </c>
      <c r="E7" s="406">
        <f>SUM(E8,E12,E14,E17,E20,E25,E28,E34,E40,E43,E50)</f>
        <v>97</v>
      </c>
    </row>
    <row r="8" spans="1:5">
      <c r="A8" s="64" t="s">
        <v>2068</v>
      </c>
      <c r="B8" s="406">
        <f>SUM(B9:B11)</f>
        <v>38</v>
      </c>
      <c r="C8" s="406">
        <f>SUM(C9:C11)</f>
        <v>7</v>
      </c>
      <c r="D8" s="406">
        <f>SUM(D9:D11)</f>
        <v>22</v>
      </c>
      <c r="E8" s="406">
        <f>SUM(E9:E11)</f>
        <v>9</v>
      </c>
    </row>
    <row r="9" spans="1:5">
      <c r="A9" s="337" t="s">
        <v>2069</v>
      </c>
      <c r="B9" s="409">
        <f>SUM(C9:E9)</f>
        <v>12</v>
      </c>
      <c r="C9" s="409">
        <v>0</v>
      </c>
      <c r="D9" s="409">
        <v>12</v>
      </c>
      <c r="E9" s="409">
        <v>0</v>
      </c>
    </row>
    <row r="10" spans="1:5" ht="11.25" customHeight="1">
      <c r="A10" s="337" t="s">
        <v>2070</v>
      </c>
      <c r="B10" s="409">
        <f>SUM(C10:E10)</f>
        <v>18</v>
      </c>
      <c r="C10" s="409">
        <v>7</v>
      </c>
      <c r="D10" s="409">
        <v>6</v>
      </c>
      <c r="E10" s="409">
        <v>5</v>
      </c>
    </row>
    <row r="11" spans="1:5" ht="11.25" customHeight="1">
      <c r="A11" s="337" t="s">
        <v>2071</v>
      </c>
      <c r="B11" s="409">
        <f>SUM(C11:E11)</f>
        <v>8</v>
      </c>
      <c r="C11" s="409">
        <v>0</v>
      </c>
      <c r="D11" s="409">
        <v>4</v>
      </c>
      <c r="E11" s="409">
        <v>4</v>
      </c>
    </row>
    <row r="12" spans="1:5" ht="14.25" customHeight="1">
      <c r="A12" s="64" t="s">
        <v>2072</v>
      </c>
      <c r="B12" s="406">
        <f>SUM(B13)</f>
        <v>3</v>
      </c>
      <c r="C12" s="406">
        <f>SUM(C13)</f>
        <v>3</v>
      </c>
      <c r="D12" s="406">
        <f>SUM(D13)</f>
        <v>0</v>
      </c>
      <c r="E12" s="406">
        <f>SUM(E13)</f>
        <v>0</v>
      </c>
    </row>
    <row r="13" spans="1:5">
      <c r="A13" s="337" t="s">
        <v>2072</v>
      </c>
      <c r="B13" s="409">
        <f>SUM(C13:E13)</f>
        <v>3</v>
      </c>
      <c r="C13" s="409">
        <v>3</v>
      </c>
      <c r="D13" s="409">
        <v>0</v>
      </c>
      <c r="E13" s="409">
        <v>0</v>
      </c>
    </row>
    <row r="14" spans="1:5" ht="15" customHeight="1">
      <c r="A14" s="64" t="s">
        <v>2073</v>
      </c>
      <c r="B14" s="406">
        <f>SUM(B15:B16)</f>
        <v>63</v>
      </c>
      <c r="C14" s="406">
        <f>SUM(C15:C16)</f>
        <v>50</v>
      </c>
      <c r="D14" s="406">
        <f>SUM(D15:D16)</f>
        <v>2</v>
      </c>
      <c r="E14" s="406">
        <f>SUM(E15:E16)</f>
        <v>11</v>
      </c>
    </row>
    <row r="15" spans="1:5" ht="11.25" customHeight="1">
      <c r="A15" s="337" t="s">
        <v>2074</v>
      </c>
      <c r="B15" s="409">
        <f>SUM(C15:E15)</f>
        <v>42</v>
      </c>
      <c r="C15" s="409">
        <v>29</v>
      </c>
      <c r="D15" s="409">
        <v>2</v>
      </c>
      <c r="E15" s="409">
        <v>11</v>
      </c>
    </row>
    <row r="16" spans="1:5" ht="11.25" customHeight="1">
      <c r="A16" s="337" t="s">
        <v>2075</v>
      </c>
      <c r="B16" s="409">
        <f>SUM(C16:E16)</f>
        <v>21</v>
      </c>
      <c r="C16" s="409">
        <v>21</v>
      </c>
      <c r="D16" s="409">
        <v>0</v>
      </c>
      <c r="E16" s="409">
        <v>0</v>
      </c>
    </row>
    <row r="17" spans="1:5" ht="12.75" customHeight="1">
      <c r="A17" s="64" t="s">
        <v>2076</v>
      </c>
      <c r="B17" s="406">
        <f>SUM(B18:B19)</f>
        <v>37</v>
      </c>
      <c r="C17" s="406">
        <f>SUM(C18:C19)</f>
        <v>31</v>
      </c>
      <c r="D17" s="406">
        <f>SUM(D18:D19)</f>
        <v>5</v>
      </c>
      <c r="E17" s="406">
        <f>SUM(E18:E19)</f>
        <v>1</v>
      </c>
    </row>
    <row r="18" spans="1:5" ht="11.25" customHeight="1">
      <c r="A18" s="337" t="s">
        <v>2077</v>
      </c>
      <c r="B18" s="409">
        <f>SUM(C18:E18)</f>
        <v>6</v>
      </c>
      <c r="C18" s="409">
        <v>6</v>
      </c>
      <c r="D18" s="409">
        <v>0</v>
      </c>
      <c r="E18" s="409">
        <v>0</v>
      </c>
    </row>
    <row r="19" spans="1:5" ht="11.25" customHeight="1">
      <c r="A19" s="337" t="s">
        <v>1921</v>
      </c>
      <c r="B19" s="409">
        <f>SUM(C19:E19)</f>
        <v>31</v>
      </c>
      <c r="C19" s="409">
        <v>25</v>
      </c>
      <c r="D19" s="409">
        <v>5</v>
      </c>
      <c r="E19" s="409">
        <v>1</v>
      </c>
    </row>
    <row r="20" spans="1:5">
      <c r="A20" s="64" t="s">
        <v>2078</v>
      </c>
      <c r="B20" s="406">
        <f>SUM(B21:B24)</f>
        <v>124</v>
      </c>
      <c r="C20" s="406">
        <f>SUM(C21:C24)</f>
        <v>70</v>
      </c>
      <c r="D20" s="406">
        <f>SUM(D21:D24)</f>
        <v>49</v>
      </c>
      <c r="E20" s="406">
        <f>SUM(E21:E24)</f>
        <v>5</v>
      </c>
    </row>
    <row r="21" spans="1:5">
      <c r="A21" s="337" t="s">
        <v>1830</v>
      </c>
      <c r="B21" s="409">
        <f>SUM(C21:E21)</f>
        <v>78</v>
      </c>
      <c r="C21" s="409">
        <v>70</v>
      </c>
      <c r="D21" s="409">
        <v>6</v>
      </c>
      <c r="E21" s="409">
        <v>2</v>
      </c>
    </row>
    <row r="22" spans="1:5" ht="11.25" customHeight="1">
      <c r="A22" s="337" t="s">
        <v>2079</v>
      </c>
      <c r="B22" s="409">
        <f>SUM(C22:E22)</f>
        <v>40</v>
      </c>
      <c r="C22" s="409">
        <v>0</v>
      </c>
      <c r="D22" s="409">
        <v>40</v>
      </c>
      <c r="E22" s="409">
        <v>0</v>
      </c>
    </row>
    <row r="23" spans="1:5" ht="11.25" customHeight="1">
      <c r="A23" s="337" t="s">
        <v>2080</v>
      </c>
      <c r="B23" s="409">
        <f>SUM(C23:E23)</f>
        <v>3</v>
      </c>
      <c r="C23" s="409">
        <v>0</v>
      </c>
      <c r="D23" s="409">
        <v>3</v>
      </c>
      <c r="E23" s="409">
        <v>0</v>
      </c>
    </row>
    <row r="24" spans="1:5" ht="11.25" customHeight="1">
      <c r="A24" s="337" t="s">
        <v>2081</v>
      </c>
      <c r="B24" s="409">
        <f>SUM(C24:E24)</f>
        <v>3</v>
      </c>
      <c r="C24" s="409">
        <v>0</v>
      </c>
      <c r="D24" s="409">
        <v>0</v>
      </c>
      <c r="E24" s="409">
        <v>3</v>
      </c>
    </row>
    <row r="25" spans="1:5" ht="20.25" customHeight="1">
      <c r="A25" s="64" t="s">
        <v>2082</v>
      </c>
      <c r="B25" s="406">
        <f>SUM(B26:B27)</f>
        <v>61</v>
      </c>
      <c r="C25" s="406">
        <f>SUM(C26:C27)</f>
        <v>6</v>
      </c>
      <c r="D25" s="406">
        <f>SUM(D26:D27)</f>
        <v>16</v>
      </c>
      <c r="E25" s="406">
        <f>SUM(E26:E27)</f>
        <v>39</v>
      </c>
    </row>
    <row r="26" spans="1:5" ht="14.25" customHeight="1">
      <c r="A26" s="337" t="s">
        <v>2083</v>
      </c>
      <c r="B26" s="409">
        <f>SUM(C26:E26)</f>
        <v>16</v>
      </c>
      <c r="C26" s="409">
        <v>4</v>
      </c>
      <c r="D26" s="409">
        <v>11</v>
      </c>
      <c r="E26" s="409">
        <v>1</v>
      </c>
    </row>
    <row r="27" spans="1:5" ht="11.25" customHeight="1">
      <c r="A27" s="337" t="s">
        <v>1529</v>
      </c>
      <c r="B27" s="409">
        <f>SUM(C27:E27)</f>
        <v>45</v>
      </c>
      <c r="C27" s="409">
        <v>2</v>
      </c>
      <c r="D27" s="409">
        <v>5</v>
      </c>
      <c r="E27" s="409">
        <v>38</v>
      </c>
    </row>
    <row r="28" spans="1:5" ht="24" customHeight="1">
      <c r="A28" s="64" t="s">
        <v>2084</v>
      </c>
      <c r="B28" s="406">
        <f>SUM(B29:B33)</f>
        <v>78</v>
      </c>
      <c r="C28" s="406">
        <f>SUM(C29:C33)</f>
        <v>54</v>
      </c>
      <c r="D28" s="406">
        <f>SUM(D29:D33)</f>
        <v>22</v>
      </c>
      <c r="E28" s="406">
        <f>SUM(E29:E33)</f>
        <v>2</v>
      </c>
    </row>
    <row r="29" spans="1:5" ht="11.25" customHeight="1">
      <c r="A29" s="337" t="s">
        <v>2085</v>
      </c>
      <c r="B29" s="409">
        <f>SUM(C29:E29)</f>
        <v>11</v>
      </c>
      <c r="C29" s="409">
        <v>11</v>
      </c>
      <c r="D29" s="409">
        <v>0</v>
      </c>
      <c r="E29" s="409">
        <v>0</v>
      </c>
    </row>
    <row r="30" spans="1:5" ht="11.25" customHeight="1">
      <c r="A30" s="337" t="s">
        <v>2086</v>
      </c>
      <c r="B30" s="409">
        <f>SUM(C30:E30)</f>
        <v>15</v>
      </c>
      <c r="C30" s="409">
        <v>13</v>
      </c>
      <c r="D30" s="409">
        <v>1</v>
      </c>
      <c r="E30" s="409">
        <v>1</v>
      </c>
    </row>
    <row r="31" spans="1:5" ht="11.25" customHeight="1">
      <c r="A31" s="337" t="s">
        <v>2087</v>
      </c>
      <c r="B31" s="409">
        <f>SUM(C31:E31)</f>
        <v>39</v>
      </c>
      <c r="C31" s="409">
        <v>28</v>
      </c>
      <c r="D31" s="409">
        <v>10</v>
      </c>
      <c r="E31" s="409">
        <v>1</v>
      </c>
    </row>
    <row r="32" spans="1:5" ht="11.25" customHeight="1">
      <c r="A32" s="337" t="s">
        <v>2088</v>
      </c>
      <c r="B32" s="409">
        <f>SUM(C32:E32)</f>
        <v>2</v>
      </c>
      <c r="C32" s="409">
        <v>0</v>
      </c>
      <c r="D32" s="409">
        <v>2</v>
      </c>
      <c r="E32" s="409">
        <v>0</v>
      </c>
    </row>
    <row r="33" spans="1:6" ht="11.25" customHeight="1">
      <c r="A33" s="337" t="s">
        <v>2089</v>
      </c>
      <c r="B33" s="409">
        <f>SUM(C33:E33)</f>
        <v>11</v>
      </c>
      <c r="C33" s="409">
        <v>2</v>
      </c>
      <c r="D33" s="409">
        <v>9</v>
      </c>
      <c r="E33" s="409">
        <v>0</v>
      </c>
    </row>
    <row r="34" spans="1:6" ht="25.5" customHeight="1">
      <c r="A34" s="64" t="s">
        <v>2090</v>
      </c>
      <c r="B34" s="406">
        <f>SUM(B35:B39)</f>
        <v>421</v>
      </c>
      <c r="C34" s="406">
        <f>SUM(C35:C39)</f>
        <v>340</v>
      </c>
      <c r="D34" s="406">
        <f>SUM(D35:D39)</f>
        <v>66</v>
      </c>
      <c r="E34" s="406">
        <f>SUM(E35:E39)</f>
        <v>15</v>
      </c>
    </row>
    <row r="35" spans="1:6" ht="13.5" customHeight="1">
      <c r="A35" s="337" t="s">
        <v>2091</v>
      </c>
      <c r="B35" s="409">
        <f>SUM(C35:E35)</f>
        <v>75</v>
      </c>
      <c r="C35" s="409">
        <v>53</v>
      </c>
      <c r="D35" s="409">
        <v>7</v>
      </c>
      <c r="E35" s="409">
        <v>15</v>
      </c>
    </row>
    <row r="36" spans="1:6" ht="11.25" customHeight="1">
      <c r="A36" s="337" t="s">
        <v>2053</v>
      </c>
      <c r="B36" s="409">
        <f>SUM(C36:E36)</f>
        <v>37</v>
      </c>
      <c r="C36" s="409">
        <v>0</v>
      </c>
      <c r="D36" s="409">
        <v>37</v>
      </c>
      <c r="E36" s="409">
        <v>0</v>
      </c>
    </row>
    <row r="37" spans="1:6" ht="11.25" customHeight="1">
      <c r="A37" s="337" t="s">
        <v>2092</v>
      </c>
      <c r="B37" s="409">
        <f>SUM(C37:E37)</f>
        <v>234</v>
      </c>
      <c r="C37" s="409">
        <v>222</v>
      </c>
      <c r="D37" s="409">
        <v>12</v>
      </c>
      <c r="E37" s="409">
        <v>0</v>
      </c>
    </row>
    <row r="38" spans="1:6" ht="11.25" customHeight="1">
      <c r="A38" s="337" t="s">
        <v>1833</v>
      </c>
      <c r="B38" s="409">
        <f>SUM(C38:E38)</f>
        <v>51</v>
      </c>
      <c r="C38" s="409">
        <v>49</v>
      </c>
      <c r="D38" s="409">
        <v>2</v>
      </c>
      <c r="E38" s="409">
        <v>0</v>
      </c>
    </row>
    <row r="39" spans="1:6" ht="11.25" customHeight="1">
      <c r="A39" s="337" t="s">
        <v>2093</v>
      </c>
      <c r="B39" s="409">
        <f>SUM(C39:E39)</f>
        <v>24</v>
      </c>
      <c r="C39" s="409">
        <v>16</v>
      </c>
      <c r="D39" s="409">
        <v>8</v>
      </c>
      <c r="E39" s="409">
        <v>0</v>
      </c>
    </row>
    <row r="40" spans="1:6" ht="22.5" customHeight="1">
      <c r="A40" s="64" t="s">
        <v>2094</v>
      </c>
      <c r="B40" s="406">
        <f>SUM(B41:B42)</f>
        <v>492</v>
      </c>
      <c r="C40" s="406">
        <f>SUM(C41:C42)</f>
        <v>1</v>
      </c>
      <c r="D40" s="406">
        <f>SUM(D41:D42)</f>
        <v>490</v>
      </c>
      <c r="E40" s="406">
        <f>SUM(E41:E42)</f>
        <v>1</v>
      </c>
    </row>
    <row r="41" spans="1:6" ht="9.75" customHeight="1">
      <c r="A41" s="337" t="s">
        <v>2095</v>
      </c>
      <c r="B41" s="401">
        <f t="shared" ref="B41:B53" si="0">SUM(C41:E41)</f>
        <v>488</v>
      </c>
      <c r="C41" s="401">
        <v>1</v>
      </c>
      <c r="D41" s="401">
        <v>486</v>
      </c>
      <c r="E41" s="401">
        <v>1</v>
      </c>
    </row>
    <row r="42" spans="1:6">
      <c r="A42" s="337" t="s">
        <v>2096</v>
      </c>
      <c r="B42" s="401">
        <f t="shared" si="0"/>
        <v>4</v>
      </c>
      <c r="C42" s="401">
        <v>0</v>
      </c>
      <c r="D42" s="401">
        <v>4</v>
      </c>
      <c r="E42" s="401">
        <v>0</v>
      </c>
    </row>
    <row r="43" spans="1:6">
      <c r="A43" s="64" t="s">
        <v>2097</v>
      </c>
      <c r="B43" s="406">
        <f>SUM(B44:B49)</f>
        <v>63</v>
      </c>
      <c r="C43" s="406">
        <f>SUM(C44:C49)</f>
        <v>1</v>
      </c>
      <c r="D43" s="406">
        <f>SUM(D44:D49)</f>
        <v>60</v>
      </c>
      <c r="E43" s="406">
        <f>SUM(E44:E49)</f>
        <v>2</v>
      </c>
      <c r="F43" s="802"/>
    </row>
    <row r="44" spans="1:6" ht="11.25" customHeight="1">
      <c r="A44" s="337" t="s">
        <v>2098</v>
      </c>
      <c r="B44" s="409">
        <f t="shared" si="0"/>
        <v>2</v>
      </c>
      <c r="C44" s="409">
        <v>0</v>
      </c>
      <c r="D44" s="409">
        <v>2</v>
      </c>
      <c r="E44" s="409">
        <v>0</v>
      </c>
    </row>
    <row r="45" spans="1:6" ht="11.25" customHeight="1">
      <c r="A45" s="337" t="s">
        <v>2099</v>
      </c>
      <c r="B45" s="409">
        <f t="shared" si="0"/>
        <v>14</v>
      </c>
      <c r="C45" s="409">
        <v>0</v>
      </c>
      <c r="D45" s="409">
        <v>13</v>
      </c>
      <c r="E45" s="409">
        <v>1</v>
      </c>
    </row>
    <row r="46" spans="1:6" ht="11.25" customHeight="1">
      <c r="A46" s="337" t="s">
        <v>2100</v>
      </c>
      <c r="B46" s="409">
        <f t="shared" si="0"/>
        <v>14</v>
      </c>
      <c r="C46" s="409">
        <v>0</v>
      </c>
      <c r="D46" s="409">
        <v>13</v>
      </c>
      <c r="E46" s="409">
        <v>1</v>
      </c>
    </row>
    <row r="47" spans="1:6" ht="22.5">
      <c r="A47" s="337" t="s">
        <v>2101</v>
      </c>
      <c r="B47" s="409">
        <f t="shared" si="0"/>
        <v>6</v>
      </c>
      <c r="C47" s="409">
        <v>0</v>
      </c>
      <c r="D47" s="409">
        <v>6</v>
      </c>
      <c r="E47" s="409">
        <v>0</v>
      </c>
    </row>
    <row r="48" spans="1:6" ht="11.25" customHeight="1">
      <c r="A48" s="337" t="s">
        <v>2102</v>
      </c>
      <c r="B48" s="409">
        <f t="shared" si="0"/>
        <v>9</v>
      </c>
      <c r="C48" s="409">
        <v>1</v>
      </c>
      <c r="D48" s="409">
        <v>8</v>
      </c>
      <c r="E48" s="409">
        <v>0</v>
      </c>
    </row>
    <row r="49" spans="1:8" ht="11.25" customHeight="1">
      <c r="A49" s="337" t="s">
        <v>2103</v>
      </c>
      <c r="B49" s="409">
        <f t="shared" si="0"/>
        <v>18</v>
      </c>
      <c r="C49" s="409">
        <v>0</v>
      </c>
      <c r="D49" s="409">
        <v>18</v>
      </c>
      <c r="E49" s="409">
        <v>0</v>
      </c>
    </row>
    <row r="50" spans="1:8" ht="15" customHeight="1">
      <c r="A50" s="64" t="s">
        <v>2104</v>
      </c>
      <c r="B50" s="398">
        <f>SUM(B51:B53)</f>
        <v>31</v>
      </c>
      <c r="C50" s="398">
        <f>SUM(C51:C53)</f>
        <v>2</v>
      </c>
      <c r="D50" s="398">
        <f>SUM(D51:D53)</f>
        <v>17</v>
      </c>
      <c r="E50" s="398">
        <f>SUM(E51:E53)</f>
        <v>12</v>
      </c>
    </row>
    <row r="51" spans="1:8" ht="22.5">
      <c r="A51" s="337" t="s">
        <v>2105</v>
      </c>
      <c r="B51" s="401">
        <f t="shared" si="0"/>
        <v>6</v>
      </c>
      <c r="C51" s="401">
        <v>2</v>
      </c>
      <c r="D51" s="401">
        <v>2</v>
      </c>
      <c r="E51" s="401">
        <v>2</v>
      </c>
    </row>
    <row r="52" spans="1:8" ht="11.25" customHeight="1">
      <c r="A52" s="337" t="s">
        <v>2106</v>
      </c>
      <c r="B52" s="401">
        <f t="shared" si="0"/>
        <v>11</v>
      </c>
      <c r="C52" s="401">
        <v>0</v>
      </c>
      <c r="D52" s="401">
        <v>1</v>
      </c>
      <c r="E52" s="401">
        <v>10</v>
      </c>
    </row>
    <row r="53" spans="1:8" ht="11.25" customHeight="1">
      <c r="A53" s="337" t="s">
        <v>2107</v>
      </c>
      <c r="B53" s="401">
        <f t="shared" si="0"/>
        <v>14</v>
      </c>
      <c r="C53" s="401">
        <v>0</v>
      </c>
      <c r="D53" s="401">
        <v>14</v>
      </c>
      <c r="E53" s="401">
        <v>0</v>
      </c>
    </row>
    <row r="54" spans="1:8" ht="11.25" customHeight="1">
      <c r="B54" s="367"/>
      <c r="C54" s="367"/>
      <c r="D54" s="367"/>
      <c r="E54" s="367"/>
      <c r="F54" s="367"/>
    </row>
    <row r="55" spans="1:8" ht="24" customHeight="1">
      <c r="A55" s="2085" t="s">
        <v>3533</v>
      </c>
      <c r="B55" s="2085"/>
      <c r="C55" s="2085"/>
      <c r="D55" s="2085"/>
      <c r="E55" s="2085"/>
    </row>
    <row r="56" spans="1:8">
      <c r="A56" s="367" t="s">
        <v>733</v>
      </c>
    </row>
    <row r="57" spans="1:8" ht="21.75" customHeight="1">
      <c r="A57" s="2085" t="s">
        <v>2108</v>
      </c>
      <c r="B57" s="2085"/>
      <c r="C57" s="2085"/>
      <c r="D57" s="2085"/>
      <c r="E57" s="2085"/>
      <c r="F57" s="367"/>
      <c r="G57" s="367"/>
      <c r="H57" s="367"/>
    </row>
  </sheetData>
  <mergeCells count="7">
    <mergeCell ref="A57:E57"/>
    <mergeCell ref="A2:E2"/>
    <mergeCell ref="A4:A6"/>
    <mergeCell ref="B4:E4"/>
    <mergeCell ref="B5:B6"/>
    <mergeCell ref="C5:E5"/>
    <mergeCell ref="A55:E55"/>
  </mergeCells>
  <pageMargins left="0.41" right="0.48" top="0.52" bottom="0.74803149606299213" header="0.31496062992125984" footer="0.31496062992125984"/>
  <pageSetup paperSize="281" scale="91" orientation="portrait" r:id="rId1"/>
</worksheet>
</file>

<file path=xl/worksheets/sheet232.xml><?xml version="1.0" encoding="utf-8"?>
<worksheet xmlns="http://schemas.openxmlformats.org/spreadsheetml/2006/main" xmlns:r="http://schemas.openxmlformats.org/officeDocument/2006/relationships">
  <sheetPr>
    <pageSetUpPr fitToPage="1"/>
  </sheetPr>
  <dimension ref="A1:F54"/>
  <sheetViews>
    <sheetView topLeftCell="A31" zoomScaleNormal="100" workbookViewId="0">
      <selection activeCell="A60" sqref="A60"/>
    </sheetView>
  </sheetViews>
  <sheetFormatPr baseColWidth="10" defaultRowHeight="11.25"/>
  <cols>
    <col min="1" max="1" width="35.28515625" style="369" customWidth="1"/>
    <col min="2" max="2" width="18.85546875" style="785" customWidth="1"/>
    <col min="3" max="3" width="19" style="785" customWidth="1"/>
    <col min="4" max="4" width="18.7109375" style="785" customWidth="1"/>
    <col min="5" max="5" width="9" style="785" customWidth="1"/>
    <col min="6" max="6" width="9.7109375" style="785" customWidth="1"/>
    <col min="7" max="16384" width="11.42578125" style="785"/>
  </cols>
  <sheetData>
    <row r="1" spans="1:6" ht="7.5" customHeight="1"/>
    <row r="2" spans="1:6" s="90" customFormat="1" ht="30" customHeight="1">
      <c r="A2" s="2500" t="s">
        <v>3261</v>
      </c>
      <c r="B2" s="2500"/>
      <c r="C2" s="2500"/>
      <c r="D2" s="2500"/>
      <c r="E2" s="92"/>
    </row>
    <row r="3" spans="1:6" s="797" customFormat="1" ht="6.75" customHeight="1">
      <c r="A3" s="796"/>
    </row>
    <row r="4" spans="1:6" ht="22.5">
      <c r="A4" s="333" t="s">
        <v>2061</v>
      </c>
      <c r="B4" s="404" t="s">
        <v>2109</v>
      </c>
      <c r="C4" s="404" t="s">
        <v>2110</v>
      </c>
      <c r="D4" s="404" t="s">
        <v>2111</v>
      </c>
    </row>
    <row r="5" spans="1:6" s="786" customFormat="1">
      <c r="A5" s="64" t="s">
        <v>6</v>
      </c>
      <c r="B5" s="798">
        <f>SUM(B6,B10,B12,B15,B18,B23,B26,B32,B38,B41,B48)</f>
        <v>100367</v>
      </c>
      <c r="C5" s="798">
        <f>SUM(C6,C10,C12,C15,C18,C23,C26,C32,C38,C41,C48)</f>
        <v>37747</v>
      </c>
      <c r="D5" s="798">
        <f>SUM(D6,D10,D12,D15,D18,D23,D26,D32,D38,D41,D48)</f>
        <v>62620</v>
      </c>
    </row>
    <row r="6" spans="1:6" s="786" customFormat="1">
      <c r="A6" s="64" t="s">
        <v>2068</v>
      </c>
      <c r="B6" s="798">
        <f>SUM(B7:B9)</f>
        <v>1230</v>
      </c>
      <c r="C6" s="798">
        <f>SUM(C7:C9)</f>
        <v>804</v>
      </c>
      <c r="D6" s="798">
        <f>SUM(D7:D9)</f>
        <v>426</v>
      </c>
      <c r="E6" s="799"/>
      <c r="F6" s="799"/>
    </row>
    <row r="7" spans="1:6">
      <c r="A7" s="369" t="s">
        <v>2069</v>
      </c>
      <c r="B7" s="800">
        <f>SUM(C7:D7)</f>
        <v>720</v>
      </c>
      <c r="C7" s="800">
        <v>470</v>
      </c>
      <c r="D7" s="800">
        <v>250</v>
      </c>
    </row>
    <row r="8" spans="1:6">
      <c r="A8" s="369" t="s">
        <v>2070</v>
      </c>
      <c r="B8" s="800">
        <f>SUM(C8:D8)</f>
        <v>318</v>
      </c>
      <c r="C8" s="800">
        <v>215</v>
      </c>
      <c r="D8" s="800">
        <v>103</v>
      </c>
    </row>
    <row r="9" spans="1:6">
      <c r="A9" s="369" t="s">
        <v>2071</v>
      </c>
      <c r="B9" s="800">
        <f>SUM(C9:D9)</f>
        <v>192</v>
      </c>
      <c r="C9" s="800">
        <v>119</v>
      </c>
      <c r="D9" s="800">
        <v>73</v>
      </c>
    </row>
    <row r="10" spans="1:6" s="786" customFormat="1">
      <c r="A10" s="64" t="s">
        <v>2072</v>
      </c>
      <c r="B10" s="798">
        <f>SUM(B11)</f>
        <v>36</v>
      </c>
      <c r="C10" s="798">
        <f>SUM(C11)</f>
        <v>25</v>
      </c>
      <c r="D10" s="798">
        <f>SUM(D11)</f>
        <v>11</v>
      </c>
    </row>
    <row r="11" spans="1:6">
      <c r="A11" s="369" t="s">
        <v>2072</v>
      </c>
      <c r="B11" s="800">
        <f>SUM(C11:D11)</f>
        <v>36</v>
      </c>
      <c r="C11" s="800">
        <v>25</v>
      </c>
      <c r="D11" s="800">
        <v>11</v>
      </c>
    </row>
    <row r="12" spans="1:6" s="786" customFormat="1">
      <c r="A12" s="64" t="s">
        <v>2073</v>
      </c>
      <c r="B12" s="798">
        <f>SUM(B13:B14)</f>
        <v>5178</v>
      </c>
      <c r="C12" s="798">
        <f>SUM(C13:C14)</f>
        <v>3319</v>
      </c>
      <c r="D12" s="798">
        <f>SUM(D13:D14)</f>
        <v>1859</v>
      </c>
    </row>
    <row r="13" spans="1:6">
      <c r="A13" s="369" t="s">
        <v>2074</v>
      </c>
      <c r="B13" s="800">
        <f>SUM(C13:D13)</f>
        <v>3380</v>
      </c>
      <c r="C13" s="800">
        <v>2297</v>
      </c>
      <c r="D13" s="800">
        <v>1083</v>
      </c>
    </row>
    <row r="14" spans="1:6">
      <c r="A14" s="369" t="s">
        <v>2075</v>
      </c>
      <c r="B14" s="800">
        <f>SUM(C14:D14)</f>
        <v>1798</v>
      </c>
      <c r="C14" s="800">
        <v>1022</v>
      </c>
      <c r="D14" s="800">
        <v>776</v>
      </c>
    </row>
    <row r="15" spans="1:6" s="786" customFormat="1">
      <c r="A15" s="64" t="s">
        <v>2076</v>
      </c>
      <c r="B15" s="798">
        <f>SUM(B16:B17)</f>
        <v>2736</v>
      </c>
      <c r="C15" s="798">
        <f>SUM(C16:C17)</f>
        <v>1858</v>
      </c>
      <c r="D15" s="798">
        <f>SUM(D16:D17)</f>
        <v>878</v>
      </c>
    </row>
    <row r="16" spans="1:6">
      <c r="A16" s="369" t="s">
        <v>2077</v>
      </c>
      <c r="B16" s="800">
        <f>SUM(C16:D16)</f>
        <v>661</v>
      </c>
      <c r="C16" s="800">
        <v>541</v>
      </c>
      <c r="D16" s="800">
        <v>120</v>
      </c>
    </row>
    <row r="17" spans="1:4">
      <c r="A17" s="369" t="s">
        <v>1921</v>
      </c>
      <c r="B17" s="800">
        <f>SUM(C17:D17)</f>
        <v>2075</v>
      </c>
      <c r="C17" s="800">
        <v>1317</v>
      </c>
      <c r="D17" s="800">
        <v>758</v>
      </c>
    </row>
    <row r="18" spans="1:4" s="786" customFormat="1">
      <c r="A18" s="64" t="s">
        <v>2078</v>
      </c>
      <c r="B18" s="798">
        <f>SUM(B19:B22)</f>
        <v>6294</v>
      </c>
      <c r="C18" s="798">
        <f>SUM(C19:C22)</f>
        <v>1122</v>
      </c>
      <c r="D18" s="798">
        <f>SUM(D19:D22)</f>
        <v>5172</v>
      </c>
    </row>
    <row r="19" spans="1:4">
      <c r="A19" s="369" t="s">
        <v>1830</v>
      </c>
      <c r="B19" s="800">
        <f>SUM(C19:D19)</f>
        <v>3319</v>
      </c>
      <c r="C19" s="800">
        <v>881</v>
      </c>
      <c r="D19" s="800">
        <v>2438</v>
      </c>
    </row>
    <row r="20" spans="1:4">
      <c r="A20" s="369" t="s">
        <v>2081</v>
      </c>
      <c r="B20" s="800">
        <f>SUM(C20:D20)</f>
        <v>38</v>
      </c>
      <c r="C20" s="800">
        <v>16</v>
      </c>
      <c r="D20" s="800">
        <v>22</v>
      </c>
    </row>
    <row r="21" spans="1:4">
      <c r="A21" s="369" t="s">
        <v>2080</v>
      </c>
      <c r="B21" s="800">
        <f>SUM(C21:D21)</f>
        <v>160</v>
      </c>
      <c r="C21" s="800">
        <v>17</v>
      </c>
      <c r="D21" s="800">
        <v>143</v>
      </c>
    </row>
    <row r="22" spans="1:4">
      <c r="A22" s="369" t="s">
        <v>2079</v>
      </c>
      <c r="B22" s="800">
        <f>SUM(C22:D22)</f>
        <v>2777</v>
      </c>
      <c r="C22" s="800">
        <v>208</v>
      </c>
      <c r="D22" s="800">
        <v>2569</v>
      </c>
    </row>
    <row r="23" spans="1:4" s="786" customFormat="1">
      <c r="A23" s="64" t="s">
        <v>2082</v>
      </c>
      <c r="B23" s="798">
        <f>SUM(B24:B25)</f>
        <v>2763</v>
      </c>
      <c r="C23" s="798">
        <f>SUM(C24:C25)</f>
        <v>1756</v>
      </c>
      <c r="D23" s="798">
        <f>SUM(D24:D25)</f>
        <v>1007</v>
      </c>
    </row>
    <row r="24" spans="1:4">
      <c r="A24" s="369" t="s">
        <v>2083</v>
      </c>
      <c r="B24" s="800">
        <f>SUM(C24:D24)</f>
        <v>264</v>
      </c>
      <c r="C24" s="800">
        <v>126</v>
      </c>
      <c r="D24" s="800">
        <v>138</v>
      </c>
    </row>
    <row r="25" spans="1:4">
      <c r="A25" s="369" t="s">
        <v>1529</v>
      </c>
      <c r="B25" s="800">
        <f>SUM(C25:D25)</f>
        <v>2499</v>
      </c>
      <c r="C25" s="800">
        <v>1630</v>
      </c>
      <c r="D25" s="800">
        <v>869</v>
      </c>
    </row>
    <row r="26" spans="1:4" s="786" customFormat="1" ht="16.5" customHeight="1">
      <c r="A26" s="64" t="s">
        <v>2084</v>
      </c>
      <c r="B26" s="798">
        <f>SUM(B27:B31)</f>
        <v>6483</v>
      </c>
      <c r="C26" s="798">
        <f>SUM(C27:C31)</f>
        <v>2117</v>
      </c>
      <c r="D26" s="798">
        <f>SUM(D27:D31)</f>
        <v>4366</v>
      </c>
    </row>
    <row r="27" spans="1:4">
      <c r="A27" s="369" t="s">
        <v>2085</v>
      </c>
      <c r="B27" s="800">
        <f>SUM(C27:D27)</f>
        <v>961</v>
      </c>
      <c r="C27" s="800">
        <v>281</v>
      </c>
      <c r="D27" s="800">
        <v>680</v>
      </c>
    </row>
    <row r="28" spans="1:4">
      <c r="A28" s="369" t="s">
        <v>2086</v>
      </c>
      <c r="B28" s="800">
        <f>SUM(C28:D28)</f>
        <v>1086</v>
      </c>
      <c r="C28" s="800">
        <v>430</v>
      </c>
      <c r="D28" s="800">
        <v>656</v>
      </c>
    </row>
    <row r="29" spans="1:4" ht="22.5">
      <c r="A29" s="369" t="s">
        <v>2087</v>
      </c>
      <c r="B29" s="800">
        <f>SUM(C29:D29)</f>
        <v>3560</v>
      </c>
      <c r="C29" s="800">
        <v>1198</v>
      </c>
      <c r="D29" s="800">
        <v>2362</v>
      </c>
    </row>
    <row r="30" spans="1:4">
      <c r="A30" s="369" t="s">
        <v>2088</v>
      </c>
      <c r="B30" s="800">
        <f>SUM(C30:D30)</f>
        <v>140</v>
      </c>
      <c r="C30" s="800">
        <v>38</v>
      </c>
      <c r="D30" s="800">
        <v>102</v>
      </c>
    </row>
    <row r="31" spans="1:4">
      <c r="A31" s="369" t="s">
        <v>2089</v>
      </c>
      <c r="B31" s="800">
        <f>SUM(C31:D31)</f>
        <v>736</v>
      </c>
      <c r="C31" s="800">
        <v>170</v>
      </c>
      <c r="D31" s="800">
        <v>566</v>
      </c>
    </row>
    <row r="32" spans="1:4" s="786" customFormat="1" ht="22.5">
      <c r="A32" s="64" t="s">
        <v>2090</v>
      </c>
      <c r="B32" s="798">
        <f>SUM(B33:B37)</f>
        <v>39967</v>
      </c>
      <c r="C32" s="798">
        <f>SUM(C33:C37)</f>
        <v>20343</v>
      </c>
      <c r="D32" s="798">
        <f>SUM(D33:D37)</f>
        <v>19624</v>
      </c>
    </row>
    <row r="33" spans="1:4">
      <c r="A33" s="369" t="s">
        <v>2091</v>
      </c>
      <c r="B33" s="800">
        <f>SUM(C33:D33)</f>
        <v>12504</v>
      </c>
      <c r="C33" s="800">
        <v>5810</v>
      </c>
      <c r="D33" s="800">
        <v>6694</v>
      </c>
    </row>
    <row r="34" spans="1:4">
      <c r="A34" s="369" t="s">
        <v>2053</v>
      </c>
      <c r="B34" s="800">
        <f>SUM(C34:D34)</f>
        <v>2180</v>
      </c>
      <c r="C34" s="800">
        <v>726</v>
      </c>
      <c r="D34" s="800">
        <v>1454</v>
      </c>
    </row>
    <row r="35" spans="1:4">
      <c r="A35" s="369" t="s">
        <v>2092</v>
      </c>
      <c r="B35" s="800">
        <f>SUM(C35:D35)</f>
        <v>19615</v>
      </c>
      <c r="C35" s="800">
        <v>11408</v>
      </c>
      <c r="D35" s="800">
        <v>8207</v>
      </c>
    </row>
    <row r="36" spans="1:4">
      <c r="A36" s="369" t="s">
        <v>1833</v>
      </c>
      <c r="B36" s="800">
        <f>SUM(C36:D36)</f>
        <v>4937</v>
      </c>
      <c r="C36" s="800">
        <v>2154</v>
      </c>
      <c r="D36" s="800">
        <v>2783</v>
      </c>
    </row>
    <row r="37" spans="1:4">
      <c r="A37" s="369" t="s">
        <v>2093</v>
      </c>
      <c r="B37" s="800">
        <f>SUM(C37:D37)</f>
        <v>731</v>
      </c>
      <c r="C37" s="800">
        <v>245</v>
      </c>
      <c r="D37" s="800">
        <v>486</v>
      </c>
    </row>
    <row r="38" spans="1:4" s="786" customFormat="1">
      <c r="A38" s="64" t="s">
        <v>2094</v>
      </c>
      <c r="B38" s="798">
        <f>SUM(B39:B40)</f>
        <v>29826</v>
      </c>
      <c r="C38" s="798">
        <f>SUM(C39:C40)</f>
        <v>3208</v>
      </c>
      <c r="D38" s="798">
        <f>SUM(D39:D40)</f>
        <v>26618</v>
      </c>
    </row>
    <row r="39" spans="1:4">
      <c r="A39" s="369" t="s">
        <v>2095</v>
      </c>
      <c r="B39" s="800">
        <f>SUM(C39:D39)</f>
        <v>29553</v>
      </c>
      <c r="C39" s="800">
        <v>3195</v>
      </c>
      <c r="D39" s="800">
        <v>26358</v>
      </c>
    </row>
    <row r="40" spans="1:4">
      <c r="A40" s="369" t="s">
        <v>2096</v>
      </c>
      <c r="B40" s="800">
        <f>SUM(C40:D40)</f>
        <v>273</v>
      </c>
      <c r="C40" s="800">
        <v>13</v>
      </c>
      <c r="D40" s="800">
        <v>260</v>
      </c>
    </row>
    <row r="41" spans="1:4" s="786" customFormat="1">
      <c r="A41" s="64" t="s">
        <v>2097</v>
      </c>
      <c r="B41" s="798">
        <f>SUM(B42:B47)</f>
        <v>4760</v>
      </c>
      <c r="C41" s="798">
        <f>SUM(C42:C47)</f>
        <v>2504</v>
      </c>
      <c r="D41" s="798">
        <f>SUM(D42:D47)</f>
        <v>2256</v>
      </c>
    </row>
    <row r="42" spans="1:4">
      <c r="A42" s="369" t="s">
        <v>2098</v>
      </c>
      <c r="B42" s="800">
        <f t="shared" ref="B42:B47" si="0">SUM(C42:D42)</f>
        <v>86</v>
      </c>
      <c r="C42" s="800">
        <v>72</v>
      </c>
      <c r="D42" s="800">
        <v>14</v>
      </c>
    </row>
    <row r="43" spans="1:4">
      <c r="A43" s="369" t="s">
        <v>2099</v>
      </c>
      <c r="B43" s="800">
        <f t="shared" si="0"/>
        <v>859</v>
      </c>
      <c r="C43" s="800">
        <v>656</v>
      </c>
      <c r="D43" s="800">
        <v>203</v>
      </c>
    </row>
    <row r="44" spans="1:4">
      <c r="A44" s="369" t="s">
        <v>2100</v>
      </c>
      <c r="B44" s="800">
        <f t="shared" si="0"/>
        <v>883</v>
      </c>
      <c r="C44" s="800">
        <v>583</v>
      </c>
      <c r="D44" s="800">
        <v>300</v>
      </c>
    </row>
    <row r="45" spans="1:4">
      <c r="A45" s="369" t="s">
        <v>2101</v>
      </c>
      <c r="B45" s="800">
        <f t="shared" si="0"/>
        <v>220</v>
      </c>
      <c r="C45" s="800">
        <v>129</v>
      </c>
      <c r="D45" s="800">
        <v>91</v>
      </c>
    </row>
    <row r="46" spans="1:4">
      <c r="A46" s="369" t="s">
        <v>2102</v>
      </c>
      <c r="B46" s="800">
        <f t="shared" si="0"/>
        <v>737</v>
      </c>
      <c r="C46" s="800">
        <v>506</v>
      </c>
      <c r="D46" s="800">
        <v>231</v>
      </c>
    </row>
    <row r="47" spans="1:4">
      <c r="A47" s="369" t="s">
        <v>2103</v>
      </c>
      <c r="B47" s="800">
        <f t="shared" si="0"/>
        <v>1975</v>
      </c>
      <c r="C47" s="800">
        <v>558</v>
      </c>
      <c r="D47" s="800">
        <v>1417</v>
      </c>
    </row>
    <row r="48" spans="1:4" s="786" customFormat="1">
      <c r="A48" s="64" t="s">
        <v>2104</v>
      </c>
      <c r="B48" s="798">
        <f>SUM(B49:B51)</f>
        <v>1094</v>
      </c>
      <c r="C48" s="798">
        <f>SUM(C49:C51)</f>
        <v>691</v>
      </c>
      <c r="D48" s="798">
        <f>SUM(D49:D51)</f>
        <v>403</v>
      </c>
    </row>
    <row r="49" spans="1:6">
      <c r="A49" s="369" t="s">
        <v>2105</v>
      </c>
      <c r="B49" s="800">
        <f>SUM(C49:D49)</f>
        <v>100</v>
      </c>
      <c r="C49" s="800">
        <v>41</v>
      </c>
      <c r="D49" s="800">
        <v>59</v>
      </c>
    </row>
    <row r="50" spans="1:6">
      <c r="A50" s="369" t="s">
        <v>2106</v>
      </c>
      <c r="B50" s="800">
        <f>SUM(C50:D50)</f>
        <v>382</v>
      </c>
      <c r="C50" s="800">
        <v>242</v>
      </c>
      <c r="D50" s="800">
        <v>140</v>
      </c>
    </row>
    <row r="51" spans="1:6">
      <c r="A51" s="369" t="s">
        <v>2107</v>
      </c>
      <c r="B51" s="800">
        <f>SUM(C51:D51)</f>
        <v>612</v>
      </c>
      <c r="C51" s="800">
        <v>408</v>
      </c>
      <c r="D51" s="800">
        <v>204</v>
      </c>
    </row>
    <row r="53" spans="1:6" ht="23.25" customHeight="1">
      <c r="A53" s="2085" t="s">
        <v>3533</v>
      </c>
      <c r="B53" s="2085"/>
      <c r="C53" s="2085"/>
      <c r="D53" s="2085"/>
    </row>
    <row r="54" spans="1:6" ht="24" customHeight="1">
      <c r="A54" s="2085" t="s">
        <v>2108</v>
      </c>
      <c r="B54" s="2085"/>
      <c r="C54" s="2085"/>
      <c r="D54" s="2085"/>
      <c r="E54" s="369"/>
      <c r="F54" s="369"/>
    </row>
  </sheetData>
  <mergeCells count="3">
    <mergeCell ref="A2:D2"/>
    <mergeCell ref="A54:D54"/>
    <mergeCell ref="A53:D53"/>
  </mergeCells>
  <pageMargins left="0.70866141732283472" right="0.70866141732283472" top="0.74803149606299213" bottom="0.74803149606299213" header="0.31496062992125984" footer="0.31496062992125984"/>
  <pageSetup paperSize="9" scale="76" orientation="portrait" r:id="rId1"/>
</worksheet>
</file>

<file path=xl/worksheets/sheet233.xml><?xml version="1.0" encoding="utf-8"?>
<worksheet xmlns="http://schemas.openxmlformats.org/spreadsheetml/2006/main" xmlns:r="http://schemas.openxmlformats.org/officeDocument/2006/relationships">
  <sheetPr>
    <pageSetUpPr fitToPage="1"/>
  </sheetPr>
  <dimension ref="A1:AJ56"/>
  <sheetViews>
    <sheetView topLeftCell="A34" zoomScaleNormal="100" workbookViewId="0">
      <selection activeCell="A61" sqref="A61"/>
    </sheetView>
  </sheetViews>
  <sheetFormatPr baseColWidth="10" defaultColWidth="13" defaultRowHeight="11.25"/>
  <cols>
    <col min="1" max="1" width="32" style="59" customWidth="1"/>
    <col min="2" max="2" width="9.7109375" style="1" bestFit="1" customWidth="1"/>
    <col min="3" max="3" width="13" style="1"/>
    <col min="4" max="4" width="9.7109375" style="1" bestFit="1" customWidth="1"/>
    <col min="5" max="5" width="13" style="1"/>
    <col min="6" max="6" width="9.7109375" style="1" bestFit="1" customWidth="1"/>
    <col min="7" max="7" width="13" style="1"/>
    <col min="8" max="8" width="9.7109375" style="1" bestFit="1" customWidth="1"/>
    <col min="9" max="9" width="13" style="1"/>
    <col min="10" max="10" width="9.7109375" style="1" bestFit="1" customWidth="1"/>
    <col min="11" max="11" width="13" style="1"/>
    <col min="12" max="12" width="9.7109375" style="1" bestFit="1" customWidth="1"/>
    <col min="13" max="13" width="13" style="1"/>
    <col min="14" max="14" width="9.7109375" style="1" bestFit="1" customWidth="1"/>
    <col min="15" max="15" width="13" style="1"/>
    <col min="16" max="16" width="9.7109375" style="1" bestFit="1" customWidth="1"/>
    <col min="17" max="17" width="13" style="1"/>
    <col min="18" max="18" width="9.7109375" style="1" bestFit="1" customWidth="1"/>
    <col min="19" max="19" width="13" style="1"/>
    <col min="20" max="20" width="9.7109375" style="1" bestFit="1" customWidth="1"/>
    <col min="21" max="21" width="13" style="1"/>
    <col min="22" max="22" width="9.7109375" style="1" bestFit="1" customWidth="1"/>
    <col min="23" max="23" width="13" style="1"/>
    <col min="24" max="24" width="9.7109375" style="1" bestFit="1" customWidth="1"/>
    <col min="25" max="25" width="13" style="1"/>
    <col min="26" max="26" width="9.7109375" style="1" bestFit="1" customWidth="1"/>
    <col min="27" max="27" width="13" style="1"/>
    <col min="28" max="28" width="9.7109375" style="1" bestFit="1" customWidth="1"/>
    <col min="29" max="29" width="13" style="1"/>
    <col min="30" max="30" width="9.7109375" style="1" bestFit="1" customWidth="1"/>
    <col min="31" max="31" width="13" style="1" customWidth="1"/>
    <col min="32" max="32" width="9.7109375" style="1" bestFit="1" customWidth="1"/>
    <col min="33" max="16384" width="13" style="1"/>
  </cols>
  <sheetData>
    <row r="1" spans="1:36">
      <c r="E1" s="59"/>
      <c r="F1" s="59"/>
      <c r="O1" s="792"/>
      <c r="P1" s="792"/>
    </row>
    <row r="2" spans="1:36" ht="12.75">
      <c r="A2" s="91" t="s">
        <v>3260</v>
      </c>
      <c r="B2" s="91"/>
      <c r="E2" s="59"/>
      <c r="F2" s="59"/>
      <c r="O2" s="792"/>
      <c r="P2" s="792"/>
    </row>
    <row r="3" spans="1:36" s="791" customFormat="1">
      <c r="A3" s="365"/>
    </row>
    <row r="4" spans="1:36" ht="15" customHeight="1">
      <c r="A4" s="2501" t="s">
        <v>2061</v>
      </c>
      <c r="B4" s="2119" t="s">
        <v>26</v>
      </c>
      <c r="C4" s="2119"/>
      <c r="D4" s="2119" t="s">
        <v>7</v>
      </c>
      <c r="E4" s="2119"/>
      <c r="F4" s="2119" t="s">
        <v>8</v>
      </c>
      <c r="G4" s="2119"/>
      <c r="H4" s="2119" t="s">
        <v>9</v>
      </c>
      <c r="I4" s="2119"/>
      <c r="J4" s="2119" t="s">
        <v>10</v>
      </c>
      <c r="K4" s="2119"/>
      <c r="L4" s="2119" t="s">
        <v>11</v>
      </c>
      <c r="M4" s="2119"/>
      <c r="N4" s="2119" t="s">
        <v>12</v>
      </c>
      <c r="O4" s="2119"/>
      <c r="P4" s="2119" t="s">
        <v>13</v>
      </c>
      <c r="Q4" s="2119"/>
      <c r="R4" s="2119" t="s">
        <v>14</v>
      </c>
      <c r="S4" s="2119"/>
      <c r="T4" s="2119" t="s">
        <v>15</v>
      </c>
      <c r="U4" s="2119"/>
      <c r="V4" s="2119" t="s">
        <v>16</v>
      </c>
      <c r="W4" s="2119"/>
      <c r="X4" s="2119" t="s">
        <v>17</v>
      </c>
      <c r="Y4" s="2119"/>
      <c r="Z4" s="2119" t="s">
        <v>276</v>
      </c>
      <c r="AA4" s="2119"/>
      <c r="AB4" s="2119" t="s">
        <v>280</v>
      </c>
      <c r="AC4" s="2119"/>
      <c r="AD4" s="2119" t="s">
        <v>20</v>
      </c>
      <c r="AE4" s="2119"/>
      <c r="AF4" s="2119" t="s">
        <v>21</v>
      </c>
      <c r="AG4" s="2119"/>
    </row>
    <row r="5" spans="1:36" ht="33.75">
      <c r="A5" s="2501"/>
      <c r="B5" s="793" t="s">
        <v>2112</v>
      </c>
      <c r="C5" s="793" t="s">
        <v>2113</v>
      </c>
      <c r="D5" s="793" t="s">
        <v>2112</v>
      </c>
      <c r="E5" s="793" t="s">
        <v>2114</v>
      </c>
      <c r="F5" s="793" t="s">
        <v>2112</v>
      </c>
      <c r="G5" s="793" t="s">
        <v>2114</v>
      </c>
      <c r="H5" s="793" t="s">
        <v>2112</v>
      </c>
      <c r="I5" s="793" t="s">
        <v>2114</v>
      </c>
      <c r="J5" s="793" t="s">
        <v>2112</v>
      </c>
      <c r="K5" s="793" t="s">
        <v>2114</v>
      </c>
      <c r="L5" s="793" t="s">
        <v>2112</v>
      </c>
      <c r="M5" s="793" t="s">
        <v>2114</v>
      </c>
      <c r="N5" s="793" t="s">
        <v>2112</v>
      </c>
      <c r="O5" s="793" t="s">
        <v>2114</v>
      </c>
      <c r="P5" s="793" t="s">
        <v>2112</v>
      </c>
      <c r="Q5" s="793" t="s">
        <v>2114</v>
      </c>
      <c r="R5" s="793" t="s">
        <v>2112</v>
      </c>
      <c r="S5" s="793" t="s">
        <v>2114</v>
      </c>
      <c r="T5" s="793" t="s">
        <v>2112</v>
      </c>
      <c r="U5" s="793" t="s">
        <v>2114</v>
      </c>
      <c r="V5" s="793" t="s">
        <v>2112</v>
      </c>
      <c r="W5" s="793" t="s">
        <v>2114</v>
      </c>
      <c r="X5" s="793" t="s">
        <v>2112</v>
      </c>
      <c r="Y5" s="793" t="s">
        <v>2114</v>
      </c>
      <c r="Z5" s="793" t="s">
        <v>2112</v>
      </c>
      <c r="AA5" s="793" t="s">
        <v>2114</v>
      </c>
      <c r="AB5" s="793" t="s">
        <v>2112</v>
      </c>
      <c r="AC5" s="793" t="s">
        <v>2114</v>
      </c>
      <c r="AD5" s="793" t="s">
        <v>2112</v>
      </c>
      <c r="AE5" s="793" t="s">
        <v>2114</v>
      </c>
      <c r="AF5" s="793" t="s">
        <v>2112</v>
      </c>
      <c r="AG5" s="793" t="s">
        <v>2114</v>
      </c>
    </row>
    <row r="6" spans="1:36" s="405" customFormat="1">
      <c r="A6" s="339" t="s">
        <v>6</v>
      </c>
      <c r="B6" s="794">
        <f t="shared" ref="B6:AG6" si="0">SUM(B7,B11,B13,B16,B19,B24,B27,B33,B39,B42,B49)</f>
        <v>1411</v>
      </c>
      <c r="C6" s="794">
        <f t="shared" si="0"/>
        <v>100367</v>
      </c>
      <c r="D6" s="794">
        <f t="shared" si="0"/>
        <v>17</v>
      </c>
      <c r="E6" s="794">
        <f t="shared" si="0"/>
        <v>687</v>
      </c>
      <c r="F6" s="794">
        <f t="shared" si="0"/>
        <v>24</v>
      </c>
      <c r="G6" s="794">
        <f t="shared" si="0"/>
        <v>918</v>
      </c>
      <c r="H6" s="794">
        <f t="shared" si="0"/>
        <v>31</v>
      </c>
      <c r="I6" s="794">
        <f t="shared" si="0"/>
        <v>1714</v>
      </c>
      <c r="J6" s="794">
        <f t="shared" si="0"/>
        <v>7</v>
      </c>
      <c r="K6" s="794">
        <f t="shared" si="0"/>
        <v>396</v>
      </c>
      <c r="L6" s="794">
        <f t="shared" si="0"/>
        <v>32</v>
      </c>
      <c r="M6" s="794">
        <f t="shared" si="0"/>
        <v>2092</v>
      </c>
      <c r="N6" s="794">
        <f t="shared" si="0"/>
        <v>178</v>
      </c>
      <c r="O6" s="794">
        <f t="shared" si="0"/>
        <v>12295</v>
      </c>
      <c r="P6" s="794">
        <f t="shared" si="0"/>
        <v>800</v>
      </c>
      <c r="Q6" s="794">
        <f t="shared" si="0"/>
        <v>63737</v>
      </c>
      <c r="R6" s="794">
        <f t="shared" si="0"/>
        <v>28</v>
      </c>
      <c r="S6" s="794">
        <f t="shared" si="0"/>
        <v>1236</v>
      </c>
      <c r="T6" s="794">
        <f t="shared" si="0"/>
        <v>43</v>
      </c>
      <c r="U6" s="794">
        <f t="shared" si="0"/>
        <v>2906</v>
      </c>
      <c r="V6" s="794">
        <f t="shared" si="0"/>
        <v>128</v>
      </c>
      <c r="W6" s="794">
        <f t="shared" si="0"/>
        <v>8594</v>
      </c>
      <c r="X6" s="794">
        <f t="shared" si="0"/>
        <v>52</v>
      </c>
      <c r="Y6" s="794">
        <f t="shared" si="0"/>
        <v>2298</v>
      </c>
      <c r="Z6" s="794">
        <f t="shared" si="0"/>
        <v>18</v>
      </c>
      <c r="AA6" s="794">
        <f t="shared" si="0"/>
        <v>1412</v>
      </c>
      <c r="AB6" s="794">
        <f t="shared" si="0"/>
        <v>40</v>
      </c>
      <c r="AC6" s="794">
        <f t="shared" si="0"/>
        <v>1699</v>
      </c>
      <c r="AD6" s="794">
        <f t="shared" si="0"/>
        <v>3</v>
      </c>
      <c r="AE6" s="794">
        <f t="shared" si="0"/>
        <v>45</v>
      </c>
      <c r="AF6" s="794">
        <f t="shared" si="0"/>
        <v>10</v>
      </c>
      <c r="AG6" s="794">
        <f t="shared" si="0"/>
        <v>338</v>
      </c>
      <c r="AH6" s="794"/>
      <c r="AI6" s="794"/>
      <c r="AJ6" s="794"/>
    </row>
    <row r="7" spans="1:36" s="405" customFormat="1">
      <c r="A7" s="339" t="s">
        <v>2068</v>
      </c>
      <c r="B7" s="794">
        <f>SUM(B8:B10)</f>
        <v>38</v>
      </c>
      <c r="C7" s="794">
        <f t="shared" ref="C7:AG7" si="1">SUM(C8:C10)</f>
        <v>1230</v>
      </c>
      <c r="D7" s="794">
        <f t="shared" si="1"/>
        <v>0</v>
      </c>
      <c r="E7" s="794">
        <f t="shared" si="1"/>
        <v>0</v>
      </c>
      <c r="F7" s="794">
        <f t="shared" si="1"/>
        <v>0</v>
      </c>
      <c r="G7" s="794">
        <f t="shared" si="1"/>
        <v>0</v>
      </c>
      <c r="H7" s="794">
        <f t="shared" si="1"/>
        <v>0</v>
      </c>
      <c r="I7" s="794">
        <f t="shared" si="1"/>
        <v>0</v>
      </c>
      <c r="J7" s="794">
        <f t="shared" si="1"/>
        <v>0</v>
      </c>
      <c r="K7" s="794">
        <f t="shared" si="1"/>
        <v>0</v>
      </c>
      <c r="L7" s="794">
        <f t="shared" si="1"/>
        <v>0</v>
      </c>
      <c r="M7" s="794">
        <f t="shared" si="1"/>
        <v>0</v>
      </c>
      <c r="N7" s="794">
        <f t="shared" si="1"/>
        <v>7</v>
      </c>
      <c r="O7" s="794">
        <f t="shared" si="1"/>
        <v>259</v>
      </c>
      <c r="P7" s="794">
        <f t="shared" si="1"/>
        <v>26</v>
      </c>
      <c r="Q7" s="794">
        <f t="shared" si="1"/>
        <v>857</v>
      </c>
      <c r="R7" s="794">
        <f t="shared" si="1"/>
        <v>0</v>
      </c>
      <c r="S7" s="794">
        <f t="shared" si="1"/>
        <v>0</v>
      </c>
      <c r="T7" s="794">
        <f t="shared" si="1"/>
        <v>0</v>
      </c>
      <c r="U7" s="794">
        <f t="shared" si="1"/>
        <v>0</v>
      </c>
      <c r="V7" s="794">
        <f t="shared" si="1"/>
        <v>3</v>
      </c>
      <c r="W7" s="794">
        <f t="shared" si="1"/>
        <v>105</v>
      </c>
      <c r="X7" s="794">
        <f t="shared" si="1"/>
        <v>1</v>
      </c>
      <c r="Y7" s="794">
        <f t="shared" si="1"/>
        <v>5</v>
      </c>
      <c r="Z7" s="794">
        <f t="shared" si="1"/>
        <v>0</v>
      </c>
      <c r="AA7" s="794">
        <f t="shared" si="1"/>
        <v>0</v>
      </c>
      <c r="AB7" s="794">
        <f t="shared" si="1"/>
        <v>0</v>
      </c>
      <c r="AC7" s="794">
        <f t="shared" si="1"/>
        <v>0</v>
      </c>
      <c r="AD7" s="794">
        <f t="shared" si="1"/>
        <v>0</v>
      </c>
      <c r="AE7" s="794">
        <f t="shared" si="1"/>
        <v>0</v>
      </c>
      <c r="AF7" s="794">
        <f t="shared" si="1"/>
        <v>1</v>
      </c>
      <c r="AG7" s="794">
        <f t="shared" si="1"/>
        <v>4</v>
      </c>
      <c r="AH7" s="794"/>
      <c r="AI7" s="794"/>
      <c r="AJ7" s="794"/>
    </row>
    <row r="8" spans="1:36">
      <c r="A8" s="59" t="s">
        <v>2069</v>
      </c>
      <c r="B8" s="792">
        <f t="shared" ref="B8:C10" si="2">SUM(D8,F8,H8,J8,L8,N8,P8,R8,T8,V8,X8,Z8,AB8,AD8,AF8)</f>
        <v>12</v>
      </c>
      <c r="C8" s="792">
        <f t="shared" si="2"/>
        <v>720</v>
      </c>
      <c r="D8" s="792">
        <v>0</v>
      </c>
      <c r="E8" s="792">
        <v>0</v>
      </c>
      <c r="F8" s="792">
        <v>0</v>
      </c>
      <c r="G8" s="792">
        <v>0</v>
      </c>
      <c r="H8" s="792">
        <v>0</v>
      </c>
      <c r="I8" s="792">
        <v>0</v>
      </c>
      <c r="J8" s="792">
        <v>0</v>
      </c>
      <c r="K8" s="792">
        <v>0</v>
      </c>
      <c r="L8" s="792">
        <v>0</v>
      </c>
      <c r="M8" s="792">
        <v>0</v>
      </c>
      <c r="N8" s="792">
        <v>2</v>
      </c>
      <c r="O8" s="792">
        <v>144</v>
      </c>
      <c r="P8" s="792">
        <v>9</v>
      </c>
      <c r="Q8" s="792">
        <v>549</v>
      </c>
      <c r="R8" s="792">
        <v>0</v>
      </c>
      <c r="S8" s="792">
        <v>0</v>
      </c>
      <c r="T8" s="792">
        <v>0</v>
      </c>
      <c r="U8" s="792">
        <v>0</v>
      </c>
      <c r="V8" s="792">
        <v>1</v>
      </c>
      <c r="W8" s="792">
        <v>27</v>
      </c>
      <c r="X8" s="792">
        <v>0</v>
      </c>
      <c r="Y8" s="792">
        <v>0</v>
      </c>
      <c r="Z8" s="792">
        <v>0</v>
      </c>
      <c r="AA8" s="792">
        <v>0</v>
      </c>
      <c r="AB8" s="792">
        <v>0</v>
      </c>
      <c r="AC8" s="792">
        <v>0</v>
      </c>
      <c r="AD8" s="792">
        <v>0</v>
      </c>
      <c r="AE8" s="792">
        <v>0</v>
      </c>
      <c r="AF8" s="792">
        <v>0</v>
      </c>
      <c r="AG8" s="792">
        <v>0</v>
      </c>
      <c r="AH8" s="792"/>
      <c r="AI8" s="792"/>
      <c r="AJ8" s="792"/>
    </row>
    <row r="9" spans="1:36">
      <c r="A9" s="59" t="s">
        <v>2070</v>
      </c>
      <c r="B9" s="792">
        <f t="shared" si="2"/>
        <v>18</v>
      </c>
      <c r="C9" s="792">
        <f t="shared" si="2"/>
        <v>318</v>
      </c>
      <c r="D9" s="792">
        <v>0</v>
      </c>
      <c r="E9" s="792">
        <v>0</v>
      </c>
      <c r="F9" s="792">
        <v>0</v>
      </c>
      <c r="G9" s="792">
        <v>0</v>
      </c>
      <c r="H9" s="792">
        <v>0</v>
      </c>
      <c r="I9" s="792">
        <v>0</v>
      </c>
      <c r="J9" s="792">
        <v>0</v>
      </c>
      <c r="K9" s="792">
        <v>0</v>
      </c>
      <c r="L9" s="792">
        <v>0</v>
      </c>
      <c r="M9" s="792">
        <v>0</v>
      </c>
      <c r="N9" s="792">
        <v>4</v>
      </c>
      <c r="O9" s="792">
        <v>112</v>
      </c>
      <c r="P9" s="792">
        <v>12</v>
      </c>
      <c r="Q9" s="792">
        <v>186</v>
      </c>
      <c r="R9" s="792">
        <v>0</v>
      </c>
      <c r="S9" s="792">
        <v>0</v>
      </c>
      <c r="T9" s="792">
        <v>0</v>
      </c>
      <c r="U9" s="792">
        <v>0</v>
      </c>
      <c r="V9" s="792">
        <v>1</v>
      </c>
      <c r="W9" s="792">
        <v>16</v>
      </c>
      <c r="X9" s="792">
        <v>0</v>
      </c>
      <c r="Y9" s="792">
        <v>0</v>
      </c>
      <c r="Z9" s="792">
        <v>0</v>
      </c>
      <c r="AA9" s="792">
        <v>0</v>
      </c>
      <c r="AB9" s="792">
        <v>0</v>
      </c>
      <c r="AC9" s="792">
        <v>0</v>
      </c>
      <c r="AD9" s="792">
        <v>0</v>
      </c>
      <c r="AE9" s="792">
        <v>0</v>
      </c>
      <c r="AF9" s="792">
        <v>1</v>
      </c>
      <c r="AG9" s="792">
        <v>4</v>
      </c>
      <c r="AH9" s="792"/>
      <c r="AI9" s="792"/>
      <c r="AJ9" s="792"/>
    </row>
    <row r="10" spans="1:36">
      <c r="A10" s="59" t="s">
        <v>2071</v>
      </c>
      <c r="B10" s="792">
        <f t="shared" si="2"/>
        <v>8</v>
      </c>
      <c r="C10" s="792">
        <f t="shared" si="2"/>
        <v>192</v>
      </c>
      <c r="D10" s="792">
        <v>0</v>
      </c>
      <c r="E10" s="792">
        <v>0</v>
      </c>
      <c r="F10" s="792">
        <v>0</v>
      </c>
      <c r="G10" s="792">
        <v>0</v>
      </c>
      <c r="H10" s="792">
        <v>0</v>
      </c>
      <c r="I10" s="792">
        <v>0</v>
      </c>
      <c r="J10" s="792">
        <v>0</v>
      </c>
      <c r="K10" s="792">
        <v>0</v>
      </c>
      <c r="L10" s="792">
        <v>0</v>
      </c>
      <c r="M10" s="792">
        <v>0</v>
      </c>
      <c r="N10" s="792">
        <v>1</v>
      </c>
      <c r="O10" s="792">
        <v>3</v>
      </c>
      <c r="P10" s="792">
        <v>5</v>
      </c>
      <c r="Q10" s="792">
        <v>122</v>
      </c>
      <c r="R10" s="792">
        <v>0</v>
      </c>
      <c r="S10" s="792">
        <v>0</v>
      </c>
      <c r="T10" s="792">
        <v>0</v>
      </c>
      <c r="U10" s="792">
        <v>0</v>
      </c>
      <c r="V10" s="792">
        <v>1</v>
      </c>
      <c r="W10" s="792">
        <v>62</v>
      </c>
      <c r="X10" s="792">
        <v>1</v>
      </c>
      <c r="Y10" s="792">
        <v>5</v>
      </c>
      <c r="Z10" s="792">
        <v>0</v>
      </c>
      <c r="AA10" s="792">
        <v>0</v>
      </c>
      <c r="AB10" s="792">
        <v>0</v>
      </c>
      <c r="AC10" s="792">
        <v>0</v>
      </c>
      <c r="AD10" s="792">
        <v>0</v>
      </c>
      <c r="AE10" s="792">
        <v>0</v>
      </c>
      <c r="AF10" s="792">
        <v>0</v>
      </c>
      <c r="AG10" s="792">
        <v>0</v>
      </c>
      <c r="AH10" s="792"/>
      <c r="AI10" s="792"/>
      <c r="AJ10" s="792"/>
    </row>
    <row r="11" spans="1:36" s="405" customFormat="1">
      <c r="A11" s="339" t="s">
        <v>2072</v>
      </c>
      <c r="B11" s="794">
        <f>SUM(B12)</f>
        <v>3</v>
      </c>
      <c r="C11" s="794">
        <f t="shared" ref="C11:AG11" si="3">SUM(C12)</f>
        <v>36</v>
      </c>
      <c r="D11" s="794">
        <f t="shared" si="3"/>
        <v>0</v>
      </c>
      <c r="E11" s="794">
        <f t="shared" si="3"/>
        <v>0</v>
      </c>
      <c r="F11" s="794">
        <f t="shared" si="3"/>
        <v>0</v>
      </c>
      <c r="G11" s="794">
        <f t="shared" si="3"/>
        <v>0</v>
      </c>
      <c r="H11" s="794">
        <f t="shared" si="3"/>
        <v>0</v>
      </c>
      <c r="I11" s="794">
        <f t="shared" si="3"/>
        <v>0</v>
      </c>
      <c r="J11" s="794">
        <f t="shared" si="3"/>
        <v>0</v>
      </c>
      <c r="K11" s="794">
        <f t="shared" si="3"/>
        <v>0</v>
      </c>
      <c r="L11" s="794">
        <f t="shared" si="3"/>
        <v>0</v>
      </c>
      <c r="M11" s="794">
        <f t="shared" si="3"/>
        <v>0</v>
      </c>
      <c r="N11" s="794">
        <f t="shared" si="3"/>
        <v>0</v>
      </c>
      <c r="O11" s="794">
        <f t="shared" si="3"/>
        <v>0</v>
      </c>
      <c r="P11" s="794">
        <f t="shared" si="3"/>
        <v>3</v>
      </c>
      <c r="Q11" s="794">
        <f t="shared" si="3"/>
        <v>36</v>
      </c>
      <c r="R11" s="794">
        <f t="shared" si="3"/>
        <v>0</v>
      </c>
      <c r="S11" s="794">
        <f t="shared" si="3"/>
        <v>0</v>
      </c>
      <c r="T11" s="794">
        <f t="shared" si="3"/>
        <v>0</v>
      </c>
      <c r="U11" s="794">
        <f t="shared" si="3"/>
        <v>0</v>
      </c>
      <c r="V11" s="794">
        <f t="shared" si="3"/>
        <v>0</v>
      </c>
      <c r="W11" s="794">
        <f t="shared" si="3"/>
        <v>0</v>
      </c>
      <c r="X11" s="794">
        <f t="shared" si="3"/>
        <v>0</v>
      </c>
      <c r="Y11" s="794">
        <f t="shared" si="3"/>
        <v>0</v>
      </c>
      <c r="Z11" s="794">
        <f t="shared" si="3"/>
        <v>0</v>
      </c>
      <c r="AA11" s="794">
        <f t="shared" si="3"/>
        <v>0</v>
      </c>
      <c r="AB11" s="794">
        <f t="shared" si="3"/>
        <v>0</v>
      </c>
      <c r="AC11" s="794">
        <f t="shared" si="3"/>
        <v>0</v>
      </c>
      <c r="AD11" s="794">
        <f t="shared" si="3"/>
        <v>0</v>
      </c>
      <c r="AE11" s="794">
        <f t="shared" si="3"/>
        <v>0</v>
      </c>
      <c r="AF11" s="794">
        <f t="shared" si="3"/>
        <v>0</v>
      </c>
      <c r="AG11" s="794">
        <f t="shared" si="3"/>
        <v>0</v>
      </c>
      <c r="AH11" s="794"/>
      <c r="AI11" s="794"/>
      <c r="AJ11" s="794"/>
    </row>
    <row r="12" spans="1:36">
      <c r="A12" s="59" t="s">
        <v>2072</v>
      </c>
      <c r="B12" s="792">
        <f>SUM(D12,F12,H12,J12,L12,N12,P12,R12,T12,V12,X12,Z12,AB12,AD12,AF12)</f>
        <v>3</v>
      </c>
      <c r="C12" s="792">
        <f>SUM(E12,G12,I12,K12,M12,O12,Q12,S12,U12,W12,Y12,AA12,AC12,AE12,AG12)</f>
        <v>36</v>
      </c>
      <c r="D12" s="792">
        <v>0</v>
      </c>
      <c r="E12" s="792">
        <v>0</v>
      </c>
      <c r="F12" s="792">
        <v>0</v>
      </c>
      <c r="G12" s="792">
        <v>0</v>
      </c>
      <c r="H12" s="792">
        <v>0</v>
      </c>
      <c r="I12" s="792">
        <v>0</v>
      </c>
      <c r="J12" s="792">
        <v>0</v>
      </c>
      <c r="K12" s="792">
        <v>0</v>
      </c>
      <c r="L12" s="792">
        <v>0</v>
      </c>
      <c r="M12" s="792">
        <v>0</v>
      </c>
      <c r="N12" s="792">
        <v>0</v>
      </c>
      <c r="O12" s="792">
        <v>0</v>
      </c>
      <c r="P12" s="792">
        <v>3</v>
      </c>
      <c r="Q12" s="792">
        <v>36</v>
      </c>
      <c r="R12" s="792">
        <v>0</v>
      </c>
      <c r="S12" s="792">
        <v>0</v>
      </c>
      <c r="T12" s="792">
        <v>0</v>
      </c>
      <c r="U12" s="792">
        <v>0</v>
      </c>
      <c r="V12" s="792">
        <v>0</v>
      </c>
      <c r="W12" s="792">
        <v>0</v>
      </c>
      <c r="X12" s="792">
        <v>0</v>
      </c>
      <c r="Y12" s="792">
        <v>0</v>
      </c>
      <c r="Z12" s="792">
        <v>0</v>
      </c>
      <c r="AA12" s="792">
        <v>0</v>
      </c>
      <c r="AB12" s="792">
        <v>0</v>
      </c>
      <c r="AC12" s="792">
        <v>0</v>
      </c>
      <c r="AD12" s="792">
        <v>0</v>
      </c>
      <c r="AE12" s="792">
        <v>0</v>
      </c>
      <c r="AF12" s="792">
        <v>0</v>
      </c>
      <c r="AG12" s="792">
        <v>0</v>
      </c>
      <c r="AH12" s="792"/>
      <c r="AI12" s="792"/>
      <c r="AJ12" s="792"/>
    </row>
    <row r="13" spans="1:36" s="405" customFormat="1">
      <c r="A13" s="339" t="s">
        <v>2073</v>
      </c>
      <c r="B13" s="794">
        <f>SUM(B14:B15)</f>
        <v>63</v>
      </c>
      <c r="C13" s="794">
        <f t="shared" ref="C13:AG13" si="4">SUM(C14:C15)</f>
        <v>5178</v>
      </c>
      <c r="D13" s="794">
        <f t="shared" si="4"/>
        <v>0</v>
      </c>
      <c r="E13" s="794">
        <f t="shared" si="4"/>
        <v>0</v>
      </c>
      <c r="F13" s="794">
        <f t="shared" si="4"/>
        <v>0</v>
      </c>
      <c r="G13" s="794">
        <f t="shared" si="4"/>
        <v>0</v>
      </c>
      <c r="H13" s="794">
        <f t="shared" si="4"/>
        <v>0</v>
      </c>
      <c r="I13" s="794">
        <f t="shared" si="4"/>
        <v>0</v>
      </c>
      <c r="J13" s="794">
        <f t="shared" si="4"/>
        <v>0</v>
      </c>
      <c r="K13" s="794">
        <f t="shared" si="4"/>
        <v>0</v>
      </c>
      <c r="L13" s="794">
        <f t="shared" si="4"/>
        <v>0</v>
      </c>
      <c r="M13" s="794">
        <f t="shared" si="4"/>
        <v>0</v>
      </c>
      <c r="N13" s="794">
        <f t="shared" si="4"/>
        <v>10</v>
      </c>
      <c r="O13" s="794">
        <f t="shared" si="4"/>
        <v>475</v>
      </c>
      <c r="P13" s="794">
        <f t="shared" si="4"/>
        <v>45</v>
      </c>
      <c r="Q13" s="794">
        <f t="shared" si="4"/>
        <v>4221</v>
      </c>
      <c r="R13" s="794">
        <f t="shared" si="4"/>
        <v>0</v>
      </c>
      <c r="S13" s="794">
        <f t="shared" si="4"/>
        <v>0</v>
      </c>
      <c r="T13" s="794">
        <f t="shared" si="4"/>
        <v>0</v>
      </c>
      <c r="U13" s="794">
        <f t="shared" si="4"/>
        <v>0</v>
      </c>
      <c r="V13" s="794">
        <f t="shared" si="4"/>
        <v>5</v>
      </c>
      <c r="W13" s="794">
        <f t="shared" si="4"/>
        <v>269</v>
      </c>
      <c r="X13" s="794">
        <f t="shared" si="4"/>
        <v>2</v>
      </c>
      <c r="Y13" s="794">
        <f t="shared" si="4"/>
        <v>96</v>
      </c>
      <c r="Z13" s="794">
        <f t="shared" si="4"/>
        <v>1</v>
      </c>
      <c r="AA13" s="794">
        <f t="shared" si="4"/>
        <v>117</v>
      </c>
      <c r="AB13" s="794">
        <f t="shared" si="4"/>
        <v>0</v>
      </c>
      <c r="AC13" s="794">
        <f t="shared" si="4"/>
        <v>0</v>
      </c>
      <c r="AD13" s="794">
        <f t="shared" si="4"/>
        <v>0</v>
      </c>
      <c r="AE13" s="794">
        <f t="shared" si="4"/>
        <v>0</v>
      </c>
      <c r="AF13" s="794">
        <f t="shared" si="4"/>
        <v>0</v>
      </c>
      <c r="AG13" s="794">
        <f t="shared" si="4"/>
        <v>0</v>
      </c>
      <c r="AH13" s="794"/>
      <c r="AI13" s="794"/>
      <c r="AJ13" s="794"/>
    </row>
    <row r="14" spans="1:36">
      <c r="A14" s="59" t="s">
        <v>2074</v>
      </c>
      <c r="B14" s="792">
        <f>SUM(D14,F14,H14,J14,L14,N14,P14,R14,T14,V14,X14,Z14,AB14,AD14,AF14)</f>
        <v>42</v>
      </c>
      <c r="C14" s="792">
        <f>SUM(E14,G14,I14,K14,M14,O14,Q14,S14,U14,W14,Y14,AA14,AC14,AE14,AG14)</f>
        <v>3380</v>
      </c>
      <c r="D14" s="792">
        <v>0</v>
      </c>
      <c r="E14" s="792">
        <v>0</v>
      </c>
      <c r="F14" s="792">
        <v>0</v>
      </c>
      <c r="G14" s="792">
        <v>0</v>
      </c>
      <c r="H14" s="792">
        <v>0</v>
      </c>
      <c r="I14" s="792">
        <v>0</v>
      </c>
      <c r="J14" s="792">
        <v>0</v>
      </c>
      <c r="K14" s="792">
        <v>0</v>
      </c>
      <c r="L14" s="792">
        <v>0</v>
      </c>
      <c r="M14" s="792">
        <v>0</v>
      </c>
      <c r="N14" s="792">
        <v>6</v>
      </c>
      <c r="O14" s="792">
        <v>342</v>
      </c>
      <c r="P14" s="792">
        <v>28</v>
      </c>
      <c r="Q14" s="792">
        <v>2556</v>
      </c>
      <c r="R14" s="792">
        <v>0</v>
      </c>
      <c r="S14" s="792">
        <v>0</v>
      </c>
      <c r="T14" s="792">
        <v>0</v>
      </c>
      <c r="U14" s="792">
        <v>0</v>
      </c>
      <c r="V14" s="792">
        <v>5</v>
      </c>
      <c r="W14" s="792">
        <v>269</v>
      </c>
      <c r="X14" s="792">
        <v>2</v>
      </c>
      <c r="Y14" s="792">
        <v>96</v>
      </c>
      <c r="Z14" s="792">
        <v>1</v>
      </c>
      <c r="AA14" s="792">
        <v>117</v>
      </c>
      <c r="AB14" s="792">
        <v>0</v>
      </c>
      <c r="AC14" s="792">
        <v>0</v>
      </c>
      <c r="AD14" s="792">
        <v>0</v>
      </c>
      <c r="AE14" s="792">
        <v>0</v>
      </c>
      <c r="AF14" s="792">
        <v>0</v>
      </c>
      <c r="AG14" s="792">
        <v>0</v>
      </c>
      <c r="AH14" s="792"/>
      <c r="AI14" s="792"/>
      <c r="AJ14" s="792"/>
    </row>
    <row r="15" spans="1:36">
      <c r="A15" s="59" t="s">
        <v>2075</v>
      </c>
      <c r="B15" s="792">
        <f>SUM(D15,F15,H15,J15,L15,N15,P15,R15,T15,V15,X15,Z15,AB15,AD15,AF15)</f>
        <v>21</v>
      </c>
      <c r="C15" s="792">
        <f>SUM(E15,G15,I15,K15,M15,O15,Q15,S15,U15,W15,Y15,AA15,AC15,AE15,AG15)</f>
        <v>1798</v>
      </c>
      <c r="D15" s="792">
        <v>0</v>
      </c>
      <c r="E15" s="792">
        <v>0</v>
      </c>
      <c r="F15" s="792">
        <v>0</v>
      </c>
      <c r="G15" s="792">
        <v>0</v>
      </c>
      <c r="H15" s="792">
        <v>0</v>
      </c>
      <c r="I15" s="792">
        <v>0</v>
      </c>
      <c r="J15" s="792">
        <v>0</v>
      </c>
      <c r="K15" s="792">
        <v>0</v>
      </c>
      <c r="L15" s="792">
        <v>0</v>
      </c>
      <c r="M15" s="792">
        <v>0</v>
      </c>
      <c r="N15" s="792">
        <v>4</v>
      </c>
      <c r="O15" s="792">
        <v>133</v>
      </c>
      <c r="P15" s="792">
        <v>17</v>
      </c>
      <c r="Q15" s="792">
        <v>1665</v>
      </c>
      <c r="R15" s="792">
        <v>0</v>
      </c>
      <c r="S15" s="792">
        <v>0</v>
      </c>
      <c r="T15" s="792">
        <v>0</v>
      </c>
      <c r="U15" s="792">
        <v>0</v>
      </c>
      <c r="V15" s="792">
        <v>0</v>
      </c>
      <c r="W15" s="792">
        <v>0</v>
      </c>
      <c r="X15" s="792">
        <v>0</v>
      </c>
      <c r="Y15" s="792">
        <v>0</v>
      </c>
      <c r="Z15" s="792">
        <v>0</v>
      </c>
      <c r="AA15" s="792">
        <v>0</v>
      </c>
      <c r="AB15" s="792">
        <v>0</v>
      </c>
      <c r="AC15" s="792">
        <v>0</v>
      </c>
      <c r="AD15" s="792">
        <v>0</v>
      </c>
      <c r="AE15" s="792">
        <v>0</v>
      </c>
      <c r="AF15" s="792">
        <v>0</v>
      </c>
      <c r="AG15" s="792">
        <v>0</v>
      </c>
      <c r="AH15" s="792"/>
      <c r="AI15" s="792"/>
      <c r="AJ15" s="792"/>
    </row>
    <row r="16" spans="1:36" s="405" customFormat="1">
      <c r="A16" s="339" t="s">
        <v>2076</v>
      </c>
      <c r="B16" s="794">
        <f>SUM(B17:B18)</f>
        <v>37</v>
      </c>
      <c r="C16" s="794">
        <f t="shared" ref="C16:AG16" si="5">SUM(C17:C18)</f>
        <v>2736</v>
      </c>
      <c r="D16" s="794">
        <f t="shared" si="5"/>
        <v>0</v>
      </c>
      <c r="E16" s="794">
        <f t="shared" si="5"/>
        <v>0</v>
      </c>
      <c r="F16" s="794">
        <f t="shared" si="5"/>
        <v>0</v>
      </c>
      <c r="G16" s="794">
        <f t="shared" si="5"/>
        <v>0</v>
      </c>
      <c r="H16" s="794">
        <f t="shared" si="5"/>
        <v>0</v>
      </c>
      <c r="I16" s="794">
        <f t="shared" si="5"/>
        <v>0</v>
      </c>
      <c r="J16" s="794">
        <f t="shared" si="5"/>
        <v>0</v>
      </c>
      <c r="K16" s="794">
        <f t="shared" si="5"/>
        <v>0</v>
      </c>
      <c r="L16" s="794">
        <f t="shared" si="5"/>
        <v>0</v>
      </c>
      <c r="M16" s="794">
        <f t="shared" si="5"/>
        <v>0</v>
      </c>
      <c r="N16" s="794">
        <f t="shared" si="5"/>
        <v>3</v>
      </c>
      <c r="O16" s="794">
        <f t="shared" si="5"/>
        <v>344</v>
      </c>
      <c r="P16" s="794">
        <f t="shared" si="5"/>
        <v>33</v>
      </c>
      <c r="Q16" s="794">
        <f t="shared" si="5"/>
        <v>2391</v>
      </c>
      <c r="R16" s="794">
        <f t="shared" si="5"/>
        <v>0</v>
      </c>
      <c r="S16" s="794">
        <f t="shared" si="5"/>
        <v>0</v>
      </c>
      <c r="T16" s="794">
        <f t="shared" si="5"/>
        <v>0</v>
      </c>
      <c r="U16" s="794">
        <f t="shared" si="5"/>
        <v>0</v>
      </c>
      <c r="V16" s="794">
        <f t="shared" si="5"/>
        <v>1</v>
      </c>
      <c r="W16" s="794">
        <f t="shared" si="5"/>
        <v>1</v>
      </c>
      <c r="X16" s="794">
        <f t="shared" si="5"/>
        <v>0</v>
      </c>
      <c r="Y16" s="794">
        <f t="shared" si="5"/>
        <v>0</v>
      </c>
      <c r="Z16" s="794">
        <f t="shared" si="5"/>
        <v>0</v>
      </c>
      <c r="AA16" s="794">
        <f t="shared" si="5"/>
        <v>0</v>
      </c>
      <c r="AB16" s="794">
        <f t="shared" si="5"/>
        <v>0</v>
      </c>
      <c r="AC16" s="794">
        <f t="shared" si="5"/>
        <v>0</v>
      </c>
      <c r="AD16" s="794">
        <f t="shared" si="5"/>
        <v>0</v>
      </c>
      <c r="AE16" s="794">
        <f t="shared" si="5"/>
        <v>0</v>
      </c>
      <c r="AF16" s="794">
        <f t="shared" si="5"/>
        <v>0</v>
      </c>
      <c r="AG16" s="794">
        <f t="shared" si="5"/>
        <v>0</v>
      </c>
      <c r="AH16" s="794"/>
      <c r="AI16" s="794"/>
      <c r="AJ16" s="794"/>
    </row>
    <row r="17" spans="1:36">
      <c r="A17" s="59" t="s">
        <v>2077</v>
      </c>
      <c r="B17" s="792">
        <f>SUM(D17,F17,H17,J17,L17,N17,P17,R17,T17,V17,X17,Z17,AB17,AD17,AF17)</f>
        <v>6</v>
      </c>
      <c r="C17" s="792">
        <f>SUM(E17,G17,I17,K17,M17,O17,Q17,S17,U17,W17,Y17,AA17,AC17,AE17,AG17)</f>
        <v>661</v>
      </c>
      <c r="D17" s="792">
        <v>0</v>
      </c>
      <c r="E17" s="792">
        <v>0</v>
      </c>
      <c r="F17" s="792">
        <v>0</v>
      </c>
      <c r="G17" s="792">
        <v>0</v>
      </c>
      <c r="H17" s="792">
        <v>0</v>
      </c>
      <c r="I17" s="792">
        <v>0</v>
      </c>
      <c r="J17" s="792">
        <v>0</v>
      </c>
      <c r="K17" s="792">
        <v>0</v>
      </c>
      <c r="L17" s="792">
        <v>0</v>
      </c>
      <c r="M17" s="792">
        <v>0</v>
      </c>
      <c r="N17" s="792">
        <v>0</v>
      </c>
      <c r="O17" s="792">
        <v>0</v>
      </c>
      <c r="P17" s="792">
        <v>6</v>
      </c>
      <c r="Q17" s="792">
        <v>661</v>
      </c>
      <c r="R17" s="792">
        <v>0</v>
      </c>
      <c r="S17" s="792">
        <v>0</v>
      </c>
      <c r="T17" s="792">
        <v>0</v>
      </c>
      <c r="U17" s="792">
        <v>0</v>
      </c>
      <c r="V17" s="792">
        <v>0</v>
      </c>
      <c r="W17" s="792">
        <v>0</v>
      </c>
      <c r="X17" s="792">
        <v>0</v>
      </c>
      <c r="Y17" s="792">
        <v>0</v>
      </c>
      <c r="Z17" s="792">
        <v>0</v>
      </c>
      <c r="AA17" s="792">
        <v>0</v>
      </c>
      <c r="AB17" s="792">
        <v>0</v>
      </c>
      <c r="AC17" s="792">
        <v>0</v>
      </c>
      <c r="AD17" s="792">
        <v>0</v>
      </c>
      <c r="AE17" s="792">
        <v>0</v>
      </c>
      <c r="AF17" s="792">
        <v>0</v>
      </c>
      <c r="AG17" s="792">
        <v>0</v>
      </c>
      <c r="AH17" s="792"/>
      <c r="AI17" s="792"/>
      <c r="AJ17" s="792"/>
    </row>
    <row r="18" spans="1:36">
      <c r="A18" s="59" t="s">
        <v>1921</v>
      </c>
      <c r="B18" s="792">
        <f>SUM(D18,F18,H18,J18,L18,N18,P18,R18,T18,V18,X18,Z18,AB18,AD18,AF18)</f>
        <v>31</v>
      </c>
      <c r="C18" s="792">
        <f>SUM(E18,G18,I18,K18,M18,O18,Q18,S18,U18,W18,Y18,AA18,AC18,AE18,AG18)</f>
        <v>2075</v>
      </c>
      <c r="D18" s="792">
        <v>0</v>
      </c>
      <c r="E18" s="792">
        <v>0</v>
      </c>
      <c r="F18" s="792">
        <v>0</v>
      </c>
      <c r="G18" s="792">
        <v>0</v>
      </c>
      <c r="H18" s="792">
        <v>0</v>
      </c>
      <c r="I18" s="792">
        <v>0</v>
      </c>
      <c r="J18" s="792">
        <v>0</v>
      </c>
      <c r="K18" s="792">
        <v>0</v>
      </c>
      <c r="L18" s="792">
        <v>0</v>
      </c>
      <c r="M18" s="792">
        <v>0</v>
      </c>
      <c r="N18" s="792">
        <v>3</v>
      </c>
      <c r="O18" s="792">
        <v>344</v>
      </c>
      <c r="P18" s="792">
        <v>27</v>
      </c>
      <c r="Q18" s="792">
        <v>1730</v>
      </c>
      <c r="R18" s="792">
        <v>0</v>
      </c>
      <c r="S18" s="792">
        <v>0</v>
      </c>
      <c r="T18" s="792">
        <v>0</v>
      </c>
      <c r="U18" s="792">
        <v>0</v>
      </c>
      <c r="V18" s="792">
        <v>1</v>
      </c>
      <c r="W18" s="792">
        <v>1</v>
      </c>
      <c r="X18" s="792">
        <v>0</v>
      </c>
      <c r="Y18" s="792">
        <v>0</v>
      </c>
      <c r="Z18" s="792">
        <v>0</v>
      </c>
      <c r="AA18" s="792">
        <v>0</v>
      </c>
      <c r="AB18" s="792">
        <v>0</v>
      </c>
      <c r="AC18" s="792">
        <v>0</v>
      </c>
      <c r="AD18" s="792">
        <v>0</v>
      </c>
      <c r="AE18" s="792">
        <v>0</v>
      </c>
      <c r="AF18" s="792">
        <v>0</v>
      </c>
      <c r="AG18" s="792">
        <v>0</v>
      </c>
      <c r="AH18" s="792"/>
      <c r="AI18" s="792"/>
      <c r="AJ18" s="792"/>
    </row>
    <row r="19" spans="1:36" s="405" customFormat="1">
      <c r="A19" s="339" t="s">
        <v>2078</v>
      </c>
      <c r="B19" s="794">
        <f>SUM(B20:B23)</f>
        <v>124</v>
      </c>
      <c r="C19" s="794">
        <f t="shared" ref="C19:AG19" si="6">SUM(C20:C23)</f>
        <v>6294</v>
      </c>
      <c r="D19" s="794">
        <f t="shared" si="6"/>
        <v>1</v>
      </c>
      <c r="E19" s="794">
        <f t="shared" si="6"/>
        <v>7</v>
      </c>
      <c r="F19" s="794">
        <f t="shared" si="6"/>
        <v>1</v>
      </c>
      <c r="G19" s="794">
        <f t="shared" si="6"/>
        <v>31</v>
      </c>
      <c r="H19" s="794">
        <f t="shared" si="6"/>
        <v>2</v>
      </c>
      <c r="I19" s="794">
        <f t="shared" si="6"/>
        <v>69</v>
      </c>
      <c r="J19" s="794">
        <f t="shared" si="6"/>
        <v>0</v>
      </c>
      <c r="K19" s="794">
        <f t="shared" si="6"/>
        <v>0</v>
      </c>
      <c r="L19" s="794">
        <f t="shared" si="6"/>
        <v>2</v>
      </c>
      <c r="M19" s="794">
        <f t="shared" si="6"/>
        <v>79</v>
      </c>
      <c r="N19" s="794">
        <f t="shared" si="6"/>
        <v>12</v>
      </c>
      <c r="O19" s="794">
        <f t="shared" si="6"/>
        <v>753</v>
      </c>
      <c r="P19" s="794">
        <f t="shared" si="6"/>
        <v>87</v>
      </c>
      <c r="Q19" s="794">
        <f t="shared" si="6"/>
        <v>4691</v>
      </c>
      <c r="R19" s="794">
        <f t="shared" si="6"/>
        <v>1</v>
      </c>
      <c r="S19" s="794">
        <f t="shared" si="6"/>
        <v>79</v>
      </c>
      <c r="T19" s="794">
        <f t="shared" si="6"/>
        <v>2</v>
      </c>
      <c r="U19" s="794">
        <f t="shared" si="6"/>
        <v>134</v>
      </c>
      <c r="V19" s="794">
        <f t="shared" si="6"/>
        <v>5</v>
      </c>
      <c r="W19" s="794">
        <f t="shared" si="6"/>
        <v>158</v>
      </c>
      <c r="X19" s="794">
        <f t="shared" si="6"/>
        <v>7</v>
      </c>
      <c r="Y19" s="794">
        <f t="shared" si="6"/>
        <v>109</v>
      </c>
      <c r="Z19" s="794">
        <f t="shared" si="6"/>
        <v>4</v>
      </c>
      <c r="AA19" s="794">
        <f t="shared" si="6"/>
        <v>184</v>
      </c>
      <c r="AB19" s="794">
        <f t="shared" si="6"/>
        <v>0</v>
      </c>
      <c r="AC19" s="794">
        <f t="shared" si="6"/>
        <v>0</v>
      </c>
      <c r="AD19" s="794">
        <f t="shared" si="6"/>
        <v>0</v>
      </c>
      <c r="AE19" s="794">
        <f t="shared" si="6"/>
        <v>0</v>
      </c>
      <c r="AF19" s="794">
        <f t="shared" si="6"/>
        <v>0</v>
      </c>
      <c r="AG19" s="794">
        <f t="shared" si="6"/>
        <v>0</v>
      </c>
      <c r="AH19" s="794"/>
      <c r="AI19" s="794"/>
      <c r="AJ19" s="794"/>
    </row>
    <row r="20" spans="1:36">
      <c r="A20" s="59" t="s">
        <v>1830</v>
      </c>
      <c r="B20" s="792">
        <f t="shared" ref="B20:C23" si="7">SUM(D20,F20,H20,J20,L20,N20,P20,R20,T20,V20,X20,Z20,AB20,AD20,AF20)</f>
        <v>78</v>
      </c>
      <c r="C20" s="792">
        <f t="shared" si="7"/>
        <v>3319</v>
      </c>
      <c r="D20" s="792">
        <v>0</v>
      </c>
      <c r="E20" s="792">
        <v>0</v>
      </c>
      <c r="F20" s="792">
        <v>0</v>
      </c>
      <c r="G20" s="792">
        <v>0</v>
      </c>
      <c r="H20" s="792">
        <v>0</v>
      </c>
      <c r="I20" s="792">
        <v>0</v>
      </c>
      <c r="J20" s="792">
        <v>0</v>
      </c>
      <c r="K20" s="792">
        <v>0</v>
      </c>
      <c r="L20" s="792">
        <v>2</v>
      </c>
      <c r="M20" s="792">
        <v>79</v>
      </c>
      <c r="N20" s="792">
        <v>5</v>
      </c>
      <c r="O20" s="792">
        <v>274</v>
      </c>
      <c r="P20" s="792">
        <v>63</v>
      </c>
      <c r="Q20" s="792">
        <v>2737</v>
      </c>
      <c r="R20" s="792">
        <v>0</v>
      </c>
      <c r="S20" s="792">
        <v>0</v>
      </c>
      <c r="T20" s="792">
        <v>2</v>
      </c>
      <c r="U20" s="792">
        <v>134</v>
      </c>
      <c r="V20" s="792">
        <v>0</v>
      </c>
      <c r="W20" s="792">
        <v>0</v>
      </c>
      <c r="X20" s="792">
        <v>5</v>
      </c>
      <c r="Y20" s="792">
        <v>18</v>
      </c>
      <c r="Z20" s="792">
        <v>1</v>
      </c>
      <c r="AA20" s="792">
        <v>77</v>
      </c>
      <c r="AB20" s="792">
        <v>0</v>
      </c>
      <c r="AC20" s="792">
        <v>0</v>
      </c>
      <c r="AD20" s="792">
        <v>0</v>
      </c>
      <c r="AE20" s="792">
        <v>0</v>
      </c>
      <c r="AF20" s="792">
        <v>0</v>
      </c>
      <c r="AG20" s="792">
        <v>0</v>
      </c>
      <c r="AH20" s="792"/>
      <c r="AI20" s="792"/>
      <c r="AJ20" s="792"/>
    </row>
    <row r="21" spans="1:36">
      <c r="A21" s="59" t="s">
        <v>2081</v>
      </c>
      <c r="B21" s="792">
        <f t="shared" si="7"/>
        <v>3</v>
      </c>
      <c r="C21" s="792">
        <f t="shared" si="7"/>
        <v>38</v>
      </c>
      <c r="D21" s="792">
        <v>0</v>
      </c>
      <c r="E21" s="792">
        <v>0</v>
      </c>
      <c r="F21" s="792">
        <v>0</v>
      </c>
      <c r="G21" s="792">
        <v>0</v>
      </c>
      <c r="H21" s="792">
        <v>0</v>
      </c>
      <c r="I21" s="792">
        <v>0</v>
      </c>
      <c r="J21" s="792">
        <v>0</v>
      </c>
      <c r="K21" s="792">
        <v>0</v>
      </c>
      <c r="L21" s="792">
        <v>0</v>
      </c>
      <c r="M21" s="792">
        <v>0</v>
      </c>
      <c r="N21" s="792">
        <v>0</v>
      </c>
      <c r="O21" s="792">
        <v>0</v>
      </c>
      <c r="P21" s="792">
        <v>3</v>
      </c>
      <c r="Q21" s="792">
        <v>38</v>
      </c>
      <c r="R21" s="792">
        <v>0</v>
      </c>
      <c r="S21" s="792">
        <v>0</v>
      </c>
      <c r="T21" s="792">
        <v>0</v>
      </c>
      <c r="U21" s="792">
        <v>0</v>
      </c>
      <c r="V21" s="792">
        <v>0</v>
      </c>
      <c r="W21" s="792">
        <v>0</v>
      </c>
      <c r="X21" s="792">
        <v>0</v>
      </c>
      <c r="Y21" s="792">
        <v>0</v>
      </c>
      <c r="Z21" s="792">
        <v>0</v>
      </c>
      <c r="AA21" s="792">
        <v>0</v>
      </c>
      <c r="AB21" s="792">
        <v>0</v>
      </c>
      <c r="AC21" s="792">
        <v>0</v>
      </c>
      <c r="AD21" s="792">
        <v>0</v>
      </c>
      <c r="AE21" s="792">
        <v>0</v>
      </c>
      <c r="AF21" s="792">
        <v>0</v>
      </c>
      <c r="AG21" s="792">
        <v>0</v>
      </c>
      <c r="AH21" s="792"/>
      <c r="AI21" s="792"/>
      <c r="AJ21" s="792"/>
    </row>
    <row r="22" spans="1:36">
      <c r="A22" s="59" t="s">
        <v>2080</v>
      </c>
      <c r="B22" s="792">
        <f t="shared" si="7"/>
        <v>3</v>
      </c>
      <c r="C22" s="792">
        <f t="shared" si="7"/>
        <v>160</v>
      </c>
      <c r="D22" s="792">
        <v>0</v>
      </c>
      <c r="E22" s="792">
        <v>0</v>
      </c>
      <c r="F22" s="792">
        <v>0</v>
      </c>
      <c r="G22" s="792">
        <v>0</v>
      </c>
      <c r="H22" s="792">
        <v>0</v>
      </c>
      <c r="I22" s="792">
        <v>0</v>
      </c>
      <c r="J22" s="792">
        <v>0</v>
      </c>
      <c r="K22" s="792">
        <v>0</v>
      </c>
      <c r="L22" s="792">
        <v>0</v>
      </c>
      <c r="M22" s="792">
        <v>0</v>
      </c>
      <c r="N22" s="792">
        <v>0</v>
      </c>
      <c r="O22" s="792">
        <v>0</v>
      </c>
      <c r="P22" s="792">
        <v>3</v>
      </c>
      <c r="Q22" s="792">
        <v>160</v>
      </c>
      <c r="R22" s="792">
        <v>0</v>
      </c>
      <c r="S22" s="792">
        <v>0</v>
      </c>
      <c r="T22" s="792">
        <v>0</v>
      </c>
      <c r="U22" s="792">
        <v>0</v>
      </c>
      <c r="V22" s="792">
        <v>0</v>
      </c>
      <c r="W22" s="792">
        <v>0</v>
      </c>
      <c r="X22" s="792">
        <v>0</v>
      </c>
      <c r="Y22" s="792">
        <v>0</v>
      </c>
      <c r="Z22" s="792">
        <v>0</v>
      </c>
      <c r="AA22" s="792">
        <v>0</v>
      </c>
      <c r="AB22" s="792">
        <v>0</v>
      </c>
      <c r="AC22" s="792">
        <v>0</v>
      </c>
      <c r="AD22" s="792">
        <v>0</v>
      </c>
      <c r="AE22" s="792">
        <v>0</v>
      </c>
      <c r="AF22" s="792">
        <v>0</v>
      </c>
      <c r="AG22" s="792">
        <v>0</v>
      </c>
      <c r="AH22" s="792"/>
      <c r="AI22" s="792"/>
      <c r="AJ22" s="792"/>
    </row>
    <row r="23" spans="1:36">
      <c r="A23" s="59" t="s">
        <v>2079</v>
      </c>
      <c r="B23" s="792">
        <f t="shared" si="7"/>
        <v>40</v>
      </c>
      <c r="C23" s="792">
        <f t="shared" si="7"/>
        <v>2777</v>
      </c>
      <c r="D23" s="792">
        <v>1</v>
      </c>
      <c r="E23" s="792">
        <v>7</v>
      </c>
      <c r="F23" s="792">
        <v>1</v>
      </c>
      <c r="G23" s="792">
        <v>31</v>
      </c>
      <c r="H23" s="792">
        <v>2</v>
      </c>
      <c r="I23" s="792">
        <v>69</v>
      </c>
      <c r="J23" s="792">
        <v>0</v>
      </c>
      <c r="K23" s="792">
        <v>0</v>
      </c>
      <c r="L23" s="792">
        <v>0</v>
      </c>
      <c r="M23" s="792">
        <v>0</v>
      </c>
      <c r="N23" s="792">
        <v>7</v>
      </c>
      <c r="O23" s="792">
        <v>479</v>
      </c>
      <c r="P23" s="792">
        <v>18</v>
      </c>
      <c r="Q23" s="792">
        <v>1756</v>
      </c>
      <c r="R23" s="792">
        <v>1</v>
      </c>
      <c r="S23" s="792">
        <v>79</v>
      </c>
      <c r="T23" s="792">
        <v>0</v>
      </c>
      <c r="U23" s="792">
        <v>0</v>
      </c>
      <c r="V23" s="792">
        <v>5</v>
      </c>
      <c r="W23" s="792">
        <v>158</v>
      </c>
      <c r="X23" s="792">
        <v>2</v>
      </c>
      <c r="Y23" s="792">
        <v>91</v>
      </c>
      <c r="Z23" s="792">
        <v>3</v>
      </c>
      <c r="AA23" s="792">
        <v>107</v>
      </c>
      <c r="AB23" s="792">
        <v>0</v>
      </c>
      <c r="AC23" s="792">
        <v>0</v>
      </c>
      <c r="AD23" s="792">
        <v>0</v>
      </c>
      <c r="AE23" s="792">
        <v>0</v>
      </c>
      <c r="AF23" s="792">
        <v>0</v>
      </c>
      <c r="AG23" s="792">
        <v>0</v>
      </c>
      <c r="AH23" s="792"/>
      <c r="AI23" s="792"/>
      <c r="AJ23" s="792"/>
    </row>
    <row r="24" spans="1:36" s="405" customFormat="1">
      <c r="A24" s="339" t="s">
        <v>2082</v>
      </c>
      <c r="B24" s="794">
        <f>SUM(B25:B26)</f>
        <v>61</v>
      </c>
      <c r="C24" s="794">
        <f t="shared" ref="C24:AG24" si="8">SUM(C25:C26)</f>
        <v>2763</v>
      </c>
      <c r="D24" s="794">
        <f t="shared" si="8"/>
        <v>1</v>
      </c>
      <c r="E24" s="794">
        <f t="shared" si="8"/>
        <v>16</v>
      </c>
      <c r="F24" s="794">
        <f t="shared" si="8"/>
        <v>1</v>
      </c>
      <c r="G24" s="794">
        <f t="shared" si="8"/>
        <v>14</v>
      </c>
      <c r="H24" s="794">
        <f t="shared" si="8"/>
        <v>0</v>
      </c>
      <c r="I24" s="794">
        <f t="shared" si="8"/>
        <v>0</v>
      </c>
      <c r="J24" s="794">
        <f t="shared" si="8"/>
        <v>0</v>
      </c>
      <c r="K24" s="794">
        <f t="shared" si="8"/>
        <v>0</v>
      </c>
      <c r="L24" s="794">
        <f t="shared" si="8"/>
        <v>2</v>
      </c>
      <c r="M24" s="794">
        <f t="shared" si="8"/>
        <v>39</v>
      </c>
      <c r="N24" s="794">
        <f t="shared" si="8"/>
        <v>8</v>
      </c>
      <c r="O24" s="794">
        <f t="shared" si="8"/>
        <v>164</v>
      </c>
      <c r="P24" s="794">
        <f t="shared" si="8"/>
        <v>37</v>
      </c>
      <c r="Q24" s="794">
        <f t="shared" si="8"/>
        <v>2297</v>
      </c>
      <c r="R24" s="794">
        <f t="shared" si="8"/>
        <v>1</v>
      </c>
      <c r="S24" s="794">
        <f t="shared" si="8"/>
        <v>10</v>
      </c>
      <c r="T24" s="794">
        <f t="shared" si="8"/>
        <v>1</v>
      </c>
      <c r="U24" s="794">
        <f t="shared" si="8"/>
        <v>7</v>
      </c>
      <c r="V24" s="794">
        <f t="shared" si="8"/>
        <v>6</v>
      </c>
      <c r="W24" s="794">
        <f t="shared" si="8"/>
        <v>154</v>
      </c>
      <c r="X24" s="794">
        <f t="shared" si="8"/>
        <v>1</v>
      </c>
      <c r="Y24" s="794">
        <f t="shared" si="8"/>
        <v>17</v>
      </c>
      <c r="Z24" s="794">
        <f t="shared" si="8"/>
        <v>1</v>
      </c>
      <c r="AA24" s="794">
        <f t="shared" si="8"/>
        <v>19</v>
      </c>
      <c r="AB24" s="794">
        <f t="shared" si="8"/>
        <v>1</v>
      </c>
      <c r="AC24" s="794">
        <f t="shared" si="8"/>
        <v>13</v>
      </c>
      <c r="AD24" s="794">
        <f t="shared" si="8"/>
        <v>0</v>
      </c>
      <c r="AE24" s="794">
        <f t="shared" si="8"/>
        <v>0</v>
      </c>
      <c r="AF24" s="794">
        <f t="shared" si="8"/>
        <v>1</v>
      </c>
      <c r="AG24" s="794">
        <f t="shared" si="8"/>
        <v>13</v>
      </c>
      <c r="AH24" s="794"/>
      <c r="AI24" s="794"/>
      <c r="AJ24" s="794"/>
    </row>
    <row r="25" spans="1:36">
      <c r="A25" s="59" t="s">
        <v>2083</v>
      </c>
      <c r="B25" s="792">
        <f>SUM(D25,F25,H25,J25,L25,N25,P25,R25,T25,V25,X25,Z25,AB25,AD25,AF25)</f>
        <v>16</v>
      </c>
      <c r="C25" s="792">
        <f>SUM(E25,G25,I25,K25,M25,O25,Q25,S25,U25,W25,Y25,AA25,AC25,AE25,AG25)</f>
        <v>264</v>
      </c>
      <c r="D25" s="792">
        <v>1</v>
      </c>
      <c r="E25" s="792">
        <v>16</v>
      </c>
      <c r="F25" s="792">
        <v>1</v>
      </c>
      <c r="G25" s="792">
        <v>14</v>
      </c>
      <c r="H25" s="792">
        <v>0</v>
      </c>
      <c r="I25" s="792">
        <v>0</v>
      </c>
      <c r="J25" s="792">
        <v>0</v>
      </c>
      <c r="K25" s="792">
        <v>0</v>
      </c>
      <c r="L25" s="792">
        <v>1</v>
      </c>
      <c r="M25" s="792">
        <v>20</v>
      </c>
      <c r="N25" s="792">
        <v>1</v>
      </c>
      <c r="O25" s="792">
        <v>24</v>
      </c>
      <c r="P25" s="792">
        <v>6</v>
      </c>
      <c r="Q25" s="792">
        <v>120</v>
      </c>
      <c r="R25" s="792">
        <v>1</v>
      </c>
      <c r="S25" s="792">
        <v>10</v>
      </c>
      <c r="T25" s="792">
        <v>1</v>
      </c>
      <c r="U25" s="792">
        <v>7</v>
      </c>
      <c r="V25" s="792">
        <v>1</v>
      </c>
      <c r="W25" s="792">
        <v>10</v>
      </c>
      <c r="X25" s="792">
        <v>1</v>
      </c>
      <c r="Y25" s="792">
        <v>17</v>
      </c>
      <c r="Z25" s="792">
        <v>0</v>
      </c>
      <c r="AA25" s="792">
        <v>0</v>
      </c>
      <c r="AB25" s="792">
        <v>1</v>
      </c>
      <c r="AC25" s="792">
        <v>13</v>
      </c>
      <c r="AD25" s="792">
        <v>0</v>
      </c>
      <c r="AE25" s="792">
        <v>0</v>
      </c>
      <c r="AF25" s="792">
        <v>1</v>
      </c>
      <c r="AG25" s="792">
        <v>13</v>
      </c>
      <c r="AH25" s="792"/>
      <c r="AI25" s="792"/>
      <c r="AJ25" s="792"/>
    </row>
    <row r="26" spans="1:36">
      <c r="A26" s="59" t="s">
        <v>1529</v>
      </c>
      <c r="B26" s="792">
        <f>SUM(D26,F26,H26,J26,L26,N26,P26,R26,T26,V26,X26,Z26,AB26,AD26,AF26)</f>
        <v>45</v>
      </c>
      <c r="C26" s="792">
        <f>SUM(E26,G26,I26,K26,M26,O26,Q26,S26,U26,W26,Y26,AA26,AC26,AE26,AG26)</f>
        <v>2499</v>
      </c>
      <c r="D26" s="792">
        <v>0</v>
      </c>
      <c r="E26" s="792">
        <v>0</v>
      </c>
      <c r="F26" s="792">
        <v>0</v>
      </c>
      <c r="G26" s="792">
        <v>0</v>
      </c>
      <c r="H26" s="792">
        <v>0</v>
      </c>
      <c r="I26" s="792">
        <v>0</v>
      </c>
      <c r="J26" s="792">
        <v>0</v>
      </c>
      <c r="K26" s="792">
        <v>0</v>
      </c>
      <c r="L26" s="792">
        <v>1</v>
      </c>
      <c r="M26" s="792">
        <v>19</v>
      </c>
      <c r="N26" s="792">
        <v>7</v>
      </c>
      <c r="O26" s="792">
        <v>140</v>
      </c>
      <c r="P26" s="792">
        <v>31</v>
      </c>
      <c r="Q26" s="792">
        <v>2177</v>
      </c>
      <c r="R26" s="792">
        <v>0</v>
      </c>
      <c r="S26" s="792">
        <v>0</v>
      </c>
      <c r="T26" s="792">
        <v>0</v>
      </c>
      <c r="U26" s="792">
        <v>0</v>
      </c>
      <c r="V26" s="792">
        <v>5</v>
      </c>
      <c r="W26" s="792">
        <v>144</v>
      </c>
      <c r="X26" s="792">
        <v>0</v>
      </c>
      <c r="Y26" s="792">
        <v>0</v>
      </c>
      <c r="Z26" s="792">
        <v>1</v>
      </c>
      <c r="AA26" s="792">
        <v>19</v>
      </c>
      <c r="AB26" s="792">
        <v>0</v>
      </c>
      <c r="AC26" s="792">
        <v>0</v>
      </c>
      <c r="AD26" s="792">
        <v>0</v>
      </c>
      <c r="AE26" s="792">
        <v>0</v>
      </c>
      <c r="AF26" s="792">
        <v>0</v>
      </c>
      <c r="AG26" s="792">
        <v>0</v>
      </c>
      <c r="AH26" s="792"/>
      <c r="AI26" s="792"/>
      <c r="AJ26" s="792"/>
    </row>
    <row r="27" spans="1:36" s="405" customFormat="1">
      <c r="A27" s="339" t="s">
        <v>2084</v>
      </c>
      <c r="B27" s="794">
        <f>SUM(B28:B32)</f>
        <v>78</v>
      </c>
      <c r="C27" s="794">
        <f t="shared" ref="C27:AG27" si="9">SUM(C28:C32)</f>
        <v>6483</v>
      </c>
      <c r="D27" s="794">
        <f t="shared" si="9"/>
        <v>0</v>
      </c>
      <c r="E27" s="794">
        <f t="shared" si="9"/>
        <v>0</v>
      </c>
      <c r="F27" s="794">
        <f t="shared" si="9"/>
        <v>0</v>
      </c>
      <c r="G27" s="794">
        <f t="shared" si="9"/>
        <v>0</v>
      </c>
      <c r="H27" s="794">
        <f t="shared" si="9"/>
        <v>0</v>
      </c>
      <c r="I27" s="794">
        <f t="shared" si="9"/>
        <v>0</v>
      </c>
      <c r="J27" s="794">
        <f t="shared" si="9"/>
        <v>0</v>
      </c>
      <c r="K27" s="794">
        <f t="shared" si="9"/>
        <v>0</v>
      </c>
      <c r="L27" s="794">
        <f t="shared" si="9"/>
        <v>0</v>
      </c>
      <c r="M27" s="794">
        <f t="shared" si="9"/>
        <v>0</v>
      </c>
      <c r="N27" s="794">
        <f t="shared" si="9"/>
        <v>7</v>
      </c>
      <c r="O27" s="794">
        <f t="shared" si="9"/>
        <v>969</v>
      </c>
      <c r="P27" s="794">
        <f t="shared" si="9"/>
        <v>61</v>
      </c>
      <c r="Q27" s="794">
        <f t="shared" si="9"/>
        <v>4811</v>
      </c>
      <c r="R27" s="794">
        <f t="shared" si="9"/>
        <v>0</v>
      </c>
      <c r="S27" s="794">
        <f t="shared" si="9"/>
        <v>0</v>
      </c>
      <c r="T27" s="794">
        <f t="shared" si="9"/>
        <v>2</v>
      </c>
      <c r="U27" s="794">
        <f t="shared" si="9"/>
        <v>210</v>
      </c>
      <c r="V27" s="794">
        <f t="shared" si="9"/>
        <v>7</v>
      </c>
      <c r="W27" s="794">
        <f t="shared" si="9"/>
        <v>480</v>
      </c>
      <c r="X27" s="794">
        <f t="shared" si="9"/>
        <v>1</v>
      </c>
      <c r="Y27" s="794">
        <f t="shared" si="9"/>
        <v>13</v>
      </c>
      <c r="Z27" s="794">
        <f t="shared" si="9"/>
        <v>0</v>
      </c>
      <c r="AA27" s="794">
        <f t="shared" si="9"/>
        <v>0</v>
      </c>
      <c r="AB27" s="794">
        <f t="shared" si="9"/>
        <v>0</v>
      </c>
      <c r="AC27" s="794">
        <f t="shared" si="9"/>
        <v>0</v>
      </c>
      <c r="AD27" s="794">
        <f t="shared" si="9"/>
        <v>0</v>
      </c>
      <c r="AE27" s="794">
        <f t="shared" si="9"/>
        <v>0</v>
      </c>
      <c r="AF27" s="794">
        <f t="shared" si="9"/>
        <v>0</v>
      </c>
      <c r="AG27" s="794">
        <f t="shared" si="9"/>
        <v>0</v>
      </c>
      <c r="AH27" s="794"/>
      <c r="AI27" s="794"/>
      <c r="AJ27" s="794"/>
    </row>
    <row r="28" spans="1:36">
      <c r="A28" s="59" t="s">
        <v>2085</v>
      </c>
      <c r="B28" s="792">
        <f t="shared" ref="B28:C32" si="10">SUM(D28,F28,H28,J28,L28,N28,P28,R28,T28,V28,X28,Z28,AB28,AD28,AF28)</f>
        <v>11</v>
      </c>
      <c r="C28" s="792">
        <f t="shared" si="10"/>
        <v>961</v>
      </c>
      <c r="D28" s="792">
        <v>0</v>
      </c>
      <c r="E28" s="792">
        <v>0</v>
      </c>
      <c r="F28" s="792">
        <v>0</v>
      </c>
      <c r="G28" s="792">
        <v>0</v>
      </c>
      <c r="H28" s="792">
        <v>0</v>
      </c>
      <c r="I28" s="792">
        <v>0</v>
      </c>
      <c r="J28" s="792">
        <v>0</v>
      </c>
      <c r="K28" s="792">
        <v>0</v>
      </c>
      <c r="L28" s="792">
        <v>0</v>
      </c>
      <c r="M28" s="792">
        <v>0</v>
      </c>
      <c r="N28" s="792">
        <v>2</v>
      </c>
      <c r="O28" s="792">
        <v>189</v>
      </c>
      <c r="P28" s="792">
        <v>8</v>
      </c>
      <c r="Q28" s="792">
        <v>768</v>
      </c>
      <c r="R28" s="792">
        <v>0</v>
      </c>
      <c r="S28" s="792">
        <v>0</v>
      </c>
      <c r="T28" s="792">
        <v>0</v>
      </c>
      <c r="U28" s="792">
        <v>0</v>
      </c>
      <c r="V28" s="792">
        <v>1</v>
      </c>
      <c r="W28" s="792">
        <v>4</v>
      </c>
      <c r="X28" s="792">
        <v>0</v>
      </c>
      <c r="Y28" s="792">
        <v>0</v>
      </c>
      <c r="Z28" s="792">
        <v>0</v>
      </c>
      <c r="AA28" s="792">
        <v>0</v>
      </c>
      <c r="AB28" s="792">
        <v>0</v>
      </c>
      <c r="AC28" s="792">
        <v>0</v>
      </c>
      <c r="AD28" s="792">
        <v>0</v>
      </c>
      <c r="AE28" s="792">
        <v>0</v>
      </c>
      <c r="AF28" s="792">
        <v>0</v>
      </c>
      <c r="AG28" s="792">
        <v>0</v>
      </c>
      <c r="AH28" s="792"/>
      <c r="AI28" s="792"/>
      <c r="AJ28" s="792"/>
    </row>
    <row r="29" spans="1:36">
      <c r="A29" s="59" t="s">
        <v>2086</v>
      </c>
      <c r="B29" s="792">
        <f t="shared" si="10"/>
        <v>15</v>
      </c>
      <c r="C29" s="792">
        <f t="shared" si="10"/>
        <v>1086</v>
      </c>
      <c r="D29" s="792">
        <v>0</v>
      </c>
      <c r="E29" s="792">
        <v>0</v>
      </c>
      <c r="F29" s="792">
        <v>0</v>
      </c>
      <c r="G29" s="792">
        <v>0</v>
      </c>
      <c r="H29" s="792">
        <v>0</v>
      </c>
      <c r="I29" s="792">
        <v>0</v>
      </c>
      <c r="J29" s="792">
        <v>0</v>
      </c>
      <c r="K29" s="792">
        <v>0</v>
      </c>
      <c r="L29" s="792">
        <v>0</v>
      </c>
      <c r="M29" s="792">
        <v>0</v>
      </c>
      <c r="N29" s="792">
        <v>2</v>
      </c>
      <c r="O29" s="792">
        <v>193</v>
      </c>
      <c r="P29" s="792">
        <v>12</v>
      </c>
      <c r="Q29" s="792">
        <v>868</v>
      </c>
      <c r="R29" s="792">
        <v>0</v>
      </c>
      <c r="S29" s="792">
        <v>0</v>
      </c>
      <c r="T29" s="792">
        <v>0</v>
      </c>
      <c r="U29" s="792">
        <v>0</v>
      </c>
      <c r="V29" s="792">
        <v>1</v>
      </c>
      <c r="W29" s="792">
        <v>25</v>
      </c>
      <c r="X29" s="792">
        <v>0</v>
      </c>
      <c r="Y29" s="792">
        <v>0</v>
      </c>
      <c r="Z29" s="792">
        <v>0</v>
      </c>
      <c r="AA29" s="792">
        <v>0</v>
      </c>
      <c r="AB29" s="792">
        <v>0</v>
      </c>
      <c r="AC29" s="792">
        <v>0</v>
      </c>
      <c r="AD29" s="792">
        <v>0</v>
      </c>
      <c r="AE29" s="792">
        <v>0</v>
      </c>
      <c r="AF29" s="792">
        <v>0</v>
      </c>
      <c r="AG29" s="792">
        <v>0</v>
      </c>
      <c r="AH29" s="792"/>
      <c r="AI29" s="792"/>
      <c r="AJ29" s="792"/>
    </row>
    <row r="30" spans="1:36">
      <c r="A30" s="59" t="s">
        <v>2087</v>
      </c>
      <c r="B30" s="792">
        <f t="shared" si="10"/>
        <v>39</v>
      </c>
      <c r="C30" s="792">
        <f t="shared" si="10"/>
        <v>3560</v>
      </c>
      <c r="D30" s="792">
        <v>0</v>
      </c>
      <c r="E30" s="792">
        <v>0</v>
      </c>
      <c r="F30" s="792">
        <v>0</v>
      </c>
      <c r="G30" s="792">
        <v>0</v>
      </c>
      <c r="H30" s="792">
        <v>0</v>
      </c>
      <c r="I30" s="792">
        <v>0</v>
      </c>
      <c r="J30" s="792">
        <v>0</v>
      </c>
      <c r="K30" s="792">
        <v>0</v>
      </c>
      <c r="L30" s="792">
        <v>0</v>
      </c>
      <c r="M30" s="792">
        <v>0</v>
      </c>
      <c r="N30" s="792">
        <v>2</v>
      </c>
      <c r="O30" s="792">
        <v>420</v>
      </c>
      <c r="P30" s="792">
        <v>30</v>
      </c>
      <c r="Q30" s="792">
        <v>2526</v>
      </c>
      <c r="R30" s="792">
        <v>0</v>
      </c>
      <c r="S30" s="792">
        <v>0</v>
      </c>
      <c r="T30" s="792">
        <v>2</v>
      </c>
      <c r="U30" s="792">
        <v>210</v>
      </c>
      <c r="V30" s="792">
        <v>4</v>
      </c>
      <c r="W30" s="792">
        <v>391</v>
      </c>
      <c r="X30" s="792">
        <v>1</v>
      </c>
      <c r="Y30" s="792">
        <v>13</v>
      </c>
      <c r="Z30" s="792">
        <v>0</v>
      </c>
      <c r="AA30" s="792">
        <v>0</v>
      </c>
      <c r="AB30" s="792">
        <v>0</v>
      </c>
      <c r="AC30" s="792">
        <v>0</v>
      </c>
      <c r="AD30" s="792">
        <v>0</v>
      </c>
      <c r="AE30" s="792">
        <v>0</v>
      </c>
      <c r="AF30" s="792">
        <v>0</v>
      </c>
      <c r="AG30" s="792">
        <v>0</v>
      </c>
      <c r="AH30" s="792"/>
      <c r="AI30" s="792"/>
      <c r="AJ30" s="792"/>
    </row>
    <row r="31" spans="1:36">
      <c r="A31" s="59" t="s">
        <v>2088</v>
      </c>
      <c r="B31" s="792">
        <f t="shared" si="10"/>
        <v>2</v>
      </c>
      <c r="C31" s="792">
        <f t="shared" si="10"/>
        <v>140</v>
      </c>
      <c r="D31" s="792">
        <v>0</v>
      </c>
      <c r="E31" s="792">
        <v>0</v>
      </c>
      <c r="F31" s="792">
        <v>0</v>
      </c>
      <c r="G31" s="792">
        <v>0</v>
      </c>
      <c r="H31" s="792">
        <v>0</v>
      </c>
      <c r="I31" s="792">
        <v>0</v>
      </c>
      <c r="J31" s="792">
        <v>0</v>
      </c>
      <c r="K31" s="792">
        <v>0</v>
      </c>
      <c r="L31" s="792">
        <v>0</v>
      </c>
      <c r="M31" s="792">
        <v>0</v>
      </c>
      <c r="N31" s="792">
        <v>0</v>
      </c>
      <c r="O31" s="792">
        <v>0</v>
      </c>
      <c r="P31" s="792">
        <v>2</v>
      </c>
      <c r="Q31" s="792">
        <v>140</v>
      </c>
      <c r="R31" s="792">
        <v>0</v>
      </c>
      <c r="S31" s="792">
        <v>0</v>
      </c>
      <c r="T31" s="792">
        <v>0</v>
      </c>
      <c r="U31" s="792">
        <v>0</v>
      </c>
      <c r="V31" s="792">
        <v>0</v>
      </c>
      <c r="W31" s="792">
        <v>0</v>
      </c>
      <c r="X31" s="792">
        <v>0</v>
      </c>
      <c r="Y31" s="792">
        <v>0</v>
      </c>
      <c r="Z31" s="792">
        <v>0</v>
      </c>
      <c r="AA31" s="792">
        <v>0</v>
      </c>
      <c r="AB31" s="792">
        <v>0</v>
      </c>
      <c r="AC31" s="792">
        <v>0</v>
      </c>
      <c r="AD31" s="792">
        <v>0</v>
      </c>
      <c r="AE31" s="792">
        <v>0</v>
      </c>
      <c r="AF31" s="792">
        <v>0</v>
      </c>
      <c r="AG31" s="792">
        <v>0</v>
      </c>
      <c r="AH31" s="792"/>
      <c r="AI31" s="792"/>
      <c r="AJ31" s="792"/>
    </row>
    <row r="32" spans="1:36">
      <c r="A32" s="59" t="s">
        <v>2089</v>
      </c>
      <c r="B32" s="792">
        <f t="shared" si="10"/>
        <v>11</v>
      </c>
      <c r="C32" s="792">
        <f t="shared" si="10"/>
        <v>736</v>
      </c>
      <c r="D32" s="792">
        <v>0</v>
      </c>
      <c r="E32" s="792">
        <v>0</v>
      </c>
      <c r="F32" s="792">
        <v>0</v>
      </c>
      <c r="G32" s="792">
        <v>0</v>
      </c>
      <c r="H32" s="792">
        <v>0</v>
      </c>
      <c r="I32" s="792">
        <v>0</v>
      </c>
      <c r="J32" s="792">
        <v>0</v>
      </c>
      <c r="K32" s="792">
        <v>0</v>
      </c>
      <c r="L32" s="792">
        <v>0</v>
      </c>
      <c r="M32" s="792">
        <v>0</v>
      </c>
      <c r="N32" s="792">
        <v>1</v>
      </c>
      <c r="O32" s="792">
        <v>167</v>
      </c>
      <c r="P32" s="792">
        <v>9</v>
      </c>
      <c r="Q32" s="792">
        <v>509</v>
      </c>
      <c r="R32" s="792">
        <v>0</v>
      </c>
      <c r="S32" s="792">
        <v>0</v>
      </c>
      <c r="T32" s="792">
        <v>0</v>
      </c>
      <c r="U32" s="792">
        <v>0</v>
      </c>
      <c r="V32" s="792">
        <v>1</v>
      </c>
      <c r="W32" s="792">
        <v>60</v>
      </c>
      <c r="X32" s="792">
        <v>0</v>
      </c>
      <c r="Y32" s="792">
        <v>0</v>
      </c>
      <c r="Z32" s="792">
        <v>0</v>
      </c>
      <c r="AA32" s="792">
        <v>0</v>
      </c>
      <c r="AB32" s="792">
        <v>0</v>
      </c>
      <c r="AC32" s="792">
        <v>0</v>
      </c>
      <c r="AD32" s="792">
        <v>0</v>
      </c>
      <c r="AE32" s="792">
        <v>0</v>
      </c>
      <c r="AF32" s="792">
        <v>0</v>
      </c>
      <c r="AG32" s="792">
        <v>0</v>
      </c>
      <c r="AH32" s="792"/>
      <c r="AI32" s="792"/>
      <c r="AJ32" s="792"/>
    </row>
    <row r="33" spans="1:36" s="405" customFormat="1">
      <c r="A33" s="339" t="s">
        <v>2090</v>
      </c>
      <c r="B33" s="794">
        <f>SUM(B34:B38)</f>
        <v>421</v>
      </c>
      <c r="C33" s="794">
        <f t="shared" ref="C33:AG33" si="11">SUM(C34:C38)</f>
        <v>39967</v>
      </c>
      <c r="D33" s="794">
        <f t="shared" si="11"/>
        <v>5</v>
      </c>
      <c r="E33" s="794">
        <f t="shared" si="11"/>
        <v>245</v>
      </c>
      <c r="F33" s="794">
        <f t="shared" si="11"/>
        <v>6</v>
      </c>
      <c r="G33" s="794">
        <f t="shared" si="11"/>
        <v>331</v>
      </c>
      <c r="H33" s="794">
        <f t="shared" si="11"/>
        <v>12</v>
      </c>
      <c r="I33" s="794">
        <f t="shared" si="11"/>
        <v>763</v>
      </c>
      <c r="J33" s="794">
        <f t="shared" si="11"/>
        <v>2</v>
      </c>
      <c r="K33" s="794">
        <f t="shared" si="11"/>
        <v>125</v>
      </c>
      <c r="L33" s="794">
        <f t="shared" si="11"/>
        <v>13</v>
      </c>
      <c r="M33" s="794">
        <f t="shared" si="11"/>
        <v>992</v>
      </c>
      <c r="N33" s="794">
        <f t="shared" si="11"/>
        <v>46</v>
      </c>
      <c r="O33" s="794">
        <f t="shared" si="11"/>
        <v>4744</v>
      </c>
      <c r="P33" s="794">
        <f t="shared" si="11"/>
        <v>251</v>
      </c>
      <c r="Q33" s="794">
        <f t="shared" si="11"/>
        <v>25768</v>
      </c>
      <c r="R33" s="794">
        <f t="shared" si="11"/>
        <v>6</v>
      </c>
      <c r="S33" s="794">
        <f t="shared" si="11"/>
        <v>338</v>
      </c>
      <c r="T33" s="794">
        <f t="shared" si="11"/>
        <v>8</v>
      </c>
      <c r="U33" s="794">
        <f t="shared" si="11"/>
        <v>943</v>
      </c>
      <c r="V33" s="794">
        <f t="shared" si="11"/>
        <v>40</v>
      </c>
      <c r="W33" s="794">
        <f t="shared" si="11"/>
        <v>3556</v>
      </c>
      <c r="X33" s="794">
        <f t="shared" si="11"/>
        <v>14</v>
      </c>
      <c r="Y33" s="794">
        <f t="shared" si="11"/>
        <v>898</v>
      </c>
      <c r="Z33" s="794">
        <f t="shared" si="11"/>
        <v>3</v>
      </c>
      <c r="AA33" s="794">
        <f t="shared" si="11"/>
        <v>463</v>
      </c>
      <c r="AB33" s="794">
        <f t="shared" si="11"/>
        <v>12</v>
      </c>
      <c r="AC33" s="794">
        <f t="shared" si="11"/>
        <v>609</v>
      </c>
      <c r="AD33" s="794">
        <f t="shared" si="11"/>
        <v>0</v>
      </c>
      <c r="AE33" s="794">
        <f t="shared" si="11"/>
        <v>0</v>
      </c>
      <c r="AF33" s="794">
        <f t="shared" si="11"/>
        <v>3</v>
      </c>
      <c r="AG33" s="794">
        <f t="shared" si="11"/>
        <v>192</v>
      </c>
      <c r="AH33" s="794"/>
      <c r="AI33" s="794"/>
      <c r="AJ33" s="794"/>
    </row>
    <row r="34" spans="1:36">
      <c r="A34" s="59" t="s">
        <v>2091</v>
      </c>
      <c r="B34" s="792">
        <f t="shared" ref="B34:C38" si="12">SUM(D34,F34,H34,J34,L34,N34,P34,R34,T34,V34,X34,Z34,AB34,AD34,AF34)</f>
        <v>75</v>
      </c>
      <c r="C34" s="792">
        <f t="shared" si="12"/>
        <v>12504</v>
      </c>
      <c r="D34" s="792">
        <v>1</v>
      </c>
      <c r="E34" s="792">
        <v>15</v>
      </c>
      <c r="F34" s="792">
        <v>2</v>
      </c>
      <c r="G34" s="792">
        <v>160</v>
      </c>
      <c r="H34" s="792">
        <v>1</v>
      </c>
      <c r="I34" s="792">
        <v>376</v>
      </c>
      <c r="J34" s="792">
        <v>0</v>
      </c>
      <c r="K34" s="792">
        <v>0</v>
      </c>
      <c r="L34" s="792">
        <v>3</v>
      </c>
      <c r="M34" s="792">
        <v>423</v>
      </c>
      <c r="N34" s="792">
        <v>10</v>
      </c>
      <c r="O34" s="792">
        <v>1682</v>
      </c>
      <c r="P34" s="792">
        <v>37</v>
      </c>
      <c r="Q34" s="792">
        <v>6663</v>
      </c>
      <c r="R34" s="792">
        <v>0</v>
      </c>
      <c r="S34" s="792">
        <v>0</v>
      </c>
      <c r="T34" s="792">
        <v>1</v>
      </c>
      <c r="U34" s="792">
        <v>448</v>
      </c>
      <c r="V34" s="792">
        <v>9</v>
      </c>
      <c r="W34" s="792">
        <v>1651</v>
      </c>
      <c r="X34" s="792">
        <v>5</v>
      </c>
      <c r="Y34" s="792">
        <v>392</v>
      </c>
      <c r="Z34" s="792">
        <v>1</v>
      </c>
      <c r="AA34" s="792">
        <v>326</v>
      </c>
      <c r="AB34" s="792">
        <v>4</v>
      </c>
      <c r="AC34" s="792">
        <v>270</v>
      </c>
      <c r="AD34" s="792">
        <v>0</v>
      </c>
      <c r="AE34" s="792">
        <v>0</v>
      </c>
      <c r="AF34" s="792">
        <v>1</v>
      </c>
      <c r="AG34" s="792">
        <v>98</v>
      </c>
      <c r="AH34" s="792"/>
      <c r="AI34" s="792"/>
      <c r="AJ34" s="792"/>
    </row>
    <row r="35" spans="1:36">
      <c r="A35" s="59" t="s">
        <v>2053</v>
      </c>
      <c r="B35" s="792">
        <f t="shared" si="12"/>
        <v>37</v>
      </c>
      <c r="C35" s="792">
        <f t="shared" si="12"/>
        <v>2180</v>
      </c>
      <c r="D35" s="792">
        <v>0</v>
      </c>
      <c r="E35" s="792">
        <v>0</v>
      </c>
      <c r="F35" s="792">
        <v>0</v>
      </c>
      <c r="G35" s="792">
        <v>0</v>
      </c>
      <c r="H35" s="792">
        <v>2</v>
      </c>
      <c r="I35" s="792">
        <v>52</v>
      </c>
      <c r="J35" s="792">
        <v>1</v>
      </c>
      <c r="K35" s="792">
        <v>43</v>
      </c>
      <c r="L35" s="792">
        <v>1</v>
      </c>
      <c r="M35" s="792">
        <v>17</v>
      </c>
      <c r="N35" s="792">
        <v>5</v>
      </c>
      <c r="O35" s="792">
        <v>281</v>
      </c>
      <c r="P35" s="792">
        <v>20</v>
      </c>
      <c r="Q35" s="792">
        <v>1399</v>
      </c>
      <c r="R35" s="792">
        <v>2</v>
      </c>
      <c r="S35" s="792">
        <v>68</v>
      </c>
      <c r="T35" s="792">
        <v>1</v>
      </c>
      <c r="U35" s="792">
        <v>47</v>
      </c>
      <c r="V35" s="792">
        <v>4</v>
      </c>
      <c r="W35" s="792">
        <v>221</v>
      </c>
      <c r="X35" s="792">
        <v>0</v>
      </c>
      <c r="Y35" s="792">
        <v>0</v>
      </c>
      <c r="Z35" s="792">
        <v>0</v>
      </c>
      <c r="AA35" s="792">
        <v>0</v>
      </c>
      <c r="AB35" s="792">
        <v>1</v>
      </c>
      <c r="AC35" s="792">
        <v>52</v>
      </c>
      <c r="AD35" s="792">
        <v>0</v>
      </c>
      <c r="AE35" s="792">
        <v>0</v>
      </c>
      <c r="AF35" s="792">
        <v>0</v>
      </c>
      <c r="AG35" s="792">
        <v>0</v>
      </c>
      <c r="AH35" s="792"/>
      <c r="AI35" s="792"/>
      <c r="AJ35" s="792"/>
    </row>
    <row r="36" spans="1:36">
      <c r="A36" s="59" t="s">
        <v>2092</v>
      </c>
      <c r="B36" s="792">
        <f t="shared" si="12"/>
        <v>234</v>
      </c>
      <c r="C36" s="792">
        <f t="shared" si="12"/>
        <v>19615</v>
      </c>
      <c r="D36" s="792">
        <v>4</v>
      </c>
      <c r="E36" s="792">
        <v>230</v>
      </c>
      <c r="F36" s="792">
        <v>3</v>
      </c>
      <c r="G36" s="792">
        <v>169</v>
      </c>
      <c r="H36" s="792">
        <v>8</v>
      </c>
      <c r="I36" s="792">
        <v>269</v>
      </c>
      <c r="J36" s="792">
        <v>0</v>
      </c>
      <c r="K36" s="792">
        <v>0</v>
      </c>
      <c r="L36" s="792">
        <v>8</v>
      </c>
      <c r="M36" s="792">
        <v>534</v>
      </c>
      <c r="N36" s="792">
        <v>25</v>
      </c>
      <c r="O36" s="792">
        <v>2354</v>
      </c>
      <c r="P36" s="792">
        <v>134</v>
      </c>
      <c r="Q36" s="792">
        <v>12939</v>
      </c>
      <c r="R36" s="792">
        <v>4</v>
      </c>
      <c r="S36" s="792">
        <v>270</v>
      </c>
      <c r="T36" s="792">
        <v>6</v>
      </c>
      <c r="U36" s="792">
        <v>448</v>
      </c>
      <c r="V36" s="792">
        <v>24</v>
      </c>
      <c r="W36" s="792">
        <v>1485</v>
      </c>
      <c r="X36" s="792">
        <v>7</v>
      </c>
      <c r="Y36" s="792">
        <v>399</v>
      </c>
      <c r="Z36" s="792">
        <v>2</v>
      </c>
      <c r="AA36" s="792">
        <v>137</v>
      </c>
      <c r="AB36" s="792">
        <v>7</v>
      </c>
      <c r="AC36" s="792">
        <v>287</v>
      </c>
      <c r="AD36" s="792">
        <v>0</v>
      </c>
      <c r="AE36" s="792">
        <v>0</v>
      </c>
      <c r="AF36" s="792">
        <v>2</v>
      </c>
      <c r="AG36" s="792">
        <v>94</v>
      </c>
      <c r="AH36" s="792"/>
      <c r="AI36" s="792"/>
      <c r="AJ36" s="792"/>
    </row>
    <row r="37" spans="1:36">
      <c r="A37" s="59" t="s">
        <v>1833</v>
      </c>
      <c r="B37" s="792">
        <f t="shared" si="12"/>
        <v>51</v>
      </c>
      <c r="C37" s="792">
        <f t="shared" si="12"/>
        <v>4937</v>
      </c>
      <c r="D37" s="792">
        <v>0</v>
      </c>
      <c r="E37" s="792">
        <v>0</v>
      </c>
      <c r="F37" s="792">
        <v>1</v>
      </c>
      <c r="G37" s="792">
        <v>2</v>
      </c>
      <c r="H37" s="792">
        <v>0</v>
      </c>
      <c r="I37" s="792">
        <v>0</v>
      </c>
      <c r="J37" s="792">
        <v>0</v>
      </c>
      <c r="K37" s="792">
        <v>0</v>
      </c>
      <c r="L37" s="792">
        <v>1</v>
      </c>
      <c r="M37" s="792">
        <v>18</v>
      </c>
      <c r="N37" s="792">
        <v>3</v>
      </c>
      <c r="O37" s="792">
        <v>371</v>
      </c>
      <c r="P37" s="792">
        <v>44</v>
      </c>
      <c r="Q37" s="792">
        <v>4342</v>
      </c>
      <c r="R37" s="792">
        <v>0</v>
      </c>
      <c r="S37" s="792">
        <v>0</v>
      </c>
      <c r="T37" s="792">
        <v>0</v>
      </c>
      <c r="U37" s="792">
        <v>0</v>
      </c>
      <c r="V37" s="792">
        <v>1</v>
      </c>
      <c r="W37" s="792">
        <v>184</v>
      </c>
      <c r="X37" s="792">
        <v>1</v>
      </c>
      <c r="Y37" s="792">
        <v>20</v>
      </c>
      <c r="Z37" s="792">
        <v>0</v>
      </c>
      <c r="AA37" s="792">
        <v>0</v>
      </c>
      <c r="AB37" s="792">
        <v>0</v>
      </c>
      <c r="AC37" s="792">
        <v>0</v>
      </c>
      <c r="AD37" s="792">
        <v>0</v>
      </c>
      <c r="AE37" s="792">
        <v>0</v>
      </c>
      <c r="AF37" s="792">
        <v>0</v>
      </c>
      <c r="AG37" s="792">
        <v>0</v>
      </c>
      <c r="AH37" s="792"/>
      <c r="AI37" s="792"/>
      <c r="AJ37" s="792"/>
    </row>
    <row r="38" spans="1:36">
      <c r="A38" s="59" t="s">
        <v>2093</v>
      </c>
      <c r="B38" s="792">
        <f t="shared" si="12"/>
        <v>24</v>
      </c>
      <c r="C38" s="792">
        <f t="shared" si="12"/>
        <v>731</v>
      </c>
      <c r="D38" s="792">
        <v>0</v>
      </c>
      <c r="E38" s="792">
        <v>0</v>
      </c>
      <c r="F38" s="792">
        <v>0</v>
      </c>
      <c r="G38" s="792">
        <v>0</v>
      </c>
      <c r="H38" s="792">
        <v>1</v>
      </c>
      <c r="I38" s="792">
        <v>66</v>
      </c>
      <c r="J38" s="792">
        <v>1</v>
      </c>
      <c r="K38" s="792">
        <v>82</v>
      </c>
      <c r="L38" s="792">
        <v>0</v>
      </c>
      <c r="M38" s="792">
        <v>0</v>
      </c>
      <c r="N38" s="792">
        <v>3</v>
      </c>
      <c r="O38" s="792">
        <v>56</v>
      </c>
      <c r="P38" s="792">
        <v>16</v>
      </c>
      <c r="Q38" s="792">
        <v>425</v>
      </c>
      <c r="R38" s="792">
        <v>0</v>
      </c>
      <c r="S38" s="792">
        <v>0</v>
      </c>
      <c r="T38" s="792">
        <v>0</v>
      </c>
      <c r="U38" s="792">
        <v>0</v>
      </c>
      <c r="V38" s="792">
        <v>2</v>
      </c>
      <c r="W38" s="792">
        <v>15</v>
      </c>
      <c r="X38" s="792">
        <v>1</v>
      </c>
      <c r="Y38" s="792">
        <v>87</v>
      </c>
      <c r="Z38" s="792">
        <v>0</v>
      </c>
      <c r="AA38" s="792">
        <v>0</v>
      </c>
      <c r="AB38" s="792">
        <v>0</v>
      </c>
      <c r="AC38" s="792">
        <v>0</v>
      </c>
      <c r="AD38" s="792">
        <v>0</v>
      </c>
      <c r="AE38" s="792">
        <v>0</v>
      </c>
      <c r="AF38" s="792">
        <v>0</v>
      </c>
      <c r="AG38" s="792">
        <v>0</v>
      </c>
      <c r="AH38" s="792"/>
      <c r="AI38" s="792"/>
      <c r="AJ38" s="792"/>
    </row>
    <row r="39" spans="1:36" s="405" customFormat="1">
      <c r="A39" s="339" t="s">
        <v>2094</v>
      </c>
      <c r="B39" s="794">
        <f>SUM(B40:B41)</f>
        <v>492</v>
      </c>
      <c r="C39" s="794">
        <f t="shared" ref="C39:AG39" si="13">SUM(C40:C41)</f>
        <v>29826</v>
      </c>
      <c r="D39" s="794">
        <f t="shared" si="13"/>
        <v>9</v>
      </c>
      <c r="E39" s="794">
        <f t="shared" si="13"/>
        <v>353</v>
      </c>
      <c r="F39" s="794">
        <f t="shared" si="13"/>
        <v>14</v>
      </c>
      <c r="G39" s="794">
        <f t="shared" si="13"/>
        <v>475</v>
      </c>
      <c r="H39" s="794">
        <f t="shared" si="13"/>
        <v>13</v>
      </c>
      <c r="I39" s="794">
        <f t="shared" si="13"/>
        <v>684</v>
      </c>
      <c r="J39" s="794">
        <f t="shared" si="13"/>
        <v>5</v>
      </c>
      <c r="K39" s="794">
        <f t="shared" si="13"/>
        <v>271</v>
      </c>
      <c r="L39" s="794">
        <f t="shared" si="13"/>
        <v>13</v>
      </c>
      <c r="M39" s="794">
        <f t="shared" si="13"/>
        <v>774</v>
      </c>
      <c r="N39" s="794">
        <f t="shared" si="13"/>
        <v>70</v>
      </c>
      <c r="O39" s="794">
        <f t="shared" si="13"/>
        <v>3383</v>
      </c>
      <c r="P39" s="794">
        <f t="shared" si="13"/>
        <v>199</v>
      </c>
      <c r="Q39" s="794">
        <f t="shared" si="13"/>
        <v>15642</v>
      </c>
      <c r="R39" s="794">
        <f t="shared" si="13"/>
        <v>20</v>
      </c>
      <c r="S39" s="794">
        <f t="shared" si="13"/>
        <v>809</v>
      </c>
      <c r="T39" s="794">
        <f t="shared" si="13"/>
        <v>27</v>
      </c>
      <c r="U39" s="794">
        <f t="shared" si="13"/>
        <v>1408</v>
      </c>
      <c r="V39" s="794">
        <f t="shared" si="13"/>
        <v>56</v>
      </c>
      <c r="W39" s="794">
        <f t="shared" si="13"/>
        <v>3288</v>
      </c>
      <c r="X39" s="794">
        <f t="shared" si="13"/>
        <v>25</v>
      </c>
      <c r="Y39" s="794">
        <f t="shared" si="13"/>
        <v>1085</v>
      </c>
      <c r="Z39" s="794">
        <f t="shared" si="13"/>
        <v>7</v>
      </c>
      <c r="AA39" s="794">
        <f t="shared" si="13"/>
        <v>588</v>
      </c>
      <c r="AB39" s="794">
        <f t="shared" si="13"/>
        <v>26</v>
      </c>
      <c r="AC39" s="794">
        <f t="shared" si="13"/>
        <v>892</v>
      </c>
      <c r="AD39" s="794">
        <f t="shared" si="13"/>
        <v>3</v>
      </c>
      <c r="AE39" s="794">
        <f t="shared" si="13"/>
        <v>45</v>
      </c>
      <c r="AF39" s="794">
        <f t="shared" si="13"/>
        <v>5</v>
      </c>
      <c r="AG39" s="794">
        <f t="shared" si="13"/>
        <v>129</v>
      </c>
      <c r="AH39" s="794"/>
      <c r="AI39" s="794"/>
      <c r="AJ39" s="794"/>
    </row>
    <row r="40" spans="1:36">
      <c r="A40" s="59" t="s">
        <v>2095</v>
      </c>
      <c r="B40" s="792">
        <f>SUM(D40,F40,H40,J40,L40,N40,P40,R40,T40,V40,X40,Z40,AB40,AD40,AF40)</f>
        <v>488</v>
      </c>
      <c r="C40" s="792">
        <f>SUM(E40,G40,I40,K40,M40,O40,Q40,S40,U40,W40,Y40,AA40,AC40,AE40,AG40)</f>
        <v>29553</v>
      </c>
      <c r="D40" s="792">
        <v>9</v>
      </c>
      <c r="E40" s="792">
        <v>353</v>
      </c>
      <c r="F40" s="792">
        <v>13</v>
      </c>
      <c r="G40" s="792">
        <v>419</v>
      </c>
      <c r="H40" s="792">
        <v>13</v>
      </c>
      <c r="I40" s="792">
        <v>684</v>
      </c>
      <c r="J40" s="792">
        <v>5</v>
      </c>
      <c r="K40" s="792">
        <v>271</v>
      </c>
      <c r="L40" s="792">
        <v>13</v>
      </c>
      <c r="M40" s="792">
        <v>774</v>
      </c>
      <c r="N40" s="792">
        <v>70</v>
      </c>
      <c r="O40" s="792">
        <v>3383</v>
      </c>
      <c r="P40" s="792">
        <v>196</v>
      </c>
      <c r="Q40" s="792">
        <v>15425</v>
      </c>
      <c r="R40" s="792">
        <v>20</v>
      </c>
      <c r="S40" s="792">
        <v>809</v>
      </c>
      <c r="T40" s="792">
        <v>27</v>
      </c>
      <c r="U40" s="792">
        <v>1408</v>
      </c>
      <c r="V40" s="792">
        <v>56</v>
      </c>
      <c r="W40" s="792">
        <v>3288</v>
      </c>
      <c r="X40" s="792">
        <v>25</v>
      </c>
      <c r="Y40" s="792">
        <v>1085</v>
      </c>
      <c r="Z40" s="792">
        <v>7</v>
      </c>
      <c r="AA40" s="792">
        <v>588</v>
      </c>
      <c r="AB40" s="792">
        <v>26</v>
      </c>
      <c r="AC40" s="792">
        <v>892</v>
      </c>
      <c r="AD40" s="792">
        <v>3</v>
      </c>
      <c r="AE40" s="792">
        <v>45</v>
      </c>
      <c r="AF40" s="792">
        <v>5</v>
      </c>
      <c r="AG40" s="792">
        <v>129</v>
      </c>
      <c r="AH40" s="792"/>
      <c r="AI40" s="792"/>
      <c r="AJ40" s="792"/>
    </row>
    <row r="41" spans="1:36">
      <c r="A41" s="59" t="s">
        <v>2096</v>
      </c>
      <c r="B41" s="792">
        <f>SUM(D41,F41,H41,J41,L41,N41,P41,R41,T41,V41,X41,Z41,AB41,AD41,AF41)</f>
        <v>4</v>
      </c>
      <c r="C41" s="792">
        <f>SUM(E41,G41,I41,K41,M41,O41,Q41,S41,U41,W41,Y41,AA41,AC41,AE41,AG41)</f>
        <v>273</v>
      </c>
      <c r="D41" s="792">
        <v>0</v>
      </c>
      <c r="E41" s="792">
        <v>0</v>
      </c>
      <c r="F41" s="792">
        <v>1</v>
      </c>
      <c r="G41" s="792">
        <v>56</v>
      </c>
      <c r="H41" s="792">
        <v>0</v>
      </c>
      <c r="I41" s="792">
        <v>0</v>
      </c>
      <c r="J41" s="792">
        <v>0</v>
      </c>
      <c r="K41" s="792">
        <v>0</v>
      </c>
      <c r="L41" s="792">
        <v>0</v>
      </c>
      <c r="M41" s="792">
        <v>0</v>
      </c>
      <c r="N41" s="792">
        <v>0</v>
      </c>
      <c r="O41" s="792">
        <v>0</v>
      </c>
      <c r="P41" s="792">
        <v>3</v>
      </c>
      <c r="Q41" s="792">
        <v>217</v>
      </c>
      <c r="R41" s="792">
        <v>0</v>
      </c>
      <c r="S41" s="792">
        <v>0</v>
      </c>
      <c r="T41" s="792">
        <v>0</v>
      </c>
      <c r="U41" s="792">
        <v>0</v>
      </c>
      <c r="V41" s="792">
        <v>0</v>
      </c>
      <c r="W41" s="792">
        <v>0</v>
      </c>
      <c r="X41" s="792">
        <v>0</v>
      </c>
      <c r="Y41" s="792">
        <v>0</v>
      </c>
      <c r="Z41" s="792">
        <v>0</v>
      </c>
      <c r="AA41" s="792">
        <v>0</v>
      </c>
      <c r="AB41" s="792">
        <v>0</v>
      </c>
      <c r="AC41" s="792">
        <v>0</v>
      </c>
      <c r="AD41" s="792">
        <v>0</v>
      </c>
      <c r="AE41" s="792">
        <v>0</v>
      </c>
      <c r="AF41" s="792">
        <v>0</v>
      </c>
      <c r="AG41" s="792">
        <v>0</v>
      </c>
      <c r="AH41" s="792"/>
      <c r="AI41" s="792"/>
      <c r="AJ41" s="792"/>
    </row>
    <row r="42" spans="1:36" s="405" customFormat="1">
      <c r="A42" s="339" t="s">
        <v>2097</v>
      </c>
      <c r="B42" s="794">
        <f>SUM(B43:B48)</f>
        <v>63</v>
      </c>
      <c r="C42" s="794">
        <f t="shared" ref="C42:AG42" si="14">SUM(C43:C48)</f>
        <v>4760</v>
      </c>
      <c r="D42" s="794">
        <f t="shared" si="14"/>
        <v>1</v>
      </c>
      <c r="E42" s="794">
        <f t="shared" si="14"/>
        <v>66</v>
      </c>
      <c r="F42" s="794">
        <f t="shared" si="14"/>
        <v>2</v>
      </c>
      <c r="G42" s="794">
        <f t="shared" si="14"/>
        <v>67</v>
      </c>
      <c r="H42" s="794">
        <f t="shared" si="14"/>
        <v>3</v>
      </c>
      <c r="I42" s="794">
        <f t="shared" si="14"/>
        <v>188</v>
      </c>
      <c r="J42" s="794">
        <f t="shared" si="14"/>
        <v>0</v>
      </c>
      <c r="K42" s="794">
        <f t="shared" si="14"/>
        <v>0</v>
      </c>
      <c r="L42" s="794">
        <f t="shared" si="14"/>
        <v>2</v>
      </c>
      <c r="M42" s="794">
        <f t="shared" si="14"/>
        <v>208</v>
      </c>
      <c r="N42" s="794">
        <f t="shared" si="14"/>
        <v>11</v>
      </c>
      <c r="O42" s="794">
        <f t="shared" si="14"/>
        <v>1036</v>
      </c>
      <c r="P42" s="794">
        <f t="shared" si="14"/>
        <v>33</v>
      </c>
      <c r="Q42" s="794">
        <f t="shared" si="14"/>
        <v>2140</v>
      </c>
      <c r="R42" s="794">
        <f t="shared" si="14"/>
        <v>0</v>
      </c>
      <c r="S42" s="794">
        <f t="shared" si="14"/>
        <v>0</v>
      </c>
      <c r="T42" s="794">
        <f t="shared" si="14"/>
        <v>3</v>
      </c>
      <c r="U42" s="794">
        <f t="shared" si="14"/>
        <v>204</v>
      </c>
      <c r="V42" s="794">
        <f t="shared" si="14"/>
        <v>5</v>
      </c>
      <c r="W42" s="794">
        <f t="shared" si="14"/>
        <v>583</v>
      </c>
      <c r="X42" s="794">
        <f t="shared" si="14"/>
        <v>1</v>
      </c>
      <c r="Y42" s="794">
        <f t="shared" si="14"/>
        <v>75</v>
      </c>
      <c r="Z42" s="794">
        <f t="shared" si="14"/>
        <v>1</v>
      </c>
      <c r="AA42" s="794">
        <f t="shared" si="14"/>
        <v>8</v>
      </c>
      <c r="AB42" s="794">
        <f t="shared" si="14"/>
        <v>1</v>
      </c>
      <c r="AC42" s="794">
        <f t="shared" si="14"/>
        <v>185</v>
      </c>
      <c r="AD42" s="794">
        <f t="shared" si="14"/>
        <v>0</v>
      </c>
      <c r="AE42" s="794">
        <f t="shared" si="14"/>
        <v>0</v>
      </c>
      <c r="AF42" s="794">
        <f t="shared" si="14"/>
        <v>0</v>
      </c>
      <c r="AG42" s="794">
        <f t="shared" si="14"/>
        <v>0</v>
      </c>
      <c r="AH42" s="794"/>
      <c r="AI42" s="794"/>
      <c r="AJ42" s="794"/>
    </row>
    <row r="43" spans="1:36">
      <c r="A43" s="59" t="s">
        <v>2098</v>
      </c>
      <c r="B43" s="792">
        <f t="shared" ref="B43:C48" si="15">SUM(D43,F43,H43,J43,L43,N43,P43,R43,T43,V43,X43,Z43,AB43,AD43,AF43)</f>
        <v>2</v>
      </c>
      <c r="C43" s="792">
        <f t="shared" si="15"/>
        <v>86</v>
      </c>
      <c r="D43" s="792">
        <v>0</v>
      </c>
      <c r="E43" s="792">
        <v>0</v>
      </c>
      <c r="F43" s="792">
        <v>0</v>
      </c>
      <c r="G43" s="792">
        <v>0</v>
      </c>
      <c r="H43" s="792">
        <v>0</v>
      </c>
      <c r="I43" s="792">
        <v>0</v>
      </c>
      <c r="J43" s="792">
        <v>0</v>
      </c>
      <c r="K43" s="792">
        <v>0</v>
      </c>
      <c r="L43" s="792">
        <v>0</v>
      </c>
      <c r="M43" s="792">
        <v>0</v>
      </c>
      <c r="N43" s="792">
        <v>0</v>
      </c>
      <c r="O43" s="792">
        <v>0</v>
      </c>
      <c r="P43" s="792">
        <v>2</v>
      </c>
      <c r="Q43" s="792">
        <v>86</v>
      </c>
      <c r="R43" s="792">
        <v>0</v>
      </c>
      <c r="S43" s="792">
        <v>0</v>
      </c>
      <c r="T43" s="792">
        <v>0</v>
      </c>
      <c r="U43" s="792">
        <v>0</v>
      </c>
      <c r="V43" s="792">
        <v>0</v>
      </c>
      <c r="W43" s="792">
        <v>0</v>
      </c>
      <c r="X43" s="792">
        <v>0</v>
      </c>
      <c r="Y43" s="792">
        <v>0</v>
      </c>
      <c r="Z43" s="792">
        <v>0</v>
      </c>
      <c r="AA43" s="792">
        <v>0</v>
      </c>
      <c r="AB43" s="792">
        <v>0</v>
      </c>
      <c r="AC43" s="792">
        <v>0</v>
      </c>
      <c r="AD43" s="792">
        <v>0</v>
      </c>
      <c r="AE43" s="792">
        <v>0</v>
      </c>
      <c r="AF43" s="792">
        <v>0</v>
      </c>
      <c r="AG43" s="792">
        <v>0</v>
      </c>
      <c r="AH43" s="792"/>
      <c r="AI43" s="792"/>
      <c r="AJ43" s="792"/>
    </row>
    <row r="44" spans="1:36">
      <c r="A44" s="59" t="s">
        <v>2099</v>
      </c>
      <c r="B44" s="792">
        <f t="shared" si="15"/>
        <v>14</v>
      </c>
      <c r="C44" s="792">
        <f t="shared" si="15"/>
        <v>859</v>
      </c>
      <c r="D44" s="792">
        <v>1</v>
      </c>
      <c r="E44" s="792">
        <v>66</v>
      </c>
      <c r="F44" s="792">
        <v>1</v>
      </c>
      <c r="G44" s="792">
        <v>50</v>
      </c>
      <c r="H44" s="792">
        <v>2</v>
      </c>
      <c r="I44" s="792">
        <v>186</v>
      </c>
      <c r="J44" s="792">
        <v>0</v>
      </c>
      <c r="K44" s="792">
        <v>0</v>
      </c>
      <c r="L44" s="792">
        <v>1</v>
      </c>
      <c r="M44" s="792">
        <v>66</v>
      </c>
      <c r="N44" s="792">
        <v>1</v>
      </c>
      <c r="O44" s="792">
        <v>3</v>
      </c>
      <c r="P44" s="792">
        <v>5</v>
      </c>
      <c r="Q44" s="792">
        <v>210</v>
      </c>
      <c r="R44" s="792">
        <v>0</v>
      </c>
      <c r="S44" s="792">
        <v>0</v>
      </c>
      <c r="T44" s="792">
        <v>0</v>
      </c>
      <c r="U44" s="792">
        <v>0</v>
      </c>
      <c r="V44" s="792">
        <v>1</v>
      </c>
      <c r="W44" s="792">
        <v>18</v>
      </c>
      <c r="X44" s="792">
        <v>1</v>
      </c>
      <c r="Y44" s="792">
        <v>75</v>
      </c>
      <c r="Z44" s="792">
        <v>0</v>
      </c>
      <c r="AA44" s="792">
        <v>0</v>
      </c>
      <c r="AB44" s="792">
        <v>1</v>
      </c>
      <c r="AC44" s="792">
        <v>185</v>
      </c>
      <c r="AD44" s="792">
        <v>0</v>
      </c>
      <c r="AE44" s="792">
        <v>0</v>
      </c>
      <c r="AF44" s="792">
        <v>0</v>
      </c>
      <c r="AG44" s="792">
        <v>0</v>
      </c>
      <c r="AH44" s="792"/>
      <c r="AI44" s="792"/>
      <c r="AJ44" s="792"/>
    </row>
    <row r="45" spans="1:36">
      <c r="A45" s="59" t="s">
        <v>2100</v>
      </c>
      <c r="B45" s="792">
        <f t="shared" si="15"/>
        <v>14</v>
      </c>
      <c r="C45" s="792">
        <f t="shared" si="15"/>
        <v>883</v>
      </c>
      <c r="D45" s="792">
        <v>0</v>
      </c>
      <c r="E45" s="792">
        <v>0</v>
      </c>
      <c r="F45" s="792">
        <v>0</v>
      </c>
      <c r="G45" s="792">
        <v>0</v>
      </c>
      <c r="H45" s="792">
        <v>0</v>
      </c>
      <c r="I45" s="792">
        <v>0</v>
      </c>
      <c r="J45" s="792">
        <v>0</v>
      </c>
      <c r="K45" s="792">
        <v>0</v>
      </c>
      <c r="L45" s="792">
        <v>0</v>
      </c>
      <c r="M45" s="792">
        <v>0</v>
      </c>
      <c r="N45" s="792">
        <v>3</v>
      </c>
      <c r="O45" s="792">
        <v>209</v>
      </c>
      <c r="P45" s="792">
        <v>7</v>
      </c>
      <c r="Q45" s="792">
        <v>374</v>
      </c>
      <c r="R45" s="792">
        <v>0</v>
      </c>
      <c r="S45" s="792">
        <v>0</v>
      </c>
      <c r="T45" s="792">
        <v>2</v>
      </c>
      <c r="U45" s="792">
        <v>173</v>
      </c>
      <c r="V45" s="792">
        <v>1</v>
      </c>
      <c r="W45" s="792">
        <v>119</v>
      </c>
      <c r="X45" s="792">
        <v>0</v>
      </c>
      <c r="Y45" s="792">
        <v>0</v>
      </c>
      <c r="Z45" s="792">
        <v>1</v>
      </c>
      <c r="AA45" s="792">
        <v>8</v>
      </c>
      <c r="AB45" s="792">
        <v>0</v>
      </c>
      <c r="AC45" s="792">
        <v>0</v>
      </c>
      <c r="AD45" s="792">
        <v>0</v>
      </c>
      <c r="AE45" s="792">
        <v>0</v>
      </c>
      <c r="AF45" s="792">
        <v>0</v>
      </c>
      <c r="AG45" s="792">
        <v>0</v>
      </c>
      <c r="AH45" s="792"/>
      <c r="AI45" s="792"/>
      <c r="AJ45" s="792"/>
    </row>
    <row r="46" spans="1:36">
      <c r="A46" s="59" t="s">
        <v>2101</v>
      </c>
      <c r="B46" s="792">
        <f t="shared" si="15"/>
        <v>6</v>
      </c>
      <c r="C46" s="792">
        <f t="shared" si="15"/>
        <v>220</v>
      </c>
      <c r="D46" s="792">
        <v>0</v>
      </c>
      <c r="E46" s="792">
        <v>0</v>
      </c>
      <c r="F46" s="792">
        <v>0</v>
      </c>
      <c r="G46" s="792">
        <v>0</v>
      </c>
      <c r="H46" s="792">
        <v>1</v>
      </c>
      <c r="I46" s="792">
        <v>2</v>
      </c>
      <c r="J46" s="792">
        <v>0</v>
      </c>
      <c r="K46" s="792">
        <v>0</v>
      </c>
      <c r="L46" s="792">
        <v>0</v>
      </c>
      <c r="M46" s="792">
        <v>0</v>
      </c>
      <c r="N46" s="792">
        <v>1</v>
      </c>
      <c r="O46" s="792">
        <v>31</v>
      </c>
      <c r="P46" s="792">
        <v>3</v>
      </c>
      <c r="Q46" s="792">
        <v>72</v>
      </c>
      <c r="R46" s="792">
        <v>0</v>
      </c>
      <c r="S46" s="792">
        <v>0</v>
      </c>
      <c r="T46" s="792">
        <v>0</v>
      </c>
      <c r="U46" s="792">
        <v>0</v>
      </c>
      <c r="V46" s="792">
        <v>1</v>
      </c>
      <c r="W46" s="792">
        <v>115</v>
      </c>
      <c r="X46" s="792">
        <v>0</v>
      </c>
      <c r="Y46" s="792">
        <v>0</v>
      </c>
      <c r="Z46" s="792">
        <v>0</v>
      </c>
      <c r="AA46" s="792">
        <v>0</v>
      </c>
      <c r="AB46" s="792">
        <v>0</v>
      </c>
      <c r="AC46" s="792">
        <v>0</v>
      </c>
      <c r="AD46" s="792">
        <v>0</v>
      </c>
      <c r="AE46" s="792">
        <v>0</v>
      </c>
      <c r="AF46" s="792">
        <v>0</v>
      </c>
      <c r="AG46" s="792">
        <v>0</v>
      </c>
      <c r="AH46" s="792"/>
      <c r="AI46" s="792"/>
      <c r="AJ46" s="792"/>
    </row>
    <row r="47" spans="1:36">
      <c r="A47" s="59" t="s">
        <v>2102</v>
      </c>
      <c r="B47" s="792">
        <f t="shared" si="15"/>
        <v>9</v>
      </c>
      <c r="C47" s="792">
        <f t="shared" si="15"/>
        <v>737</v>
      </c>
      <c r="D47" s="792">
        <v>0</v>
      </c>
      <c r="E47" s="792">
        <v>0</v>
      </c>
      <c r="F47" s="792">
        <v>0</v>
      </c>
      <c r="G47" s="792">
        <v>0</v>
      </c>
      <c r="H47" s="792">
        <v>0</v>
      </c>
      <c r="I47" s="792">
        <v>0</v>
      </c>
      <c r="J47" s="792">
        <v>0</v>
      </c>
      <c r="K47" s="792">
        <v>0</v>
      </c>
      <c r="L47" s="792">
        <v>0</v>
      </c>
      <c r="M47" s="792">
        <v>0</v>
      </c>
      <c r="N47" s="792">
        <v>4</v>
      </c>
      <c r="O47" s="792">
        <v>395</v>
      </c>
      <c r="P47" s="792">
        <v>5</v>
      </c>
      <c r="Q47" s="792">
        <v>342</v>
      </c>
      <c r="R47" s="792">
        <v>0</v>
      </c>
      <c r="S47" s="792">
        <v>0</v>
      </c>
      <c r="T47" s="792">
        <v>0</v>
      </c>
      <c r="U47" s="792">
        <v>0</v>
      </c>
      <c r="V47" s="792">
        <v>0</v>
      </c>
      <c r="W47" s="792">
        <v>0</v>
      </c>
      <c r="X47" s="792">
        <v>0</v>
      </c>
      <c r="Y47" s="792">
        <v>0</v>
      </c>
      <c r="Z47" s="792">
        <v>0</v>
      </c>
      <c r="AA47" s="792">
        <v>0</v>
      </c>
      <c r="AB47" s="792">
        <v>0</v>
      </c>
      <c r="AC47" s="792">
        <v>0</v>
      </c>
      <c r="AD47" s="792">
        <v>0</v>
      </c>
      <c r="AE47" s="792">
        <v>0</v>
      </c>
      <c r="AF47" s="792">
        <v>0</v>
      </c>
      <c r="AG47" s="792">
        <v>0</v>
      </c>
      <c r="AH47" s="792"/>
      <c r="AI47" s="792"/>
      <c r="AJ47" s="792"/>
    </row>
    <row r="48" spans="1:36">
      <c r="A48" s="59" t="s">
        <v>2103</v>
      </c>
      <c r="B48" s="792">
        <f>SUM(D48,F48,H48,J48,L48,N48,P48,R48,T48,V48,X48,Z48,AB48,AD48,AF48)</f>
        <v>18</v>
      </c>
      <c r="C48" s="792">
        <f t="shared" si="15"/>
        <v>1975</v>
      </c>
      <c r="D48" s="792">
        <v>0</v>
      </c>
      <c r="E48" s="792">
        <v>0</v>
      </c>
      <c r="F48" s="792">
        <v>1</v>
      </c>
      <c r="G48" s="792">
        <v>17</v>
      </c>
      <c r="H48" s="792">
        <v>0</v>
      </c>
      <c r="I48" s="792">
        <v>0</v>
      </c>
      <c r="J48" s="792">
        <v>0</v>
      </c>
      <c r="K48" s="792">
        <v>0</v>
      </c>
      <c r="L48" s="792">
        <v>1</v>
      </c>
      <c r="M48" s="792">
        <v>142</v>
      </c>
      <c r="N48" s="792">
        <v>2</v>
      </c>
      <c r="O48" s="792">
        <v>398</v>
      </c>
      <c r="P48" s="792">
        <v>11</v>
      </c>
      <c r="Q48" s="792">
        <v>1056</v>
      </c>
      <c r="R48" s="792">
        <v>0</v>
      </c>
      <c r="S48" s="792">
        <v>0</v>
      </c>
      <c r="T48" s="792">
        <v>1</v>
      </c>
      <c r="U48" s="792">
        <v>31</v>
      </c>
      <c r="V48" s="792">
        <v>2</v>
      </c>
      <c r="W48" s="792">
        <v>331</v>
      </c>
      <c r="X48" s="792">
        <v>0</v>
      </c>
      <c r="Y48" s="792">
        <v>0</v>
      </c>
      <c r="Z48" s="792">
        <v>0</v>
      </c>
      <c r="AA48" s="792">
        <v>0</v>
      </c>
      <c r="AB48" s="792">
        <v>0</v>
      </c>
      <c r="AC48" s="792">
        <v>0</v>
      </c>
      <c r="AD48" s="792">
        <v>0</v>
      </c>
      <c r="AE48" s="792">
        <v>0</v>
      </c>
      <c r="AF48" s="792">
        <v>0</v>
      </c>
      <c r="AG48" s="792">
        <v>0</v>
      </c>
      <c r="AH48" s="792"/>
      <c r="AI48" s="792"/>
      <c r="AJ48" s="792"/>
    </row>
    <row r="49" spans="1:36" s="405" customFormat="1">
      <c r="A49" s="339" t="s">
        <v>2104</v>
      </c>
      <c r="B49" s="794">
        <f>SUM(B50:B52)</f>
        <v>31</v>
      </c>
      <c r="C49" s="794">
        <f t="shared" ref="C49:AG49" si="16">SUM(C50:C52)</f>
        <v>1094</v>
      </c>
      <c r="D49" s="794">
        <f t="shared" si="16"/>
        <v>0</v>
      </c>
      <c r="E49" s="794">
        <f t="shared" si="16"/>
        <v>0</v>
      </c>
      <c r="F49" s="794">
        <f t="shared" si="16"/>
        <v>0</v>
      </c>
      <c r="G49" s="794">
        <f t="shared" si="16"/>
        <v>0</v>
      </c>
      <c r="H49" s="794">
        <f t="shared" si="16"/>
        <v>1</v>
      </c>
      <c r="I49" s="794">
        <f t="shared" si="16"/>
        <v>10</v>
      </c>
      <c r="J49" s="794">
        <f t="shared" si="16"/>
        <v>0</v>
      </c>
      <c r="K49" s="794">
        <f t="shared" si="16"/>
        <v>0</v>
      </c>
      <c r="L49" s="794">
        <f t="shared" si="16"/>
        <v>0</v>
      </c>
      <c r="M49" s="794">
        <f t="shared" si="16"/>
        <v>0</v>
      </c>
      <c r="N49" s="794">
        <f t="shared" si="16"/>
        <v>4</v>
      </c>
      <c r="O49" s="794">
        <f t="shared" si="16"/>
        <v>168</v>
      </c>
      <c r="P49" s="794">
        <f t="shared" si="16"/>
        <v>25</v>
      </c>
      <c r="Q49" s="794">
        <f t="shared" si="16"/>
        <v>883</v>
      </c>
      <c r="R49" s="794">
        <f t="shared" si="16"/>
        <v>0</v>
      </c>
      <c r="S49" s="794">
        <f t="shared" si="16"/>
        <v>0</v>
      </c>
      <c r="T49" s="794">
        <f t="shared" si="16"/>
        <v>0</v>
      </c>
      <c r="U49" s="794">
        <f t="shared" si="16"/>
        <v>0</v>
      </c>
      <c r="V49" s="794">
        <f t="shared" si="16"/>
        <v>0</v>
      </c>
      <c r="W49" s="794">
        <f t="shared" si="16"/>
        <v>0</v>
      </c>
      <c r="X49" s="794">
        <f t="shared" si="16"/>
        <v>0</v>
      </c>
      <c r="Y49" s="794">
        <f t="shared" si="16"/>
        <v>0</v>
      </c>
      <c r="Z49" s="794">
        <f t="shared" si="16"/>
        <v>1</v>
      </c>
      <c r="AA49" s="794">
        <f t="shared" si="16"/>
        <v>33</v>
      </c>
      <c r="AB49" s="794">
        <f t="shared" si="16"/>
        <v>0</v>
      </c>
      <c r="AC49" s="794">
        <f t="shared" si="16"/>
        <v>0</v>
      </c>
      <c r="AD49" s="794">
        <f t="shared" si="16"/>
        <v>0</v>
      </c>
      <c r="AE49" s="794">
        <f t="shared" si="16"/>
        <v>0</v>
      </c>
      <c r="AF49" s="794">
        <f t="shared" si="16"/>
        <v>0</v>
      </c>
      <c r="AG49" s="794">
        <f t="shared" si="16"/>
        <v>0</v>
      </c>
      <c r="AH49" s="794"/>
      <c r="AI49" s="794"/>
      <c r="AJ49" s="794"/>
    </row>
    <row r="50" spans="1:36">
      <c r="A50" s="59" t="s">
        <v>2105</v>
      </c>
      <c r="B50" s="792">
        <f t="shared" ref="B50:C52" si="17">SUM(D50,F50,H50,J50,L50,N50,P50,R50,T50,V50,X50,Z50,AB50,AD50,AF50)</f>
        <v>6</v>
      </c>
      <c r="C50" s="792">
        <f t="shared" si="17"/>
        <v>100</v>
      </c>
      <c r="D50" s="792">
        <v>0</v>
      </c>
      <c r="E50" s="792">
        <v>0</v>
      </c>
      <c r="F50" s="792">
        <v>0</v>
      </c>
      <c r="G50" s="792">
        <v>0</v>
      </c>
      <c r="H50" s="792">
        <v>0</v>
      </c>
      <c r="I50" s="792">
        <v>0</v>
      </c>
      <c r="J50" s="792">
        <v>0</v>
      </c>
      <c r="K50" s="792">
        <v>0</v>
      </c>
      <c r="L50" s="792">
        <v>0</v>
      </c>
      <c r="M50" s="792">
        <v>0</v>
      </c>
      <c r="N50" s="792">
        <v>0</v>
      </c>
      <c r="O50" s="792">
        <v>0</v>
      </c>
      <c r="P50" s="792">
        <v>6</v>
      </c>
      <c r="Q50" s="792">
        <v>100</v>
      </c>
      <c r="R50" s="792">
        <v>0</v>
      </c>
      <c r="S50" s="792">
        <v>0</v>
      </c>
      <c r="T50" s="792">
        <v>0</v>
      </c>
      <c r="U50" s="792">
        <v>0</v>
      </c>
      <c r="V50" s="792">
        <v>0</v>
      </c>
      <c r="W50" s="792">
        <v>0</v>
      </c>
      <c r="X50" s="792">
        <v>0</v>
      </c>
      <c r="Y50" s="792">
        <v>0</v>
      </c>
      <c r="Z50" s="792">
        <v>0</v>
      </c>
      <c r="AA50" s="792">
        <v>0</v>
      </c>
      <c r="AB50" s="792">
        <v>0</v>
      </c>
      <c r="AC50" s="792">
        <v>0</v>
      </c>
      <c r="AD50" s="792">
        <v>0</v>
      </c>
      <c r="AE50" s="792">
        <v>0</v>
      </c>
      <c r="AF50" s="792">
        <v>0</v>
      </c>
      <c r="AG50" s="792">
        <v>0</v>
      </c>
      <c r="AH50" s="792"/>
      <c r="AI50" s="792"/>
      <c r="AJ50" s="792"/>
    </row>
    <row r="51" spans="1:36">
      <c r="A51" s="59" t="s">
        <v>2106</v>
      </c>
      <c r="B51" s="792">
        <f t="shared" si="17"/>
        <v>11</v>
      </c>
      <c r="C51" s="792">
        <f t="shared" si="17"/>
        <v>382</v>
      </c>
      <c r="D51" s="792">
        <v>0</v>
      </c>
      <c r="E51" s="792">
        <v>0</v>
      </c>
      <c r="F51" s="792">
        <v>0</v>
      </c>
      <c r="G51" s="792">
        <v>0</v>
      </c>
      <c r="H51" s="792">
        <v>0</v>
      </c>
      <c r="I51" s="792">
        <v>0</v>
      </c>
      <c r="J51" s="792">
        <v>0</v>
      </c>
      <c r="K51" s="792">
        <v>0</v>
      </c>
      <c r="L51" s="792">
        <v>0</v>
      </c>
      <c r="M51" s="792">
        <v>0</v>
      </c>
      <c r="N51" s="792">
        <v>1</v>
      </c>
      <c r="O51" s="792">
        <v>5</v>
      </c>
      <c r="P51" s="792">
        <v>9</v>
      </c>
      <c r="Q51" s="792">
        <v>344</v>
      </c>
      <c r="R51" s="792">
        <v>0</v>
      </c>
      <c r="S51" s="792">
        <v>0</v>
      </c>
      <c r="T51" s="792">
        <v>0</v>
      </c>
      <c r="U51" s="792">
        <v>0</v>
      </c>
      <c r="V51" s="792">
        <v>0</v>
      </c>
      <c r="W51" s="792">
        <v>0</v>
      </c>
      <c r="X51" s="792">
        <v>0</v>
      </c>
      <c r="Y51" s="792">
        <v>0</v>
      </c>
      <c r="Z51" s="792">
        <v>1</v>
      </c>
      <c r="AA51" s="792">
        <v>33</v>
      </c>
      <c r="AB51" s="792">
        <v>0</v>
      </c>
      <c r="AC51" s="792">
        <v>0</v>
      </c>
      <c r="AD51" s="792">
        <v>0</v>
      </c>
      <c r="AE51" s="792">
        <v>0</v>
      </c>
      <c r="AF51" s="792">
        <v>0</v>
      </c>
      <c r="AG51" s="792">
        <v>0</v>
      </c>
      <c r="AH51" s="792"/>
      <c r="AI51" s="792"/>
      <c r="AJ51" s="792"/>
    </row>
    <row r="52" spans="1:36">
      <c r="A52" s="59" t="s">
        <v>2107</v>
      </c>
      <c r="B52" s="792">
        <f t="shared" si="17"/>
        <v>14</v>
      </c>
      <c r="C52" s="792">
        <f t="shared" si="17"/>
        <v>612</v>
      </c>
      <c r="D52" s="792">
        <v>0</v>
      </c>
      <c r="E52" s="792">
        <v>0</v>
      </c>
      <c r="F52" s="792">
        <v>0</v>
      </c>
      <c r="G52" s="792">
        <v>0</v>
      </c>
      <c r="H52" s="792">
        <v>1</v>
      </c>
      <c r="I52" s="792">
        <v>10</v>
      </c>
      <c r="J52" s="792">
        <v>0</v>
      </c>
      <c r="K52" s="792">
        <v>0</v>
      </c>
      <c r="L52" s="792">
        <v>0</v>
      </c>
      <c r="M52" s="792">
        <v>0</v>
      </c>
      <c r="N52" s="792">
        <v>3</v>
      </c>
      <c r="O52" s="792">
        <v>163</v>
      </c>
      <c r="P52" s="792">
        <v>10</v>
      </c>
      <c r="Q52" s="792">
        <v>439</v>
      </c>
      <c r="R52" s="792">
        <v>0</v>
      </c>
      <c r="S52" s="792">
        <v>0</v>
      </c>
      <c r="T52" s="792">
        <v>0</v>
      </c>
      <c r="U52" s="792">
        <v>0</v>
      </c>
      <c r="V52" s="792">
        <v>0</v>
      </c>
      <c r="W52" s="792">
        <v>0</v>
      </c>
      <c r="X52" s="792">
        <v>0</v>
      </c>
      <c r="Y52" s="792">
        <v>0</v>
      </c>
      <c r="Z52" s="792">
        <v>0</v>
      </c>
      <c r="AA52" s="792">
        <v>0</v>
      </c>
      <c r="AB52" s="792">
        <v>0</v>
      </c>
      <c r="AC52" s="792">
        <v>0</v>
      </c>
      <c r="AD52" s="792">
        <v>0</v>
      </c>
      <c r="AE52" s="792">
        <v>0</v>
      </c>
      <c r="AF52" s="792">
        <v>0</v>
      </c>
      <c r="AG52" s="792">
        <v>0</v>
      </c>
      <c r="AH52" s="792"/>
      <c r="AI52" s="792"/>
      <c r="AJ52" s="792"/>
    </row>
    <row r="53" spans="1:36">
      <c r="B53" s="792"/>
      <c r="C53" s="792"/>
      <c r="D53" s="792"/>
      <c r="E53" s="792"/>
      <c r="F53" s="795"/>
      <c r="G53" s="795"/>
      <c r="H53" s="795"/>
      <c r="I53" s="792"/>
      <c r="J53" s="792"/>
      <c r="K53" s="792"/>
      <c r="L53" s="792"/>
      <c r="M53" s="792"/>
      <c r="N53" s="792"/>
      <c r="O53" s="792"/>
      <c r="P53" s="792"/>
      <c r="Q53" s="792"/>
      <c r="R53" s="792"/>
      <c r="S53" s="792"/>
      <c r="T53" s="792"/>
      <c r="U53" s="792"/>
      <c r="V53" s="792"/>
      <c r="W53" s="792"/>
      <c r="X53" s="792"/>
      <c r="Y53" s="792"/>
      <c r="Z53" s="792"/>
      <c r="AA53" s="792"/>
      <c r="AB53" s="792"/>
      <c r="AC53" s="792"/>
      <c r="AD53" s="792"/>
      <c r="AE53" s="792"/>
      <c r="AF53" s="792"/>
      <c r="AG53" s="792"/>
      <c r="AH53" s="792"/>
      <c r="AI53" s="792"/>
      <c r="AJ53" s="792"/>
    </row>
    <row r="54" spans="1:36" ht="11.25" customHeight="1">
      <c r="A54" s="392" t="s">
        <v>3533</v>
      </c>
      <c r="B54" s="792"/>
      <c r="C54" s="792"/>
      <c r="D54" s="792"/>
      <c r="E54" s="792"/>
      <c r="F54" s="795"/>
      <c r="G54" s="795"/>
      <c r="H54" s="795"/>
      <c r="I54" s="792"/>
      <c r="J54" s="792"/>
      <c r="K54" s="792"/>
      <c r="L54" s="792"/>
      <c r="M54" s="792"/>
      <c r="N54" s="792"/>
      <c r="O54" s="792"/>
      <c r="P54" s="792"/>
      <c r="Q54" s="792"/>
      <c r="R54" s="792"/>
      <c r="S54" s="792"/>
      <c r="T54" s="792"/>
      <c r="U54" s="792"/>
      <c r="V54" s="792"/>
      <c r="W54" s="792"/>
      <c r="X54" s="792"/>
      <c r="Y54" s="792"/>
      <c r="Z54" s="792"/>
      <c r="AA54" s="792"/>
      <c r="AB54" s="792"/>
      <c r="AC54" s="792"/>
      <c r="AD54" s="792"/>
      <c r="AE54" s="792"/>
      <c r="AF54" s="792"/>
      <c r="AG54" s="792"/>
      <c r="AH54" s="792"/>
      <c r="AI54" s="792"/>
      <c r="AJ54" s="792"/>
    </row>
    <row r="55" spans="1:36">
      <c r="A55" s="367" t="s">
        <v>733</v>
      </c>
      <c r="B55" s="792"/>
      <c r="C55" s="792"/>
      <c r="D55" s="792"/>
      <c r="E55" s="792"/>
      <c r="F55" s="792"/>
      <c r="G55" s="792"/>
      <c r="H55" s="792"/>
      <c r="I55" s="792"/>
      <c r="J55" s="792"/>
      <c r="K55" s="792"/>
      <c r="L55" s="792"/>
      <c r="M55" s="792"/>
      <c r="N55" s="792"/>
      <c r="O55" s="792"/>
      <c r="P55" s="792"/>
      <c r="Q55" s="792"/>
      <c r="R55" s="792"/>
      <c r="S55" s="792"/>
      <c r="T55" s="792"/>
      <c r="U55" s="792"/>
      <c r="V55" s="792"/>
      <c r="W55" s="792"/>
      <c r="X55" s="792"/>
      <c r="Y55" s="792"/>
      <c r="Z55" s="792"/>
      <c r="AA55" s="792"/>
      <c r="AB55" s="792"/>
      <c r="AC55" s="792"/>
      <c r="AD55" s="792"/>
      <c r="AE55" s="792"/>
      <c r="AF55" s="792"/>
      <c r="AG55" s="792"/>
      <c r="AH55" s="792"/>
      <c r="AI55" s="792"/>
      <c r="AJ55" s="792"/>
    </row>
    <row r="56" spans="1:36">
      <c r="A56" s="367" t="s">
        <v>2108</v>
      </c>
    </row>
  </sheetData>
  <mergeCells count="17">
    <mergeCell ref="X4:Y4"/>
    <mergeCell ref="Z4:AA4"/>
    <mergeCell ref="AB4:AC4"/>
    <mergeCell ref="AD4:AE4"/>
    <mergeCell ref="AF4:AG4"/>
    <mergeCell ref="V4:W4"/>
    <mergeCell ref="A4:A5"/>
    <mergeCell ref="B4:C4"/>
    <mergeCell ref="D4:E4"/>
    <mergeCell ref="F4:G4"/>
    <mergeCell ref="H4:I4"/>
    <mergeCell ref="J4:K4"/>
    <mergeCell ref="L4:M4"/>
    <mergeCell ref="N4:O4"/>
    <mergeCell ref="P4:Q4"/>
    <mergeCell ref="R4:S4"/>
    <mergeCell ref="T4:U4"/>
  </mergeCells>
  <pageMargins left="0.70866141732283472" right="0.70866141732283472" top="0.74803149606299213" bottom="0.74803149606299213" header="0.31496062992125984" footer="0.31496062992125984"/>
  <pageSetup scale="30" orientation="landscape" r:id="rId1"/>
</worksheet>
</file>

<file path=xl/worksheets/sheet234.xml><?xml version="1.0" encoding="utf-8"?>
<worksheet xmlns="http://schemas.openxmlformats.org/spreadsheetml/2006/main" xmlns:r="http://schemas.openxmlformats.org/officeDocument/2006/relationships">
  <sheetPr>
    <pageSetUpPr fitToPage="1"/>
  </sheetPr>
  <dimension ref="A1:I55"/>
  <sheetViews>
    <sheetView zoomScaleNormal="100" workbookViewId="0">
      <selection activeCell="G20" sqref="G20"/>
    </sheetView>
  </sheetViews>
  <sheetFormatPr baseColWidth="10" defaultRowHeight="11.25"/>
  <cols>
    <col min="1" max="1" width="43" style="367" customWidth="1"/>
    <col min="2" max="2" width="14.42578125" style="90" customWidth="1"/>
    <col min="3" max="3" width="11.42578125" style="90"/>
    <col min="4" max="4" width="16.5703125" style="90" customWidth="1"/>
    <col min="5" max="5" width="17" style="90" customWidth="1"/>
    <col min="6" max="16384" width="11.42578125" style="90"/>
  </cols>
  <sheetData>
    <row r="1" spans="1:5" ht="6.75" customHeight="1">
      <c r="A1" s="787"/>
      <c r="C1" s="788"/>
      <c r="D1" s="788"/>
      <c r="E1" s="788"/>
    </row>
    <row r="2" spans="1:5" ht="30" customHeight="1">
      <c r="A2" s="2746" t="s">
        <v>3259</v>
      </c>
      <c r="B2" s="2746"/>
      <c r="C2" s="2746"/>
      <c r="D2" s="2746"/>
      <c r="E2" s="2746"/>
    </row>
    <row r="3" spans="1:5" ht="6" customHeight="1"/>
    <row r="4" spans="1:5" ht="17.25" customHeight="1">
      <c r="A4" s="333" t="s">
        <v>2115</v>
      </c>
      <c r="B4" s="789" t="s">
        <v>26</v>
      </c>
      <c r="C4" s="789" t="s">
        <v>2116</v>
      </c>
      <c r="D4" s="789" t="s">
        <v>2117</v>
      </c>
      <c r="E4" s="789" t="s">
        <v>2118</v>
      </c>
    </row>
    <row r="5" spans="1:5" s="791" customFormat="1">
      <c r="A5" s="365" t="s">
        <v>6</v>
      </c>
      <c r="B5" s="790">
        <f>SUM(B6,B10,B12,B15,B18,B23,B26,B32,B38,B41,B48)</f>
        <v>1411</v>
      </c>
      <c r="C5" s="790">
        <f>SUM(C6,C10,C12,C15,C18,C23,C26,C32,C38,C41,C48)</f>
        <v>124</v>
      </c>
      <c r="D5" s="790">
        <f>SUM(D6,D10,D12,D15,D18,D23,D26,D32,D38,D41,D48)</f>
        <v>66</v>
      </c>
      <c r="E5" s="790">
        <f>SUM(E6,E10,E12,E15,E18,E23,E26,E32,E38,E41,E48)</f>
        <v>1221</v>
      </c>
    </row>
    <row r="6" spans="1:5" s="791" customFormat="1">
      <c r="A6" s="365" t="s">
        <v>2068</v>
      </c>
      <c r="B6" s="790">
        <f>SUM(B7:B9)</f>
        <v>38</v>
      </c>
      <c r="C6" s="790">
        <f>SUM(C7:C9)</f>
        <v>10</v>
      </c>
      <c r="D6" s="790">
        <f>SUM(D7:D9)</f>
        <v>11</v>
      </c>
      <c r="E6" s="790">
        <f>SUM(E7:E9)</f>
        <v>17</v>
      </c>
    </row>
    <row r="7" spans="1:5">
      <c r="A7" s="367" t="s">
        <v>2069</v>
      </c>
      <c r="B7" s="788">
        <f>SUM(C7:E7)</f>
        <v>12</v>
      </c>
      <c r="C7" s="788">
        <v>0</v>
      </c>
      <c r="D7" s="788">
        <v>2</v>
      </c>
      <c r="E7" s="788">
        <v>10</v>
      </c>
    </row>
    <row r="8" spans="1:5">
      <c r="A8" s="367" t="s">
        <v>2070</v>
      </c>
      <c r="B8" s="788">
        <f>SUM(C8:E8)</f>
        <v>18</v>
      </c>
      <c r="C8" s="788">
        <v>6</v>
      </c>
      <c r="D8" s="788">
        <v>6</v>
      </c>
      <c r="E8" s="788">
        <v>6</v>
      </c>
    </row>
    <row r="9" spans="1:5">
      <c r="A9" s="367" t="s">
        <v>2071</v>
      </c>
      <c r="B9" s="788">
        <f>SUM(C9:E9)</f>
        <v>8</v>
      </c>
      <c r="C9" s="788">
        <v>4</v>
      </c>
      <c r="D9" s="788">
        <v>3</v>
      </c>
      <c r="E9" s="788">
        <v>1</v>
      </c>
    </row>
    <row r="10" spans="1:5" s="791" customFormat="1">
      <c r="A10" s="365" t="s">
        <v>2072</v>
      </c>
      <c r="B10" s="790">
        <f>SUM(B11)</f>
        <v>3</v>
      </c>
      <c r="C10" s="790">
        <f>SUM(C11)</f>
        <v>0</v>
      </c>
      <c r="D10" s="790">
        <f>SUM(D11)</f>
        <v>0</v>
      </c>
      <c r="E10" s="790">
        <f>SUM(E11)</f>
        <v>3</v>
      </c>
    </row>
    <row r="11" spans="1:5">
      <c r="A11" s="367" t="s">
        <v>2072</v>
      </c>
      <c r="B11" s="788">
        <f>SUM(C11:E11)</f>
        <v>3</v>
      </c>
      <c r="C11" s="788">
        <v>0</v>
      </c>
      <c r="D11" s="788">
        <v>0</v>
      </c>
      <c r="E11" s="788">
        <v>3</v>
      </c>
    </row>
    <row r="12" spans="1:5" s="791" customFormat="1">
      <c r="A12" s="365" t="s">
        <v>2073</v>
      </c>
      <c r="B12" s="790">
        <f>SUM(B13:B14)</f>
        <v>63</v>
      </c>
      <c r="C12" s="790">
        <f>SUM(C13:C14)</f>
        <v>9</v>
      </c>
      <c r="D12" s="790">
        <f>SUM(D13:D14)</f>
        <v>5</v>
      </c>
      <c r="E12" s="790">
        <f>SUM(E13:E14)</f>
        <v>49</v>
      </c>
    </row>
    <row r="13" spans="1:5">
      <c r="A13" s="367" t="s">
        <v>2074</v>
      </c>
      <c r="B13" s="788">
        <f>SUM(C13:E13)</f>
        <v>42</v>
      </c>
      <c r="C13" s="788">
        <v>9</v>
      </c>
      <c r="D13" s="788">
        <v>3</v>
      </c>
      <c r="E13" s="788">
        <v>30</v>
      </c>
    </row>
    <row r="14" spans="1:5">
      <c r="A14" s="367" t="s">
        <v>2075</v>
      </c>
      <c r="B14" s="788">
        <f>SUM(C14:E14)</f>
        <v>21</v>
      </c>
      <c r="C14" s="788">
        <v>0</v>
      </c>
      <c r="D14" s="788">
        <v>2</v>
      </c>
      <c r="E14" s="788">
        <v>19</v>
      </c>
    </row>
    <row r="15" spans="1:5" s="791" customFormat="1">
      <c r="A15" s="365" t="s">
        <v>2076</v>
      </c>
      <c r="B15" s="790">
        <f>SUM(B16:B17)</f>
        <v>37</v>
      </c>
      <c r="C15" s="790">
        <f>SUM(C16:C17)</f>
        <v>4</v>
      </c>
      <c r="D15" s="790">
        <f>SUM(D16:D17)</f>
        <v>1</v>
      </c>
      <c r="E15" s="790">
        <f>SUM(E16:E17)</f>
        <v>32</v>
      </c>
    </row>
    <row r="16" spans="1:5">
      <c r="A16" s="367" t="s">
        <v>2077</v>
      </c>
      <c r="B16" s="788">
        <f>SUM(C16:E16)</f>
        <v>6</v>
      </c>
      <c r="C16" s="788">
        <v>0</v>
      </c>
      <c r="D16" s="788">
        <v>0</v>
      </c>
      <c r="E16" s="788">
        <v>6</v>
      </c>
    </row>
    <row r="17" spans="1:5">
      <c r="A17" s="367" t="s">
        <v>1921</v>
      </c>
      <c r="B17" s="788">
        <f>SUM(C17:E17)</f>
        <v>31</v>
      </c>
      <c r="C17" s="788">
        <v>4</v>
      </c>
      <c r="D17" s="788">
        <v>1</v>
      </c>
      <c r="E17" s="788">
        <v>26</v>
      </c>
    </row>
    <row r="18" spans="1:5" s="791" customFormat="1">
      <c r="A18" s="365" t="s">
        <v>2078</v>
      </c>
      <c r="B18" s="790">
        <f>SUM(B19:B22)</f>
        <v>124</v>
      </c>
      <c r="C18" s="790">
        <f>SUM(C19:C22)</f>
        <v>9</v>
      </c>
      <c r="D18" s="790">
        <f>SUM(D19:D22)</f>
        <v>11</v>
      </c>
      <c r="E18" s="790">
        <f>SUM(E19:E22)</f>
        <v>104</v>
      </c>
    </row>
    <row r="19" spans="1:5">
      <c r="A19" s="367" t="s">
        <v>1830</v>
      </c>
      <c r="B19" s="788">
        <f>SUM(C19:E19)</f>
        <v>78</v>
      </c>
      <c r="C19" s="788">
        <v>6</v>
      </c>
      <c r="D19" s="788">
        <v>11</v>
      </c>
      <c r="E19" s="788">
        <v>61</v>
      </c>
    </row>
    <row r="20" spans="1:5">
      <c r="A20" s="367" t="s">
        <v>2081</v>
      </c>
      <c r="B20" s="788">
        <f>SUM(C20:E20)</f>
        <v>3</v>
      </c>
      <c r="C20" s="788">
        <v>3</v>
      </c>
      <c r="D20" s="788">
        <v>0</v>
      </c>
      <c r="E20" s="788">
        <v>0</v>
      </c>
    </row>
    <row r="21" spans="1:5">
      <c r="A21" s="367" t="s">
        <v>2080</v>
      </c>
      <c r="B21" s="788">
        <f>SUM(C21:E21)</f>
        <v>3</v>
      </c>
      <c r="C21" s="788">
        <v>0</v>
      </c>
      <c r="D21" s="788">
        <v>0</v>
      </c>
      <c r="E21" s="788">
        <v>3</v>
      </c>
    </row>
    <row r="22" spans="1:5">
      <c r="A22" s="367" t="s">
        <v>2079</v>
      </c>
      <c r="B22" s="788">
        <f>SUM(C22:E22)</f>
        <v>40</v>
      </c>
      <c r="C22" s="788">
        <v>0</v>
      </c>
      <c r="D22" s="788">
        <v>0</v>
      </c>
      <c r="E22" s="788">
        <v>40</v>
      </c>
    </row>
    <row r="23" spans="1:5" s="791" customFormat="1">
      <c r="A23" s="365" t="s">
        <v>2082</v>
      </c>
      <c r="B23" s="790">
        <f>SUM(B24:B25)</f>
        <v>61</v>
      </c>
      <c r="C23" s="790">
        <f>SUM(C24:C25)</f>
        <v>30</v>
      </c>
      <c r="D23" s="790">
        <f>SUM(D24:D25)</f>
        <v>3</v>
      </c>
      <c r="E23" s="790">
        <f>SUM(E24:E25)</f>
        <v>28</v>
      </c>
    </row>
    <row r="24" spans="1:5">
      <c r="A24" s="367" t="s">
        <v>2083</v>
      </c>
      <c r="B24" s="788">
        <f>SUM(C24:E24)</f>
        <v>16</v>
      </c>
      <c r="C24" s="788">
        <v>1</v>
      </c>
      <c r="D24" s="788">
        <v>0</v>
      </c>
      <c r="E24" s="788">
        <v>15</v>
      </c>
    </row>
    <row r="25" spans="1:5">
      <c r="A25" s="367" t="s">
        <v>1529</v>
      </c>
      <c r="B25" s="788">
        <f>SUM(C25:E25)</f>
        <v>45</v>
      </c>
      <c r="C25" s="788">
        <v>29</v>
      </c>
      <c r="D25" s="788">
        <v>3</v>
      </c>
      <c r="E25" s="788">
        <v>13</v>
      </c>
    </row>
    <row r="26" spans="1:5" s="791" customFormat="1">
      <c r="A26" s="365" t="s">
        <v>2084</v>
      </c>
      <c r="B26" s="790">
        <f>SUM(B27:B31)</f>
        <v>78</v>
      </c>
      <c r="C26" s="790">
        <f>SUM(C27:C31)</f>
        <v>4</v>
      </c>
      <c r="D26" s="790">
        <f>SUM(D27:D31)</f>
        <v>4</v>
      </c>
      <c r="E26" s="790">
        <f>SUM(E27:E31)</f>
        <v>70</v>
      </c>
    </row>
    <row r="27" spans="1:5">
      <c r="A27" s="367" t="s">
        <v>2085</v>
      </c>
      <c r="B27" s="788">
        <f>SUM(C27:E27)</f>
        <v>11</v>
      </c>
      <c r="C27" s="788">
        <v>0</v>
      </c>
      <c r="D27" s="788">
        <v>1</v>
      </c>
      <c r="E27" s="788">
        <v>10</v>
      </c>
    </row>
    <row r="28" spans="1:5">
      <c r="A28" s="367" t="s">
        <v>2086</v>
      </c>
      <c r="B28" s="788">
        <f>SUM(C28:E28)</f>
        <v>15</v>
      </c>
      <c r="C28" s="788">
        <v>3</v>
      </c>
      <c r="D28" s="788">
        <v>2</v>
      </c>
      <c r="E28" s="788">
        <v>10</v>
      </c>
    </row>
    <row r="29" spans="1:5">
      <c r="A29" s="367" t="s">
        <v>2087</v>
      </c>
      <c r="B29" s="788">
        <f>SUM(C29:E29)</f>
        <v>39</v>
      </c>
      <c r="C29" s="788">
        <v>1</v>
      </c>
      <c r="D29" s="788">
        <v>1</v>
      </c>
      <c r="E29" s="788">
        <v>37</v>
      </c>
    </row>
    <row r="30" spans="1:5">
      <c r="A30" s="367" t="s">
        <v>2088</v>
      </c>
      <c r="B30" s="788">
        <f>SUM(C30:E30)</f>
        <v>2</v>
      </c>
      <c r="C30" s="788">
        <v>0</v>
      </c>
      <c r="D30" s="788">
        <v>0</v>
      </c>
      <c r="E30" s="788">
        <v>2</v>
      </c>
    </row>
    <row r="31" spans="1:5">
      <c r="A31" s="367" t="s">
        <v>2089</v>
      </c>
      <c r="B31" s="788">
        <f>SUM(C31:E31)</f>
        <v>11</v>
      </c>
      <c r="C31" s="788">
        <v>0</v>
      </c>
      <c r="D31" s="788">
        <v>0</v>
      </c>
      <c r="E31" s="788">
        <v>11</v>
      </c>
    </row>
    <row r="32" spans="1:5" s="791" customFormat="1">
      <c r="A32" s="365" t="s">
        <v>2090</v>
      </c>
      <c r="B32" s="790">
        <f>SUM(B33:B37)</f>
        <v>421</v>
      </c>
      <c r="C32" s="790">
        <f>SUM(C33:C37)</f>
        <v>21</v>
      </c>
      <c r="D32" s="790">
        <f>SUM(D33:D37)</f>
        <v>14</v>
      </c>
      <c r="E32" s="790">
        <f>SUM(E33:E37)</f>
        <v>386</v>
      </c>
    </row>
    <row r="33" spans="1:5">
      <c r="A33" s="367" t="s">
        <v>2091</v>
      </c>
      <c r="B33" s="788">
        <f>SUM(C33:E33)</f>
        <v>75</v>
      </c>
      <c r="C33" s="788">
        <v>17</v>
      </c>
      <c r="D33" s="788">
        <v>2</v>
      </c>
      <c r="E33" s="788">
        <v>56</v>
      </c>
    </row>
    <row r="34" spans="1:5">
      <c r="A34" s="367" t="s">
        <v>2053</v>
      </c>
      <c r="B34" s="788">
        <f>SUM(C34:E34)</f>
        <v>37</v>
      </c>
      <c r="C34" s="788">
        <v>0</v>
      </c>
      <c r="D34" s="788">
        <v>0</v>
      </c>
      <c r="E34" s="788">
        <v>37</v>
      </c>
    </row>
    <row r="35" spans="1:5">
      <c r="A35" s="367" t="s">
        <v>2092</v>
      </c>
      <c r="B35" s="788">
        <f>SUM(C35:E35)</f>
        <v>234</v>
      </c>
      <c r="C35" s="788">
        <v>3</v>
      </c>
      <c r="D35" s="788">
        <v>7</v>
      </c>
      <c r="E35" s="788">
        <v>224</v>
      </c>
    </row>
    <row r="36" spans="1:5">
      <c r="A36" s="367" t="s">
        <v>1833</v>
      </c>
      <c r="B36" s="788">
        <f>SUM(C36:E36)</f>
        <v>51</v>
      </c>
      <c r="C36" s="788">
        <v>0</v>
      </c>
      <c r="D36" s="788">
        <v>2</v>
      </c>
      <c r="E36" s="788">
        <v>49</v>
      </c>
    </row>
    <row r="37" spans="1:5">
      <c r="A37" s="367" t="s">
        <v>2093</v>
      </c>
      <c r="B37" s="788">
        <f>SUM(C37:E37)</f>
        <v>24</v>
      </c>
      <c r="C37" s="788">
        <v>1</v>
      </c>
      <c r="D37" s="788">
        <v>3</v>
      </c>
      <c r="E37" s="788">
        <v>20</v>
      </c>
    </row>
    <row r="38" spans="1:5" s="791" customFormat="1">
      <c r="A38" s="365" t="s">
        <v>2094</v>
      </c>
      <c r="B38" s="790">
        <f>SUM(B39:B40)</f>
        <v>492</v>
      </c>
      <c r="C38" s="790">
        <f>SUM(C39:C40)</f>
        <v>15</v>
      </c>
      <c r="D38" s="790">
        <f>SUM(D39:D40)</f>
        <v>6</v>
      </c>
      <c r="E38" s="790">
        <f>SUM(E39:E40)</f>
        <v>471</v>
      </c>
    </row>
    <row r="39" spans="1:5">
      <c r="A39" s="367" t="s">
        <v>2095</v>
      </c>
      <c r="B39" s="788">
        <f>SUM(C39:E39)</f>
        <v>488</v>
      </c>
      <c r="C39" s="788">
        <v>15</v>
      </c>
      <c r="D39" s="788">
        <v>5</v>
      </c>
      <c r="E39" s="788">
        <v>468</v>
      </c>
    </row>
    <row r="40" spans="1:5">
      <c r="A40" s="367" t="s">
        <v>2096</v>
      </c>
      <c r="B40" s="788">
        <f>SUM(C40:E40)</f>
        <v>4</v>
      </c>
      <c r="C40" s="788">
        <v>0</v>
      </c>
      <c r="D40" s="788">
        <v>1</v>
      </c>
      <c r="E40" s="788">
        <v>3</v>
      </c>
    </row>
    <row r="41" spans="1:5" s="791" customFormat="1">
      <c r="A41" s="365" t="s">
        <v>2097</v>
      </c>
      <c r="B41" s="790">
        <f>SUM(B42:B47)</f>
        <v>63</v>
      </c>
      <c r="C41" s="790">
        <f>SUM(C42:C47)</f>
        <v>4</v>
      </c>
      <c r="D41" s="790">
        <f>SUM(D42:D47)</f>
        <v>5</v>
      </c>
      <c r="E41" s="790">
        <f>SUM(E42:E47)</f>
        <v>54</v>
      </c>
    </row>
    <row r="42" spans="1:5">
      <c r="A42" s="367" t="s">
        <v>2098</v>
      </c>
      <c r="B42" s="788">
        <f t="shared" ref="B42:B47" si="0">SUM(C42:E42)</f>
        <v>2</v>
      </c>
      <c r="C42" s="788">
        <v>0</v>
      </c>
      <c r="D42" s="788">
        <v>0</v>
      </c>
      <c r="E42" s="788">
        <v>2</v>
      </c>
    </row>
    <row r="43" spans="1:5">
      <c r="A43" s="367" t="s">
        <v>2099</v>
      </c>
      <c r="B43" s="788">
        <f t="shared" si="0"/>
        <v>14</v>
      </c>
      <c r="C43" s="788">
        <v>3</v>
      </c>
      <c r="D43" s="788">
        <v>0</v>
      </c>
      <c r="E43" s="788">
        <v>11</v>
      </c>
    </row>
    <row r="44" spans="1:5">
      <c r="A44" s="367" t="s">
        <v>2100</v>
      </c>
      <c r="B44" s="788">
        <f t="shared" si="0"/>
        <v>14</v>
      </c>
      <c r="C44" s="788">
        <v>1</v>
      </c>
      <c r="D44" s="788">
        <v>1</v>
      </c>
      <c r="E44" s="788">
        <v>12</v>
      </c>
    </row>
    <row r="45" spans="1:5">
      <c r="A45" s="367" t="s">
        <v>2101</v>
      </c>
      <c r="B45" s="788">
        <f t="shared" si="0"/>
        <v>6</v>
      </c>
      <c r="C45" s="788">
        <v>0</v>
      </c>
      <c r="D45" s="788">
        <v>4</v>
      </c>
      <c r="E45" s="788">
        <v>2</v>
      </c>
    </row>
    <row r="46" spans="1:5">
      <c r="A46" s="367" t="s">
        <v>2102</v>
      </c>
      <c r="B46" s="788">
        <f t="shared" si="0"/>
        <v>9</v>
      </c>
      <c r="C46" s="788">
        <v>0</v>
      </c>
      <c r="D46" s="788">
        <v>0</v>
      </c>
      <c r="E46" s="788">
        <v>9</v>
      </c>
    </row>
    <row r="47" spans="1:5">
      <c r="A47" s="367" t="s">
        <v>2103</v>
      </c>
      <c r="B47" s="788">
        <f t="shared" si="0"/>
        <v>18</v>
      </c>
      <c r="C47" s="788">
        <v>0</v>
      </c>
      <c r="D47" s="788">
        <v>0</v>
      </c>
      <c r="E47" s="788">
        <v>18</v>
      </c>
    </row>
    <row r="48" spans="1:5" s="791" customFormat="1">
      <c r="A48" s="365" t="s">
        <v>2104</v>
      </c>
      <c r="B48" s="790">
        <f>SUM(B49:B51)</f>
        <v>31</v>
      </c>
      <c r="C48" s="790">
        <f>SUM(C49:C51)</f>
        <v>18</v>
      </c>
      <c r="D48" s="790">
        <f>SUM(D49:D51)</f>
        <v>6</v>
      </c>
      <c r="E48" s="790">
        <f>SUM(E49:E51)</f>
        <v>7</v>
      </c>
    </row>
    <row r="49" spans="1:9">
      <c r="A49" s="392" t="s">
        <v>2105</v>
      </c>
      <c r="B49" s="788">
        <f>SUM(C49:E49)</f>
        <v>6</v>
      </c>
      <c r="C49" s="788">
        <v>3</v>
      </c>
      <c r="D49" s="788">
        <v>2</v>
      </c>
      <c r="E49" s="788">
        <v>1</v>
      </c>
    </row>
    <row r="50" spans="1:9">
      <c r="A50" s="392" t="s">
        <v>2106</v>
      </c>
      <c r="B50" s="788">
        <f>SUM(C50:E50)</f>
        <v>11</v>
      </c>
      <c r="C50" s="788">
        <v>11</v>
      </c>
      <c r="D50" s="788">
        <v>0</v>
      </c>
      <c r="E50" s="788">
        <v>0</v>
      </c>
    </row>
    <row r="51" spans="1:9">
      <c r="A51" s="392" t="s">
        <v>2107</v>
      </c>
      <c r="B51" s="788">
        <f>SUM(C51:E51)</f>
        <v>14</v>
      </c>
      <c r="C51" s="788">
        <v>4</v>
      </c>
      <c r="D51" s="788">
        <v>4</v>
      </c>
      <c r="E51" s="788">
        <v>6</v>
      </c>
    </row>
    <row r="53" spans="1:9" ht="24.75" customHeight="1">
      <c r="A53" s="2085" t="s">
        <v>3533</v>
      </c>
      <c r="B53" s="2085"/>
      <c r="C53" s="2085"/>
      <c r="D53" s="2085"/>
      <c r="E53" s="2085"/>
      <c r="F53" s="392"/>
      <c r="G53" s="392"/>
    </row>
    <row r="54" spans="1:9">
      <c r="A54" s="367" t="s">
        <v>733</v>
      </c>
    </row>
    <row r="55" spans="1:9" ht="28.5" customHeight="1">
      <c r="A55" s="2085" t="s">
        <v>2108</v>
      </c>
      <c r="B55" s="2085"/>
      <c r="C55" s="2085"/>
      <c r="D55" s="2085"/>
      <c r="E55" s="2085"/>
      <c r="F55" s="367"/>
      <c r="G55" s="367"/>
      <c r="H55" s="367"/>
      <c r="I55" s="367"/>
    </row>
  </sheetData>
  <mergeCells count="3">
    <mergeCell ref="A2:E2"/>
    <mergeCell ref="A55:E55"/>
    <mergeCell ref="A53:E53"/>
  </mergeCells>
  <pageMargins left="0.70866141732283472" right="0.70866141732283472" top="0.74803149606299213" bottom="0.74803149606299213" header="0.31496062992125984" footer="0.31496062992125984"/>
  <pageSetup paperSize="9" scale="75" orientation="portrait" r:id="rId1"/>
</worksheet>
</file>

<file path=xl/worksheets/sheet235.xml><?xml version="1.0" encoding="utf-8"?>
<worksheet xmlns="http://schemas.openxmlformats.org/spreadsheetml/2006/main" xmlns:r="http://schemas.openxmlformats.org/officeDocument/2006/relationships">
  <sheetPr>
    <pageSetUpPr fitToPage="1"/>
  </sheetPr>
  <dimension ref="A1:M114"/>
  <sheetViews>
    <sheetView topLeftCell="A97" zoomScaleNormal="100" workbookViewId="0">
      <selection activeCell="A121" sqref="A121"/>
    </sheetView>
  </sheetViews>
  <sheetFormatPr baseColWidth="10" defaultRowHeight="11.25"/>
  <cols>
    <col min="1" max="1" width="45" style="785" customWidth="1"/>
    <col min="2" max="2" width="11.42578125" style="405"/>
    <col min="3" max="3" width="11.42578125" style="1"/>
    <col min="4" max="4" width="9.140625" style="1" customWidth="1"/>
    <col min="5" max="5" width="14.140625" style="1" customWidth="1"/>
    <col min="6" max="6" width="11.85546875" style="1" customWidth="1"/>
    <col min="7" max="7" width="10.7109375" style="1" customWidth="1"/>
    <col min="8" max="8" width="13.28515625" style="1" customWidth="1"/>
    <col min="9" max="9" width="16.5703125" style="1" customWidth="1"/>
    <col min="10" max="10" width="17.5703125" style="1" customWidth="1"/>
    <col min="11" max="11" width="14.7109375" style="1" customWidth="1"/>
    <col min="12" max="12" width="12" style="1" customWidth="1"/>
    <col min="13" max="13" width="14.140625" style="1" customWidth="1"/>
    <col min="14" max="16384" width="11.42578125" style="1"/>
  </cols>
  <sheetData>
    <row r="1" spans="1:13" ht="7.5" customHeight="1"/>
    <row r="2" spans="1:13" ht="15" customHeight="1">
      <c r="A2" s="89" t="s">
        <v>2119</v>
      </c>
      <c r="B2" s="89"/>
      <c r="C2" s="89"/>
      <c r="D2" s="89"/>
      <c r="E2" s="89"/>
      <c r="F2" s="89"/>
      <c r="G2" s="89"/>
      <c r="H2" s="89"/>
      <c r="I2" s="89"/>
      <c r="J2" s="89"/>
      <c r="K2" s="89"/>
      <c r="L2" s="89"/>
      <c r="M2" s="89"/>
    </row>
    <row r="3" spans="1:13" ht="6" customHeight="1">
      <c r="A3" s="1"/>
      <c r="D3" s="124"/>
      <c r="E3" s="124"/>
      <c r="F3" s="124"/>
      <c r="G3" s="124"/>
      <c r="H3" s="124"/>
      <c r="J3" s="124"/>
    </row>
    <row r="4" spans="1:13" ht="45">
      <c r="A4" s="404" t="s">
        <v>2120</v>
      </c>
      <c r="B4" s="40" t="s">
        <v>6</v>
      </c>
      <c r="C4" s="404" t="s">
        <v>2068</v>
      </c>
      <c r="D4" s="404" t="s">
        <v>2072</v>
      </c>
      <c r="E4" s="404" t="s">
        <v>2073</v>
      </c>
      <c r="F4" s="404" t="s">
        <v>2076</v>
      </c>
      <c r="G4" s="404" t="s">
        <v>2078</v>
      </c>
      <c r="H4" s="404" t="s">
        <v>2082</v>
      </c>
      <c r="I4" s="404" t="s">
        <v>2084</v>
      </c>
      <c r="J4" s="404" t="s">
        <v>2090</v>
      </c>
      <c r="K4" s="404" t="s">
        <v>2094</v>
      </c>
      <c r="L4" s="404" t="s">
        <v>2097</v>
      </c>
      <c r="M4" s="404" t="s">
        <v>2104</v>
      </c>
    </row>
    <row r="5" spans="1:13" s="405" customFormat="1">
      <c r="A5" s="786" t="s">
        <v>6</v>
      </c>
      <c r="B5" s="406">
        <f>SUM(B6:B111)</f>
        <v>1411</v>
      </c>
      <c r="C5" s="406">
        <f t="shared" ref="C5:M5" si="0">SUM(C6:C111)</f>
        <v>38</v>
      </c>
      <c r="D5" s="406">
        <f t="shared" si="0"/>
        <v>3</v>
      </c>
      <c r="E5" s="406">
        <f t="shared" si="0"/>
        <v>63</v>
      </c>
      <c r="F5" s="406">
        <f t="shared" si="0"/>
        <v>37</v>
      </c>
      <c r="G5" s="406">
        <f t="shared" si="0"/>
        <v>124</v>
      </c>
      <c r="H5" s="406">
        <f t="shared" si="0"/>
        <v>61</v>
      </c>
      <c r="I5" s="406">
        <f t="shared" si="0"/>
        <v>78</v>
      </c>
      <c r="J5" s="406">
        <f t="shared" si="0"/>
        <v>421</v>
      </c>
      <c r="K5" s="406">
        <f t="shared" si="0"/>
        <v>492</v>
      </c>
      <c r="L5" s="406">
        <f t="shared" si="0"/>
        <v>63</v>
      </c>
      <c r="M5" s="406">
        <f t="shared" si="0"/>
        <v>31</v>
      </c>
    </row>
    <row r="6" spans="1:13">
      <c r="A6" s="785" t="s">
        <v>2121</v>
      </c>
      <c r="B6" s="406">
        <f>SUM(C6:M6)</f>
        <v>6</v>
      </c>
      <c r="C6" s="409">
        <v>0</v>
      </c>
      <c r="D6" s="409">
        <v>0</v>
      </c>
      <c r="E6" s="409">
        <v>4</v>
      </c>
      <c r="F6" s="409">
        <v>0</v>
      </c>
      <c r="G6" s="409">
        <v>0</v>
      </c>
      <c r="H6" s="409">
        <v>0</v>
      </c>
      <c r="I6" s="409">
        <v>0</v>
      </c>
      <c r="J6" s="409">
        <v>2</v>
      </c>
      <c r="K6" s="409">
        <v>0</v>
      </c>
      <c r="L6" s="409">
        <v>0</v>
      </c>
      <c r="M6" s="409">
        <v>0</v>
      </c>
    </row>
    <row r="7" spans="1:13">
      <c r="A7" s="785" t="s">
        <v>2122</v>
      </c>
      <c r="B7" s="406">
        <f t="shared" ref="B7:B70" si="1">SUM(C7:M7)</f>
        <v>6</v>
      </c>
      <c r="C7" s="409">
        <v>0</v>
      </c>
      <c r="D7" s="409">
        <v>0</v>
      </c>
      <c r="E7" s="409">
        <v>0</v>
      </c>
      <c r="F7" s="409">
        <v>0</v>
      </c>
      <c r="G7" s="409">
        <v>0</v>
      </c>
      <c r="H7" s="409">
        <v>0</v>
      </c>
      <c r="I7" s="409">
        <v>0</v>
      </c>
      <c r="J7" s="409">
        <v>2</v>
      </c>
      <c r="K7" s="409">
        <v>4</v>
      </c>
      <c r="L7" s="409">
        <v>0</v>
      </c>
      <c r="M7" s="409">
        <v>0</v>
      </c>
    </row>
    <row r="8" spans="1:13">
      <c r="A8" s="785" t="s">
        <v>2123</v>
      </c>
      <c r="B8" s="406">
        <f t="shared" si="1"/>
        <v>1</v>
      </c>
      <c r="C8" s="409">
        <v>0</v>
      </c>
      <c r="D8" s="409">
        <v>0</v>
      </c>
      <c r="E8" s="409">
        <v>0</v>
      </c>
      <c r="F8" s="409">
        <v>0</v>
      </c>
      <c r="G8" s="409">
        <v>0</v>
      </c>
      <c r="H8" s="409">
        <v>0</v>
      </c>
      <c r="I8" s="409">
        <v>0</v>
      </c>
      <c r="J8" s="409">
        <v>1</v>
      </c>
      <c r="K8" s="409">
        <v>0</v>
      </c>
      <c r="L8" s="409">
        <v>0</v>
      </c>
      <c r="M8" s="409">
        <v>0</v>
      </c>
    </row>
    <row r="9" spans="1:13">
      <c r="A9" s="785" t="s">
        <v>2124</v>
      </c>
      <c r="B9" s="406">
        <f t="shared" si="1"/>
        <v>1</v>
      </c>
      <c r="C9" s="409">
        <v>0</v>
      </c>
      <c r="D9" s="409">
        <v>0</v>
      </c>
      <c r="E9" s="409">
        <v>0</v>
      </c>
      <c r="F9" s="409">
        <v>0</v>
      </c>
      <c r="G9" s="409">
        <v>0</v>
      </c>
      <c r="H9" s="409">
        <v>0</v>
      </c>
      <c r="I9" s="409">
        <v>0</v>
      </c>
      <c r="J9" s="409">
        <v>0</v>
      </c>
      <c r="K9" s="409">
        <v>1</v>
      </c>
      <c r="L9" s="409">
        <v>0</v>
      </c>
      <c r="M9" s="409">
        <v>0</v>
      </c>
    </row>
    <row r="10" spans="1:13">
      <c r="A10" s="785" t="s">
        <v>2125</v>
      </c>
      <c r="B10" s="406">
        <f t="shared" si="1"/>
        <v>1</v>
      </c>
      <c r="C10" s="409">
        <v>0</v>
      </c>
      <c r="D10" s="409">
        <v>0</v>
      </c>
      <c r="E10" s="409">
        <v>0</v>
      </c>
      <c r="F10" s="409">
        <v>0</v>
      </c>
      <c r="G10" s="409">
        <v>0</v>
      </c>
      <c r="H10" s="409">
        <v>0</v>
      </c>
      <c r="I10" s="409">
        <v>0</v>
      </c>
      <c r="J10" s="409">
        <v>0</v>
      </c>
      <c r="K10" s="409">
        <v>1</v>
      </c>
      <c r="L10" s="409">
        <v>0</v>
      </c>
      <c r="M10" s="409">
        <v>0</v>
      </c>
    </row>
    <row r="11" spans="1:13" ht="22.5">
      <c r="A11" s="785" t="s">
        <v>2126</v>
      </c>
      <c r="B11" s="406">
        <f t="shared" si="1"/>
        <v>1</v>
      </c>
      <c r="C11" s="409">
        <v>0</v>
      </c>
      <c r="D11" s="409">
        <v>0</v>
      </c>
      <c r="E11" s="409">
        <v>0</v>
      </c>
      <c r="F11" s="409">
        <v>0</v>
      </c>
      <c r="G11" s="409">
        <v>0</v>
      </c>
      <c r="H11" s="409">
        <v>0</v>
      </c>
      <c r="I11" s="409">
        <v>0</v>
      </c>
      <c r="J11" s="409">
        <v>1</v>
      </c>
      <c r="K11" s="409">
        <v>0</v>
      </c>
      <c r="L11" s="409">
        <v>0</v>
      </c>
      <c r="M11" s="409">
        <v>0</v>
      </c>
    </row>
    <row r="12" spans="1:13">
      <c r="A12" s="785" t="s">
        <v>2127</v>
      </c>
      <c r="B12" s="406">
        <f t="shared" si="1"/>
        <v>5</v>
      </c>
      <c r="C12" s="409">
        <v>0</v>
      </c>
      <c r="D12" s="409">
        <v>0</v>
      </c>
      <c r="E12" s="409">
        <v>0</v>
      </c>
      <c r="F12" s="409">
        <v>0</v>
      </c>
      <c r="G12" s="409">
        <v>0</v>
      </c>
      <c r="H12" s="409">
        <v>4</v>
      </c>
      <c r="I12" s="409">
        <v>0</v>
      </c>
      <c r="J12" s="409">
        <v>1</v>
      </c>
      <c r="K12" s="409">
        <v>0</v>
      </c>
      <c r="L12" s="409">
        <v>0</v>
      </c>
      <c r="M12" s="409">
        <v>0</v>
      </c>
    </row>
    <row r="13" spans="1:13">
      <c r="A13" s="785" t="s">
        <v>2128</v>
      </c>
      <c r="B13" s="406">
        <f t="shared" si="1"/>
        <v>4</v>
      </c>
      <c r="C13" s="409">
        <v>0</v>
      </c>
      <c r="D13" s="409">
        <v>0</v>
      </c>
      <c r="E13" s="409">
        <v>0</v>
      </c>
      <c r="F13" s="409">
        <v>0</v>
      </c>
      <c r="G13" s="409">
        <v>0</v>
      </c>
      <c r="H13" s="409">
        <v>0</v>
      </c>
      <c r="I13" s="409">
        <v>0</v>
      </c>
      <c r="J13" s="409">
        <v>4</v>
      </c>
      <c r="K13" s="409">
        <v>0</v>
      </c>
      <c r="L13" s="409">
        <v>0</v>
      </c>
      <c r="M13" s="409">
        <v>0</v>
      </c>
    </row>
    <row r="14" spans="1:13" ht="22.5">
      <c r="A14" s="785" t="s">
        <v>2129</v>
      </c>
      <c r="B14" s="406">
        <f t="shared" si="1"/>
        <v>7</v>
      </c>
      <c r="C14" s="409">
        <v>2</v>
      </c>
      <c r="D14" s="409">
        <v>3</v>
      </c>
      <c r="E14" s="409">
        <v>0</v>
      </c>
      <c r="F14" s="409">
        <v>0</v>
      </c>
      <c r="G14" s="409">
        <v>0</v>
      </c>
      <c r="H14" s="409">
        <v>0</v>
      </c>
      <c r="I14" s="409">
        <v>0</v>
      </c>
      <c r="J14" s="409">
        <v>2</v>
      </c>
      <c r="K14" s="409">
        <v>0</v>
      </c>
      <c r="L14" s="409">
        <v>0</v>
      </c>
      <c r="M14" s="409">
        <v>0</v>
      </c>
    </row>
    <row r="15" spans="1:13">
      <c r="A15" s="785" t="s">
        <v>2130</v>
      </c>
      <c r="B15" s="406">
        <f t="shared" si="1"/>
        <v>2</v>
      </c>
      <c r="C15" s="409">
        <v>0</v>
      </c>
      <c r="D15" s="409">
        <v>0</v>
      </c>
      <c r="E15" s="409">
        <v>0</v>
      </c>
      <c r="F15" s="409">
        <v>2</v>
      </c>
      <c r="G15" s="409">
        <v>0</v>
      </c>
      <c r="H15" s="409">
        <v>0</v>
      </c>
      <c r="I15" s="409">
        <v>0</v>
      </c>
      <c r="J15" s="409">
        <v>0</v>
      </c>
      <c r="K15" s="409">
        <v>0</v>
      </c>
      <c r="L15" s="409">
        <v>0</v>
      </c>
      <c r="M15" s="409">
        <v>0</v>
      </c>
    </row>
    <row r="16" spans="1:13">
      <c r="A16" s="785" t="s">
        <v>2131</v>
      </c>
      <c r="B16" s="406">
        <f t="shared" si="1"/>
        <v>6</v>
      </c>
      <c r="C16" s="409">
        <v>0</v>
      </c>
      <c r="D16" s="409">
        <v>0</v>
      </c>
      <c r="E16" s="409">
        <v>2</v>
      </c>
      <c r="F16" s="409">
        <v>0</v>
      </c>
      <c r="G16" s="409">
        <v>0</v>
      </c>
      <c r="H16" s="409">
        <v>0</v>
      </c>
      <c r="I16" s="409">
        <v>0</v>
      </c>
      <c r="J16" s="409">
        <v>4</v>
      </c>
      <c r="K16" s="409">
        <v>0</v>
      </c>
      <c r="L16" s="409">
        <v>0</v>
      </c>
      <c r="M16" s="409">
        <v>0</v>
      </c>
    </row>
    <row r="17" spans="1:13">
      <c r="A17" s="785" t="s">
        <v>2132</v>
      </c>
      <c r="B17" s="406">
        <f t="shared" si="1"/>
        <v>47</v>
      </c>
      <c r="C17" s="409">
        <v>0</v>
      </c>
      <c r="D17" s="409">
        <v>0</v>
      </c>
      <c r="E17" s="409">
        <v>0</v>
      </c>
      <c r="F17" s="409">
        <v>0</v>
      </c>
      <c r="G17" s="409">
        <v>1</v>
      </c>
      <c r="H17" s="409">
        <v>11</v>
      </c>
      <c r="I17" s="409">
        <v>1</v>
      </c>
      <c r="J17" s="409">
        <v>26</v>
      </c>
      <c r="K17" s="409">
        <v>8</v>
      </c>
      <c r="L17" s="409">
        <v>0</v>
      </c>
      <c r="M17" s="409">
        <v>0</v>
      </c>
    </row>
    <row r="18" spans="1:13">
      <c r="A18" s="785" t="s">
        <v>2133</v>
      </c>
      <c r="B18" s="406">
        <f t="shared" si="1"/>
        <v>3</v>
      </c>
      <c r="C18" s="409">
        <v>0</v>
      </c>
      <c r="D18" s="409">
        <v>0</v>
      </c>
      <c r="E18" s="409">
        <v>0</v>
      </c>
      <c r="F18" s="409">
        <v>0</v>
      </c>
      <c r="G18" s="409">
        <v>0</v>
      </c>
      <c r="H18" s="409">
        <v>0</v>
      </c>
      <c r="I18" s="409">
        <v>0</v>
      </c>
      <c r="J18" s="409">
        <v>3</v>
      </c>
      <c r="K18" s="409">
        <v>0</v>
      </c>
      <c r="L18" s="409">
        <v>0</v>
      </c>
      <c r="M18" s="409">
        <v>0</v>
      </c>
    </row>
    <row r="19" spans="1:13">
      <c r="A19" s="785" t="s">
        <v>2134</v>
      </c>
      <c r="B19" s="406">
        <f t="shared" si="1"/>
        <v>2</v>
      </c>
      <c r="C19" s="409">
        <v>0</v>
      </c>
      <c r="D19" s="409">
        <v>0</v>
      </c>
      <c r="E19" s="409">
        <v>0</v>
      </c>
      <c r="F19" s="409">
        <v>0</v>
      </c>
      <c r="G19" s="409">
        <v>0</v>
      </c>
      <c r="H19" s="409">
        <v>0</v>
      </c>
      <c r="I19" s="409">
        <v>0</v>
      </c>
      <c r="J19" s="409">
        <v>2</v>
      </c>
      <c r="K19" s="409">
        <v>0</v>
      </c>
      <c r="L19" s="409">
        <v>0</v>
      </c>
      <c r="M19" s="409">
        <v>0</v>
      </c>
    </row>
    <row r="20" spans="1:13">
      <c r="A20" s="785" t="s">
        <v>2135</v>
      </c>
      <c r="B20" s="406">
        <f t="shared" si="1"/>
        <v>2</v>
      </c>
      <c r="C20" s="409">
        <v>0</v>
      </c>
      <c r="D20" s="409">
        <v>0</v>
      </c>
      <c r="E20" s="409">
        <v>0</v>
      </c>
      <c r="F20" s="409">
        <v>0</v>
      </c>
      <c r="G20" s="409">
        <v>0</v>
      </c>
      <c r="H20" s="409">
        <v>0</v>
      </c>
      <c r="I20" s="409">
        <v>0</v>
      </c>
      <c r="J20" s="409">
        <v>2</v>
      </c>
      <c r="K20" s="409">
        <v>0</v>
      </c>
      <c r="L20" s="409">
        <v>0</v>
      </c>
      <c r="M20" s="409">
        <v>0</v>
      </c>
    </row>
    <row r="21" spans="1:13">
      <c r="A21" s="785" t="s">
        <v>2136</v>
      </c>
      <c r="B21" s="406">
        <f t="shared" si="1"/>
        <v>2</v>
      </c>
      <c r="C21" s="409">
        <v>0</v>
      </c>
      <c r="D21" s="409">
        <v>0</v>
      </c>
      <c r="E21" s="409">
        <v>0</v>
      </c>
      <c r="F21" s="409">
        <v>0</v>
      </c>
      <c r="G21" s="409">
        <v>0</v>
      </c>
      <c r="H21" s="409">
        <v>0</v>
      </c>
      <c r="I21" s="409">
        <v>0</v>
      </c>
      <c r="J21" s="409">
        <v>0</v>
      </c>
      <c r="K21" s="409">
        <v>2</v>
      </c>
      <c r="L21" s="409">
        <v>0</v>
      </c>
      <c r="M21" s="409">
        <v>0</v>
      </c>
    </row>
    <row r="22" spans="1:13">
      <c r="A22" s="785" t="s">
        <v>2137</v>
      </c>
      <c r="B22" s="406">
        <f t="shared" si="1"/>
        <v>1</v>
      </c>
      <c r="C22" s="409">
        <v>0</v>
      </c>
      <c r="D22" s="409">
        <v>0</v>
      </c>
      <c r="E22" s="409">
        <v>0</v>
      </c>
      <c r="F22" s="409">
        <v>0</v>
      </c>
      <c r="G22" s="409">
        <v>0</v>
      </c>
      <c r="H22" s="409">
        <v>0</v>
      </c>
      <c r="I22" s="409">
        <v>0</v>
      </c>
      <c r="J22" s="409">
        <v>0</v>
      </c>
      <c r="K22" s="409">
        <v>1</v>
      </c>
      <c r="L22" s="409">
        <v>0</v>
      </c>
      <c r="M22" s="409">
        <v>0</v>
      </c>
    </row>
    <row r="23" spans="1:13">
      <c r="A23" s="785" t="s">
        <v>2138</v>
      </c>
      <c r="B23" s="406">
        <f t="shared" si="1"/>
        <v>5</v>
      </c>
      <c r="C23" s="409">
        <v>0</v>
      </c>
      <c r="D23" s="409">
        <v>0</v>
      </c>
      <c r="E23" s="409">
        <v>0</v>
      </c>
      <c r="F23" s="409">
        <v>0</v>
      </c>
      <c r="G23" s="409">
        <v>0</v>
      </c>
      <c r="H23" s="409">
        <v>0</v>
      </c>
      <c r="I23" s="409">
        <v>0</v>
      </c>
      <c r="J23" s="409">
        <v>4</v>
      </c>
      <c r="K23" s="409">
        <v>1</v>
      </c>
      <c r="L23" s="409">
        <v>0</v>
      </c>
      <c r="M23" s="409">
        <v>0</v>
      </c>
    </row>
    <row r="24" spans="1:13">
      <c r="A24" s="785" t="s">
        <v>2139</v>
      </c>
      <c r="B24" s="406">
        <f t="shared" si="1"/>
        <v>5</v>
      </c>
      <c r="C24" s="409">
        <v>0</v>
      </c>
      <c r="D24" s="409">
        <v>0</v>
      </c>
      <c r="E24" s="409">
        <v>0</v>
      </c>
      <c r="F24" s="409">
        <v>0</v>
      </c>
      <c r="G24" s="409">
        <v>0</v>
      </c>
      <c r="H24" s="409">
        <v>0</v>
      </c>
      <c r="I24" s="409">
        <v>0</v>
      </c>
      <c r="J24" s="409">
        <v>0</v>
      </c>
      <c r="K24" s="409">
        <v>5</v>
      </c>
      <c r="L24" s="409">
        <v>0</v>
      </c>
      <c r="M24" s="409">
        <v>0</v>
      </c>
    </row>
    <row r="25" spans="1:13">
      <c r="A25" s="785" t="s">
        <v>2140</v>
      </c>
      <c r="B25" s="406">
        <f t="shared" si="1"/>
        <v>1</v>
      </c>
      <c r="C25" s="409">
        <v>0</v>
      </c>
      <c r="D25" s="409">
        <v>0</v>
      </c>
      <c r="E25" s="409">
        <v>0</v>
      </c>
      <c r="F25" s="409">
        <v>0</v>
      </c>
      <c r="G25" s="409">
        <v>0</v>
      </c>
      <c r="H25" s="409">
        <v>0</v>
      </c>
      <c r="I25" s="409">
        <v>0</v>
      </c>
      <c r="J25" s="409">
        <v>0</v>
      </c>
      <c r="K25" s="409">
        <v>1</v>
      </c>
      <c r="L25" s="409">
        <v>0</v>
      </c>
      <c r="M25" s="409">
        <v>0</v>
      </c>
    </row>
    <row r="26" spans="1:13">
      <c r="A26" s="785" t="s">
        <v>2141</v>
      </c>
      <c r="B26" s="406">
        <f t="shared" si="1"/>
        <v>1</v>
      </c>
      <c r="C26" s="409">
        <v>0</v>
      </c>
      <c r="D26" s="409">
        <v>0</v>
      </c>
      <c r="E26" s="409">
        <v>0</v>
      </c>
      <c r="F26" s="409">
        <v>0</v>
      </c>
      <c r="G26" s="409">
        <v>0</v>
      </c>
      <c r="H26" s="409">
        <v>0</v>
      </c>
      <c r="I26" s="409">
        <v>0</v>
      </c>
      <c r="J26" s="409">
        <v>0</v>
      </c>
      <c r="K26" s="409">
        <v>1</v>
      </c>
      <c r="L26" s="409">
        <v>0</v>
      </c>
      <c r="M26" s="409">
        <v>0</v>
      </c>
    </row>
    <row r="27" spans="1:13">
      <c r="A27" s="785" t="s">
        <v>2142</v>
      </c>
      <c r="B27" s="406">
        <f t="shared" si="1"/>
        <v>2</v>
      </c>
      <c r="C27" s="409">
        <v>0</v>
      </c>
      <c r="D27" s="409">
        <v>0</v>
      </c>
      <c r="E27" s="409">
        <v>0</v>
      </c>
      <c r="F27" s="409">
        <v>0</v>
      </c>
      <c r="G27" s="409">
        <v>1</v>
      </c>
      <c r="H27" s="409">
        <v>0</v>
      </c>
      <c r="I27" s="409">
        <v>1</v>
      </c>
      <c r="J27" s="409">
        <v>0</v>
      </c>
      <c r="K27" s="409">
        <v>0</v>
      </c>
      <c r="L27" s="409">
        <v>0</v>
      </c>
      <c r="M27" s="409">
        <v>0</v>
      </c>
    </row>
    <row r="28" spans="1:13">
      <c r="A28" s="785" t="s">
        <v>2143</v>
      </c>
      <c r="B28" s="406">
        <f t="shared" si="1"/>
        <v>2</v>
      </c>
      <c r="C28" s="409">
        <v>0</v>
      </c>
      <c r="D28" s="409">
        <v>0</v>
      </c>
      <c r="E28" s="409">
        <v>0</v>
      </c>
      <c r="F28" s="409">
        <v>0</v>
      </c>
      <c r="G28" s="409">
        <v>0</v>
      </c>
      <c r="H28" s="409">
        <v>0</v>
      </c>
      <c r="I28" s="409">
        <v>0</v>
      </c>
      <c r="J28" s="409">
        <v>0</v>
      </c>
      <c r="K28" s="409">
        <v>2</v>
      </c>
      <c r="L28" s="409">
        <v>0</v>
      </c>
      <c r="M28" s="409">
        <v>0</v>
      </c>
    </row>
    <row r="29" spans="1:13">
      <c r="A29" s="785" t="s">
        <v>2144</v>
      </c>
      <c r="B29" s="406">
        <f t="shared" si="1"/>
        <v>1</v>
      </c>
      <c r="C29" s="409">
        <v>0</v>
      </c>
      <c r="D29" s="409">
        <v>0</v>
      </c>
      <c r="E29" s="409">
        <v>0</v>
      </c>
      <c r="F29" s="409">
        <v>0</v>
      </c>
      <c r="G29" s="409">
        <v>0</v>
      </c>
      <c r="H29" s="409">
        <v>0</v>
      </c>
      <c r="I29" s="409">
        <v>0</v>
      </c>
      <c r="J29" s="409">
        <v>0</v>
      </c>
      <c r="K29" s="409">
        <v>1</v>
      </c>
      <c r="L29" s="409">
        <v>0</v>
      </c>
      <c r="M29" s="409">
        <v>0</v>
      </c>
    </row>
    <row r="30" spans="1:13">
      <c r="A30" s="785" t="s">
        <v>2145</v>
      </c>
      <c r="B30" s="406">
        <f t="shared" si="1"/>
        <v>105</v>
      </c>
      <c r="C30" s="409">
        <v>0</v>
      </c>
      <c r="D30" s="409">
        <v>0</v>
      </c>
      <c r="E30" s="409">
        <v>0</v>
      </c>
      <c r="F30" s="409">
        <v>1</v>
      </c>
      <c r="G30" s="409">
        <v>9</v>
      </c>
      <c r="H30" s="409">
        <v>0</v>
      </c>
      <c r="I30" s="409">
        <v>4</v>
      </c>
      <c r="J30" s="409">
        <v>42</v>
      </c>
      <c r="K30" s="409">
        <v>47</v>
      </c>
      <c r="L30" s="409">
        <v>0</v>
      </c>
      <c r="M30" s="409">
        <v>2</v>
      </c>
    </row>
    <row r="31" spans="1:13">
      <c r="A31" s="785" t="s">
        <v>2146</v>
      </c>
      <c r="B31" s="406">
        <f t="shared" si="1"/>
        <v>2</v>
      </c>
      <c r="C31" s="409">
        <v>2</v>
      </c>
      <c r="D31" s="409">
        <v>0</v>
      </c>
      <c r="E31" s="409">
        <v>0</v>
      </c>
      <c r="F31" s="409">
        <v>0</v>
      </c>
      <c r="G31" s="409">
        <v>0</v>
      </c>
      <c r="H31" s="409">
        <v>0</v>
      </c>
      <c r="I31" s="409">
        <v>0</v>
      </c>
      <c r="J31" s="409">
        <v>0</v>
      </c>
      <c r="K31" s="409">
        <v>0</v>
      </c>
      <c r="L31" s="409">
        <v>0</v>
      </c>
      <c r="M31" s="409">
        <v>0</v>
      </c>
    </row>
    <row r="32" spans="1:13">
      <c r="A32" s="785" t="s">
        <v>2147</v>
      </c>
      <c r="B32" s="406">
        <f t="shared" si="1"/>
        <v>4</v>
      </c>
      <c r="C32" s="409">
        <v>0</v>
      </c>
      <c r="D32" s="409">
        <v>0</v>
      </c>
      <c r="E32" s="409">
        <v>0</v>
      </c>
      <c r="F32" s="409">
        <v>0</v>
      </c>
      <c r="G32" s="409">
        <v>0</v>
      </c>
      <c r="H32" s="409">
        <v>0</v>
      </c>
      <c r="I32" s="409">
        <v>0</v>
      </c>
      <c r="J32" s="409">
        <v>0</v>
      </c>
      <c r="K32" s="409">
        <v>4</v>
      </c>
      <c r="L32" s="409">
        <v>0</v>
      </c>
      <c r="M32" s="409">
        <v>0</v>
      </c>
    </row>
    <row r="33" spans="1:13">
      <c r="A33" s="785" t="s">
        <v>2148</v>
      </c>
      <c r="B33" s="406">
        <f t="shared" si="1"/>
        <v>26</v>
      </c>
      <c r="C33" s="409">
        <v>0</v>
      </c>
      <c r="D33" s="409">
        <v>0</v>
      </c>
      <c r="E33" s="409">
        <v>8</v>
      </c>
      <c r="F33" s="409">
        <v>1</v>
      </c>
      <c r="G33" s="409">
        <v>3</v>
      </c>
      <c r="H33" s="409">
        <v>0</v>
      </c>
      <c r="I33" s="409">
        <v>5</v>
      </c>
      <c r="J33" s="409">
        <v>7</v>
      </c>
      <c r="K33" s="409">
        <v>0</v>
      </c>
      <c r="L33" s="409">
        <v>0</v>
      </c>
      <c r="M33" s="409">
        <v>2</v>
      </c>
    </row>
    <row r="34" spans="1:13">
      <c r="A34" s="785" t="s">
        <v>2149</v>
      </c>
      <c r="B34" s="406">
        <f t="shared" si="1"/>
        <v>1</v>
      </c>
      <c r="C34" s="409">
        <v>0</v>
      </c>
      <c r="D34" s="409">
        <v>0</v>
      </c>
      <c r="E34" s="409">
        <v>0</v>
      </c>
      <c r="F34" s="409">
        <v>0</v>
      </c>
      <c r="G34" s="409">
        <v>1</v>
      </c>
      <c r="H34" s="409">
        <v>0</v>
      </c>
      <c r="I34" s="409">
        <v>0</v>
      </c>
      <c r="J34" s="409">
        <v>0</v>
      </c>
      <c r="K34" s="409">
        <v>0</v>
      </c>
      <c r="L34" s="409">
        <v>0</v>
      </c>
      <c r="M34" s="409">
        <v>0</v>
      </c>
    </row>
    <row r="35" spans="1:13">
      <c r="A35" s="785" t="s">
        <v>2150</v>
      </c>
      <c r="B35" s="406">
        <f t="shared" si="1"/>
        <v>19</v>
      </c>
      <c r="C35" s="409">
        <v>0</v>
      </c>
      <c r="D35" s="409">
        <v>0</v>
      </c>
      <c r="E35" s="409">
        <v>0</v>
      </c>
      <c r="F35" s="409">
        <v>0</v>
      </c>
      <c r="G35" s="409">
        <v>4</v>
      </c>
      <c r="H35" s="409">
        <v>0</v>
      </c>
      <c r="I35" s="409">
        <v>6</v>
      </c>
      <c r="J35" s="409">
        <v>6</v>
      </c>
      <c r="K35" s="409">
        <v>3</v>
      </c>
      <c r="L35" s="409">
        <v>0</v>
      </c>
      <c r="M35" s="409">
        <v>0</v>
      </c>
    </row>
    <row r="36" spans="1:13" ht="22.5">
      <c r="A36" s="785" t="s">
        <v>2151</v>
      </c>
      <c r="B36" s="406">
        <f t="shared" si="1"/>
        <v>1</v>
      </c>
      <c r="C36" s="409">
        <v>0</v>
      </c>
      <c r="D36" s="409">
        <v>0</v>
      </c>
      <c r="E36" s="409">
        <v>0</v>
      </c>
      <c r="F36" s="409">
        <v>0</v>
      </c>
      <c r="G36" s="409">
        <v>0</v>
      </c>
      <c r="H36" s="409">
        <v>0</v>
      </c>
      <c r="I36" s="409">
        <v>0</v>
      </c>
      <c r="J36" s="409">
        <v>0</v>
      </c>
      <c r="K36" s="409">
        <v>1</v>
      </c>
      <c r="L36" s="409">
        <v>0</v>
      </c>
      <c r="M36" s="409">
        <v>0</v>
      </c>
    </row>
    <row r="37" spans="1:13">
      <c r="A37" s="785" t="s">
        <v>2152</v>
      </c>
      <c r="B37" s="406">
        <f t="shared" si="1"/>
        <v>7</v>
      </c>
      <c r="C37" s="409">
        <v>0</v>
      </c>
      <c r="D37" s="409">
        <v>0</v>
      </c>
      <c r="E37" s="409">
        <v>0</v>
      </c>
      <c r="F37" s="409">
        <v>0</v>
      </c>
      <c r="G37" s="409">
        <v>0</v>
      </c>
      <c r="H37" s="409">
        <v>0</v>
      </c>
      <c r="I37" s="409">
        <v>4</v>
      </c>
      <c r="J37" s="409">
        <v>3</v>
      </c>
      <c r="K37" s="409">
        <v>0</v>
      </c>
      <c r="L37" s="409">
        <v>0</v>
      </c>
      <c r="M37" s="409">
        <v>0</v>
      </c>
    </row>
    <row r="38" spans="1:13">
      <c r="A38" s="785" t="s">
        <v>2153</v>
      </c>
      <c r="B38" s="406">
        <f t="shared" si="1"/>
        <v>3</v>
      </c>
      <c r="C38" s="409">
        <v>0</v>
      </c>
      <c r="D38" s="409">
        <v>0</v>
      </c>
      <c r="E38" s="409">
        <v>0</v>
      </c>
      <c r="F38" s="409">
        <v>0</v>
      </c>
      <c r="G38" s="409">
        <v>0</v>
      </c>
      <c r="H38" s="409">
        <v>0</v>
      </c>
      <c r="I38" s="409">
        <v>0</v>
      </c>
      <c r="J38" s="409">
        <v>0</v>
      </c>
      <c r="K38" s="409">
        <v>3</v>
      </c>
      <c r="L38" s="409">
        <v>0</v>
      </c>
      <c r="M38" s="409">
        <v>0</v>
      </c>
    </row>
    <row r="39" spans="1:13">
      <c r="A39" s="785" t="s">
        <v>2154</v>
      </c>
      <c r="B39" s="406">
        <f t="shared" si="1"/>
        <v>11</v>
      </c>
      <c r="C39" s="409">
        <v>0</v>
      </c>
      <c r="D39" s="409">
        <v>0</v>
      </c>
      <c r="E39" s="409">
        <v>0</v>
      </c>
      <c r="F39" s="409">
        <v>0</v>
      </c>
      <c r="G39" s="409">
        <v>0</v>
      </c>
      <c r="H39" s="409">
        <v>0</v>
      </c>
      <c r="I39" s="409">
        <v>0</v>
      </c>
      <c r="J39" s="409">
        <v>0</v>
      </c>
      <c r="K39" s="409">
        <v>11</v>
      </c>
      <c r="L39" s="409">
        <v>0</v>
      </c>
      <c r="M39" s="409">
        <v>0</v>
      </c>
    </row>
    <row r="40" spans="1:13">
      <c r="A40" s="785" t="s">
        <v>2155</v>
      </c>
      <c r="B40" s="406">
        <f t="shared" si="1"/>
        <v>12</v>
      </c>
      <c r="C40" s="409">
        <v>0</v>
      </c>
      <c r="D40" s="409">
        <v>0</v>
      </c>
      <c r="E40" s="409">
        <v>0</v>
      </c>
      <c r="F40" s="409">
        <v>0</v>
      </c>
      <c r="G40" s="409">
        <v>0</v>
      </c>
      <c r="H40" s="409">
        <v>0</v>
      </c>
      <c r="I40" s="409">
        <v>0</v>
      </c>
      <c r="J40" s="409">
        <v>5</v>
      </c>
      <c r="K40" s="409">
        <v>7</v>
      </c>
      <c r="L40" s="409">
        <v>0</v>
      </c>
      <c r="M40" s="409">
        <v>0</v>
      </c>
    </row>
    <row r="41" spans="1:13">
      <c r="A41" s="785" t="s">
        <v>2156</v>
      </c>
      <c r="B41" s="406">
        <f t="shared" si="1"/>
        <v>91</v>
      </c>
      <c r="C41" s="409">
        <v>2</v>
      </c>
      <c r="D41" s="409">
        <v>0</v>
      </c>
      <c r="E41" s="409">
        <v>3</v>
      </c>
      <c r="F41" s="409">
        <v>2</v>
      </c>
      <c r="G41" s="409">
        <v>5</v>
      </c>
      <c r="H41" s="409">
        <v>0</v>
      </c>
      <c r="I41" s="409">
        <v>8</v>
      </c>
      <c r="J41" s="409">
        <v>45</v>
      </c>
      <c r="K41" s="409">
        <v>26</v>
      </c>
      <c r="L41" s="409">
        <v>0</v>
      </c>
      <c r="M41" s="409">
        <v>0</v>
      </c>
    </row>
    <row r="42" spans="1:13">
      <c r="A42" s="785" t="s">
        <v>2157</v>
      </c>
      <c r="B42" s="406">
        <f t="shared" si="1"/>
        <v>1</v>
      </c>
      <c r="C42" s="409">
        <v>0</v>
      </c>
      <c r="D42" s="409">
        <v>0</v>
      </c>
      <c r="E42" s="409">
        <v>0</v>
      </c>
      <c r="F42" s="409">
        <v>0</v>
      </c>
      <c r="G42" s="409">
        <v>0</v>
      </c>
      <c r="H42" s="409">
        <v>0</v>
      </c>
      <c r="I42" s="409">
        <v>1</v>
      </c>
      <c r="J42" s="409">
        <v>0</v>
      </c>
      <c r="K42" s="409">
        <v>0</v>
      </c>
      <c r="L42" s="409">
        <v>0</v>
      </c>
      <c r="M42" s="409">
        <v>0</v>
      </c>
    </row>
    <row r="43" spans="1:13">
      <c r="A43" s="785" t="s">
        <v>2158</v>
      </c>
      <c r="B43" s="406">
        <f t="shared" si="1"/>
        <v>10</v>
      </c>
      <c r="C43" s="409">
        <v>0</v>
      </c>
      <c r="D43" s="409">
        <v>0</v>
      </c>
      <c r="E43" s="409">
        <v>0</v>
      </c>
      <c r="F43" s="409">
        <v>1</v>
      </c>
      <c r="G43" s="409">
        <v>9</v>
      </c>
      <c r="H43" s="409">
        <v>0</v>
      </c>
      <c r="I43" s="409">
        <v>0</v>
      </c>
      <c r="J43" s="409">
        <v>0</v>
      </c>
      <c r="K43" s="409">
        <v>0</v>
      </c>
      <c r="L43" s="409">
        <v>0</v>
      </c>
      <c r="M43" s="409">
        <v>0</v>
      </c>
    </row>
    <row r="44" spans="1:13">
      <c r="A44" s="785" t="s">
        <v>2159</v>
      </c>
      <c r="B44" s="406">
        <f t="shared" si="1"/>
        <v>12</v>
      </c>
      <c r="C44" s="409">
        <v>0</v>
      </c>
      <c r="D44" s="409">
        <v>0</v>
      </c>
      <c r="E44" s="409">
        <v>0</v>
      </c>
      <c r="F44" s="409">
        <v>0</v>
      </c>
      <c r="G44" s="409">
        <v>0</v>
      </c>
      <c r="H44" s="409">
        <v>0</v>
      </c>
      <c r="I44" s="409">
        <v>0</v>
      </c>
      <c r="J44" s="409">
        <v>8</v>
      </c>
      <c r="K44" s="409">
        <v>4</v>
      </c>
      <c r="L44" s="409">
        <v>0</v>
      </c>
      <c r="M44" s="409">
        <v>0</v>
      </c>
    </row>
    <row r="45" spans="1:13">
      <c r="A45" s="785" t="s">
        <v>2160</v>
      </c>
      <c r="B45" s="406">
        <f t="shared" si="1"/>
        <v>30</v>
      </c>
      <c r="C45" s="409">
        <v>0</v>
      </c>
      <c r="D45" s="409">
        <v>0</v>
      </c>
      <c r="E45" s="409">
        <v>0</v>
      </c>
      <c r="F45" s="409">
        <v>1</v>
      </c>
      <c r="G45" s="409">
        <v>0</v>
      </c>
      <c r="H45" s="409">
        <v>0</v>
      </c>
      <c r="I45" s="409">
        <v>0</v>
      </c>
      <c r="J45" s="409">
        <v>29</v>
      </c>
      <c r="K45" s="409">
        <v>0</v>
      </c>
      <c r="L45" s="409">
        <v>0</v>
      </c>
      <c r="M45" s="409">
        <v>0</v>
      </c>
    </row>
    <row r="46" spans="1:13">
      <c r="A46" s="785" t="s">
        <v>2161</v>
      </c>
      <c r="B46" s="406">
        <f t="shared" si="1"/>
        <v>8</v>
      </c>
      <c r="C46" s="409">
        <v>0</v>
      </c>
      <c r="D46" s="409">
        <v>0</v>
      </c>
      <c r="E46" s="409">
        <v>0</v>
      </c>
      <c r="F46" s="409">
        <v>0</v>
      </c>
      <c r="G46" s="409">
        <v>0</v>
      </c>
      <c r="H46" s="409">
        <v>0</v>
      </c>
      <c r="I46" s="409">
        <v>2</v>
      </c>
      <c r="J46" s="409">
        <v>2</v>
      </c>
      <c r="K46" s="409">
        <v>4</v>
      </c>
      <c r="L46" s="409">
        <v>0</v>
      </c>
      <c r="M46" s="409">
        <v>0</v>
      </c>
    </row>
    <row r="47" spans="1:13" ht="22.5">
      <c r="A47" s="785" t="s">
        <v>2162</v>
      </c>
      <c r="B47" s="406">
        <f t="shared" si="1"/>
        <v>1</v>
      </c>
      <c r="C47" s="409">
        <v>0</v>
      </c>
      <c r="D47" s="409">
        <v>0</v>
      </c>
      <c r="E47" s="409">
        <v>0</v>
      </c>
      <c r="F47" s="409">
        <v>0</v>
      </c>
      <c r="G47" s="409">
        <v>0</v>
      </c>
      <c r="H47" s="409">
        <v>0</v>
      </c>
      <c r="I47" s="409">
        <v>0</v>
      </c>
      <c r="J47" s="409">
        <v>0</v>
      </c>
      <c r="K47" s="409">
        <v>1</v>
      </c>
      <c r="L47" s="409">
        <v>0</v>
      </c>
      <c r="M47" s="409">
        <v>0</v>
      </c>
    </row>
    <row r="48" spans="1:13">
      <c r="A48" s="785" t="s">
        <v>2163</v>
      </c>
      <c r="B48" s="406">
        <f t="shared" si="1"/>
        <v>29</v>
      </c>
      <c r="C48" s="409">
        <v>2</v>
      </c>
      <c r="D48" s="409">
        <v>0</v>
      </c>
      <c r="E48" s="409">
        <v>0</v>
      </c>
      <c r="F48" s="409">
        <v>0</v>
      </c>
      <c r="G48" s="409">
        <v>0</v>
      </c>
      <c r="H48" s="409">
        <v>0</v>
      </c>
      <c r="I48" s="409">
        <v>0</v>
      </c>
      <c r="J48" s="409">
        <v>2</v>
      </c>
      <c r="K48" s="409">
        <v>25</v>
      </c>
      <c r="L48" s="409">
        <v>0</v>
      </c>
      <c r="M48" s="409">
        <v>0</v>
      </c>
    </row>
    <row r="49" spans="1:13">
      <c r="A49" s="785" t="s">
        <v>2164</v>
      </c>
      <c r="B49" s="406">
        <f t="shared" si="1"/>
        <v>15</v>
      </c>
      <c r="C49" s="409">
        <v>0</v>
      </c>
      <c r="D49" s="409">
        <v>0</v>
      </c>
      <c r="E49" s="409">
        <v>0</v>
      </c>
      <c r="F49" s="409">
        <v>0</v>
      </c>
      <c r="G49" s="409">
        <v>0</v>
      </c>
      <c r="H49" s="409">
        <v>0</v>
      </c>
      <c r="I49" s="409">
        <v>0</v>
      </c>
      <c r="J49" s="409">
        <v>2</v>
      </c>
      <c r="K49" s="409">
        <v>11</v>
      </c>
      <c r="L49" s="409">
        <v>2</v>
      </c>
      <c r="M49" s="409">
        <v>0</v>
      </c>
    </row>
    <row r="50" spans="1:13">
      <c r="A50" s="785" t="s">
        <v>2165</v>
      </c>
      <c r="B50" s="406">
        <f t="shared" si="1"/>
        <v>19</v>
      </c>
      <c r="C50" s="409">
        <v>0</v>
      </c>
      <c r="D50" s="409">
        <v>0</v>
      </c>
      <c r="E50" s="409">
        <v>0</v>
      </c>
      <c r="F50" s="409">
        <v>0</v>
      </c>
      <c r="G50" s="409">
        <v>0</v>
      </c>
      <c r="H50" s="409">
        <v>0</v>
      </c>
      <c r="I50" s="409">
        <v>0</v>
      </c>
      <c r="J50" s="409">
        <v>0</v>
      </c>
      <c r="K50" s="409">
        <v>19</v>
      </c>
      <c r="L50" s="409">
        <v>0</v>
      </c>
      <c r="M50" s="409">
        <v>0</v>
      </c>
    </row>
    <row r="51" spans="1:13">
      <c r="A51" s="785" t="s">
        <v>2166</v>
      </c>
      <c r="B51" s="406">
        <f t="shared" si="1"/>
        <v>24</v>
      </c>
      <c r="C51" s="409">
        <v>0</v>
      </c>
      <c r="D51" s="409">
        <v>0</v>
      </c>
      <c r="E51" s="409">
        <v>6</v>
      </c>
      <c r="F51" s="409">
        <v>6</v>
      </c>
      <c r="G51" s="409">
        <v>0</v>
      </c>
      <c r="H51" s="409">
        <v>0</v>
      </c>
      <c r="I51" s="409">
        <v>0</v>
      </c>
      <c r="J51" s="409">
        <v>12</v>
      </c>
      <c r="K51" s="409">
        <v>0</v>
      </c>
      <c r="L51" s="409">
        <v>0</v>
      </c>
      <c r="M51" s="409">
        <v>0</v>
      </c>
    </row>
    <row r="52" spans="1:13">
      <c r="A52" s="785" t="s">
        <v>2167</v>
      </c>
      <c r="B52" s="406">
        <f t="shared" si="1"/>
        <v>3</v>
      </c>
      <c r="C52" s="409">
        <v>0</v>
      </c>
      <c r="D52" s="409">
        <v>0</v>
      </c>
      <c r="E52" s="409">
        <v>0</v>
      </c>
      <c r="F52" s="409">
        <v>0</v>
      </c>
      <c r="G52" s="409">
        <v>3</v>
      </c>
      <c r="H52" s="409">
        <v>0</v>
      </c>
      <c r="I52" s="409">
        <v>0</v>
      </c>
      <c r="J52" s="409">
        <v>0</v>
      </c>
      <c r="K52" s="409">
        <v>0</v>
      </c>
      <c r="L52" s="409">
        <v>0</v>
      </c>
      <c r="M52" s="409">
        <v>0</v>
      </c>
    </row>
    <row r="53" spans="1:13">
      <c r="A53" s="785" t="s">
        <v>2168</v>
      </c>
      <c r="B53" s="406">
        <f t="shared" si="1"/>
        <v>7</v>
      </c>
      <c r="C53" s="409">
        <v>0</v>
      </c>
      <c r="D53" s="409">
        <v>0</v>
      </c>
      <c r="E53" s="409">
        <v>0</v>
      </c>
      <c r="F53" s="409">
        <v>0</v>
      </c>
      <c r="G53" s="409">
        <v>0</v>
      </c>
      <c r="H53" s="409">
        <v>0</v>
      </c>
      <c r="I53" s="409">
        <v>0</v>
      </c>
      <c r="J53" s="409">
        <v>6</v>
      </c>
      <c r="K53" s="409">
        <v>1</v>
      </c>
      <c r="L53" s="409">
        <v>0</v>
      </c>
      <c r="M53" s="409">
        <v>0</v>
      </c>
    </row>
    <row r="54" spans="1:13">
      <c r="A54" s="785" t="s">
        <v>2169</v>
      </c>
      <c r="B54" s="406">
        <f t="shared" si="1"/>
        <v>72</v>
      </c>
      <c r="C54" s="409">
        <v>0</v>
      </c>
      <c r="D54" s="409">
        <v>0</v>
      </c>
      <c r="E54" s="409">
        <v>0</v>
      </c>
      <c r="F54" s="409">
        <v>0</v>
      </c>
      <c r="G54" s="409">
        <v>10</v>
      </c>
      <c r="H54" s="409">
        <v>0</v>
      </c>
      <c r="I54" s="409">
        <v>9</v>
      </c>
      <c r="J54" s="409">
        <v>19</v>
      </c>
      <c r="K54" s="409">
        <v>34</v>
      </c>
      <c r="L54" s="409">
        <v>0</v>
      </c>
      <c r="M54" s="409">
        <v>0</v>
      </c>
    </row>
    <row r="55" spans="1:13">
      <c r="A55" s="785" t="s">
        <v>2170</v>
      </c>
      <c r="B55" s="406">
        <f t="shared" si="1"/>
        <v>31</v>
      </c>
      <c r="C55" s="409">
        <v>0</v>
      </c>
      <c r="D55" s="409">
        <v>0</v>
      </c>
      <c r="E55" s="409">
        <v>7</v>
      </c>
      <c r="F55" s="409">
        <v>2</v>
      </c>
      <c r="G55" s="409">
        <v>3</v>
      </c>
      <c r="H55" s="409">
        <v>8</v>
      </c>
      <c r="I55" s="409">
        <v>1</v>
      </c>
      <c r="J55" s="409">
        <v>8</v>
      </c>
      <c r="K55" s="409">
        <v>2</v>
      </c>
      <c r="L55" s="409">
        <v>0</v>
      </c>
      <c r="M55" s="409">
        <v>0</v>
      </c>
    </row>
    <row r="56" spans="1:13" ht="22.5">
      <c r="A56" s="785" t="s">
        <v>2171</v>
      </c>
      <c r="B56" s="406">
        <f t="shared" si="1"/>
        <v>18</v>
      </c>
      <c r="C56" s="409">
        <v>0</v>
      </c>
      <c r="D56" s="409">
        <v>0</v>
      </c>
      <c r="E56" s="409">
        <v>1</v>
      </c>
      <c r="F56" s="409">
        <v>0</v>
      </c>
      <c r="G56" s="409">
        <v>1</v>
      </c>
      <c r="H56" s="409">
        <v>4</v>
      </c>
      <c r="I56" s="409">
        <v>0</v>
      </c>
      <c r="J56" s="409">
        <v>6</v>
      </c>
      <c r="K56" s="409">
        <v>4</v>
      </c>
      <c r="L56" s="409">
        <v>2</v>
      </c>
      <c r="M56" s="409">
        <v>0</v>
      </c>
    </row>
    <row r="57" spans="1:13" ht="22.5">
      <c r="A57" s="785" t="s">
        <v>2172</v>
      </c>
      <c r="B57" s="406">
        <f t="shared" si="1"/>
        <v>9</v>
      </c>
      <c r="C57" s="409">
        <v>0</v>
      </c>
      <c r="D57" s="409">
        <v>0</v>
      </c>
      <c r="E57" s="409">
        <v>0</v>
      </c>
      <c r="F57" s="409">
        <v>3</v>
      </c>
      <c r="G57" s="409">
        <v>3</v>
      </c>
      <c r="H57" s="409">
        <v>0</v>
      </c>
      <c r="I57" s="409">
        <v>1</v>
      </c>
      <c r="J57" s="409">
        <v>1</v>
      </c>
      <c r="K57" s="409">
        <v>0</v>
      </c>
      <c r="L57" s="409">
        <v>1</v>
      </c>
      <c r="M57" s="409">
        <v>0</v>
      </c>
    </row>
    <row r="58" spans="1:13">
      <c r="A58" s="785" t="s">
        <v>2173</v>
      </c>
      <c r="B58" s="406">
        <f t="shared" si="1"/>
        <v>8</v>
      </c>
      <c r="C58" s="409">
        <v>0</v>
      </c>
      <c r="D58" s="409">
        <v>0</v>
      </c>
      <c r="E58" s="409">
        <v>1</v>
      </c>
      <c r="F58" s="409">
        <v>0</v>
      </c>
      <c r="G58" s="409">
        <v>0</v>
      </c>
      <c r="H58" s="409">
        <v>1</v>
      </c>
      <c r="I58" s="409">
        <v>0</v>
      </c>
      <c r="J58" s="409">
        <v>3</v>
      </c>
      <c r="K58" s="409">
        <v>2</v>
      </c>
      <c r="L58" s="409">
        <v>0</v>
      </c>
      <c r="M58" s="409">
        <v>1</v>
      </c>
    </row>
    <row r="59" spans="1:13">
      <c r="A59" s="785" t="s">
        <v>2174</v>
      </c>
      <c r="B59" s="406">
        <f t="shared" si="1"/>
        <v>3</v>
      </c>
      <c r="C59" s="409">
        <v>0</v>
      </c>
      <c r="D59" s="409">
        <v>0</v>
      </c>
      <c r="E59" s="409">
        <v>0</v>
      </c>
      <c r="F59" s="409">
        <v>0</v>
      </c>
      <c r="G59" s="409">
        <v>0</v>
      </c>
      <c r="H59" s="409">
        <v>0</v>
      </c>
      <c r="I59" s="409">
        <v>0</v>
      </c>
      <c r="J59" s="409">
        <v>0</v>
      </c>
      <c r="K59" s="409">
        <v>2</v>
      </c>
      <c r="L59" s="409">
        <v>1</v>
      </c>
      <c r="M59" s="409">
        <v>0</v>
      </c>
    </row>
    <row r="60" spans="1:13">
      <c r="A60" s="785" t="s">
        <v>2175</v>
      </c>
      <c r="B60" s="406">
        <f t="shared" si="1"/>
        <v>16</v>
      </c>
      <c r="C60" s="409">
        <v>4</v>
      </c>
      <c r="D60" s="409">
        <v>0</v>
      </c>
      <c r="E60" s="409">
        <v>2</v>
      </c>
      <c r="F60" s="409">
        <v>0</v>
      </c>
      <c r="G60" s="409">
        <v>3</v>
      </c>
      <c r="H60" s="409">
        <v>3</v>
      </c>
      <c r="I60" s="409">
        <v>0</v>
      </c>
      <c r="J60" s="409">
        <v>0</v>
      </c>
      <c r="K60" s="409">
        <v>0</v>
      </c>
      <c r="L60" s="409">
        <v>2</v>
      </c>
      <c r="M60" s="409">
        <v>2</v>
      </c>
    </row>
    <row r="61" spans="1:13">
      <c r="A61" s="785" t="s">
        <v>2176</v>
      </c>
      <c r="B61" s="406">
        <f t="shared" si="1"/>
        <v>37</v>
      </c>
      <c r="C61" s="409">
        <v>0</v>
      </c>
      <c r="D61" s="409">
        <v>0</v>
      </c>
      <c r="E61" s="409">
        <v>1</v>
      </c>
      <c r="F61" s="409">
        <v>1</v>
      </c>
      <c r="G61" s="409">
        <v>1</v>
      </c>
      <c r="H61" s="409">
        <v>3</v>
      </c>
      <c r="I61" s="409">
        <v>0</v>
      </c>
      <c r="J61" s="409">
        <v>9</v>
      </c>
      <c r="K61" s="409">
        <v>20</v>
      </c>
      <c r="L61" s="409">
        <v>1</v>
      </c>
      <c r="M61" s="409">
        <v>1</v>
      </c>
    </row>
    <row r="62" spans="1:13">
      <c r="A62" s="785" t="s">
        <v>2177</v>
      </c>
      <c r="B62" s="406">
        <f t="shared" si="1"/>
        <v>10</v>
      </c>
      <c r="C62" s="409">
        <v>0</v>
      </c>
      <c r="D62" s="409">
        <v>0</v>
      </c>
      <c r="E62" s="409">
        <v>0</v>
      </c>
      <c r="F62" s="409">
        <v>0</v>
      </c>
      <c r="G62" s="409">
        <v>1</v>
      </c>
      <c r="H62" s="409">
        <v>0</v>
      </c>
      <c r="I62" s="409">
        <v>0</v>
      </c>
      <c r="J62" s="409">
        <v>1</v>
      </c>
      <c r="K62" s="409">
        <v>6</v>
      </c>
      <c r="L62" s="409">
        <v>2</v>
      </c>
      <c r="M62" s="409">
        <v>0</v>
      </c>
    </row>
    <row r="63" spans="1:13">
      <c r="A63" s="785" t="s">
        <v>2178</v>
      </c>
      <c r="B63" s="406">
        <f t="shared" si="1"/>
        <v>12</v>
      </c>
      <c r="C63" s="409">
        <v>0</v>
      </c>
      <c r="D63" s="409">
        <v>0</v>
      </c>
      <c r="E63" s="409">
        <v>1</v>
      </c>
      <c r="F63" s="409">
        <v>0</v>
      </c>
      <c r="G63" s="409">
        <v>4</v>
      </c>
      <c r="H63" s="409">
        <v>1</v>
      </c>
      <c r="I63" s="409">
        <v>0</v>
      </c>
      <c r="J63" s="409">
        <v>1</v>
      </c>
      <c r="K63" s="409">
        <v>3</v>
      </c>
      <c r="L63" s="409">
        <v>1</v>
      </c>
      <c r="M63" s="409">
        <v>1</v>
      </c>
    </row>
    <row r="64" spans="1:13">
      <c r="A64" s="785" t="s">
        <v>2179</v>
      </c>
      <c r="B64" s="406">
        <f t="shared" si="1"/>
        <v>5</v>
      </c>
      <c r="C64" s="409">
        <v>0</v>
      </c>
      <c r="D64" s="409">
        <v>0</v>
      </c>
      <c r="E64" s="409">
        <v>0</v>
      </c>
      <c r="F64" s="409">
        <v>0</v>
      </c>
      <c r="G64" s="409">
        <v>0</v>
      </c>
      <c r="H64" s="409">
        <v>0</v>
      </c>
      <c r="I64" s="409">
        <v>0</v>
      </c>
      <c r="J64" s="409">
        <v>2</v>
      </c>
      <c r="K64" s="409">
        <v>2</v>
      </c>
      <c r="L64" s="409">
        <v>1</v>
      </c>
      <c r="M64" s="409">
        <v>0</v>
      </c>
    </row>
    <row r="65" spans="1:13">
      <c r="A65" s="785" t="s">
        <v>2180</v>
      </c>
      <c r="B65" s="406">
        <f t="shared" si="1"/>
        <v>4</v>
      </c>
      <c r="C65" s="409">
        <v>0</v>
      </c>
      <c r="D65" s="409">
        <v>0</v>
      </c>
      <c r="E65" s="409">
        <v>0</v>
      </c>
      <c r="F65" s="409">
        <v>0</v>
      </c>
      <c r="G65" s="409">
        <v>0</v>
      </c>
      <c r="H65" s="409">
        <v>0</v>
      </c>
      <c r="I65" s="409">
        <v>0</v>
      </c>
      <c r="J65" s="409">
        <v>0</v>
      </c>
      <c r="K65" s="409">
        <v>4</v>
      </c>
      <c r="L65" s="409">
        <v>0</v>
      </c>
      <c r="M65" s="409">
        <v>0</v>
      </c>
    </row>
    <row r="66" spans="1:13">
      <c r="A66" s="785" t="s">
        <v>2181</v>
      </c>
      <c r="B66" s="406">
        <f t="shared" si="1"/>
        <v>7</v>
      </c>
      <c r="C66" s="409">
        <v>2</v>
      </c>
      <c r="D66" s="409">
        <v>0</v>
      </c>
      <c r="E66" s="409">
        <v>0</v>
      </c>
      <c r="F66" s="409">
        <v>0</v>
      </c>
      <c r="G66" s="409">
        <v>1</v>
      </c>
      <c r="H66" s="409">
        <v>0</v>
      </c>
      <c r="I66" s="409">
        <v>0</v>
      </c>
      <c r="J66" s="409">
        <v>0</v>
      </c>
      <c r="K66" s="409">
        <v>0</v>
      </c>
      <c r="L66" s="409">
        <v>4</v>
      </c>
      <c r="M66" s="409">
        <v>0</v>
      </c>
    </row>
    <row r="67" spans="1:13" ht="22.5">
      <c r="A67" s="785" t="s">
        <v>2182</v>
      </c>
      <c r="B67" s="406">
        <f t="shared" si="1"/>
        <v>7</v>
      </c>
      <c r="C67" s="409">
        <v>2</v>
      </c>
      <c r="D67" s="409">
        <v>0</v>
      </c>
      <c r="E67" s="409">
        <v>0</v>
      </c>
      <c r="F67" s="409">
        <v>0</v>
      </c>
      <c r="G67" s="409">
        <v>0</v>
      </c>
      <c r="H67" s="409">
        <v>1</v>
      </c>
      <c r="I67" s="409">
        <v>3</v>
      </c>
      <c r="J67" s="409">
        <v>0</v>
      </c>
      <c r="K67" s="409">
        <v>1</v>
      </c>
      <c r="L67" s="409">
        <v>0</v>
      </c>
      <c r="M67" s="409">
        <v>0</v>
      </c>
    </row>
    <row r="68" spans="1:13">
      <c r="A68" s="785" t="s">
        <v>2183</v>
      </c>
      <c r="B68" s="406">
        <f t="shared" si="1"/>
        <v>15</v>
      </c>
      <c r="C68" s="409">
        <v>1</v>
      </c>
      <c r="D68" s="409">
        <v>0</v>
      </c>
      <c r="E68" s="409">
        <v>2</v>
      </c>
      <c r="F68" s="409">
        <v>0</v>
      </c>
      <c r="G68" s="409">
        <v>5</v>
      </c>
      <c r="H68" s="409">
        <v>0</v>
      </c>
      <c r="I68" s="409">
        <v>0</v>
      </c>
      <c r="J68" s="409">
        <v>4</v>
      </c>
      <c r="K68" s="409">
        <v>2</v>
      </c>
      <c r="L68" s="409">
        <v>1</v>
      </c>
      <c r="M68" s="409">
        <v>0</v>
      </c>
    </row>
    <row r="69" spans="1:13">
      <c r="A69" s="785" t="s">
        <v>2184</v>
      </c>
      <c r="B69" s="406">
        <f t="shared" si="1"/>
        <v>2</v>
      </c>
      <c r="C69" s="409">
        <v>0</v>
      </c>
      <c r="D69" s="409">
        <v>0</v>
      </c>
      <c r="E69" s="409">
        <v>0</v>
      </c>
      <c r="F69" s="409">
        <v>0</v>
      </c>
      <c r="G69" s="409">
        <v>0</v>
      </c>
      <c r="H69" s="409">
        <v>0</v>
      </c>
      <c r="I69" s="409">
        <v>0</v>
      </c>
      <c r="J69" s="409">
        <v>0</v>
      </c>
      <c r="K69" s="409">
        <v>2</v>
      </c>
      <c r="L69" s="409">
        <v>0</v>
      </c>
      <c r="M69" s="409">
        <v>0</v>
      </c>
    </row>
    <row r="70" spans="1:13">
      <c r="A70" s="785" t="s">
        <v>2185</v>
      </c>
      <c r="B70" s="406">
        <f t="shared" si="1"/>
        <v>7</v>
      </c>
      <c r="C70" s="409">
        <v>0</v>
      </c>
      <c r="D70" s="409">
        <v>0</v>
      </c>
      <c r="E70" s="409">
        <v>0</v>
      </c>
      <c r="F70" s="409">
        <v>0</v>
      </c>
      <c r="G70" s="409">
        <v>0</v>
      </c>
      <c r="H70" s="409">
        <v>0</v>
      </c>
      <c r="I70" s="409">
        <v>0</v>
      </c>
      <c r="J70" s="409">
        <v>1</v>
      </c>
      <c r="K70" s="409">
        <v>4</v>
      </c>
      <c r="L70" s="409">
        <v>1</v>
      </c>
      <c r="M70" s="409">
        <v>1</v>
      </c>
    </row>
    <row r="71" spans="1:13">
      <c r="A71" s="785" t="s">
        <v>2186</v>
      </c>
      <c r="B71" s="406">
        <f t="shared" ref="B71:B111" si="2">SUM(C71:M71)</f>
        <v>2</v>
      </c>
      <c r="C71" s="409">
        <v>0</v>
      </c>
      <c r="D71" s="409">
        <v>0</v>
      </c>
      <c r="E71" s="409">
        <v>0</v>
      </c>
      <c r="F71" s="409">
        <v>0</v>
      </c>
      <c r="G71" s="409">
        <v>0</v>
      </c>
      <c r="H71" s="409">
        <v>0</v>
      </c>
      <c r="I71" s="409">
        <v>0</v>
      </c>
      <c r="J71" s="409">
        <v>0</v>
      </c>
      <c r="K71" s="409">
        <v>0</v>
      </c>
      <c r="L71" s="409">
        <v>2</v>
      </c>
      <c r="M71" s="409">
        <v>0</v>
      </c>
    </row>
    <row r="72" spans="1:13">
      <c r="A72" s="785" t="s">
        <v>2187</v>
      </c>
      <c r="B72" s="406">
        <f t="shared" si="2"/>
        <v>11</v>
      </c>
      <c r="C72" s="409">
        <v>0</v>
      </c>
      <c r="D72" s="409">
        <v>0</v>
      </c>
      <c r="E72" s="409">
        <v>0</v>
      </c>
      <c r="F72" s="409">
        <v>0</v>
      </c>
      <c r="G72" s="409">
        <v>0</v>
      </c>
      <c r="H72" s="409">
        <v>0</v>
      </c>
      <c r="I72" s="409">
        <v>1</v>
      </c>
      <c r="J72" s="409">
        <v>3</v>
      </c>
      <c r="K72" s="409">
        <v>5</v>
      </c>
      <c r="L72" s="409">
        <v>2</v>
      </c>
      <c r="M72" s="409">
        <v>0</v>
      </c>
    </row>
    <row r="73" spans="1:13">
      <c r="A73" s="785" t="s">
        <v>2188</v>
      </c>
      <c r="B73" s="406">
        <f t="shared" si="2"/>
        <v>2</v>
      </c>
      <c r="C73" s="409">
        <v>0</v>
      </c>
      <c r="D73" s="409">
        <v>0</v>
      </c>
      <c r="E73" s="409">
        <v>0</v>
      </c>
      <c r="F73" s="409">
        <v>0</v>
      </c>
      <c r="G73" s="409">
        <v>0</v>
      </c>
      <c r="H73" s="409">
        <v>0</v>
      </c>
      <c r="I73" s="409">
        <v>0</v>
      </c>
      <c r="J73" s="409">
        <v>1</v>
      </c>
      <c r="K73" s="409">
        <v>1</v>
      </c>
      <c r="L73" s="409">
        <v>0</v>
      </c>
      <c r="M73" s="409">
        <v>0</v>
      </c>
    </row>
    <row r="74" spans="1:13">
      <c r="A74" s="785" t="s">
        <v>2189</v>
      </c>
      <c r="B74" s="406">
        <f t="shared" si="2"/>
        <v>2</v>
      </c>
      <c r="C74" s="409">
        <v>0</v>
      </c>
      <c r="D74" s="409">
        <v>0</v>
      </c>
      <c r="E74" s="409">
        <v>0</v>
      </c>
      <c r="F74" s="409">
        <v>0</v>
      </c>
      <c r="G74" s="409">
        <v>0</v>
      </c>
      <c r="H74" s="409">
        <v>0</v>
      </c>
      <c r="I74" s="409">
        <v>0</v>
      </c>
      <c r="J74" s="409">
        <v>2</v>
      </c>
      <c r="K74" s="409">
        <v>0</v>
      </c>
      <c r="L74" s="409">
        <v>0</v>
      </c>
      <c r="M74" s="409">
        <v>0</v>
      </c>
    </row>
    <row r="75" spans="1:13" ht="22.5">
      <c r="A75" s="785" t="s">
        <v>2190</v>
      </c>
      <c r="B75" s="406">
        <f t="shared" si="2"/>
        <v>16</v>
      </c>
      <c r="C75" s="409">
        <v>0</v>
      </c>
      <c r="D75" s="409">
        <v>0</v>
      </c>
      <c r="E75" s="409">
        <v>2</v>
      </c>
      <c r="F75" s="409">
        <v>1</v>
      </c>
      <c r="G75" s="409">
        <v>3</v>
      </c>
      <c r="H75" s="409">
        <v>1</v>
      </c>
      <c r="I75" s="409">
        <v>2</v>
      </c>
      <c r="J75" s="409">
        <v>3</v>
      </c>
      <c r="K75" s="409">
        <v>0</v>
      </c>
      <c r="L75" s="409">
        <v>3</v>
      </c>
      <c r="M75" s="409">
        <v>1</v>
      </c>
    </row>
    <row r="76" spans="1:13" ht="22.5">
      <c r="A76" s="785" t="s">
        <v>2191</v>
      </c>
      <c r="B76" s="406">
        <f t="shared" si="2"/>
        <v>18</v>
      </c>
      <c r="C76" s="409">
        <v>0</v>
      </c>
      <c r="D76" s="409">
        <v>0</v>
      </c>
      <c r="E76" s="409">
        <v>1</v>
      </c>
      <c r="F76" s="409">
        <v>2</v>
      </c>
      <c r="G76" s="409">
        <v>1</v>
      </c>
      <c r="H76" s="409">
        <v>0</v>
      </c>
      <c r="I76" s="409">
        <v>7</v>
      </c>
      <c r="J76" s="409">
        <v>6</v>
      </c>
      <c r="K76" s="409">
        <v>1</v>
      </c>
      <c r="L76" s="409">
        <v>0</v>
      </c>
      <c r="M76" s="409">
        <v>0</v>
      </c>
    </row>
    <row r="77" spans="1:13">
      <c r="A77" s="785" t="s">
        <v>2192</v>
      </c>
      <c r="B77" s="406">
        <f t="shared" si="2"/>
        <v>2</v>
      </c>
      <c r="C77" s="409">
        <v>0</v>
      </c>
      <c r="D77" s="409">
        <v>0</v>
      </c>
      <c r="E77" s="409">
        <v>0</v>
      </c>
      <c r="F77" s="409">
        <v>0</v>
      </c>
      <c r="G77" s="409">
        <v>0</v>
      </c>
      <c r="H77" s="409">
        <v>0</v>
      </c>
      <c r="I77" s="409">
        <v>0</v>
      </c>
      <c r="J77" s="409">
        <v>0</v>
      </c>
      <c r="K77" s="409">
        <v>2</v>
      </c>
      <c r="L77" s="409">
        <v>0</v>
      </c>
      <c r="M77" s="409">
        <v>0</v>
      </c>
    </row>
    <row r="78" spans="1:13">
      <c r="A78" s="785" t="s">
        <v>2193</v>
      </c>
      <c r="B78" s="406">
        <f t="shared" si="2"/>
        <v>43</v>
      </c>
      <c r="C78" s="409">
        <v>4</v>
      </c>
      <c r="D78" s="409">
        <v>0</v>
      </c>
      <c r="E78" s="409">
        <v>5</v>
      </c>
      <c r="F78" s="409">
        <v>3</v>
      </c>
      <c r="G78" s="409">
        <v>9</v>
      </c>
      <c r="H78" s="409">
        <v>6</v>
      </c>
      <c r="I78" s="409">
        <v>3</v>
      </c>
      <c r="J78" s="409">
        <v>6</v>
      </c>
      <c r="K78" s="409">
        <v>1</v>
      </c>
      <c r="L78" s="409">
        <v>0</v>
      </c>
      <c r="M78" s="409">
        <v>6</v>
      </c>
    </row>
    <row r="79" spans="1:13">
      <c r="A79" s="785" t="s">
        <v>2194</v>
      </c>
      <c r="B79" s="406">
        <f t="shared" si="2"/>
        <v>14</v>
      </c>
      <c r="C79" s="409">
        <v>1</v>
      </c>
      <c r="D79" s="409">
        <v>0</v>
      </c>
      <c r="E79" s="409">
        <v>4</v>
      </c>
      <c r="F79" s="409">
        <v>0</v>
      </c>
      <c r="G79" s="409">
        <v>0</v>
      </c>
      <c r="H79" s="409">
        <v>4</v>
      </c>
      <c r="I79" s="409">
        <v>0</v>
      </c>
      <c r="J79" s="409">
        <v>1</v>
      </c>
      <c r="K79" s="409">
        <v>1</v>
      </c>
      <c r="L79" s="409">
        <v>3</v>
      </c>
      <c r="M79" s="409">
        <v>0</v>
      </c>
    </row>
    <row r="80" spans="1:13">
      <c r="A80" s="785" t="s">
        <v>2195</v>
      </c>
      <c r="B80" s="406">
        <f t="shared" si="2"/>
        <v>4</v>
      </c>
      <c r="C80" s="409">
        <v>0</v>
      </c>
      <c r="D80" s="409">
        <v>0</v>
      </c>
      <c r="E80" s="409">
        <v>0</v>
      </c>
      <c r="F80" s="409">
        <v>0</v>
      </c>
      <c r="G80" s="409">
        <v>0</v>
      </c>
      <c r="H80" s="409">
        <v>0</v>
      </c>
      <c r="I80" s="409">
        <v>0</v>
      </c>
      <c r="J80" s="409">
        <v>0</v>
      </c>
      <c r="K80" s="409">
        <v>4</v>
      </c>
      <c r="L80" s="409">
        <v>0</v>
      </c>
      <c r="M80" s="409">
        <v>0</v>
      </c>
    </row>
    <row r="81" spans="1:13">
      <c r="A81" s="785" t="s">
        <v>2196</v>
      </c>
      <c r="B81" s="406">
        <f t="shared" si="2"/>
        <v>7</v>
      </c>
      <c r="C81" s="409">
        <v>0</v>
      </c>
      <c r="D81" s="409">
        <v>0</v>
      </c>
      <c r="E81" s="409">
        <v>0</v>
      </c>
      <c r="F81" s="409">
        <v>0</v>
      </c>
      <c r="G81" s="409">
        <v>2</v>
      </c>
      <c r="H81" s="409">
        <v>1</v>
      </c>
      <c r="I81" s="409">
        <v>0</v>
      </c>
      <c r="J81" s="409">
        <v>2</v>
      </c>
      <c r="K81" s="409">
        <v>1</v>
      </c>
      <c r="L81" s="409">
        <v>1</v>
      </c>
      <c r="M81" s="409">
        <v>0</v>
      </c>
    </row>
    <row r="82" spans="1:13">
      <c r="A82" s="785" t="s">
        <v>2197</v>
      </c>
      <c r="B82" s="406">
        <f t="shared" si="2"/>
        <v>44</v>
      </c>
      <c r="C82" s="409">
        <v>0</v>
      </c>
      <c r="D82" s="409">
        <v>0</v>
      </c>
      <c r="E82" s="409">
        <v>0</v>
      </c>
      <c r="F82" s="409">
        <v>2</v>
      </c>
      <c r="G82" s="409">
        <v>6</v>
      </c>
      <c r="H82" s="409">
        <v>0</v>
      </c>
      <c r="I82" s="409">
        <v>2</v>
      </c>
      <c r="J82" s="409">
        <v>10</v>
      </c>
      <c r="K82" s="409">
        <v>21</v>
      </c>
      <c r="L82" s="409">
        <v>3</v>
      </c>
      <c r="M82" s="409">
        <v>0</v>
      </c>
    </row>
    <row r="83" spans="1:13">
      <c r="A83" s="785" t="s">
        <v>2198</v>
      </c>
      <c r="B83" s="406">
        <f t="shared" si="2"/>
        <v>7</v>
      </c>
      <c r="C83" s="409">
        <v>0</v>
      </c>
      <c r="D83" s="409">
        <v>0</v>
      </c>
      <c r="E83" s="409">
        <v>0</v>
      </c>
      <c r="F83" s="409">
        <v>0</v>
      </c>
      <c r="G83" s="409">
        <v>0</v>
      </c>
      <c r="H83" s="409">
        <v>1</v>
      </c>
      <c r="I83" s="409">
        <v>2</v>
      </c>
      <c r="J83" s="409">
        <v>1</v>
      </c>
      <c r="K83" s="409">
        <v>0</v>
      </c>
      <c r="L83" s="409">
        <v>2</v>
      </c>
      <c r="M83" s="409">
        <v>1</v>
      </c>
    </row>
    <row r="84" spans="1:13">
      <c r="A84" s="785" t="s">
        <v>2199</v>
      </c>
      <c r="B84" s="406">
        <f t="shared" si="2"/>
        <v>18</v>
      </c>
      <c r="C84" s="409">
        <v>0</v>
      </c>
      <c r="D84" s="409">
        <v>0</v>
      </c>
      <c r="E84" s="409">
        <v>0</v>
      </c>
      <c r="F84" s="409">
        <v>0</v>
      </c>
      <c r="G84" s="409">
        <v>0</v>
      </c>
      <c r="H84" s="409">
        <v>0</v>
      </c>
      <c r="I84" s="409">
        <v>0</v>
      </c>
      <c r="J84" s="409">
        <v>3</v>
      </c>
      <c r="K84" s="409">
        <v>14</v>
      </c>
      <c r="L84" s="409">
        <v>1</v>
      </c>
      <c r="M84" s="409">
        <v>0</v>
      </c>
    </row>
    <row r="85" spans="1:13">
      <c r="A85" s="785" t="s">
        <v>2200</v>
      </c>
      <c r="B85" s="406">
        <f t="shared" si="2"/>
        <v>6</v>
      </c>
      <c r="C85" s="409">
        <v>1</v>
      </c>
      <c r="D85" s="409">
        <v>0</v>
      </c>
      <c r="E85" s="409">
        <v>0</v>
      </c>
      <c r="F85" s="409">
        <v>0</v>
      </c>
      <c r="G85" s="409">
        <v>0</v>
      </c>
      <c r="H85" s="409">
        <v>0</v>
      </c>
      <c r="I85" s="409">
        <v>0</v>
      </c>
      <c r="J85" s="409">
        <v>1</v>
      </c>
      <c r="K85" s="409">
        <v>4</v>
      </c>
      <c r="L85" s="409">
        <v>0</v>
      </c>
      <c r="M85" s="409">
        <v>0</v>
      </c>
    </row>
    <row r="86" spans="1:13" ht="22.5">
      <c r="A86" s="785" t="s">
        <v>2201</v>
      </c>
      <c r="B86" s="406">
        <f t="shared" si="2"/>
        <v>19</v>
      </c>
      <c r="C86" s="409">
        <v>4</v>
      </c>
      <c r="D86" s="409">
        <v>0</v>
      </c>
      <c r="E86" s="409">
        <v>1</v>
      </c>
      <c r="F86" s="409">
        <v>1</v>
      </c>
      <c r="G86" s="409">
        <v>0</v>
      </c>
      <c r="H86" s="409">
        <v>2</v>
      </c>
      <c r="I86" s="409">
        <v>0</v>
      </c>
      <c r="J86" s="409">
        <v>2</v>
      </c>
      <c r="K86" s="409">
        <v>3</v>
      </c>
      <c r="L86" s="409">
        <v>4</v>
      </c>
      <c r="M86" s="409">
        <v>2</v>
      </c>
    </row>
    <row r="87" spans="1:13">
      <c r="A87" s="785" t="s">
        <v>2202</v>
      </c>
      <c r="B87" s="406">
        <f t="shared" si="2"/>
        <v>20</v>
      </c>
      <c r="C87" s="409">
        <v>3</v>
      </c>
      <c r="D87" s="409">
        <v>0</v>
      </c>
      <c r="E87" s="409">
        <v>0</v>
      </c>
      <c r="F87" s="409">
        <v>0</v>
      </c>
      <c r="G87" s="409">
        <v>0</v>
      </c>
      <c r="H87" s="409">
        <v>3</v>
      </c>
      <c r="I87" s="409">
        <v>0</v>
      </c>
      <c r="J87" s="409">
        <v>5</v>
      </c>
      <c r="K87" s="409">
        <v>7</v>
      </c>
      <c r="L87" s="409">
        <v>1</v>
      </c>
      <c r="M87" s="409">
        <v>1</v>
      </c>
    </row>
    <row r="88" spans="1:13">
      <c r="A88" s="785" t="s">
        <v>2203</v>
      </c>
      <c r="B88" s="406">
        <f t="shared" si="2"/>
        <v>6</v>
      </c>
      <c r="C88" s="409">
        <v>0</v>
      </c>
      <c r="D88" s="409">
        <v>0</v>
      </c>
      <c r="E88" s="409">
        <v>0</v>
      </c>
      <c r="F88" s="409">
        <v>0</v>
      </c>
      <c r="G88" s="409">
        <v>2</v>
      </c>
      <c r="H88" s="409">
        <v>0</v>
      </c>
      <c r="I88" s="409">
        <v>0</v>
      </c>
      <c r="J88" s="409">
        <v>2</v>
      </c>
      <c r="K88" s="409">
        <v>1</v>
      </c>
      <c r="L88" s="409">
        <v>1</v>
      </c>
      <c r="M88" s="409">
        <v>0</v>
      </c>
    </row>
    <row r="89" spans="1:13">
      <c r="A89" s="785" t="s">
        <v>2204</v>
      </c>
      <c r="B89" s="406">
        <f t="shared" si="2"/>
        <v>9</v>
      </c>
      <c r="C89" s="409">
        <v>0</v>
      </c>
      <c r="D89" s="409">
        <v>0</v>
      </c>
      <c r="E89" s="409">
        <v>0</v>
      </c>
      <c r="F89" s="409">
        <v>0</v>
      </c>
      <c r="G89" s="409">
        <v>0</v>
      </c>
      <c r="H89" s="409">
        <v>0</v>
      </c>
      <c r="I89" s="409">
        <v>0</v>
      </c>
      <c r="J89" s="409">
        <v>1</v>
      </c>
      <c r="K89" s="409">
        <v>7</v>
      </c>
      <c r="L89" s="409">
        <v>1</v>
      </c>
      <c r="M89" s="409">
        <v>0</v>
      </c>
    </row>
    <row r="90" spans="1:13">
      <c r="A90" s="785" t="s">
        <v>2205</v>
      </c>
      <c r="B90" s="406">
        <f t="shared" si="2"/>
        <v>10</v>
      </c>
      <c r="C90" s="409">
        <v>1</v>
      </c>
      <c r="D90" s="409">
        <v>0</v>
      </c>
      <c r="E90" s="409">
        <v>0</v>
      </c>
      <c r="F90" s="409">
        <v>1</v>
      </c>
      <c r="G90" s="409">
        <v>1</v>
      </c>
      <c r="H90" s="409">
        <v>0</v>
      </c>
      <c r="I90" s="409">
        <v>1</v>
      </c>
      <c r="J90" s="409">
        <v>3</v>
      </c>
      <c r="K90" s="409">
        <v>1</v>
      </c>
      <c r="L90" s="409">
        <v>0</v>
      </c>
      <c r="M90" s="409">
        <v>2</v>
      </c>
    </row>
    <row r="91" spans="1:13">
      <c r="A91" s="785" t="s">
        <v>2206</v>
      </c>
      <c r="B91" s="406">
        <f t="shared" si="2"/>
        <v>18</v>
      </c>
      <c r="C91" s="409">
        <v>0</v>
      </c>
      <c r="D91" s="409">
        <v>0</v>
      </c>
      <c r="E91" s="409">
        <v>0</v>
      </c>
      <c r="F91" s="409">
        <v>0</v>
      </c>
      <c r="G91" s="409">
        <v>0</v>
      </c>
      <c r="H91" s="409">
        <v>0</v>
      </c>
      <c r="I91" s="409">
        <v>1</v>
      </c>
      <c r="J91" s="409">
        <v>5</v>
      </c>
      <c r="K91" s="409">
        <v>8</v>
      </c>
      <c r="L91" s="409">
        <v>4</v>
      </c>
      <c r="M91" s="409">
        <v>0</v>
      </c>
    </row>
    <row r="92" spans="1:13">
      <c r="A92" s="785" t="s">
        <v>2207</v>
      </c>
      <c r="B92" s="406">
        <f t="shared" si="2"/>
        <v>11</v>
      </c>
      <c r="C92" s="409">
        <v>0</v>
      </c>
      <c r="D92" s="409">
        <v>0</v>
      </c>
      <c r="E92" s="409">
        <v>0</v>
      </c>
      <c r="F92" s="409">
        <v>0</v>
      </c>
      <c r="G92" s="409">
        <v>0</v>
      </c>
      <c r="H92" s="409">
        <v>0</v>
      </c>
      <c r="I92" s="409">
        <v>0</v>
      </c>
      <c r="J92" s="409">
        <v>5</v>
      </c>
      <c r="K92" s="409">
        <v>6</v>
      </c>
      <c r="L92" s="409">
        <v>0</v>
      </c>
      <c r="M92" s="409">
        <v>0</v>
      </c>
    </row>
    <row r="93" spans="1:13">
      <c r="A93" s="785" t="s">
        <v>2208</v>
      </c>
      <c r="B93" s="406">
        <f t="shared" si="2"/>
        <v>18</v>
      </c>
      <c r="C93" s="409">
        <v>1</v>
      </c>
      <c r="D93" s="409">
        <v>0</v>
      </c>
      <c r="E93" s="409">
        <v>1</v>
      </c>
      <c r="F93" s="409">
        <v>3</v>
      </c>
      <c r="G93" s="409">
        <v>0</v>
      </c>
      <c r="H93" s="409">
        <v>0</v>
      </c>
      <c r="I93" s="409">
        <v>1</v>
      </c>
      <c r="J93" s="409">
        <v>10</v>
      </c>
      <c r="K93" s="409">
        <v>0</v>
      </c>
      <c r="L93" s="409">
        <v>0</v>
      </c>
      <c r="M93" s="409">
        <v>2</v>
      </c>
    </row>
    <row r="94" spans="1:13">
      <c r="A94" s="785" t="s">
        <v>2209</v>
      </c>
      <c r="B94" s="406">
        <f t="shared" si="2"/>
        <v>13</v>
      </c>
      <c r="C94" s="409">
        <v>0</v>
      </c>
      <c r="D94" s="409">
        <v>0</v>
      </c>
      <c r="E94" s="409">
        <v>1</v>
      </c>
      <c r="F94" s="409">
        <v>0</v>
      </c>
      <c r="G94" s="409">
        <v>0</v>
      </c>
      <c r="H94" s="409">
        <v>0</v>
      </c>
      <c r="I94" s="409">
        <v>0</v>
      </c>
      <c r="J94" s="409">
        <v>7</v>
      </c>
      <c r="K94" s="409">
        <v>5</v>
      </c>
      <c r="L94" s="409">
        <v>0</v>
      </c>
      <c r="M94" s="409">
        <v>0</v>
      </c>
    </row>
    <row r="95" spans="1:13">
      <c r="A95" s="785" t="s">
        <v>2210</v>
      </c>
      <c r="B95" s="406">
        <f t="shared" si="2"/>
        <v>23</v>
      </c>
      <c r="C95" s="409">
        <v>0</v>
      </c>
      <c r="D95" s="409">
        <v>0</v>
      </c>
      <c r="E95" s="409">
        <v>1</v>
      </c>
      <c r="F95" s="409">
        <v>0</v>
      </c>
      <c r="G95" s="409">
        <v>2</v>
      </c>
      <c r="H95" s="409">
        <v>0</v>
      </c>
      <c r="I95" s="409">
        <v>4</v>
      </c>
      <c r="J95" s="409">
        <v>13</v>
      </c>
      <c r="K95" s="409">
        <v>2</v>
      </c>
      <c r="L95" s="409">
        <v>0</v>
      </c>
      <c r="M95" s="409">
        <v>1</v>
      </c>
    </row>
    <row r="96" spans="1:13">
      <c r="A96" s="785" t="s">
        <v>2211</v>
      </c>
      <c r="B96" s="406">
        <f t="shared" si="2"/>
        <v>19</v>
      </c>
      <c r="C96" s="409">
        <v>1</v>
      </c>
      <c r="D96" s="409">
        <v>0</v>
      </c>
      <c r="E96" s="409">
        <v>2</v>
      </c>
      <c r="F96" s="409">
        <v>0</v>
      </c>
      <c r="G96" s="409">
        <v>0</v>
      </c>
      <c r="H96" s="409">
        <v>3</v>
      </c>
      <c r="I96" s="409">
        <v>0</v>
      </c>
      <c r="J96" s="409">
        <v>9</v>
      </c>
      <c r="K96" s="409">
        <v>3</v>
      </c>
      <c r="L96" s="409">
        <v>0</v>
      </c>
      <c r="M96" s="409">
        <v>1</v>
      </c>
    </row>
    <row r="97" spans="1:13">
      <c r="A97" s="785" t="s">
        <v>2212</v>
      </c>
      <c r="B97" s="406">
        <f t="shared" si="2"/>
        <v>8</v>
      </c>
      <c r="C97" s="409">
        <v>1</v>
      </c>
      <c r="D97" s="409">
        <v>0</v>
      </c>
      <c r="E97" s="409">
        <v>2</v>
      </c>
      <c r="F97" s="409">
        <v>1</v>
      </c>
      <c r="G97" s="409">
        <v>0</v>
      </c>
      <c r="H97" s="409">
        <v>1</v>
      </c>
      <c r="I97" s="409">
        <v>0</v>
      </c>
      <c r="J97" s="409">
        <v>2</v>
      </c>
      <c r="K97" s="409">
        <v>1</v>
      </c>
      <c r="L97" s="409">
        <v>0</v>
      </c>
      <c r="M97" s="409">
        <v>0</v>
      </c>
    </row>
    <row r="98" spans="1:13">
      <c r="A98" s="785" t="s">
        <v>2213</v>
      </c>
      <c r="B98" s="406">
        <f t="shared" si="2"/>
        <v>7</v>
      </c>
      <c r="C98" s="409">
        <v>0</v>
      </c>
      <c r="D98" s="409">
        <v>0</v>
      </c>
      <c r="E98" s="409">
        <v>0</v>
      </c>
      <c r="F98" s="409">
        <v>0</v>
      </c>
      <c r="G98" s="409">
        <v>0</v>
      </c>
      <c r="H98" s="409">
        <v>0</v>
      </c>
      <c r="I98" s="409">
        <v>2</v>
      </c>
      <c r="J98" s="409">
        <v>3</v>
      </c>
      <c r="K98" s="409">
        <v>2</v>
      </c>
      <c r="L98" s="409">
        <v>0</v>
      </c>
      <c r="M98" s="409">
        <v>0</v>
      </c>
    </row>
    <row r="99" spans="1:13" ht="22.5">
      <c r="A99" s="785" t="s">
        <v>2214</v>
      </c>
      <c r="B99" s="406">
        <f t="shared" si="2"/>
        <v>5</v>
      </c>
      <c r="C99" s="409">
        <v>0</v>
      </c>
      <c r="D99" s="409">
        <v>0</v>
      </c>
      <c r="E99" s="409">
        <v>0</v>
      </c>
      <c r="F99" s="409">
        <v>0</v>
      </c>
      <c r="G99" s="409">
        <v>0</v>
      </c>
      <c r="H99" s="409">
        <v>0</v>
      </c>
      <c r="I99" s="409">
        <v>0</v>
      </c>
      <c r="J99" s="409">
        <v>0</v>
      </c>
      <c r="K99" s="409">
        <v>5</v>
      </c>
      <c r="L99" s="409">
        <v>0</v>
      </c>
      <c r="M99" s="409">
        <v>0</v>
      </c>
    </row>
    <row r="100" spans="1:13">
      <c r="A100" s="785" t="s">
        <v>2215</v>
      </c>
      <c r="B100" s="406">
        <f t="shared" si="2"/>
        <v>2</v>
      </c>
      <c r="C100" s="409">
        <v>0</v>
      </c>
      <c r="D100" s="409">
        <v>0</v>
      </c>
      <c r="E100" s="409">
        <v>0</v>
      </c>
      <c r="F100" s="409">
        <v>0</v>
      </c>
      <c r="G100" s="409">
        <v>0</v>
      </c>
      <c r="H100" s="409">
        <v>0</v>
      </c>
      <c r="I100" s="409">
        <v>0</v>
      </c>
      <c r="J100" s="409">
        <v>0</v>
      </c>
      <c r="K100" s="409">
        <v>2</v>
      </c>
      <c r="L100" s="409">
        <v>0</v>
      </c>
      <c r="M100" s="409">
        <v>0</v>
      </c>
    </row>
    <row r="101" spans="1:13">
      <c r="A101" s="785" t="s">
        <v>2216</v>
      </c>
      <c r="B101" s="406">
        <f t="shared" si="2"/>
        <v>4</v>
      </c>
      <c r="C101" s="409">
        <v>0</v>
      </c>
      <c r="D101" s="409">
        <v>0</v>
      </c>
      <c r="E101" s="409">
        <v>0</v>
      </c>
      <c r="F101" s="409">
        <v>0</v>
      </c>
      <c r="G101" s="409">
        <v>0</v>
      </c>
      <c r="H101" s="409">
        <v>0</v>
      </c>
      <c r="I101" s="409">
        <v>0</v>
      </c>
      <c r="J101" s="409">
        <v>2</v>
      </c>
      <c r="K101" s="409">
        <v>0</v>
      </c>
      <c r="L101" s="409">
        <v>2</v>
      </c>
      <c r="M101" s="409">
        <v>0</v>
      </c>
    </row>
    <row r="102" spans="1:13">
      <c r="A102" s="785" t="s">
        <v>2217</v>
      </c>
      <c r="B102" s="406">
        <f t="shared" si="2"/>
        <v>58</v>
      </c>
      <c r="C102" s="409">
        <v>0</v>
      </c>
      <c r="D102" s="409">
        <v>0</v>
      </c>
      <c r="E102" s="409">
        <v>3</v>
      </c>
      <c r="F102" s="409">
        <v>3</v>
      </c>
      <c r="G102" s="409">
        <v>23</v>
      </c>
      <c r="H102" s="409">
        <v>0</v>
      </c>
      <c r="I102" s="409">
        <v>5</v>
      </c>
      <c r="J102" s="409">
        <v>10</v>
      </c>
      <c r="K102" s="409">
        <v>9</v>
      </c>
      <c r="L102" s="409">
        <v>3</v>
      </c>
      <c r="M102" s="409">
        <v>2</v>
      </c>
    </row>
    <row r="103" spans="1:13" ht="22.5">
      <c r="A103" s="785" t="s">
        <v>2218</v>
      </c>
      <c r="B103" s="406">
        <f t="shared" si="2"/>
        <v>14</v>
      </c>
      <c r="C103" s="409">
        <v>1</v>
      </c>
      <c r="D103" s="409">
        <v>0</v>
      </c>
      <c r="E103" s="409">
        <v>1</v>
      </c>
      <c r="F103" s="409">
        <v>0</v>
      </c>
      <c r="G103" s="409">
        <v>4</v>
      </c>
      <c r="H103" s="409">
        <v>3</v>
      </c>
      <c r="I103" s="409">
        <v>0</v>
      </c>
      <c r="J103" s="409">
        <v>0</v>
      </c>
      <c r="K103" s="409">
        <v>0</v>
      </c>
      <c r="L103" s="409">
        <v>3</v>
      </c>
      <c r="M103" s="409">
        <v>2</v>
      </c>
    </row>
    <row r="104" spans="1:13">
      <c r="A104" s="785" t="s">
        <v>2219</v>
      </c>
      <c r="B104" s="406">
        <f t="shared" si="2"/>
        <v>13</v>
      </c>
      <c r="C104" s="409">
        <v>0</v>
      </c>
      <c r="D104" s="409">
        <v>0</v>
      </c>
      <c r="E104" s="409">
        <v>0</v>
      </c>
      <c r="F104" s="409">
        <v>0</v>
      </c>
      <c r="G104" s="409">
        <v>0</v>
      </c>
      <c r="H104" s="409">
        <v>0</v>
      </c>
      <c r="I104" s="409">
        <v>0</v>
      </c>
      <c r="J104" s="409">
        <v>6</v>
      </c>
      <c r="K104" s="409">
        <v>2</v>
      </c>
      <c r="L104" s="409">
        <v>5</v>
      </c>
      <c r="M104" s="409">
        <v>0</v>
      </c>
    </row>
    <row r="105" spans="1:13">
      <c r="A105" s="785" t="s">
        <v>2220</v>
      </c>
      <c r="B105" s="406">
        <f t="shared" si="2"/>
        <v>7</v>
      </c>
      <c r="C105" s="409">
        <v>0</v>
      </c>
      <c r="D105" s="409">
        <v>0</v>
      </c>
      <c r="E105" s="409">
        <v>0</v>
      </c>
      <c r="F105" s="409">
        <v>0</v>
      </c>
      <c r="G105" s="409">
        <v>0</v>
      </c>
      <c r="H105" s="409">
        <v>0</v>
      </c>
      <c r="I105" s="409">
        <v>0</v>
      </c>
      <c r="J105" s="409">
        <v>3</v>
      </c>
      <c r="K105" s="409">
        <v>4</v>
      </c>
      <c r="L105" s="409">
        <v>0</v>
      </c>
      <c r="M105" s="409">
        <v>0</v>
      </c>
    </row>
    <row r="106" spans="1:13">
      <c r="A106" s="785" t="s">
        <v>2221</v>
      </c>
      <c r="B106" s="406">
        <f t="shared" si="2"/>
        <v>6</v>
      </c>
      <c r="C106" s="409">
        <v>0</v>
      </c>
      <c r="D106" s="409">
        <v>0</v>
      </c>
      <c r="E106" s="409">
        <v>0</v>
      </c>
      <c r="F106" s="409">
        <v>0</v>
      </c>
      <c r="G106" s="409">
        <v>0</v>
      </c>
      <c r="H106" s="409">
        <v>0</v>
      </c>
      <c r="I106" s="409">
        <v>0</v>
      </c>
      <c r="J106" s="409">
        <v>5</v>
      </c>
      <c r="K106" s="409">
        <v>1</v>
      </c>
      <c r="L106" s="409">
        <v>0</v>
      </c>
      <c r="M106" s="409">
        <v>0</v>
      </c>
    </row>
    <row r="107" spans="1:13">
      <c r="A107" s="785" t="s">
        <v>2222</v>
      </c>
      <c r="B107" s="406">
        <f t="shared" si="2"/>
        <v>4</v>
      </c>
      <c r="C107" s="409">
        <v>2</v>
      </c>
      <c r="D107" s="409">
        <v>0</v>
      </c>
      <c r="E107" s="409">
        <v>1</v>
      </c>
      <c r="F107" s="409">
        <v>0</v>
      </c>
      <c r="G107" s="409">
        <v>0</v>
      </c>
      <c r="H107" s="409">
        <v>0</v>
      </c>
      <c r="I107" s="409">
        <v>0</v>
      </c>
      <c r="J107" s="409">
        <v>0</v>
      </c>
      <c r="K107" s="409">
        <v>1</v>
      </c>
      <c r="L107" s="409">
        <v>0</v>
      </c>
      <c r="M107" s="409">
        <v>0</v>
      </c>
    </row>
    <row r="108" spans="1:13">
      <c r="A108" s="785" t="s">
        <v>2223</v>
      </c>
      <c r="B108" s="406">
        <f t="shared" si="2"/>
        <v>16</v>
      </c>
      <c r="C108" s="409">
        <v>0</v>
      </c>
      <c r="D108" s="409">
        <v>0</v>
      </c>
      <c r="E108" s="409">
        <v>0</v>
      </c>
      <c r="F108" s="409">
        <v>0</v>
      </c>
      <c r="G108" s="409">
        <v>0</v>
      </c>
      <c r="H108" s="409">
        <v>0</v>
      </c>
      <c r="I108" s="409">
        <v>0</v>
      </c>
      <c r="J108" s="409">
        <v>1</v>
      </c>
      <c r="K108" s="409">
        <v>15</v>
      </c>
      <c r="L108" s="409">
        <v>0</v>
      </c>
      <c r="M108" s="409">
        <v>0</v>
      </c>
    </row>
    <row r="109" spans="1:13">
      <c r="A109" s="785" t="s">
        <v>2224</v>
      </c>
      <c r="B109" s="406">
        <f t="shared" si="2"/>
        <v>66</v>
      </c>
      <c r="C109" s="409">
        <v>0</v>
      </c>
      <c r="D109" s="409">
        <v>0</v>
      </c>
      <c r="E109" s="409">
        <v>0</v>
      </c>
      <c r="F109" s="409">
        <v>0</v>
      </c>
      <c r="G109" s="409">
        <v>3</v>
      </c>
      <c r="H109" s="409">
        <v>0</v>
      </c>
      <c r="I109" s="409">
        <v>1</v>
      </c>
      <c r="J109" s="409">
        <v>1</v>
      </c>
      <c r="K109" s="409">
        <v>58</v>
      </c>
      <c r="L109" s="409">
        <v>3</v>
      </c>
      <c r="M109" s="409">
        <v>0</v>
      </c>
    </row>
    <row r="110" spans="1:13">
      <c r="A110" s="785" t="s">
        <v>2225</v>
      </c>
      <c r="B110" s="406">
        <f t="shared" si="2"/>
        <v>14</v>
      </c>
      <c r="C110" s="409">
        <v>1</v>
      </c>
      <c r="D110" s="409">
        <v>0</v>
      </c>
      <c r="E110" s="409">
        <v>0</v>
      </c>
      <c r="F110" s="409">
        <v>0</v>
      </c>
      <c r="G110" s="409">
        <v>0</v>
      </c>
      <c r="H110" s="409">
        <v>0</v>
      </c>
      <c r="I110" s="409">
        <v>0</v>
      </c>
      <c r="J110" s="409">
        <v>8</v>
      </c>
      <c r="K110" s="409">
        <v>5</v>
      </c>
      <c r="L110" s="409">
        <v>0</v>
      </c>
      <c r="M110" s="409">
        <v>0</v>
      </c>
    </row>
    <row r="111" spans="1:13">
      <c r="A111" s="785" t="s">
        <v>2226</v>
      </c>
      <c r="B111" s="406">
        <f t="shared" si="2"/>
        <v>7</v>
      </c>
      <c r="C111" s="409">
        <v>0</v>
      </c>
      <c r="D111" s="409">
        <v>0</v>
      </c>
      <c r="E111" s="409">
        <v>0</v>
      </c>
      <c r="F111" s="409">
        <v>0</v>
      </c>
      <c r="G111" s="409">
        <v>0</v>
      </c>
      <c r="H111" s="409">
        <v>0</v>
      </c>
      <c r="I111" s="409">
        <v>0</v>
      </c>
      <c r="J111" s="409">
        <v>1</v>
      </c>
      <c r="K111" s="409">
        <v>6</v>
      </c>
      <c r="L111" s="409">
        <v>0</v>
      </c>
      <c r="M111" s="409">
        <v>0</v>
      </c>
    </row>
    <row r="112" spans="1:13">
      <c r="A112" s="1"/>
    </row>
    <row r="113" spans="1:1">
      <c r="A113" s="367" t="s">
        <v>733</v>
      </c>
    </row>
    <row r="114" spans="1:1">
      <c r="A114" s="367" t="s">
        <v>2108</v>
      </c>
    </row>
  </sheetData>
  <pageMargins left="0.70866141732283472" right="0.70866141732283472" top="0.74803149606299213" bottom="0.74803149606299213" header="0.31496062992125984" footer="0.31496062992125984"/>
  <pageSetup paperSize="9" scale="64" fitToHeight="2" orientation="landscape" r:id="rId1"/>
</worksheet>
</file>

<file path=xl/worksheets/sheet236.xml><?xml version="1.0" encoding="utf-8"?>
<worksheet xmlns="http://schemas.openxmlformats.org/spreadsheetml/2006/main" xmlns:r="http://schemas.openxmlformats.org/officeDocument/2006/relationships">
  <sheetPr>
    <pageSetUpPr fitToPage="1"/>
  </sheetPr>
  <dimension ref="A1:D116"/>
  <sheetViews>
    <sheetView topLeftCell="A100" zoomScaleNormal="100" workbookViewId="0">
      <selection activeCell="E19" sqref="E19"/>
    </sheetView>
  </sheetViews>
  <sheetFormatPr baseColWidth="10" defaultRowHeight="11.25"/>
  <cols>
    <col min="1" max="1" width="43.140625" style="369" customWidth="1"/>
    <col min="2" max="2" width="22.28515625" style="59" customWidth="1"/>
    <col min="3" max="3" width="28" style="59" customWidth="1"/>
    <col min="4" max="16384" width="11.42578125" style="59"/>
  </cols>
  <sheetData>
    <row r="1" spans="1:4">
      <c r="A1" s="783"/>
      <c r="B1" s="360"/>
    </row>
    <row r="2" spans="1:4" ht="24.75" customHeight="1">
      <c r="A2" s="2746" t="s">
        <v>3170</v>
      </c>
      <c r="B2" s="2746"/>
      <c r="C2" s="2746"/>
    </row>
    <row r="3" spans="1:4">
      <c r="A3" s="337"/>
      <c r="B3" s="360"/>
      <c r="C3" s="360"/>
    </row>
    <row r="4" spans="1:4" ht="33.75" customHeight="1">
      <c r="A4" s="333" t="s">
        <v>2120</v>
      </c>
      <c r="B4" s="334" t="s">
        <v>2227</v>
      </c>
      <c r="C4" s="334" t="s">
        <v>2228</v>
      </c>
    </row>
    <row r="5" spans="1:4">
      <c r="A5" s="332" t="s">
        <v>6</v>
      </c>
      <c r="B5" s="398">
        <v>1411</v>
      </c>
      <c r="C5" s="398">
        <v>100367</v>
      </c>
    </row>
    <row r="6" spans="1:4">
      <c r="A6" s="64" t="s">
        <v>2229</v>
      </c>
      <c r="B6" s="398">
        <f>SUM(B7:B30)</f>
        <v>114</v>
      </c>
      <c r="C6" s="398">
        <f>SUM(C7:C30)</f>
        <v>2889</v>
      </c>
      <c r="D6" s="784"/>
    </row>
    <row r="7" spans="1:4">
      <c r="A7" s="337" t="s">
        <v>2121</v>
      </c>
      <c r="B7" s="401">
        <v>6</v>
      </c>
      <c r="C7" s="401">
        <v>254</v>
      </c>
    </row>
    <row r="8" spans="1:4">
      <c r="A8" s="337" t="s">
        <v>2122</v>
      </c>
      <c r="B8" s="401">
        <v>6</v>
      </c>
      <c r="C8" s="401">
        <v>138</v>
      </c>
    </row>
    <row r="9" spans="1:4">
      <c r="A9" s="337" t="s">
        <v>2123</v>
      </c>
      <c r="B9" s="401">
        <v>1</v>
      </c>
      <c r="C9" s="401">
        <v>7</v>
      </c>
    </row>
    <row r="10" spans="1:4">
      <c r="A10" s="337" t="s">
        <v>2124</v>
      </c>
      <c r="B10" s="401">
        <v>1</v>
      </c>
      <c r="C10" s="401">
        <v>1</v>
      </c>
    </row>
    <row r="11" spans="1:4">
      <c r="A11" s="337" t="s">
        <v>2125</v>
      </c>
      <c r="B11" s="401">
        <v>1</v>
      </c>
      <c r="C11" s="401">
        <v>46</v>
      </c>
    </row>
    <row r="12" spans="1:4" ht="22.5">
      <c r="A12" s="337" t="s">
        <v>2126</v>
      </c>
      <c r="B12" s="401">
        <v>1</v>
      </c>
      <c r="C12" s="401">
        <v>83</v>
      </c>
    </row>
    <row r="13" spans="1:4">
      <c r="A13" s="337" t="s">
        <v>2127</v>
      </c>
      <c r="B13" s="401">
        <v>5</v>
      </c>
      <c r="C13" s="401">
        <v>124</v>
      </c>
    </row>
    <row r="14" spans="1:4">
      <c r="A14" s="337" t="s">
        <v>2128</v>
      </c>
      <c r="B14" s="401">
        <v>4</v>
      </c>
      <c r="C14" s="401">
        <v>138</v>
      </c>
    </row>
    <row r="15" spans="1:4" ht="22.5">
      <c r="A15" s="337" t="s">
        <v>2129</v>
      </c>
      <c r="B15" s="401">
        <v>7</v>
      </c>
      <c r="C15" s="401">
        <v>80</v>
      </c>
    </row>
    <row r="16" spans="1:4">
      <c r="A16" s="337" t="s">
        <v>2130</v>
      </c>
      <c r="B16" s="401">
        <v>2</v>
      </c>
      <c r="C16" s="401">
        <v>137</v>
      </c>
    </row>
    <row r="17" spans="1:4">
      <c r="A17" s="337" t="s">
        <v>2131</v>
      </c>
      <c r="B17" s="401">
        <v>6</v>
      </c>
      <c r="C17" s="401">
        <v>306</v>
      </c>
    </row>
    <row r="18" spans="1:4">
      <c r="A18" s="337" t="s">
        <v>2132</v>
      </c>
      <c r="B18" s="401">
        <v>47</v>
      </c>
      <c r="C18" s="401">
        <v>959</v>
      </c>
    </row>
    <row r="19" spans="1:4" ht="22.5">
      <c r="A19" s="337" t="s">
        <v>2133</v>
      </c>
      <c r="B19" s="401">
        <v>3</v>
      </c>
      <c r="C19" s="401">
        <v>134</v>
      </c>
    </row>
    <row r="20" spans="1:4">
      <c r="A20" s="337" t="s">
        <v>2134</v>
      </c>
      <c r="B20" s="401">
        <v>2</v>
      </c>
      <c r="C20" s="401">
        <v>38</v>
      </c>
    </row>
    <row r="21" spans="1:4">
      <c r="A21" s="337" t="s">
        <v>2135</v>
      </c>
      <c r="B21" s="401">
        <v>2</v>
      </c>
      <c r="C21" s="401">
        <v>19</v>
      </c>
    </row>
    <row r="22" spans="1:4">
      <c r="A22" s="337" t="s">
        <v>2136</v>
      </c>
      <c r="B22" s="401">
        <v>2</v>
      </c>
      <c r="C22" s="401">
        <v>6</v>
      </c>
    </row>
    <row r="23" spans="1:4">
      <c r="A23" s="337" t="s">
        <v>2137</v>
      </c>
      <c r="B23" s="401">
        <v>1</v>
      </c>
      <c r="C23" s="401">
        <v>9</v>
      </c>
    </row>
    <row r="24" spans="1:4">
      <c r="A24" s="337" t="s">
        <v>2138</v>
      </c>
      <c r="B24" s="401">
        <v>5</v>
      </c>
      <c r="C24" s="401">
        <v>158</v>
      </c>
    </row>
    <row r="25" spans="1:4">
      <c r="A25" s="337" t="s">
        <v>2139</v>
      </c>
      <c r="B25" s="401">
        <v>5</v>
      </c>
      <c r="C25" s="401">
        <v>62</v>
      </c>
    </row>
    <row r="26" spans="1:4">
      <c r="A26" s="337" t="s">
        <v>2140</v>
      </c>
      <c r="B26" s="401">
        <v>1</v>
      </c>
      <c r="C26" s="401">
        <v>10</v>
      </c>
    </row>
    <row r="27" spans="1:4">
      <c r="A27" s="337" t="s">
        <v>2141</v>
      </c>
      <c r="B27" s="401">
        <v>1</v>
      </c>
      <c r="C27" s="401">
        <v>2</v>
      </c>
    </row>
    <row r="28" spans="1:4">
      <c r="A28" s="337" t="s">
        <v>2142</v>
      </c>
      <c r="B28" s="401">
        <v>2</v>
      </c>
      <c r="C28" s="401">
        <v>78</v>
      </c>
    </row>
    <row r="29" spans="1:4">
      <c r="A29" s="337" t="s">
        <v>2143</v>
      </c>
      <c r="B29" s="401">
        <v>2</v>
      </c>
      <c r="C29" s="401">
        <v>82</v>
      </c>
    </row>
    <row r="30" spans="1:4">
      <c r="A30" s="337" t="s">
        <v>2144</v>
      </c>
      <c r="B30" s="401">
        <v>1</v>
      </c>
      <c r="C30" s="401">
        <v>18</v>
      </c>
    </row>
    <row r="31" spans="1:4" s="339" customFormat="1">
      <c r="A31" s="64" t="s">
        <v>2230</v>
      </c>
      <c r="B31" s="398">
        <f>SUM(B32:B56)</f>
        <v>513</v>
      </c>
      <c r="C31" s="398">
        <f>SUM(C32:C56)</f>
        <v>35921</v>
      </c>
      <c r="D31" s="784"/>
    </row>
    <row r="32" spans="1:4">
      <c r="A32" s="337" t="s">
        <v>2145</v>
      </c>
      <c r="B32" s="401">
        <v>105</v>
      </c>
      <c r="C32" s="401">
        <v>5999</v>
      </c>
    </row>
    <row r="33" spans="1:3">
      <c r="A33" s="337" t="s">
        <v>2146</v>
      </c>
      <c r="B33" s="401">
        <v>2</v>
      </c>
      <c r="C33" s="401">
        <v>257</v>
      </c>
    </row>
    <row r="34" spans="1:3">
      <c r="A34" s="337" t="s">
        <v>2147</v>
      </c>
      <c r="B34" s="401">
        <v>4</v>
      </c>
      <c r="C34" s="401">
        <v>409</v>
      </c>
    </row>
    <row r="35" spans="1:3">
      <c r="A35" s="337" t="s">
        <v>2148</v>
      </c>
      <c r="B35" s="401">
        <v>26</v>
      </c>
      <c r="C35" s="401">
        <v>1779</v>
      </c>
    </row>
    <row r="36" spans="1:3">
      <c r="A36" s="337" t="s">
        <v>2149</v>
      </c>
      <c r="B36" s="401">
        <v>1</v>
      </c>
      <c r="C36" s="401">
        <v>18</v>
      </c>
    </row>
    <row r="37" spans="1:3">
      <c r="A37" s="337" t="s">
        <v>2150</v>
      </c>
      <c r="B37" s="401">
        <v>19</v>
      </c>
      <c r="C37" s="401">
        <v>1203</v>
      </c>
    </row>
    <row r="38" spans="1:3" ht="22.5">
      <c r="A38" s="337" t="s">
        <v>2151</v>
      </c>
      <c r="B38" s="401">
        <v>1</v>
      </c>
      <c r="C38" s="401">
        <v>28</v>
      </c>
    </row>
    <row r="39" spans="1:3">
      <c r="A39" s="337" t="s">
        <v>2152</v>
      </c>
      <c r="B39" s="401">
        <v>7</v>
      </c>
      <c r="C39" s="401">
        <v>48</v>
      </c>
    </row>
    <row r="40" spans="1:3">
      <c r="A40" s="337" t="s">
        <v>2153</v>
      </c>
      <c r="B40" s="401">
        <v>3</v>
      </c>
      <c r="C40" s="401">
        <v>37</v>
      </c>
    </row>
    <row r="41" spans="1:3">
      <c r="A41" s="337" t="s">
        <v>2154</v>
      </c>
      <c r="B41" s="401">
        <v>11</v>
      </c>
      <c r="C41" s="401">
        <v>49</v>
      </c>
    </row>
    <row r="42" spans="1:3">
      <c r="A42" s="337" t="s">
        <v>2155</v>
      </c>
      <c r="B42" s="401">
        <v>12</v>
      </c>
      <c r="C42" s="401">
        <v>575</v>
      </c>
    </row>
    <row r="43" spans="1:3">
      <c r="A43" s="337" t="s">
        <v>2156</v>
      </c>
      <c r="B43" s="401">
        <v>91</v>
      </c>
      <c r="C43" s="401">
        <v>14109</v>
      </c>
    </row>
    <row r="44" spans="1:3">
      <c r="A44" s="337" t="s">
        <v>2157</v>
      </c>
      <c r="B44" s="401">
        <v>1</v>
      </c>
      <c r="C44" s="401">
        <v>103</v>
      </c>
    </row>
    <row r="45" spans="1:3">
      <c r="A45" s="337" t="s">
        <v>2158</v>
      </c>
      <c r="B45" s="401">
        <v>10</v>
      </c>
      <c r="C45" s="401">
        <v>676</v>
      </c>
    </row>
    <row r="46" spans="1:3">
      <c r="A46" s="337" t="s">
        <v>2159</v>
      </c>
      <c r="B46" s="401">
        <v>12</v>
      </c>
      <c r="C46" s="401">
        <v>307</v>
      </c>
    </row>
    <row r="47" spans="1:3">
      <c r="A47" s="337" t="s">
        <v>2160</v>
      </c>
      <c r="B47" s="401">
        <v>30</v>
      </c>
      <c r="C47" s="401">
        <v>2207</v>
      </c>
    </row>
    <row r="48" spans="1:3">
      <c r="A48" s="337" t="s">
        <v>2161</v>
      </c>
      <c r="B48" s="401">
        <v>8</v>
      </c>
      <c r="C48" s="401">
        <v>71</v>
      </c>
    </row>
    <row r="49" spans="1:4" ht="22.5">
      <c r="A49" s="337" t="s">
        <v>2162</v>
      </c>
      <c r="B49" s="401">
        <v>1</v>
      </c>
      <c r="C49" s="401">
        <v>256</v>
      </c>
    </row>
    <row r="50" spans="1:4">
      <c r="A50" s="337" t="s">
        <v>2163</v>
      </c>
      <c r="B50" s="401">
        <v>29</v>
      </c>
      <c r="C50" s="401">
        <v>968</v>
      </c>
    </row>
    <row r="51" spans="1:4" ht="22.5">
      <c r="A51" s="337" t="s">
        <v>2164</v>
      </c>
      <c r="B51" s="401">
        <v>15</v>
      </c>
      <c r="C51" s="401">
        <v>189</v>
      </c>
    </row>
    <row r="52" spans="1:4">
      <c r="A52" s="337" t="s">
        <v>2165</v>
      </c>
      <c r="B52" s="401">
        <v>19</v>
      </c>
      <c r="C52" s="401">
        <v>140</v>
      </c>
    </row>
    <row r="53" spans="1:4">
      <c r="A53" s="337" t="s">
        <v>2166</v>
      </c>
      <c r="B53" s="401">
        <v>24</v>
      </c>
      <c r="C53" s="401">
        <v>2101</v>
      </c>
    </row>
    <row r="54" spans="1:4">
      <c r="A54" s="337" t="s">
        <v>2167</v>
      </c>
      <c r="B54" s="401">
        <v>3</v>
      </c>
      <c r="C54" s="401">
        <v>383</v>
      </c>
    </row>
    <row r="55" spans="1:4">
      <c r="A55" s="337" t="s">
        <v>2168</v>
      </c>
      <c r="B55" s="401">
        <v>7</v>
      </c>
      <c r="C55" s="401">
        <v>164</v>
      </c>
    </row>
    <row r="56" spans="1:4">
      <c r="A56" s="337" t="s">
        <v>2169</v>
      </c>
      <c r="B56" s="401">
        <v>72</v>
      </c>
      <c r="C56" s="401">
        <v>3845</v>
      </c>
    </row>
    <row r="57" spans="1:4" s="339" customFormat="1">
      <c r="A57" s="64" t="s">
        <v>2231</v>
      </c>
      <c r="B57" s="398">
        <f>SUM(B58:B114)</f>
        <v>784</v>
      </c>
      <c r="C57" s="398">
        <f>SUM(C58:C114)</f>
        <v>61557</v>
      </c>
      <c r="D57" s="784"/>
    </row>
    <row r="58" spans="1:4" ht="22.5">
      <c r="A58" s="337" t="s">
        <v>2170</v>
      </c>
      <c r="B58" s="401">
        <v>31</v>
      </c>
      <c r="C58" s="401">
        <v>3673</v>
      </c>
    </row>
    <row r="59" spans="1:4" ht="22.5">
      <c r="A59" s="337" t="s">
        <v>2171</v>
      </c>
      <c r="B59" s="401">
        <v>18</v>
      </c>
      <c r="C59" s="401">
        <v>1851</v>
      </c>
    </row>
    <row r="60" spans="1:4" ht="22.5">
      <c r="A60" s="337" t="s">
        <v>2172</v>
      </c>
      <c r="B60" s="401">
        <v>9</v>
      </c>
      <c r="C60" s="401">
        <v>507</v>
      </c>
    </row>
    <row r="61" spans="1:4">
      <c r="A61" s="337" t="s">
        <v>2173</v>
      </c>
      <c r="B61" s="401">
        <v>8</v>
      </c>
      <c r="C61" s="401">
        <v>166</v>
      </c>
    </row>
    <row r="62" spans="1:4">
      <c r="A62" s="337" t="s">
        <v>2174</v>
      </c>
      <c r="B62" s="401">
        <v>3</v>
      </c>
      <c r="C62" s="401">
        <v>197</v>
      </c>
    </row>
    <row r="63" spans="1:4">
      <c r="A63" s="337" t="s">
        <v>2175</v>
      </c>
      <c r="B63" s="401">
        <v>16</v>
      </c>
      <c r="C63" s="401">
        <v>705</v>
      </c>
    </row>
    <row r="64" spans="1:4">
      <c r="A64" s="337" t="s">
        <v>2176</v>
      </c>
      <c r="B64" s="401">
        <v>37</v>
      </c>
      <c r="C64" s="401">
        <v>3085</v>
      </c>
    </row>
    <row r="65" spans="1:3">
      <c r="A65" s="337" t="s">
        <v>2177</v>
      </c>
      <c r="B65" s="401">
        <v>10</v>
      </c>
      <c r="C65" s="401">
        <v>468</v>
      </c>
    </row>
    <row r="66" spans="1:3">
      <c r="A66" s="337" t="s">
        <v>2178</v>
      </c>
      <c r="B66" s="401">
        <v>12</v>
      </c>
      <c r="C66" s="401">
        <v>1051</v>
      </c>
    </row>
    <row r="67" spans="1:3">
      <c r="A67" s="337" t="s">
        <v>2179</v>
      </c>
      <c r="B67" s="401">
        <v>5</v>
      </c>
      <c r="C67" s="401">
        <v>526</v>
      </c>
    </row>
    <row r="68" spans="1:3">
      <c r="A68" s="337" t="s">
        <v>2180</v>
      </c>
      <c r="B68" s="401">
        <v>4</v>
      </c>
      <c r="C68" s="401">
        <v>72</v>
      </c>
    </row>
    <row r="69" spans="1:3">
      <c r="A69" s="337" t="s">
        <v>2181</v>
      </c>
      <c r="B69" s="401">
        <v>7</v>
      </c>
      <c r="C69" s="401">
        <v>132</v>
      </c>
    </row>
    <row r="70" spans="1:3" ht="22.5">
      <c r="A70" s="337" t="s">
        <v>2182</v>
      </c>
      <c r="B70" s="401">
        <v>7</v>
      </c>
      <c r="C70" s="401">
        <v>436</v>
      </c>
    </row>
    <row r="71" spans="1:3">
      <c r="A71" s="337" t="s">
        <v>2183</v>
      </c>
      <c r="B71" s="401">
        <v>15</v>
      </c>
      <c r="C71" s="401">
        <v>671</v>
      </c>
    </row>
    <row r="72" spans="1:3">
      <c r="A72" s="337" t="s">
        <v>2184</v>
      </c>
      <c r="B72" s="401">
        <v>2</v>
      </c>
      <c r="C72" s="401">
        <v>341</v>
      </c>
    </row>
    <row r="73" spans="1:3">
      <c r="A73" s="337" t="s">
        <v>2185</v>
      </c>
      <c r="B73" s="401">
        <v>7</v>
      </c>
      <c r="C73" s="401">
        <v>934</v>
      </c>
    </row>
    <row r="74" spans="1:3">
      <c r="A74" s="337" t="s">
        <v>2186</v>
      </c>
      <c r="B74" s="401">
        <v>2</v>
      </c>
      <c r="C74" s="401">
        <v>120</v>
      </c>
    </row>
    <row r="75" spans="1:3">
      <c r="A75" s="337" t="s">
        <v>2187</v>
      </c>
      <c r="B75" s="401">
        <v>11</v>
      </c>
      <c r="C75" s="401">
        <v>1135</v>
      </c>
    </row>
    <row r="76" spans="1:3">
      <c r="A76" s="337" t="s">
        <v>2188</v>
      </c>
      <c r="B76" s="401">
        <v>2</v>
      </c>
      <c r="C76" s="401">
        <v>5</v>
      </c>
    </row>
    <row r="77" spans="1:3">
      <c r="A77" s="337" t="s">
        <v>2189</v>
      </c>
      <c r="B77" s="401">
        <v>2</v>
      </c>
      <c r="C77" s="401">
        <v>89</v>
      </c>
    </row>
    <row r="78" spans="1:3" ht="22.5">
      <c r="A78" s="337" t="s">
        <v>2190</v>
      </c>
      <c r="B78" s="401">
        <v>16</v>
      </c>
      <c r="C78" s="401">
        <v>907</v>
      </c>
    </row>
    <row r="79" spans="1:3" ht="22.5">
      <c r="A79" s="337" t="s">
        <v>2191</v>
      </c>
      <c r="B79" s="401">
        <v>18</v>
      </c>
      <c r="C79" s="401">
        <v>1798</v>
      </c>
    </row>
    <row r="80" spans="1:3">
      <c r="A80" s="337" t="s">
        <v>2192</v>
      </c>
      <c r="B80" s="401">
        <v>2</v>
      </c>
      <c r="C80" s="401">
        <v>119</v>
      </c>
    </row>
    <row r="81" spans="1:3">
      <c r="A81" s="337" t="s">
        <v>2193</v>
      </c>
      <c r="B81" s="401">
        <v>43</v>
      </c>
      <c r="C81" s="401">
        <v>4911</v>
      </c>
    </row>
    <row r="82" spans="1:3">
      <c r="A82" s="337" t="s">
        <v>2194</v>
      </c>
      <c r="B82" s="401">
        <v>14</v>
      </c>
      <c r="C82" s="401">
        <v>1490</v>
      </c>
    </row>
    <row r="83" spans="1:3">
      <c r="A83" s="337" t="s">
        <v>2195</v>
      </c>
      <c r="B83" s="401">
        <v>4</v>
      </c>
      <c r="C83" s="401">
        <v>224</v>
      </c>
    </row>
    <row r="84" spans="1:3">
      <c r="A84" s="337" t="s">
        <v>2196</v>
      </c>
      <c r="B84" s="401">
        <v>7</v>
      </c>
      <c r="C84" s="401">
        <v>883</v>
      </c>
    </row>
    <row r="85" spans="1:3">
      <c r="A85" s="337" t="s">
        <v>2197</v>
      </c>
      <c r="B85" s="401">
        <v>44</v>
      </c>
      <c r="C85" s="401">
        <v>2114</v>
      </c>
    </row>
    <row r="86" spans="1:3">
      <c r="A86" s="337" t="s">
        <v>2198</v>
      </c>
      <c r="B86" s="401">
        <v>7</v>
      </c>
      <c r="C86" s="401">
        <v>134</v>
      </c>
    </row>
    <row r="87" spans="1:3">
      <c r="A87" s="337" t="s">
        <v>2199</v>
      </c>
      <c r="B87" s="401">
        <v>18</v>
      </c>
      <c r="C87" s="401">
        <v>766</v>
      </c>
    </row>
    <row r="88" spans="1:3">
      <c r="A88" s="337" t="s">
        <v>2200</v>
      </c>
      <c r="B88" s="401">
        <v>6</v>
      </c>
      <c r="C88" s="401">
        <v>151</v>
      </c>
    </row>
    <row r="89" spans="1:3" ht="22.5">
      <c r="A89" s="337" t="s">
        <v>2201</v>
      </c>
      <c r="B89" s="401">
        <v>19</v>
      </c>
      <c r="C89" s="401">
        <v>1303</v>
      </c>
    </row>
    <row r="90" spans="1:3">
      <c r="A90" s="337" t="s">
        <v>2202</v>
      </c>
      <c r="B90" s="401">
        <v>20</v>
      </c>
      <c r="C90" s="401">
        <v>1876</v>
      </c>
    </row>
    <row r="91" spans="1:3">
      <c r="A91" s="337" t="s">
        <v>2203</v>
      </c>
      <c r="B91" s="401">
        <v>6</v>
      </c>
      <c r="C91" s="401">
        <v>1021</v>
      </c>
    </row>
    <row r="92" spans="1:3">
      <c r="A92" s="337" t="s">
        <v>2204</v>
      </c>
      <c r="B92" s="401">
        <v>9</v>
      </c>
      <c r="C92" s="401">
        <v>427</v>
      </c>
    </row>
    <row r="93" spans="1:3">
      <c r="A93" s="337" t="s">
        <v>2205</v>
      </c>
      <c r="B93" s="401">
        <v>10</v>
      </c>
      <c r="C93" s="401">
        <v>1772</v>
      </c>
    </row>
    <row r="94" spans="1:3">
      <c r="A94" s="337" t="s">
        <v>2206</v>
      </c>
      <c r="B94" s="401">
        <v>18</v>
      </c>
      <c r="C94" s="401">
        <v>610</v>
      </c>
    </row>
    <row r="95" spans="1:3">
      <c r="A95" s="337" t="s">
        <v>2207</v>
      </c>
      <c r="B95" s="401">
        <v>11</v>
      </c>
      <c r="C95" s="401">
        <v>1990</v>
      </c>
    </row>
    <row r="96" spans="1:3">
      <c r="A96" s="337" t="s">
        <v>2208</v>
      </c>
      <c r="B96" s="401">
        <v>18</v>
      </c>
      <c r="C96" s="401">
        <v>2158</v>
      </c>
    </row>
    <row r="97" spans="1:3">
      <c r="A97" s="337" t="s">
        <v>2209</v>
      </c>
      <c r="B97" s="401">
        <v>13</v>
      </c>
      <c r="C97" s="401">
        <v>52</v>
      </c>
    </row>
    <row r="98" spans="1:3">
      <c r="A98" s="337" t="s">
        <v>2210</v>
      </c>
      <c r="B98" s="401">
        <v>23</v>
      </c>
      <c r="C98" s="401">
        <v>1884</v>
      </c>
    </row>
    <row r="99" spans="1:3">
      <c r="A99" s="337" t="s">
        <v>2211</v>
      </c>
      <c r="B99" s="401">
        <v>19</v>
      </c>
      <c r="C99" s="401">
        <v>2787</v>
      </c>
    </row>
    <row r="100" spans="1:3">
      <c r="A100" s="337" t="s">
        <v>2212</v>
      </c>
      <c r="B100" s="401">
        <v>8</v>
      </c>
      <c r="C100" s="401">
        <v>943</v>
      </c>
    </row>
    <row r="101" spans="1:3">
      <c r="A101" s="337" t="s">
        <v>2213</v>
      </c>
      <c r="B101" s="401">
        <v>7</v>
      </c>
      <c r="C101" s="401">
        <v>232</v>
      </c>
    </row>
    <row r="102" spans="1:3" ht="22.5">
      <c r="A102" s="337" t="s">
        <v>2214</v>
      </c>
      <c r="B102" s="401">
        <v>5</v>
      </c>
      <c r="C102" s="401">
        <v>51</v>
      </c>
    </row>
    <row r="103" spans="1:3">
      <c r="A103" s="337" t="s">
        <v>2215</v>
      </c>
      <c r="B103" s="401">
        <v>2</v>
      </c>
      <c r="C103" s="401">
        <v>43</v>
      </c>
    </row>
    <row r="104" spans="1:3">
      <c r="A104" s="337" t="s">
        <v>2216</v>
      </c>
      <c r="B104" s="401">
        <v>4</v>
      </c>
      <c r="C104" s="401">
        <v>198</v>
      </c>
    </row>
    <row r="105" spans="1:3">
      <c r="A105" s="337" t="s">
        <v>2217</v>
      </c>
      <c r="B105" s="401">
        <v>58</v>
      </c>
      <c r="C105" s="401">
        <v>2170</v>
      </c>
    </row>
    <row r="106" spans="1:3" ht="22.5">
      <c r="A106" s="337" t="s">
        <v>2218</v>
      </c>
      <c r="B106" s="401">
        <v>14</v>
      </c>
      <c r="C106" s="401">
        <v>566</v>
      </c>
    </row>
    <row r="107" spans="1:3">
      <c r="A107" s="337" t="s">
        <v>2219</v>
      </c>
      <c r="B107" s="401">
        <v>13</v>
      </c>
      <c r="C107" s="401">
        <v>414</v>
      </c>
    </row>
    <row r="108" spans="1:3">
      <c r="A108" s="337" t="s">
        <v>2220</v>
      </c>
      <c r="B108" s="401">
        <v>7</v>
      </c>
      <c r="C108" s="401">
        <v>757</v>
      </c>
    </row>
    <row r="109" spans="1:3">
      <c r="A109" s="337" t="s">
        <v>2221</v>
      </c>
      <c r="B109" s="401">
        <v>6</v>
      </c>
      <c r="C109" s="401">
        <v>261</v>
      </c>
    </row>
    <row r="110" spans="1:3">
      <c r="A110" s="337" t="s">
        <v>2222</v>
      </c>
      <c r="B110" s="401">
        <v>4</v>
      </c>
      <c r="C110" s="401">
        <v>72</v>
      </c>
    </row>
    <row r="111" spans="1:3" ht="22.5">
      <c r="A111" s="337" t="s">
        <v>2223</v>
      </c>
      <c r="B111" s="401">
        <v>16</v>
      </c>
      <c r="C111" s="401">
        <v>1851</v>
      </c>
    </row>
    <row r="112" spans="1:3" ht="22.5">
      <c r="A112" s="337" t="s">
        <v>2224</v>
      </c>
      <c r="B112" s="401">
        <v>66</v>
      </c>
      <c r="C112" s="401">
        <v>6281</v>
      </c>
    </row>
    <row r="113" spans="1:3" ht="22.5">
      <c r="A113" s="337" t="s">
        <v>2225</v>
      </c>
      <c r="B113" s="401">
        <v>14</v>
      </c>
      <c r="C113" s="401">
        <v>1905</v>
      </c>
    </row>
    <row r="114" spans="1:3">
      <c r="A114" s="337" t="s">
        <v>2226</v>
      </c>
      <c r="B114" s="401">
        <v>7</v>
      </c>
      <c r="C114" s="401">
        <v>272</v>
      </c>
    </row>
    <row r="115" spans="1:3">
      <c r="A115" s="59"/>
    </row>
    <row r="116" spans="1:3" ht="23.25" customHeight="1">
      <c r="A116" s="2085" t="s">
        <v>2108</v>
      </c>
      <c r="B116" s="2085"/>
      <c r="C116" s="2085"/>
    </row>
  </sheetData>
  <mergeCells count="2">
    <mergeCell ref="A2:C2"/>
    <mergeCell ref="A116:C116"/>
  </mergeCells>
  <pageMargins left="0.70866141732283472" right="0.70866141732283472" top="0.74803149606299213" bottom="0.74803149606299213" header="0.31496062992125984" footer="0.31496062992125984"/>
  <pageSetup paperSize="9" scale="77" fitToHeight="2" orientation="portrait" r:id="rId1"/>
</worksheet>
</file>

<file path=xl/worksheets/sheet237.xml><?xml version="1.0" encoding="utf-8"?>
<worksheet xmlns="http://schemas.openxmlformats.org/spreadsheetml/2006/main" xmlns:r="http://schemas.openxmlformats.org/officeDocument/2006/relationships">
  <dimension ref="A1:K29"/>
  <sheetViews>
    <sheetView zoomScaleNormal="100" workbookViewId="0">
      <selection activeCell="E29" sqref="E29"/>
    </sheetView>
  </sheetViews>
  <sheetFormatPr baseColWidth="10" defaultRowHeight="12"/>
  <cols>
    <col min="1" max="1" width="16.5703125" style="84" customWidth="1"/>
    <col min="2" max="2" width="11" style="84" customWidth="1"/>
    <col min="3" max="4" width="11.28515625" style="84" customWidth="1"/>
    <col min="5" max="5" width="10.7109375" style="84" customWidth="1"/>
    <col min="6" max="6" width="11.85546875" style="84" customWidth="1"/>
    <col min="7" max="7" width="10.85546875" style="84" customWidth="1"/>
    <col min="8" max="8" width="11.7109375" style="84" customWidth="1"/>
    <col min="9" max="9" width="11.140625" style="84" customWidth="1"/>
    <col min="10" max="10" width="10.7109375" style="84" customWidth="1"/>
    <col min="11" max="11" width="11.140625" style="84" customWidth="1"/>
    <col min="12" max="16384" width="11.42578125" style="84"/>
  </cols>
  <sheetData>
    <row r="1" spans="1:11" s="88" customFormat="1" ht="10.5" customHeight="1">
      <c r="A1" s="511"/>
      <c r="C1" s="762"/>
      <c r="D1" s="762"/>
      <c r="E1" s="762"/>
    </row>
    <row r="2" spans="1:11" s="88" customFormat="1" ht="34.5" customHeight="1">
      <c r="A2" s="2166" t="s">
        <v>3258</v>
      </c>
      <c r="B2" s="2166"/>
      <c r="C2" s="2166"/>
      <c r="D2" s="2166"/>
      <c r="E2" s="2166"/>
      <c r="F2" s="2166"/>
      <c r="G2" s="2166"/>
      <c r="H2" s="2166"/>
      <c r="I2" s="2166"/>
      <c r="J2" s="2166"/>
      <c r="K2" s="2166"/>
    </row>
    <row r="3" spans="1:11" s="129" customFormat="1" ht="8.25" customHeight="1">
      <c r="A3" s="763"/>
      <c r="B3" s="79"/>
      <c r="C3" s="79"/>
      <c r="D3" s="79"/>
      <c r="E3" s="79"/>
    </row>
    <row r="4" spans="1:11" s="88" customFormat="1" ht="12.75" customHeight="1">
      <c r="A4" s="2503" t="s">
        <v>0</v>
      </c>
      <c r="B4" s="2504">
        <v>2010</v>
      </c>
      <c r="C4" s="2505"/>
      <c r="D4" s="2504">
        <v>2011</v>
      </c>
      <c r="E4" s="2505"/>
      <c r="F4" s="2504">
        <v>2012</v>
      </c>
      <c r="G4" s="2505"/>
      <c r="H4" s="2504">
        <v>2013</v>
      </c>
      <c r="I4" s="2505"/>
      <c r="J4" s="764">
        <v>2014</v>
      </c>
      <c r="K4" s="765"/>
    </row>
    <row r="5" spans="1:11" s="88" customFormat="1" ht="33.75" customHeight="1">
      <c r="A5" s="2503"/>
      <c r="B5" s="734" t="s">
        <v>3526</v>
      </c>
      <c r="C5" s="734" t="s">
        <v>3527</v>
      </c>
      <c r="D5" s="734" t="s">
        <v>3526</v>
      </c>
      <c r="E5" s="734" t="s">
        <v>3527</v>
      </c>
      <c r="F5" s="734" t="s">
        <v>3526</v>
      </c>
      <c r="G5" s="734" t="s">
        <v>3527</v>
      </c>
      <c r="H5" s="734" t="s">
        <v>3526</v>
      </c>
      <c r="I5" s="734" t="s">
        <v>3527</v>
      </c>
      <c r="J5" s="734" t="s">
        <v>3526</v>
      </c>
      <c r="K5" s="2019" t="s">
        <v>3527</v>
      </c>
    </row>
    <row r="6" spans="1:11" s="88" customFormat="1" ht="12.75" customHeight="1">
      <c r="A6" s="737" t="s">
        <v>3528</v>
      </c>
      <c r="B6" s="766">
        <v>27</v>
      </c>
      <c r="C6" s="766">
        <v>3</v>
      </c>
      <c r="D6" s="766">
        <v>25</v>
      </c>
      <c r="E6" s="766">
        <v>3</v>
      </c>
      <c r="F6" s="767">
        <v>24</v>
      </c>
      <c r="G6" s="768">
        <v>6</v>
      </c>
      <c r="H6" s="769">
        <v>23</v>
      </c>
      <c r="I6" s="768">
        <v>8</v>
      </c>
      <c r="J6" s="770">
        <v>22</v>
      </c>
      <c r="K6" s="770">
        <v>10</v>
      </c>
    </row>
    <row r="7" spans="1:11" s="88" customFormat="1" ht="12.75" customHeight="1">
      <c r="A7" s="771" t="s">
        <v>7</v>
      </c>
      <c r="B7" s="772">
        <v>6</v>
      </c>
      <c r="C7" s="772" t="s">
        <v>55</v>
      </c>
      <c r="D7" s="512">
        <v>7</v>
      </c>
      <c r="E7" s="773" t="s">
        <v>55</v>
      </c>
      <c r="F7" s="773">
        <v>7</v>
      </c>
      <c r="G7" s="772" t="s">
        <v>55</v>
      </c>
      <c r="H7" s="702">
        <v>7</v>
      </c>
      <c r="I7" s="772" t="s">
        <v>55</v>
      </c>
      <c r="J7" s="88">
        <v>7</v>
      </c>
      <c r="K7" s="774" t="s">
        <v>55</v>
      </c>
    </row>
    <row r="8" spans="1:11" s="88" customFormat="1" ht="12.75" customHeight="1">
      <c r="A8" s="771" t="s">
        <v>8</v>
      </c>
      <c r="B8" s="775">
        <v>7</v>
      </c>
      <c r="C8" s="772" t="s">
        <v>55</v>
      </c>
      <c r="D8" s="512">
        <v>7</v>
      </c>
      <c r="E8" s="773" t="s">
        <v>55</v>
      </c>
      <c r="F8" s="773">
        <v>8</v>
      </c>
      <c r="G8" s="772" t="s">
        <v>55</v>
      </c>
      <c r="H8" s="702">
        <v>7</v>
      </c>
      <c r="I8" s="772" t="s">
        <v>55</v>
      </c>
      <c r="J8" s="88">
        <v>7</v>
      </c>
      <c r="K8" s="774" t="s">
        <v>55</v>
      </c>
    </row>
    <row r="9" spans="1:11" s="88" customFormat="1" ht="12.75" customHeight="1">
      <c r="A9" s="771" t="s">
        <v>9</v>
      </c>
      <c r="B9" s="775">
        <v>8</v>
      </c>
      <c r="C9" s="772" t="s">
        <v>55</v>
      </c>
      <c r="D9" s="512">
        <v>8</v>
      </c>
      <c r="E9" s="773" t="s">
        <v>55</v>
      </c>
      <c r="F9" s="773">
        <v>9</v>
      </c>
      <c r="G9" s="772" t="s">
        <v>55</v>
      </c>
      <c r="H9" s="702">
        <v>8</v>
      </c>
      <c r="I9" s="772" t="s">
        <v>55</v>
      </c>
      <c r="J9" s="88">
        <v>9</v>
      </c>
      <c r="K9" s="774" t="s">
        <v>55</v>
      </c>
    </row>
    <row r="10" spans="1:11" s="88" customFormat="1" ht="12.75" customHeight="1">
      <c r="A10" s="771" t="s">
        <v>10</v>
      </c>
      <c r="B10" s="775">
        <v>7</v>
      </c>
      <c r="C10" s="772" t="s">
        <v>55</v>
      </c>
      <c r="D10" s="512">
        <v>7</v>
      </c>
      <c r="E10" s="773" t="s">
        <v>55</v>
      </c>
      <c r="F10" s="773">
        <v>7</v>
      </c>
      <c r="G10" s="772" t="s">
        <v>55</v>
      </c>
      <c r="H10" s="702">
        <v>8</v>
      </c>
      <c r="I10" s="772" t="s">
        <v>55</v>
      </c>
      <c r="J10" s="88">
        <v>8</v>
      </c>
      <c r="K10" s="774" t="s">
        <v>55</v>
      </c>
    </row>
    <row r="11" spans="1:11" s="88" customFormat="1" ht="12.75" customHeight="1">
      <c r="A11" s="771" t="s">
        <v>11</v>
      </c>
      <c r="B11" s="775">
        <v>9</v>
      </c>
      <c r="C11" s="772" t="s">
        <v>55</v>
      </c>
      <c r="D11" s="512">
        <v>8</v>
      </c>
      <c r="E11" s="773" t="s">
        <v>55</v>
      </c>
      <c r="F11" s="773">
        <v>8</v>
      </c>
      <c r="G11" s="772" t="s">
        <v>55</v>
      </c>
      <c r="H11" s="702">
        <v>8</v>
      </c>
      <c r="I11" s="772" t="s">
        <v>55</v>
      </c>
      <c r="J11" s="88">
        <v>8</v>
      </c>
      <c r="K11" s="774" t="s">
        <v>55</v>
      </c>
    </row>
    <row r="12" spans="1:11" s="88" customFormat="1" ht="12.75" customHeight="1">
      <c r="A12" s="771" t="s">
        <v>12</v>
      </c>
      <c r="B12" s="775">
        <v>12</v>
      </c>
      <c r="C12" s="772" t="s">
        <v>55</v>
      </c>
      <c r="D12" s="512">
        <v>11</v>
      </c>
      <c r="E12" s="773" t="s">
        <v>55</v>
      </c>
      <c r="F12" s="773">
        <v>12</v>
      </c>
      <c r="G12" s="772" t="s">
        <v>55</v>
      </c>
      <c r="H12" s="702">
        <v>11</v>
      </c>
      <c r="I12" s="772" t="s">
        <v>55</v>
      </c>
      <c r="J12" s="88">
        <v>11</v>
      </c>
      <c r="K12" s="774" t="s">
        <v>55</v>
      </c>
    </row>
    <row r="13" spans="1:11" s="88" customFormat="1" ht="12.75" customHeight="1">
      <c r="A13" s="771" t="s">
        <v>13</v>
      </c>
      <c r="B13" s="775">
        <v>22</v>
      </c>
      <c r="C13" s="772" t="s">
        <v>55</v>
      </c>
      <c r="D13" s="776">
        <v>19</v>
      </c>
      <c r="E13" s="773" t="s">
        <v>55</v>
      </c>
      <c r="F13" s="773">
        <v>19</v>
      </c>
      <c r="G13" s="772" t="s">
        <v>55</v>
      </c>
      <c r="H13" s="702">
        <v>19</v>
      </c>
      <c r="I13" s="772" t="s">
        <v>55</v>
      </c>
      <c r="J13" s="88">
        <v>18</v>
      </c>
      <c r="K13" s="774" t="s">
        <v>55</v>
      </c>
    </row>
    <row r="14" spans="1:11" s="88" customFormat="1" ht="12.75" customHeight="1">
      <c r="A14" s="771" t="s">
        <v>14</v>
      </c>
      <c r="B14" s="775">
        <v>11</v>
      </c>
      <c r="C14" s="772" t="s">
        <v>55</v>
      </c>
      <c r="D14" s="512">
        <v>11</v>
      </c>
      <c r="E14" s="773" t="s">
        <v>55</v>
      </c>
      <c r="F14" s="773">
        <v>11</v>
      </c>
      <c r="G14" s="772" t="s">
        <v>55</v>
      </c>
      <c r="H14" s="702">
        <v>11</v>
      </c>
      <c r="I14" s="772" t="s">
        <v>55</v>
      </c>
      <c r="J14" s="88">
        <v>11</v>
      </c>
      <c r="K14" s="774" t="s">
        <v>55</v>
      </c>
    </row>
    <row r="15" spans="1:11" s="88" customFormat="1" ht="12.75" customHeight="1">
      <c r="A15" s="771" t="s">
        <v>15</v>
      </c>
      <c r="B15" s="775">
        <v>10</v>
      </c>
      <c r="C15" s="772" t="s">
        <v>55</v>
      </c>
      <c r="D15" s="512">
        <v>12</v>
      </c>
      <c r="E15" s="773" t="s">
        <v>55</v>
      </c>
      <c r="F15" s="773">
        <v>13</v>
      </c>
      <c r="G15" s="772" t="s">
        <v>55</v>
      </c>
      <c r="H15" s="702">
        <v>12</v>
      </c>
      <c r="I15" s="772" t="s">
        <v>55</v>
      </c>
      <c r="J15" s="88">
        <v>12</v>
      </c>
      <c r="K15" s="774" t="s">
        <v>55</v>
      </c>
    </row>
    <row r="16" spans="1:11" s="88" customFormat="1" ht="12.75" customHeight="1">
      <c r="A16" s="771" t="s">
        <v>16</v>
      </c>
      <c r="B16" s="775">
        <v>15</v>
      </c>
      <c r="C16" s="772" t="s">
        <v>55</v>
      </c>
      <c r="D16" s="512">
        <v>14</v>
      </c>
      <c r="E16" s="773" t="s">
        <v>55</v>
      </c>
      <c r="F16" s="773">
        <v>15</v>
      </c>
      <c r="G16" s="772" t="s">
        <v>55</v>
      </c>
      <c r="H16" s="702">
        <v>12</v>
      </c>
      <c r="I16" s="772" t="s">
        <v>55</v>
      </c>
      <c r="J16" s="88">
        <v>12</v>
      </c>
      <c r="K16" s="774" t="s">
        <v>55</v>
      </c>
    </row>
    <row r="17" spans="1:11" s="88" customFormat="1" ht="12.75" customHeight="1">
      <c r="A17" s="771" t="s">
        <v>17</v>
      </c>
      <c r="B17" s="775">
        <v>9</v>
      </c>
      <c r="C17" s="772" t="s">
        <v>55</v>
      </c>
      <c r="D17" s="512">
        <v>10</v>
      </c>
      <c r="E17" s="773" t="s">
        <v>55</v>
      </c>
      <c r="F17" s="773">
        <v>11</v>
      </c>
      <c r="G17" s="772" t="s">
        <v>55</v>
      </c>
      <c r="H17" s="702">
        <v>9</v>
      </c>
      <c r="I17" s="772" t="s">
        <v>55</v>
      </c>
      <c r="J17" s="88">
        <v>11</v>
      </c>
      <c r="K17" s="774" t="s">
        <v>55</v>
      </c>
    </row>
    <row r="18" spans="1:11" s="88" customFormat="1" ht="12.75" customHeight="1">
      <c r="A18" s="771" t="s">
        <v>18</v>
      </c>
      <c r="B18" s="775">
        <v>7</v>
      </c>
      <c r="C18" s="772" t="s">
        <v>55</v>
      </c>
      <c r="D18" s="512">
        <v>9</v>
      </c>
      <c r="E18" s="773" t="s">
        <v>55</v>
      </c>
      <c r="F18" s="773">
        <v>9</v>
      </c>
      <c r="G18" s="772" t="s">
        <v>55</v>
      </c>
      <c r="H18" s="702">
        <v>10</v>
      </c>
      <c r="I18" s="772" t="s">
        <v>55</v>
      </c>
      <c r="J18" s="88">
        <v>10</v>
      </c>
      <c r="K18" s="774" t="s">
        <v>55</v>
      </c>
    </row>
    <row r="19" spans="1:11" s="88" customFormat="1" ht="12.75" customHeight="1">
      <c r="A19" s="771" t="s">
        <v>19</v>
      </c>
      <c r="B19" s="775">
        <v>7</v>
      </c>
      <c r="C19" s="772" t="s">
        <v>55</v>
      </c>
      <c r="D19" s="512">
        <v>8</v>
      </c>
      <c r="E19" s="773" t="s">
        <v>55</v>
      </c>
      <c r="F19" s="773">
        <v>8</v>
      </c>
      <c r="G19" s="772" t="s">
        <v>55</v>
      </c>
      <c r="H19" s="702">
        <v>9</v>
      </c>
      <c r="I19" s="772" t="s">
        <v>55</v>
      </c>
      <c r="J19" s="88">
        <v>9</v>
      </c>
      <c r="K19" s="774" t="s">
        <v>55</v>
      </c>
    </row>
    <row r="20" spans="1:11" s="88" customFormat="1" ht="12.75" customHeight="1">
      <c r="A20" s="771" t="s">
        <v>20</v>
      </c>
      <c r="B20" s="775">
        <v>4</v>
      </c>
      <c r="C20" s="772" t="s">
        <v>55</v>
      </c>
      <c r="D20" s="512">
        <v>4</v>
      </c>
      <c r="E20" s="773" t="s">
        <v>55</v>
      </c>
      <c r="F20" s="773">
        <v>6</v>
      </c>
      <c r="G20" s="772" t="s">
        <v>55</v>
      </c>
      <c r="H20" s="702">
        <v>6</v>
      </c>
      <c r="I20" s="772" t="s">
        <v>55</v>
      </c>
      <c r="J20" s="88">
        <v>6</v>
      </c>
      <c r="K20" s="774" t="s">
        <v>55</v>
      </c>
    </row>
    <row r="21" spans="1:11" s="88" customFormat="1" ht="12.75" customHeight="1">
      <c r="A21" s="771" t="s">
        <v>21</v>
      </c>
      <c r="B21" s="775">
        <v>4</v>
      </c>
      <c r="C21" s="772" t="s">
        <v>55</v>
      </c>
      <c r="D21" s="512">
        <v>5</v>
      </c>
      <c r="E21" s="773" t="s">
        <v>55</v>
      </c>
      <c r="F21" s="773">
        <v>7</v>
      </c>
      <c r="G21" s="772" t="s">
        <v>55</v>
      </c>
      <c r="H21" s="702">
        <v>6</v>
      </c>
      <c r="I21" s="772" t="s">
        <v>55</v>
      </c>
      <c r="J21" s="88">
        <v>6</v>
      </c>
      <c r="K21" s="774" t="s">
        <v>55</v>
      </c>
    </row>
    <row r="22" spans="1:11" s="88" customFormat="1" ht="6.75" customHeight="1">
      <c r="A22" s="556"/>
      <c r="B22" s="777"/>
      <c r="C22" s="774"/>
      <c r="D22" s="778"/>
      <c r="E22" s="779"/>
      <c r="F22" s="779"/>
      <c r="G22" s="774"/>
      <c r="H22" s="774"/>
      <c r="I22" s="774"/>
    </row>
    <row r="23" spans="1:11" s="780" customFormat="1" ht="21" customHeight="1">
      <c r="A23" s="2190" t="s">
        <v>3529</v>
      </c>
      <c r="B23" s="2190"/>
      <c r="C23" s="2190"/>
      <c r="D23" s="2190"/>
      <c r="E23" s="2190"/>
      <c r="F23" s="2190"/>
      <c r="G23" s="2190"/>
      <c r="H23" s="2190"/>
      <c r="I23" s="2190"/>
      <c r="J23" s="2190"/>
      <c r="K23" s="2190"/>
    </row>
    <row r="24" spans="1:11" s="780" customFormat="1" ht="22.5" customHeight="1">
      <c r="A24" s="2190" t="s">
        <v>3530</v>
      </c>
      <c r="B24" s="2190"/>
      <c r="C24" s="2190"/>
      <c r="D24" s="2190"/>
      <c r="E24" s="2190"/>
      <c r="F24" s="2190"/>
      <c r="G24" s="2190"/>
      <c r="H24" s="2190"/>
      <c r="I24" s="2190"/>
      <c r="J24" s="2190"/>
      <c r="K24" s="2190"/>
    </row>
    <row r="25" spans="1:11" s="780" customFormat="1" ht="14.25" customHeight="1">
      <c r="A25" s="2190" t="s">
        <v>3531</v>
      </c>
      <c r="B25" s="2190"/>
      <c r="C25" s="2190"/>
      <c r="D25" s="2190"/>
      <c r="E25" s="2190"/>
      <c r="F25" s="2190"/>
      <c r="G25" s="2190"/>
      <c r="H25" s="2190"/>
      <c r="I25" s="2190"/>
      <c r="J25" s="2190"/>
      <c r="K25" s="2190"/>
    </row>
    <row r="26" spans="1:11" s="780" customFormat="1" ht="21.75" customHeight="1">
      <c r="A26" s="2190" t="s">
        <v>3532</v>
      </c>
      <c r="B26" s="2190"/>
      <c r="C26" s="2190"/>
      <c r="D26" s="2190"/>
      <c r="E26" s="2190"/>
      <c r="F26" s="2190"/>
      <c r="G26" s="2190"/>
      <c r="H26" s="2190"/>
      <c r="I26" s="2190"/>
      <c r="J26" s="2190"/>
      <c r="K26" s="2190"/>
    </row>
    <row r="27" spans="1:11" s="88" customFormat="1" ht="11.25">
      <c r="A27" s="781" t="s">
        <v>1090</v>
      </c>
      <c r="B27" s="732"/>
      <c r="C27" s="732"/>
    </row>
    <row r="28" spans="1:11" s="88" customFormat="1" ht="11.25">
      <c r="A28" s="2214" t="s">
        <v>1771</v>
      </c>
      <c r="B28" s="2214"/>
      <c r="C28" s="2214"/>
      <c r="D28" s="2214"/>
      <c r="E28" s="2214"/>
    </row>
    <row r="29" spans="1:11" s="88" customFormat="1" ht="12.75" customHeight="1">
      <c r="A29" s="782"/>
      <c r="B29" s="782"/>
      <c r="C29" s="782"/>
      <c r="D29" s="782"/>
      <c r="E29" s="782"/>
    </row>
  </sheetData>
  <mergeCells count="11">
    <mergeCell ref="A23:K23"/>
    <mergeCell ref="A24:K24"/>
    <mergeCell ref="A25:K25"/>
    <mergeCell ref="A26:K26"/>
    <mergeCell ref="A28:E28"/>
    <mergeCell ref="A2:K2"/>
    <mergeCell ref="A4:A5"/>
    <mergeCell ref="B4:C4"/>
    <mergeCell ref="D4:E4"/>
    <mergeCell ref="F4:G4"/>
    <mergeCell ref="H4:I4"/>
  </mergeCells>
  <pageMargins left="0.7" right="0.7" top="0.75" bottom="0.75" header="0.3" footer="0.3"/>
  <pageSetup paperSize="14" scale="96" orientation="landscape" r:id="rId1"/>
</worksheet>
</file>

<file path=xl/worksheets/sheet238.xml><?xml version="1.0" encoding="utf-8"?>
<worksheet xmlns="http://schemas.openxmlformats.org/spreadsheetml/2006/main" xmlns:r="http://schemas.openxmlformats.org/officeDocument/2006/relationships">
  <dimension ref="A1:D28"/>
  <sheetViews>
    <sheetView zoomScaleNormal="100" workbookViewId="0">
      <selection activeCell="C37" sqref="C37"/>
    </sheetView>
  </sheetViews>
  <sheetFormatPr baseColWidth="10" defaultRowHeight="12"/>
  <cols>
    <col min="1" max="1" width="28.42578125" style="84" customWidth="1"/>
    <col min="2" max="2" width="17" style="84" customWidth="1"/>
    <col min="3" max="3" width="20.140625" style="84" customWidth="1"/>
    <col min="4" max="4" width="20.7109375" style="84" customWidth="1"/>
    <col min="5" max="5" width="5.7109375" style="84" customWidth="1"/>
    <col min="6" max="16384" width="11.42578125" style="84"/>
  </cols>
  <sheetData>
    <row r="1" spans="1:4">
      <c r="A1" s="511"/>
    </row>
    <row r="2" spans="1:4" s="88" customFormat="1" ht="22.5" customHeight="1">
      <c r="A2" s="2747" t="s">
        <v>2232</v>
      </c>
      <c r="B2" s="2747"/>
      <c r="C2" s="2747"/>
      <c r="D2" s="2747"/>
    </row>
    <row r="3" spans="1:4" s="88" customFormat="1" ht="11.25" customHeight="1">
      <c r="A3" s="722"/>
      <c r="B3" s="722"/>
      <c r="C3" s="722"/>
      <c r="D3" s="722"/>
    </row>
    <row r="4" spans="1:4" s="88" customFormat="1" ht="12.75" customHeight="1">
      <c r="A4" s="2508" t="s">
        <v>0</v>
      </c>
      <c r="B4" s="2504" t="s">
        <v>2233</v>
      </c>
      <c r="C4" s="2511"/>
      <c r="D4" s="2505"/>
    </row>
    <row r="5" spans="1:4" s="88" customFormat="1" ht="12.75" customHeight="1">
      <c r="A5" s="2509"/>
      <c r="B5" s="2157" t="s">
        <v>26</v>
      </c>
      <c r="C5" s="2504" t="s">
        <v>2234</v>
      </c>
      <c r="D5" s="2505"/>
    </row>
    <row r="6" spans="1:4" s="88" customFormat="1" ht="24">
      <c r="A6" s="2510"/>
      <c r="B6" s="2159"/>
      <c r="C6" s="734" t="s">
        <v>3521</v>
      </c>
      <c r="D6" s="734" t="s">
        <v>3522</v>
      </c>
    </row>
    <row r="7" spans="1:4" s="88" customFormat="1" ht="12.75">
      <c r="A7" s="737" t="s">
        <v>3523</v>
      </c>
      <c r="B7" s="754">
        <f t="shared" ref="B7:B22" si="0">SUM(C7:D7)</f>
        <v>11472490</v>
      </c>
      <c r="C7" s="754">
        <f>SUM(C8:C22)</f>
        <v>2503072</v>
      </c>
      <c r="D7" s="755">
        <v>8969418</v>
      </c>
    </row>
    <row r="8" spans="1:4" s="88" customFormat="1" ht="11.25">
      <c r="A8" s="756" t="s">
        <v>7</v>
      </c>
      <c r="B8" s="754">
        <f t="shared" si="0"/>
        <v>32642</v>
      </c>
      <c r="C8" s="757">
        <v>32642</v>
      </c>
      <c r="D8" s="758" t="s">
        <v>55</v>
      </c>
    </row>
    <row r="9" spans="1:4" s="88" customFormat="1" ht="11.25">
      <c r="A9" s="756" t="s">
        <v>8</v>
      </c>
      <c r="B9" s="754">
        <f t="shared" si="0"/>
        <v>47435</v>
      </c>
      <c r="C9" s="757">
        <v>47435</v>
      </c>
      <c r="D9" s="758" t="s">
        <v>55</v>
      </c>
    </row>
    <row r="10" spans="1:4" s="88" customFormat="1" ht="11.25">
      <c r="A10" s="756" t="s">
        <v>9</v>
      </c>
      <c r="B10" s="754">
        <f t="shared" si="0"/>
        <v>113382</v>
      </c>
      <c r="C10" s="757">
        <v>113382</v>
      </c>
      <c r="D10" s="758" t="s">
        <v>55</v>
      </c>
    </row>
    <row r="11" spans="1:4" s="88" customFormat="1" ht="11.25">
      <c r="A11" s="756" t="s">
        <v>10</v>
      </c>
      <c r="B11" s="754">
        <f t="shared" si="0"/>
        <v>35927</v>
      </c>
      <c r="C11" s="757">
        <v>35927</v>
      </c>
      <c r="D11" s="758" t="s">
        <v>55</v>
      </c>
    </row>
    <row r="12" spans="1:4" s="88" customFormat="1" ht="11.25">
      <c r="A12" s="756" t="s">
        <v>11</v>
      </c>
      <c r="B12" s="754">
        <f t="shared" si="0"/>
        <v>80961</v>
      </c>
      <c r="C12" s="757">
        <v>80961</v>
      </c>
      <c r="D12" s="758" t="s">
        <v>55</v>
      </c>
    </row>
    <row r="13" spans="1:4" s="88" customFormat="1" ht="11.25">
      <c r="A13" s="756" t="s">
        <v>12</v>
      </c>
      <c r="B13" s="754">
        <f t="shared" si="0"/>
        <v>278854</v>
      </c>
      <c r="C13" s="757">
        <v>278854</v>
      </c>
      <c r="D13" s="758" t="s">
        <v>55</v>
      </c>
    </row>
    <row r="14" spans="1:4" s="88" customFormat="1" ht="11.25">
      <c r="A14" s="756" t="s">
        <v>13</v>
      </c>
      <c r="B14" s="754">
        <f t="shared" si="0"/>
        <v>1258122</v>
      </c>
      <c r="C14" s="757">
        <v>1258122</v>
      </c>
      <c r="D14" s="758" t="s">
        <v>55</v>
      </c>
    </row>
    <row r="15" spans="1:4" s="88" customFormat="1" ht="11.25">
      <c r="A15" s="756" t="s">
        <v>14</v>
      </c>
      <c r="B15" s="754">
        <f t="shared" si="0"/>
        <v>67929</v>
      </c>
      <c r="C15" s="757">
        <v>67929</v>
      </c>
      <c r="D15" s="758" t="s">
        <v>55</v>
      </c>
    </row>
    <row r="16" spans="1:4" s="88" customFormat="1" ht="11.25">
      <c r="A16" s="756" t="s">
        <v>15</v>
      </c>
      <c r="B16" s="754">
        <f t="shared" si="0"/>
        <v>75987</v>
      </c>
      <c r="C16" s="757">
        <v>75987</v>
      </c>
      <c r="D16" s="758" t="s">
        <v>55</v>
      </c>
    </row>
    <row r="17" spans="1:4" s="88" customFormat="1" ht="11.25">
      <c r="A17" s="756" t="s">
        <v>16</v>
      </c>
      <c r="B17" s="754">
        <f t="shared" si="0"/>
        <v>252643</v>
      </c>
      <c r="C17" s="757">
        <v>252643</v>
      </c>
      <c r="D17" s="758" t="s">
        <v>55</v>
      </c>
    </row>
    <row r="18" spans="1:4" s="88" customFormat="1" ht="11.25">
      <c r="A18" s="756" t="s">
        <v>17</v>
      </c>
      <c r="B18" s="754">
        <f t="shared" si="0"/>
        <v>79137</v>
      </c>
      <c r="C18" s="757">
        <v>79137</v>
      </c>
      <c r="D18" s="758" t="s">
        <v>55</v>
      </c>
    </row>
    <row r="19" spans="1:4" s="88" customFormat="1" ht="11.25">
      <c r="A19" s="756" t="s">
        <v>18</v>
      </c>
      <c r="B19" s="754">
        <f t="shared" si="0"/>
        <v>45748</v>
      </c>
      <c r="C19" s="757">
        <v>45748</v>
      </c>
      <c r="D19" s="758" t="s">
        <v>55</v>
      </c>
    </row>
    <row r="20" spans="1:4" s="88" customFormat="1" ht="11.25">
      <c r="A20" s="756" t="s">
        <v>19</v>
      </c>
      <c r="B20" s="754">
        <f t="shared" si="0"/>
        <v>93755</v>
      </c>
      <c r="C20" s="757">
        <v>93755</v>
      </c>
      <c r="D20" s="758" t="s">
        <v>55</v>
      </c>
    </row>
    <row r="21" spans="1:4" s="88" customFormat="1" ht="11.25">
      <c r="A21" s="756" t="s">
        <v>20</v>
      </c>
      <c r="B21" s="754">
        <f t="shared" si="0"/>
        <v>11617</v>
      </c>
      <c r="C21" s="757">
        <v>11617</v>
      </c>
      <c r="D21" s="758" t="s">
        <v>55</v>
      </c>
    </row>
    <row r="22" spans="1:4" s="88" customFormat="1" ht="11.25">
      <c r="A22" s="756" t="s">
        <v>21</v>
      </c>
      <c r="B22" s="754">
        <f t="shared" si="0"/>
        <v>28933</v>
      </c>
      <c r="C22" s="757">
        <v>28933</v>
      </c>
      <c r="D22" s="758" t="s">
        <v>55</v>
      </c>
    </row>
    <row r="23" spans="1:4" s="88" customFormat="1" ht="11.25">
      <c r="A23" s="556"/>
      <c r="B23" s="759"/>
      <c r="C23" s="757"/>
      <c r="D23" s="758"/>
    </row>
    <row r="24" spans="1:4" s="88" customFormat="1" ht="31.5" customHeight="1">
      <c r="A24" s="2506" t="s">
        <v>4648</v>
      </c>
      <c r="B24" s="2506"/>
      <c r="C24" s="2506"/>
      <c r="D24" s="2506"/>
    </row>
    <row r="25" spans="1:4" s="88" customFormat="1" ht="23.25" customHeight="1">
      <c r="A25" s="2506" t="s">
        <v>3524</v>
      </c>
      <c r="B25" s="2506"/>
      <c r="C25" s="2506"/>
      <c r="D25" s="2506"/>
    </row>
    <row r="26" spans="1:4" s="88" customFormat="1" ht="23.25" customHeight="1">
      <c r="A26" s="2506" t="s">
        <v>3525</v>
      </c>
      <c r="B26" s="2506"/>
      <c r="C26" s="2506"/>
      <c r="D26" s="2506"/>
    </row>
    <row r="27" spans="1:4" s="88" customFormat="1" ht="13.5" customHeight="1">
      <c r="A27" s="760" t="s">
        <v>1090</v>
      </c>
      <c r="B27" s="732"/>
      <c r="C27" s="732"/>
      <c r="D27" s="732"/>
    </row>
    <row r="28" spans="1:4" s="88" customFormat="1" ht="11.25">
      <c r="A28" s="728" t="s">
        <v>2235</v>
      </c>
      <c r="B28" s="732"/>
      <c r="C28" s="732"/>
      <c r="D28" s="761"/>
    </row>
  </sheetData>
  <mergeCells count="8">
    <mergeCell ref="A25:D25"/>
    <mergeCell ref="A26:D26"/>
    <mergeCell ref="A2:D2"/>
    <mergeCell ref="A4:A6"/>
    <mergeCell ref="B4:D4"/>
    <mergeCell ref="B5:B6"/>
    <mergeCell ref="C5:D5"/>
    <mergeCell ref="A24:D24"/>
  </mergeCells>
  <pageMargins left="0.7" right="0.7" top="0.75" bottom="0.75" header="0.3" footer="0.3"/>
  <pageSetup paperSize="14" orientation="landscape" r:id="rId1"/>
</worksheet>
</file>

<file path=xl/worksheets/sheet239.xml><?xml version="1.0" encoding="utf-8"?>
<worksheet xmlns="http://schemas.openxmlformats.org/spreadsheetml/2006/main" xmlns:r="http://schemas.openxmlformats.org/officeDocument/2006/relationships">
  <dimension ref="A1:H37"/>
  <sheetViews>
    <sheetView zoomScaleNormal="100" workbookViewId="0">
      <selection activeCell="A24" sqref="A24"/>
    </sheetView>
  </sheetViews>
  <sheetFormatPr baseColWidth="10" defaultRowHeight="11.25"/>
  <cols>
    <col min="1" max="1" width="22.7109375" style="720" customWidth="1"/>
    <col min="2" max="7" width="13.140625" style="88" bestFit="1" customWidth="1"/>
    <col min="8" max="16384" width="11.42578125" style="88"/>
  </cols>
  <sheetData>
    <row r="1" spans="1:8" ht="8.25" customHeight="1">
      <c r="A1" s="733"/>
      <c r="B1" s="741"/>
      <c r="C1" s="742"/>
      <c r="D1" s="742"/>
    </row>
    <row r="2" spans="1:8">
      <c r="A2" s="2507" t="s">
        <v>2236</v>
      </c>
      <c r="B2" s="2507"/>
      <c r="C2" s="2507"/>
      <c r="D2" s="2507"/>
      <c r="E2" s="2507"/>
      <c r="F2" s="2507"/>
      <c r="G2" s="2507"/>
    </row>
    <row r="3" spans="1:8">
      <c r="A3" s="722"/>
      <c r="B3" s="722"/>
      <c r="C3" s="722"/>
      <c r="D3" s="722"/>
      <c r="E3" s="722"/>
      <c r="F3" s="722"/>
    </row>
    <row r="4" spans="1:8" ht="16.5" customHeight="1">
      <c r="A4" s="2443" t="s">
        <v>2237</v>
      </c>
      <c r="B4" s="2443" t="s">
        <v>671</v>
      </c>
      <c r="C4" s="2443"/>
      <c r="D4" s="2443"/>
      <c r="E4" s="2443"/>
      <c r="F4" s="2443"/>
      <c r="G4" s="2443"/>
    </row>
    <row r="5" spans="1:8" ht="16.5" customHeight="1">
      <c r="A5" s="2443"/>
      <c r="B5" s="734" t="s">
        <v>3314</v>
      </c>
      <c r="C5" s="734" t="s">
        <v>3315</v>
      </c>
      <c r="D5" s="734" t="s">
        <v>3316</v>
      </c>
      <c r="E5" s="734" t="s">
        <v>3317</v>
      </c>
      <c r="F5" s="734" t="s">
        <v>3318</v>
      </c>
      <c r="G5" s="734">
        <v>2014</v>
      </c>
    </row>
    <row r="6" spans="1:8">
      <c r="A6" s="737" t="s">
        <v>6</v>
      </c>
      <c r="B6" s="745">
        <f t="shared" ref="B6:G6" si="0">SUM(B7:B9)</f>
        <v>1689041</v>
      </c>
      <c r="C6" s="745">
        <f t="shared" si="0"/>
        <v>1818403</v>
      </c>
      <c r="D6" s="745">
        <f t="shared" si="0"/>
        <v>2024248</v>
      </c>
      <c r="E6" s="745">
        <f t="shared" si="0"/>
        <v>2185569</v>
      </c>
      <c r="F6" s="745">
        <f t="shared" si="0"/>
        <v>2310542</v>
      </c>
      <c r="G6" s="745">
        <f t="shared" si="0"/>
        <v>2503072</v>
      </c>
    </row>
    <row r="7" spans="1:8">
      <c r="A7" s="740" t="s">
        <v>2238</v>
      </c>
      <c r="B7" s="746">
        <v>1508378</v>
      </c>
      <c r="C7" s="747">
        <v>1583430</v>
      </c>
      <c r="D7" s="748">
        <v>1764538</v>
      </c>
      <c r="E7" s="749">
        <v>1895045</v>
      </c>
      <c r="F7" s="747">
        <v>2020711</v>
      </c>
      <c r="G7" s="746">
        <v>2182254</v>
      </c>
      <c r="H7" s="750"/>
    </row>
    <row r="8" spans="1:8">
      <c r="A8" s="740" t="s">
        <v>2239</v>
      </c>
      <c r="B8" s="746">
        <v>180658</v>
      </c>
      <c r="C8" s="747">
        <v>234973</v>
      </c>
      <c r="D8" s="748">
        <v>259710</v>
      </c>
      <c r="E8" s="749">
        <v>290524</v>
      </c>
      <c r="F8" s="747">
        <v>289831</v>
      </c>
      <c r="G8" s="746">
        <v>320818</v>
      </c>
      <c r="H8" s="750"/>
    </row>
    <row r="9" spans="1:8">
      <c r="A9" s="740" t="s">
        <v>2240</v>
      </c>
      <c r="B9" s="747">
        <v>5</v>
      </c>
      <c r="C9" s="747">
        <v>0</v>
      </c>
      <c r="D9" s="747">
        <v>0</v>
      </c>
      <c r="E9" s="747">
        <v>0</v>
      </c>
      <c r="F9" s="747">
        <v>0</v>
      </c>
      <c r="G9" s="747">
        <v>0</v>
      </c>
    </row>
    <row r="10" spans="1:8" ht="6.75" customHeight="1">
      <c r="A10" s="740"/>
      <c r="B10" s="751"/>
      <c r="C10" s="751"/>
      <c r="D10" s="751"/>
      <c r="E10" s="751"/>
      <c r="F10" s="751"/>
    </row>
    <row r="11" spans="1:8" ht="12.75" customHeight="1">
      <c r="A11" s="672" t="s">
        <v>3518</v>
      </c>
      <c r="B11" s="751"/>
      <c r="C11" s="751"/>
      <c r="D11" s="751"/>
      <c r="E11" s="751"/>
      <c r="F11" s="751"/>
    </row>
    <row r="12" spans="1:8">
      <c r="A12" s="752" t="s">
        <v>161</v>
      </c>
      <c r="B12" s="751"/>
      <c r="C12" s="751"/>
      <c r="D12" s="751"/>
      <c r="F12" s="753"/>
    </row>
    <row r="13" spans="1:8" ht="11.25" customHeight="1">
      <c r="A13" s="728" t="s">
        <v>2241</v>
      </c>
      <c r="B13" s="129"/>
      <c r="C13" s="129"/>
      <c r="D13" s="129"/>
    </row>
    <row r="14" spans="1:8" ht="12" customHeight="1">
      <c r="A14" s="740"/>
      <c r="B14" s="129"/>
      <c r="C14" s="129"/>
      <c r="D14" s="129"/>
    </row>
    <row r="15" spans="1:8" ht="12" customHeight="1"/>
    <row r="16" spans="1:8" ht="12" customHeight="1"/>
    <row r="17" spans="1:4" ht="12" customHeight="1"/>
    <row r="18" spans="1:4" ht="12" customHeight="1"/>
    <row r="19" spans="1:4" ht="12" customHeight="1"/>
    <row r="20" spans="1:4" ht="12" customHeight="1"/>
    <row r="21" spans="1:4" ht="12" customHeight="1"/>
    <row r="22" spans="1:4" ht="12" customHeight="1"/>
    <row r="23" spans="1:4" ht="12" customHeight="1"/>
    <row r="24" spans="1:4" ht="12" customHeight="1"/>
    <row r="25" spans="1:4" ht="12" customHeight="1"/>
    <row r="26" spans="1:4" ht="12.75" customHeight="1">
      <c r="A26" s="740"/>
      <c r="B26" s="129"/>
      <c r="C26" s="129"/>
      <c r="D26" s="129"/>
    </row>
    <row r="27" spans="1:4" ht="12.75" customHeight="1">
      <c r="A27" s="740"/>
      <c r="B27" s="129"/>
      <c r="C27" s="129"/>
      <c r="D27" s="129"/>
    </row>
    <row r="28" spans="1:4" ht="12.75" customHeight="1">
      <c r="A28" s="740"/>
      <c r="B28" s="129"/>
      <c r="C28" s="129"/>
      <c r="D28" s="129"/>
    </row>
    <row r="29" spans="1:4" ht="12.75" customHeight="1">
      <c r="A29" s="740"/>
      <c r="B29" s="129"/>
      <c r="C29" s="129"/>
      <c r="D29" s="129"/>
    </row>
    <row r="30" spans="1:4" ht="12.75" customHeight="1">
      <c r="A30" s="740"/>
      <c r="B30" s="129"/>
      <c r="C30" s="129"/>
      <c r="D30" s="129"/>
    </row>
    <row r="31" spans="1:4" ht="12.75" customHeight="1">
      <c r="A31" s="740"/>
      <c r="B31" s="129"/>
      <c r="C31" s="129"/>
      <c r="D31" s="129"/>
    </row>
    <row r="32" spans="1:4" ht="12.75" customHeight="1">
      <c r="A32" s="740"/>
      <c r="B32" s="129"/>
      <c r="C32" s="129"/>
      <c r="D32" s="129"/>
    </row>
    <row r="33" spans="1:4" ht="12.75" customHeight="1">
      <c r="A33" s="740"/>
      <c r="B33" s="129"/>
      <c r="C33" s="129"/>
      <c r="D33" s="129"/>
    </row>
    <row r="34" spans="1:4" ht="12.75" customHeight="1">
      <c r="A34" s="740"/>
      <c r="B34" s="129"/>
      <c r="C34" s="129"/>
      <c r="D34" s="129"/>
    </row>
    <row r="35" spans="1:4" ht="12.75" customHeight="1">
      <c r="A35" s="740"/>
      <c r="B35" s="129"/>
      <c r="C35" s="129"/>
      <c r="D35" s="129"/>
    </row>
    <row r="36" spans="1:4" ht="12.75" customHeight="1">
      <c r="A36" s="740"/>
      <c r="B36" s="129"/>
      <c r="C36" s="129"/>
      <c r="D36" s="129"/>
    </row>
    <row r="37" spans="1:4" ht="12.75" customHeight="1">
      <c r="A37" s="740"/>
      <c r="B37" s="129"/>
      <c r="C37" s="129"/>
      <c r="D37" s="129"/>
    </row>
  </sheetData>
  <mergeCells count="3">
    <mergeCell ref="A2:G2"/>
    <mergeCell ref="A4:A5"/>
    <mergeCell ref="B4:G4"/>
  </mergeCells>
  <pageMargins left="0.7" right="0.7" top="0.75" bottom="0.75" header="0.3" footer="0.3"/>
  <pageSetup paperSize="14" orientation="landscape" r:id="rId1"/>
</worksheet>
</file>

<file path=xl/worksheets/sheet24.xml><?xml version="1.0" encoding="utf-8"?>
<worksheet xmlns="http://schemas.openxmlformats.org/spreadsheetml/2006/main" xmlns:r="http://schemas.openxmlformats.org/officeDocument/2006/relationships">
  <dimension ref="A1:F24"/>
  <sheetViews>
    <sheetView zoomScaleNormal="100" workbookViewId="0"/>
  </sheetViews>
  <sheetFormatPr baseColWidth="10" defaultRowHeight="11.25"/>
  <cols>
    <col min="1" max="1" width="16.7109375" style="53" customWidth="1"/>
    <col min="2" max="2" width="11.42578125" style="53"/>
    <col min="3" max="3" width="13.140625" style="53" customWidth="1"/>
    <col min="4" max="4" width="13" style="53" customWidth="1"/>
    <col min="5" max="16384" width="11.42578125" style="53"/>
  </cols>
  <sheetData>
    <row r="1" spans="1:6">
      <c r="A1" s="61"/>
    </row>
    <row r="2" spans="1:6" s="148" customFormat="1" ht="22.5" customHeight="1">
      <c r="A2" s="2063" t="s">
        <v>953</v>
      </c>
      <c r="B2" s="2063"/>
      <c r="C2" s="2063"/>
      <c r="D2" s="2063"/>
      <c r="E2" s="2063"/>
      <c r="F2" s="2063"/>
    </row>
    <row r="4" spans="1:6">
      <c r="A4" s="2066" t="s">
        <v>0</v>
      </c>
      <c r="B4" s="2066" t="s">
        <v>24</v>
      </c>
      <c r="C4" s="2066"/>
      <c r="D4" s="2066"/>
      <c r="E4" s="2066"/>
      <c r="F4" s="2066"/>
    </row>
    <row r="5" spans="1:6" ht="33.75">
      <c r="A5" s="2066"/>
      <c r="B5" s="818" t="s">
        <v>2</v>
      </c>
      <c r="C5" s="818" t="s">
        <v>25</v>
      </c>
      <c r="D5" s="818" t="s">
        <v>3</v>
      </c>
      <c r="E5" s="818" t="s">
        <v>4</v>
      </c>
      <c r="F5" s="818" t="s">
        <v>5</v>
      </c>
    </row>
    <row r="6" spans="1:6" s="150" customFormat="1">
      <c r="A6" s="150" t="s">
        <v>6</v>
      </c>
      <c r="B6" s="60">
        <f>SUM(B7:B21)</f>
        <v>45</v>
      </c>
      <c r="C6" s="60">
        <f>SUM(C7:C21)</f>
        <v>1</v>
      </c>
      <c r="D6" s="60">
        <f>SUM(D7:D21)</f>
        <v>37</v>
      </c>
      <c r="E6" s="1202">
        <f>SUM(E7:E21)</f>
        <v>0</v>
      </c>
      <c r="F6" s="60">
        <f>SUM(F7:F21)</f>
        <v>7</v>
      </c>
    </row>
    <row r="7" spans="1:6">
      <c r="A7" s="53" t="s">
        <v>7</v>
      </c>
      <c r="B7" s="1819">
        <f>SUM(C7:F7)</f>
        <v>0</v>
      </c>
      <c r="C7" s="1819">
        <v>0</v>
      </c>
      <c r="D7" s="1819">
        <v>0</v>
      </c>
      <c r="E7" s="1819">
        <v>0</v>
      </c>
      <c r="F7" s="1819">
        <f>SUM(G7:J7)</f>
        <v>0</v>
      </c>
    </row>
    <row r="8" spans="1:6">
      <c r="A8" s="53" t="s">
        <v>8</v>
      </c>
      <c r="B8" s="1819">
        <f>SUM(C8:F8)</f>
        <v>0</v>
      </c>
      <c r="C8" s="1819">
        <v>0</v>
      </c>
      <c r="D8" s="1819">
        <v>0</v>
      </c>
      <c r="E8" s="1819">
        <v>0</v>
      </c>
      <c r="F8" s="1819">
        <f>SUM(G8:J8)</f>
        <v>0</v>
      </c>
    </row>
    <row r="9" spans="1:6">
      <c r="A9" s="53" t="s">
        <v>9</v>
      </c>
      <c r="B9" s="1819">
        <f>SUM(C9:F9)</f>
        <v>0</v>
      </c>
      <c r="C9" s="1819">
        <v>0</v>
      </c>
      <c r="D9" s="1819">
        <v>0</v>
      </c>
      <c r="E9" s="1819">
        <v>0</v>
      </c>
      <c r="F9" s="1819">
        <f>SUM(G9:J9)</f>
        <v>0</v>
      </c>
    </row>
    <row r="10" spans="1:6">
      <c r="A10" s="53" t="s">
        <v>10</v>
      </c>
      <c r="B10" s="1819">
        <f>SUM(C10:F10)</f>
        <v>0</v>
      </c>
      <c r="C10" s="1819">
        <v>0</v>
      </c>
      <c r="D10" s="1819">
        <v>0</v>
      </c>
      <c r="E10" s="1819">
        <v>0</v>
      </c>
      <c r="F10" s="1819">
        <f>SUM(G10:J10)</f>
        <v>0</v>
      </c>
    </row>
    <row r="11" spans="1:6">
      <c r="A11" s="53" t="s">
        <v>11</v>
      </c>
      <c r="B11" s="1819">
        <f>SUM(C11:F11)</f>
        <v>1</v>
      </c>
      <c r="C11" s="1819">
        <v>0</v>
      </c>
      <c r="D11" s="1819">
        <v>1</v>
      </c>
      <c r="E11" s="1819">
        <v>0</v>
      </c>
      <c r="F11" s="1819">
        <f>SUM(G11:J11)</f>
        <v>0</v>
      </c>
    </row>
    <row r="12" spans="1:6">
      <c r="A12" s="53" t="s">
        <v>12</v>
      </c>
      <c r="B12" s="1819">
        <f t="shared" ref="B12:B21" si="0">SUM(C12:F12)</f>
        <v>3</v>
      </c>
      <c r="C12" s="1819">
        <v>0</v>
      </c>
      <c r="D12" s="1819">
        <v>2</v>
      </c>
      <c r="E12" s="1819">
        <v>0</v>
      </c>
      <c r="F12" s="1819">
        <v>1</v>
      </c>
    </row>
    <row r="13" spans="1:6">
      <c r="A13" s="53" t="s">
        <v>13</v>
      </c>
      <c r="B13" s="1819">
        <f t="shared" si="0"/>
        <v>7</v>
      </c>
      <c r="C13" s="1819">
        <v>1</v>
      </c>
      <c r="D13" s="1819">
        <v>6</v>
      </c>
      <c r="E13" s="1819">
        <v>0</v>
      </c>
      <c r="F13" s="1819">
        <f>SUM(G13:J13)</f>
        <v>0</v>
      </c>
    </row>
    <row r="14" spans="1:6" ht="10.5" customHeight="1">
      <c r="A14" s="53" t="s">
        <v>14</v>
      </c>
      <c r="B14" s="1819">
        <f t="shared" si="0"/>
        <v>2</v>
      </c>
      <c r="C14" s="1819">
        <v>0</v>
      </c>
      <c r="D14" s="1819">
        <v>2</v>
      </c>
      <c r="E14" s="1819">
        <v>0</v>
      </c>
      <c r="F14" s="1819">
        <f>SUM(G14:J14)</f>
        <v>0</v>
      </c>
    </row>
    <row r="15" spans="1:6">
      <c r="A15" s="53" t="s">
        <v>15</v>
      </c>
      <c r="B15" s="1819">
        <f t="shared" si="0"/>
        <v>0</v>
      </c>
      <c r="C15" s="1819">
        <v>0</v>
      </c>
      <c r="D15" s="1819">
        <f>SUM(E15:H15)</f>
        <v>0</v>
      </c>
      <c r="E15" s="1819">
        <v>0</v>
      </c>
      <c r="F15" s="1819">
        <f>SUM(G15:J15)</f>
        <v>0</v>
      </c>
    </row>
    <row r="16" spans="1:6">
      <c r="A16" s="53" t="s">
        <v>16</v>
      </c>
      <c r="B16" s="1819">
        <f t="shared" si="0"/>
        <v>17</v>
      </c>
      <c r="C16" s="1819">
        <v>0</v>
      </c>
      <c r="D16" s="1819">
        <v>15</v>
      </c>
      <c r="E16" s="1819">
        <v>0</v>
      </c>
      <c r="F16" s="1819">
        <v>2</v>
      </c>
    </row>
    <row r="17" spans="1:6">
      <c r="A17" s="53" t="s">
        <v>17</v>
      </c>
      <c r="B17" s="1819">
        <f t="shared" si="0"/>
        <v>1</v>
      </c>
      <c r="C17" s="1819">
        <v>0</v>
      </c>
      <c r="D17" s="1819">
        <v>1</v>
      </c>
      <c r="E17" s="1819">
        <v>0</v>
      </c>
      <c r="F17" s="1819">
        <f>SUM(G17:J17)</f>
        <v>0</v>
      </c>
    </row>
    <row r="18" spans="1:6">
      <c r="A18" s="53" t="s">
        <v>18</v>
      </c>
      <c r="B18" s="1819">
        <f t="shared" si="0"/>
        <v>0</v>
      </c>
      <c r="C18" s="1819">
        <v>0</v>
      </c>
      <c r="D18" s="1819">
        <f>SUM(E18:H18)</f>
        <v>0</v>
      </c>
      <c r="E18" s="1819">
        <v>0</v>
      </c>
      <c r="F18" s="1819">
        <f>SUM(G18:J18)</f>
        <v>0</v>
      </c>
    </row>
    <row r="19" spans="1:6">
      <c r="A19" s="53" t="s">
        <v>19</v>
      </c>
      <c r="B19" s="1819">
        <f t="shared" si="0"/>
        <v>4</v>
      </c>
      <c r="C19" s="1819">
        <v>0</v>
      </c>
      <c r="D19" s="1819">
        <v>1</v>
      </c>
      <c r="E19" s="1819">
        <v>0</v>
      </c>
      <c r="F19" s="1819">
        <v>3</v>
      </c>
    </row>
    <row r="20" spans="1:6">
      <c r="A20" s="53" t="s">
        <v>20</v>
      </c>
      <c r="B20" s="1819">
        <f t="shared" si="0"/>
        <v>1</v>
      </c>
      <c r="C20" s="1819">
        <v>0</v>
      </c>
      <c r="D20" s="1819">
        <v>1</v>
      </c>
      <c r="E20" s="1819">
        <v>0</v>
      </c>
      <c r="F20" s="1819">
        <f>SUM(G20:J20)</f>
        <v>0</v>
      </c>
    </row>
    <row r="21" spans="1:6">
      <c r="A21" s="53" t="s">
        <v>21</v>
      </c>
      <c r="B21" s="1819">
        <f t="shared" si="0"/>
        <v>9</v>
      </c>
      <c r="C21" s="1819">
        <v>0</v>
      </c>
      <c r="D21" s="1819">
        <v>8</v>
      </c>
      <c r="E21" s="1819">
        <v>0</v>
      </c>
      <c r="F21" s="1819">
        <v>1</v>
      </c>
    </row>
    <row r="22" spans="1:6" ht="6.75" customHeight="1"/>
    <row r="23" spans="1:6">
      <c r="A23" s="2068" t="s">
        <v>22</v>
      </c>
      <c r="B23" s="2068"/>
      <c r="C23" s="2068"/>
      <c r="D23" s="2068"/>
      <c r="E23" s="2068"/>
      <c r="F23" s="2068"/>
    </row>
    <row r="24" spans="1:6">
      <c r="A24" s="2068" t="s">
        <v>23</v>
      </c>
      <c r="B24" s="2068"/>
      <c r="C24" s="2068"/>
      <c r="D24" s="2068"/>
      <c r="E24" s="2068"/>
      <c r="F24" s="2068"/>
    </row>
  </sheetData>
  <mergeCells count="5">
    <mergeCell ref="A2:F2"/>
    <mergeCell ref="A4:A5"/>
    <mergeCell ref="B4:F4"/>
    <mergeCell ref="A23:F23"/>
    <mergeCell ref="A24:F24"/>
  </mergeCells>
  <pageMargins left="0.7" right="0.7" top="0.75" bottom="0.75" header="0.3" footer="0.3"/>
</worksheet>
</file>

<file path=xl/worksheets/sheet240.xml><?xml version="1.0" encoding="utf-8"?>
<worksheet xmlns="http://schemas.openxmlformats.org/spreadsheetml/2006/main" xmlns:r="http://schemas.openxmlformats.org/officeDocument/2006/relationships">
  <dimension ref="A1:H30"/>
  <sheetViews>
    <sheetView zoomScaleNormal="100" workbookViewId="0">
      <selection activeCell="A15" sqref="A15"/>
    </sheetView>
  </sheetViews>
  <sheetFormatPr baseColWidth="10" defaultRowHeight="11.25"/>
  <cols>
    <col min="1" max="1" width="22.7109375" style="720" customWidth="1"/>
    <col min="2" max="7" width="13.5703125" style="88" customWidth="1"/>
    <col min="8" max="8" width="12.5703125" style="88" customWidth="1"/>
    <col min="9" max="9" width="13.42578125" style="88" customWidth="1"/>
    <col min="10" max="10" width="16" style="88" customWidth="1"/>
    <col min="11" max="11" width="13.42578125" style="88" customWidth="1"/>
    <col min="12" max="16384" width="11.42578125" style="88"/>
  </cols>
  <sheetData>
    <row r="1" spans="1:8" ht="12.75" customHeight="1">
      <c r="A1" s="733"/>
      <c r="B1" s="129"/>
      <c r="C1" s="129"/>
      <c r="D1" s="129"/>
    </row>
    <row r="2" spans="1:8" ht="25.5" customHeight="1">
      <c r="A2" s="2507" t="s">
        <v>2242</v>
      </c>
      <c r="B2" s="2507"/>
      <c r="C2" s="2507"/>
      <c r="D2" s="2507"/>
      <c r="E2" s="2507"/>
      <c r="F2" s="2507"/>
      <c r="G2" s="2507"/>
    </row>
    <row r="3" spans="1:8" ht="15" customHeight="1">
      <c r="A3" s="722"/>
      <c r="B3" s="722"/>
      <c r="C3" s="722"/>
      <c r="D3" s="722"/>
      <c r="E3" s="722"/>
      <c r="F3" s="722"/>
      <c r="G3" s="722"/>
    </row>
    <row r="4" spans="1:8" ht="12" customHeight="1">
      <c r="A4" s="2157" t="s">
        <v>2243</v>
      </c>
      <c r="B4" s="2444" t="s">
        <v>3519</v>
      </c>
      <c r="C4" s="2444"/>
      <c r="D4" s="2444"/>
      <c r="E4" s="2444"/>
      <c r="F4" s="2444"/>
      <c r="G4" s="2444"/>
    </row>
    <row r="5" spans="1:8" ht="15" customHeight="1">
      <c r="A5" s="2158"/>
      <c r="B5" s="2512" t="s">
        <v>2244</v>
      </c>
      <c r="C5" s="2512"/>
      <c r="D5" s="2512"/>
      <c r="E5" s="2512"/>
      <c r="F5" s="2512"/>
      <c r="G5" s="2512"/>
    </row>
    <row r="6" spans="1:8" ht="12" customHeight="1">
      <c r="A6" s="2159"/>
      <c r="B6" s="734" t="s">
        <v>3314</v>
      </c>
      <c r="C6" s="734">
        <v>2010</v>
      </c>
      <c r="D6" s="734" t="s">
        <v>3316</v>
      </c>
      <c r="E6" s="734" t="s">
        <v>3317</v>
      </c>
      <c r="F6" s="734" t="s">
        <v>3318</v>
      </c>
      <c r="G6" s="735">
        <v>2014</v>
      </c>
      <c r="H6" s="736"/>
    </row>
    <row r="7" spans="1:8" ht="12" customHeight="1">
      <c r="A7" s="737" t="s">
        <v>26</v>
      </c>
      <c r="B7" s="738">
        <v>8.866775055618012</v>
      </c>
      <c r="C7" s="738">
        <v>9.2213416378577939</v>
      </c>
      <c r="D7" s="738">
        <v>10.184606078656126</v>
      </c>
      <c r="E7" s="738">
        <v>10.841390645646682</v>
      </c>
      <c r="F7" s="738">
        <v>11.459234266797152</v>
      </c>
      <c r="G7" s="738">
        <v>12.18269877950768</v>
      </c>
      <c r="H7" s="739"/>
    </row>
    <row r="8" spans="1:8" ht="12" customHeight="1">
      <c r="A8" s="737"/>
      <c r="B8" s="738"/>
      <c r="C8" s="738"/>
      <c r="D8" s="738"/>
      <c r="E8" s="738"/>
      <c r="F8" s="738"/>
      <c r="G8" s="738"/>
      <c r="H8" s="739"/>
    </row>
    <row r="9" spans="1:8" ht="24" customHeight="1">
      <c r="A9" s="2506" t="s">
        <v>3520</v>
      </c>
      <c r="B9" s="2506"/>
      <c r="C9" s="2506"/>
      <c r="D9" s="2506"/>
      <c r="E9" s="2506"/>
      <c r="F9" s="2506"/>
      <c r="G9" s="2506"/>
    </row>
    <row r="10" spans="1:8" ht="12.75" customHeight="1">
      <c r="A10" s="672" t="s">
        <v>3518</v>
      </c>
      <c r="B10" s="732"/>
      <c r="C10" s="732"/>
      <c r="D10" s="732"/>
      <c r="E10" s="732"/>
      <c r="F10" s="732"/>
      <c r="G10" s="732"/>
    </row>
    <row r="11" spans="1:8" ht="12" customHeight="1">
      <c r="A11" s="2506" t="s">
        <v>1771</v>
      </c>
      <c r="B11" s="2506"/>
      <c r="C11" s="2506"/>
      <c r="D11" s="2506"/>
    </row>
    <row r="12" spans="1:8" ht="12" customHeight="1">
      <c r="A12" s="740"/>
      <c r="B12" s="741"/>
      <c r="C12" s="742"/>
      <c r="D12" s="742"/>
    </row>
    <row r="13" spans="1:8" ht="12" customHeight="1"/>
    <row r="14" spans="1:8" ht="12" customHeight="1"/>
    <row r="15" spans="1:8" ht="12" customHeight="1">
      <c r="A15" s="88"/>
      <c r="B15" s="720"/>
      <c r="C15" s="743"/>
      <c r="D15" s="743"/>
      <c r="E15" s="744"/>
      <c r="F15" s="744"/>
    </row>
    <row r="16" spans="1:8" ht="12" customHeight="1">
      <c r="A16" s="88"/>
      <c r="B16" s="720"/>
      <c r="C16" s="743"/>
      <c r="D16" s="743"/>
      <c r="E16" s="744"/>
      <c r="F16" s="744"/>
    </row>
    <row r="17" spans="1:6" ht="12" customHeight="1">
      <c r="A17" s="88"/>
      <c r="B17" s="720"/>
      <c r="C17" s="743"/>
      <c r="D17" s="743"/>
      <c r="E17" s="744"/>
      <c r="F17" s="744"/>
    </row>
    <row r="18" spans="1:6" ht="12" customHeight="1"/>
    <row r="19" spans="1:6" ht="12" customHeight="1"/>
    <row r="20" spans="1:6" ht="12" customHeight="1"/>
    <row r="21" spans="1:6" ht="12" customHeight="1"/>
    <row r="22" spans="1:6" ht="12" customHeight="1"/>
    <row r="23" spans="1:6" ht="12" customHeight="1"/>
    <row r="24" spans="1:6" ht="12" customHeight="1"/>
    <row r="25" spans="1:6" ht="12" customHeight="1"/>
    <row r="26" spans="1:6" ht="12" customHeight="1"/>
    <row r="27" spans="1:6" ht="12" customHeight="1"/>
    <row r="28" spans="1:6" ht="12" customHeight="1"/>
    <row r="29" spans="1:6" ht="12" customHeight="1"/>
    <row r="30" spans="1:6" ht="8.25" customHeight="1"/>
  </sheetData>
  <mergeCells count="6">
    <mergeCell ref="A11:D11"/>
    <mergeCell ref="A2:G2"/>
    <mergeCell ref="A4:A6"/>
    <mergeCell ref="B4:G4"/>
    <mergeCell ref="B5:G5"/>
    <mergeCell ref="A9:G9"/>
  </mergeCells>
  <pageMargins left="0.7" right="0.7" top="0.75" bottom="0.75" header="0.3" footer="0.3"/>
  <pageSetup paperSize="14" orientation="landscape" r:id="rId1"/>
</worksheet>
</file>

<file path=xl/worksheets/sheet241.xml><?xml version="1.0" encoding="utf-8"?>
<worksheet xmlns="http://schemas.openxmlformats.org/spreadsheetml/2006/main" xmlns:r="http://schemas.openxmlformats.org/officeDocument/2006/relationships">
  <dimension ref="A1:J12"/>
  <sheetViews>
    <sheetView zoomScaleNormal="100" workbookViewId="0">
      <selection activeCell="C16" sqref="C16"/>
    </sheetView>
  </sheetViews>
  <sheetFormatPr baseColWidth="10" defaultRowHeight="12"/>
  <cols>
    <col min="1" max="1" width="11.42578125" style="84"/>
    <col min="2" max="7" width="12.5703125" style="84" bestFit="1" customWidth="1"/>
    <col min="8" max="8" width="6.42578125" style="84" customWidth="1"/>
    <col min="9" max="16384" width="11.42578125" style="84"/>
  </cols>
  <sheetData>
    <row r="1" spans="1:10">
      <c r="A1" s="511"/>
      <c r="I1" s="82"/>
    </row>
    <row r="2" spans="1:10" s="88" customFormat="1" ht="27.75" customHeight="1">
      <c r="A2" s="2507" t="s">
        <v>2245</v>
      </c>
      <c r="B2" s="2507"/>
      <c r="C2" s="2507"/>
      <c r="D2" s="2507"/>
      <c r="E2" s="2507"/>
      <c r="F2" s="2507"/>
      <c r="G2" s="2507"/>
      <c r="H2" s="77"/>
      <c r="I2" s="77"/>
      <c r="J2" s="77"/>
    </row>
    <row r="3" spans="1:10" s="88" customFormat="1" ht="11.25">
      <c r="A3" s="722"/>
      <c r="B3" s="722"/>
      <c r="C3" s="722"/>
      <c r="D3" s="722"/>
      <c r="E3" s="722"/>
      <c r="F3" s="722"/>
      <c r="G3" s="728"/>
      <c r="H3" s="77"/>
      <c r="I3" s="77"/>
      <c r="J3" s="77"/>
    </row>
    <row r="4" spans="1:10" s="88" customFormat="1" ht="12" customHeight="1">
      <c r="A4" s="2307" t="s">
        <v>6</v>
      </c>
      <c r="B4" s="2513" t="s">
        <v>2246</v>
      </c>
      <c r="C4" s="2514"/>
      <c r="D4" s="2514"/>
      <c r="E4" s="2514"/>
      <c r="F4" s="2514"/>
      <c r="G4" s="2515"/>
      <c r="H4" s="77"/>
      <c r="I4" s="77"/>
      <c r="J4" s="77"/>
    </row>
    <row r="5" spans="1:10" s="88" customFormat="1" ht="12.75">
      <c r="A5" s="2308"/>
      <c r="B5" s="501">
        <v>2009</v>
      </c>
      <c r="C5" s="501">
        <v>2010</v>
      </c>
      <c r="D5" s="501">
        <v>2011</v>
      </c>
      <c r="E5" s="501">
        <v>2012</v>
      </c>
      <c r="F5" s="501" t="s">
        <v>3318</v>
      </c>
      <c r="G5" s="501">
        <v>2014</v>
      </c>
      <c r="H5" s="729"/>
      <c r="I5" s="729"/>
      <c r="J5" s="729"/>
    </row>
    <row r="6" spans="1:10" s="88" customFormat="1" ht="22.5">
      <c r="A6" s="695" t="s">
        <v>2247</v>
      </c>
      <c r="B6" s="730">
        <v>1477476</v>
      </c>
      <c r="C6" s="730">
        <v>1558739</v>
      </c>
      <c r="D6" s="730">
        <v>1755028</v>
      </c>
      <c r="E6" s="730">
        <v>1885140</v>
      </c>
      <c r="F6" s="730">
        <v>2010682</v>
      </c>
      <c r="G6" s="730">
        <v>2174431</v>
      </c>
      <c r="H6" s="698"/>
    </row>
    <row r="7" spans="1:10" s="88" customFormat="1" ht="6.75" customHeight="1">
      <c r="A7" s="695"/>
      <c r="B7" s="730"/>
      <c r="C7" s="730"/>
      <c r="D7" s="730"/>
      <c r="E7" s="730"/>
      <c r="F7" s="730"/>
      <c r="H7" s="698"/>
    </row>
    <row r="8" spans="1:10" s="88" customFormat="1" ht="10.5" customHeight="1">
      <c r="A8" s="672" t="s">
        <v>3518</v>
      </c>
      <c r="B8" s="731"/>
      <c r="C8" s="731"/>
      <c r="D8" s="731"/>
      <c r="H8" s="129"/>
    </row>
    <row r="9" spans="1:10" s="88" customFormat="1" ht="11.25">
      <c r="A9" s="731" t="s">
        <v>2248</v>
      </c>
      <c r="B9" s="732"/>
      <c r="C9" s="732"/>
      <c r="D9" s="732"/>
      <c r="H9" s="129"/>
    </row>
    <row r="10" spans="1:10" s="88" customFormat="1" ht="11.25">
      <c r="A10" s="720"/>
    </row>
    <row r="11" spans="1:10" s="88" customFormat="1" ht="11.25">
      <c r="A11" s="720"/>
    </row>
    <row r="12" spans="1:10" s="88" customFormat="1" ht="11.25">
      <c r="A12" s="720"/>
    </row>
  </sheetData>
  <mergeCells count="3">
    <mergeCell ref="A2:G2"/>
    <mergeCell ref="A4:A5"/>
    <mergeCell ref="B4:G4"/>
  </mergeCells>
  <pageMargins left="0.7" right="0.7" top="0.75" bottom="0.75" header="0.3" footer="0.3"/>
  <pageSetup paperSize="14" orientation="landscape" r:id="rId1"/>
</worksheet>
</file>

<file path=xl/worksheets/sheet242.xml><?xml version="1.0" encoding="utf-8"?>
<worksheet xmlns="http://schemas.openxmlformats.org/spreadsheetml/2006/main" xmlns:r="http://schemas.openxmlformats.org/officeDocument/2006/relationships">
  <dimension ref="A1:H9"/>
  <sheetViews>
    <sheetView zoomScaleNormal="100" workbookViewId="0">
      <selection activeCell="A15" sqref="A15"/>
    </sheetView>
  </sheetViews>
  <sheetFormatPr baseColWidth="10" defaultRowHeight="12"/>
  <cols>
    <col min="1" max="1" width="26.85546875" style="84" customWidth="1"/>
    <col min="2" max="7" width="11.42578125" style="84"/>
    <col min="8" max="8" width="6.140625" style="84" customWidth="1"/>
    <col min="9" max="16384" width="11.42578125" style="84"/>
  </cols>
  <sheetData>
    <row r="1" spans="1:8">
      <c r="A1" s="511"/>
    </row>
    <row r="2" spans="1:8" s="88" customFormat="1" ht="32.25" customHeight="1">
      <c r="A2" s="2507" t="s">
        <v>2249</v>
      </c>
      <c r="B2" s="2507"/>
      <c r="C2" s="2507"/>
      <c r="D2" s="2507"/>
      <c r="E2" s="2507"/>
      <c r="F2" s="2507"/>
      <c r="G2" s="2507"/>
      <c r="H2" s="721"/>
    </row>
    <row r="3" spans="1:8" s="88" customFormat="1" ht="11.25">
      <c r="A3" s="722"/>
      <c r="B3" s="722"/>
      <c r="C3" s="722"/>
      <c r="D3" s="722"/>
      <c r="E3" s="722"/>
      <c r="F3" s="722"/>
      <c r="H3" s="721"/>
    </row>
    <row r="4" spans="1:8" s="88" customFormat="1" ht="12.75" customHeight="1">
      <c r="A4" s="2307" t="s">
        <v>6</v>
      </c>
      <c r="B4" s="2516" t="s">
        <v>2250</v>
      </c>
      <c r="C4" s="2517"/>
      <c r="D4" s="2517"/>
      <c r="E4" s="2517"/>
      <c r="F4" s="2517"/>
      <c r="G4" s="2518"/>
      <c r="H4" s="721"/>
    </row>
    <row r="5" spans="1:8" s="88" customFormat="1" ht="12.75">
      <c r="A5" s="2308"/>
      <c r="B5" s="723">
        <v>2009</v>
      </c>
      <c r="C5" s="724">
        <v>2010</v>
      </c>
      <c r="D5" s="723">
        <v>2011</v>
      </c>
      <c r="E5" s="724">
        <v>2012</v>
      </c>
      <c r="F5" s="723" t="s">
        <v>3318</v>
      </c>
      <c r="G5" s="724">
        <v>2014</v>
      </c>
      <c r="H5" s="721"/>
    </row>
    <row r="6" spans="1:8" s="88" customFormat="1" ht="17.25" customHeight="1">
      <c r="A6" s="714" t="s">
        <v>2251</v>
      </c>
      <c r="B6" s="725">
        <v>9.9640033351407293</v>
      </c>
      <c r="C6" s="726">
        <v>10.596520806080466</v>
      </c>
      <c r="D6" s="725">
        <v>11.688212892642875</v>
      </c>
      <c r="E6" s="726">
        <v>12.506909077074868</v>
      </c>
      <c r="F6" s="727">
        <v>13.102834626660629</v>
      </c>
      <c r="G6" s="727">
        <v>13.973704343958058</v>
      </c>
      <c r="H6" s="672"/>
    </row>
    <row r="7" spans="1:8" s="88" customFormat="1" ht="6.75" customHeight="1">
      <c r="A7" s="714"/>
      <c r="B7" s="725"/>
      <c r="C7" s="726"/>
      <c r="D7" s="725"/>
      <c r="E7" s="726"/>
      <c r="F7" s="726"/>
      <c r="H7" s="672"/>
    </row>
    <row r="8" spans="1:8" s="88" customFormat="1" ht="15" customHeight="1">
      <c r="A8" s="672" t="s">
        <v>3518</v>
      </c>
      <c r="B8" s="725"/>
      <c r="C8" s="726"/>
      <c r="D8" s="725"/>
      <c r="E8" s="726"/>
      <c r="F8" s="726"/>
      <c r="H8" s="672"/>
    </row>
    <row r="9" spans="1:8" s="88" customFormat="1" ht="29.25" customHeight="1">
      <c r="A9" s="2391" t="s">
        <v>2252</v>
      </c>
      <c r="B9" s="2391"/>
      <c r="C9" s="2391"/>
      <c r="D9" s="2391"/>
      <c r="E9" s="2391"/>
      <c r="F9" s="2391"/>
      <c r="H9" s="129"/>
    </row>
  </sheetData>
  <mergeCells count="4">
    <mergeCell ref="A4:A5"/>
    <mergeCell ref="B4:G4"/>
    <mergeCell ref="A9:F9"/>
    <mergeCell ref="A2:G2"/>
  </mergeCells>
  <pageMargins left="0.7" right="0.7" top="0.75" bottom="0.75" header="0.3" footer="0.3"/>
  <pageSetup paperSize="14" orientation="landscape" r:id="rId1"/>
</worksheet>
</file>

<file path=xl/worksheets/sheet243.xml><?xml version="1.0" encoding="utf-8"?>
<worksheet xmlns="http://schemas.openxmlformats.org/spreadsheetml/2006/main" xmlns:r="http://schemas.openxmlformats.org/officeDocument/2006/relationships">
  <dimension ref="A1:AR28"/>
  <sheetViews>
    <sheetView zoomScaleNormal="100" workbookViewId="0">
      <selection activeCell="C33" sqref="C33"/>
    </sheetView>
  </sheetViews>
  <sheetFormatPr baseColWidth="10" defaultRowHeight="12"/>
  <cols>
    <col min="1" max="1" width="15.42578125" style="84" customWidth="1"/>
    <col min="2" max="7" width="11.42578125" style="84"/>
    <col min="8" max="8" width="7.42578125" style="84" customWidth="1"/>
    <col min="9" max="16384" width="11.42578125" style="84"/>
  </cols>
  <sheetData>
    <row r="1" spans="1:44">
      <c r="A1" s="511"/>
    </row>
    <row r="2" spans="1:44" s="88" customFormat="1" ht="27" customHeight="1">
      <c r="A2" s="2748" t="s">
        <v>3192</v>
      </c>
      <c r="B2" s="2748"/>
      <c r="C2" s="2748"/>
      <c r="D2" s="2748"/>
      <c r="E2" s="2748"/>
      <c r="F2" s="2748"/>
      <c r="G2" s="2748"/>
      <c r="H2" s="700"/>
      <c r="I2" s="701"/>
      <c r="J2" s="701"/>
      <c r="K2" s="701"/>
      <c r="L2" s="701"/>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02"/>
      <c r="AM2" s="702"/>
      <c r="AN2" s="702"/>
      <c r="AO2" s="702"/>
      <c r="AP2" s="702"/>
      <c r="AQ2" s="702"/>
      <c r="AR2" s="702"/>
    </row>
    <row r="3" spans="1:44" s="88" customFormat="1" ht="13.5" customHeight="1">
      <c r="A3" s="691"/>
      <c r="B3" s="691"/>
      <c r="C3" s="691"/>
      <c r="D3" s="691"/>
      <c r="E3" s="691"/>
      <c r="F3" s="691"/>
      <c r="G3" s="700"/>
      <c r="H3" s="700"/>
      <c r="I3" s="539"/>
      <c r="J3" s="539"/>
      <c r="K3" s="539"/>
      <c r="L3" s="539"/>
      <c r="M3" s="539"/>
      <c r="N3" s="702"/>
      <c r="O3" s="702"/>
      <c r="P3" s="702"/>
      <c r="Q3" s="702"/>
      <c r="R3" s="702"/>
      <c r="S3" s="702"/>
      <c r="T3" s="702"/>
      <c r="U3" s="702"/>
      <c r="V3" s="702"/>
      <c r="W3" s="702"/>
      <c r="X3" s="702"/>
      <c r="Y3" s="702"/>
      <c r="Z3" s="702"/>
      <c r="AA3" s="702"/>
      <c r="AB3" s="702"/>
      <c r="AC3" s="702"/>
      <c r="AD3" s="702"/>
      <c r="AE3" s="702"/>
      <c r="AF3" s="702"/>
      <c r="AG3" s="702"/>
      <c r="AH3" s="702"/>
      <c r="AI3" s="702"/>
      <c r="AJ3" s="702"/>
      <c r="AK3" s="702"/>
      <c r="AL3" s="702"/>
      <c r="AM3" s="702"/>
      <c r="AN3" s="702"/>
      <c r="AO3" s="702"/>
      <c r="AP3" s="702"/>
      <c r="AQ3" s="702"/>
      <c r="AR3" s="702"/>
    </row>
    <row r="4" spans="1:44" s="88" customFormat="1" ht="24.75" customHeight="1">
      <c r="A4" s="2520" t="s">
        <v>2253</v>
      </c>
      <c r="B4" s="2520" t="s">
        <v>3513</v>
      </c>
      <c r="C4" s="2520"/>
      <c r="D4" s="2520"/>
      <c r="E4" s="2520"/>
      <c r="F4" s="2520"/>
      <c r="G4" s="2520"/>
      <c r="H4" s="700"/>
      <c r="I4" s="666"/>
      <c r="J4" s="666"/>
      <c r="K4" s="666"/>
      <c r="L4" s="666"/>
      <c r="M4" s="666"/>
      <c r="N4" s="702"/>
      <c r="O4" s="666"/>
      <c r="P4" s="666"/>
      <c r="Q4" s="666"/>
      <c r="R4" s="666"/>
      <c r="S4" s="666"/>
      <c r="T4" s="702"/>
      <c r="U4" s="702"/>
      <c r="V4" s="702"/>
      <c r="W4" s="702"/>
      <c r="X4" s="702"/>
      <c r="Y4" s="702"/>
      <c r="Z4" s="702"/>
      <c r="AA4" s="702"/>
      <c r="AB4" s="702"/>
      <c r="AC4" s="702"/>
      <c r="AD4" s="702"/>
      <c r="AE4" s="702"/>
      <c r="AF4" s="702"/>
      <c r="AG4" s="702"/>
      <c r="AH4" s="702"/>
      <c r="AI4" s="702"/>
      <c r="AJ4" s="702"/>
      <c r="AK4" s="702"/>
      <c r="AL4" s="702"/>
      <c r="AM4" s="702"/>
      <c r="AN4" s="702"/>
      <c r="AO4" s="702"/>
      <c r="AP4" s="702"/>
      <c r="AQ4" s="702"/>
      <c r="AR4" s="702"/>
    </row>
    <row r="5" spans="1:44" s="88" customFormat="1" ht="17.25" customHeight="1">
      <c r="A5" s="2520"/>
      <c r="B5" s="501">
        <v>2009</v>
      </c>
      <c r="C5" s="501">
        <v>2010</v>
      </c>
      <c r="D5" s="501">
        <v>2011</v>
      </c>
      <c r="E5" s="501" t="s">
        <v>3317</v>
      </c>
      <c r="F5" s="501" t="s">
        <v>3514</v>
      </c>
      <c r="G5" s="526">
        <v>2014</v>
      </c>
      <c r="H5" s="700"/>
      <c r="I5" s="703"/>
      <c r="J5" s="703"/>
      <c r="K5" s="703"/>
      <c r="L5" s="703"/>
      <c r="M5" s="703"/>
      <c r="N5" s="702"/>
      <c r="O5" s="704"/>
      <c r="P5" s="704"/>
      <c r="Q5" s="704"/>
      <c r="R5" s="704"/>
      <c r="S5" s="704"/>
      <c r="T5" s="704"/>
      <c r="U5" s="702"/>
      <c r="V5" s="702"/>
      <c r="W5" s="702"/>
      <c r="X5" s="702"/>
      <c r="Y5" s="702"/>
      <c r="Z5" s="702"/>
      <c r="AA5" s="702"/>
      <c r="AB5" s="702"/>
      <c r="AC5" s="702"/>
      <c r="AD5" s="702"/>
      <c r="AE5" s="702"/>
      <c r="AF5" s="702"/>
      <c r="AG5" s="702"/>
      <c r="AH5" s="702"/>
      <c r="AI5" s="702"/>
      <c r="AJ5" s="702"/>
      <c r="AK5" s="702"/>
      <c r="AL5" s="702"/>
      <c r="AM5" s="702"/>
      <c r="AN5" s="702"/>
      <c r="AO5" s="702"/>
      <c r="AP5" s="702"/>
      <c r="AQ5" s="702"/>
      <c r="AR5" s="702"/>
    </row>
    <row r="6" spans="1:44" s="88" customFormat="1" ht="11.25">
      <c r="A6" s="695" t="s">
        <v>1971</v>
      </c>
      <c r="B6" s="705" t="s">
        <v>55</v>
      </c>
      <c r="C6" s="705">
        <v>12.897915232700001</v>
      </c>
      <c r="D6" s="705" t="s">
        <v>55</v>
      </c>
      <c r="E6" s="706">
        <v>28.9</v>
      </c>
      <c r="F6" s="706">
        <v>33.700000000000003</v>
      </c>
      <c r="G6" s="705" t="s">
        <v>55</v>
      </c>
      <c r="H6" s="700"/>
      <c r="I6" s="703"/>
      <c r="J6" s="703"/>
      <c r="K6" s="703"/>
      <c r="L6" s="703"/>
      <c r="M6" s="703"/>
      <c r="N6" s="702"/>
      <c r="O6" s="704"/>
      <c r="P6" s="704"/>
      <c r="Q6" s="704"/>
      <c r="R6" s="704"/>
      <c r="S6" s="704"/>
      <c r="T6" s="704"/>
      <c r="U6" s="702"/>
      <c r="V6" s="702"/>
      <c r="W6" s="702"/>
      <c r="X6" s="702"/>
      <c r="Y6" s="702"/>
      <c r="Z6" s="702"/>
      <c r="AA6" s="702"/>
      <c r="AB6" s="702"/>
      <c r="AC6" s="702"/>
      <c r="AD6" s="702"/>
      <c r="AE6" s="702"/>
      <c r="AF6" s="702"/>
      <c r="AG6" s="702"/>
      <c r="AH6" s="702"/>
      <c r="AI6" s="702"/>
      <c r="AJ6" s="702"/>
      <c r="AK6" s="702"/>
      <c r="AL6" s="702"/>
      <c r="AM6" s="702"/>
      <c r="AN6" s="702"/>
      <c r="AO6" s="702"/>
      <c r="AP6" s="702"/>
      <c r="AQ6" s="702"/>
      <c r="AR6" s="702"/>
    </row>
    <row r="7" spans="1:44" s="88" customFormat="1" ht="11.25">
      <c r="A7" s="695" t="s">
        <v>2254</v>
      </c>
      <c r="B7" s="705">
        <v>3.1712493049752308</v>
      </c>
      <c r="C7" s="705">
        <v>4.124961756073084</v>
      </c>
      <c r="D7" s="705">
        <v>5.5043471869229599</v>
      </c>
      <c r="E7" s="706">
        <v>7.3000000000000007</v>
      </c>
      <c r="F7" s="706">
        <v>8.1999999999999993</v>
      </c>
      <c r="G7" s="705" t="s">
        <v>55</v>
      </c>
      <c r="H7" s="700"/>
      <c r="I7" s="703"/>
      <c r="J7" s="703"/>
      <c r="K7" s="703"/>
      <c r="L7" s="703"/>
      <c r="M7" s="703"/>
      <c r="N7" s="702"/>
      <c r="O7" s="704"/>
      <c r="P7" s="704"/>
      <c r="Q7" s="704"/>
      <c r="R7" s="704"/>
      <c r="S7" s="704"/>
      <c r="T7" s="704"/>
      <c r="U7" s="702"/>
      <c r="V7" s="702"/>
      <c r="W7" s="702"/>
      <c r="X7" s="702"/>
      <c r="Y7" s="702"/>
      <c r="Z7" s="702"/>
      <c r="AA7" s="702"/>
      <c r="AB7" s="702"/>
      <c r="AC7" s="702"/>
      <c r="AD7" s="702"/>
      <c r="AE7" s="702"/>
      <c r="AF7" s="702"/>
      <c r="AG7" s="702"/>
      <c r="AH7" s="702"/>
      <c r="AI7" s="702"/>
      <c r="AJ7" s="702"/>
      <c r="AK7" s="702"/>
      <c r="AL7" s="702"/>
      <c r="AM7" s="702"/>
      <c r="AN7" s="702"/>
      <c r="AO7" s="702"/>
      <c r="AP7" s="702"/>
      <c r="AQ7" s="702"/>
      <c r="AR7" s="702"/>
    </row>
    <row r="8" spans="1:44" s="88" customFormat="1" ht="11.25">
      <c r="A8" s="695" t="s">
        <v>2255</v>
      </c>
      <c r="B8" s="705" t="s">
        <v>55</v>
      </c>
      <c r="C8" s="705" t="s">
        <v>55</v>
      </c>
      <c r="D8" s="705">
        <v>3.5415064945775754</v>
      </c>
      <c r="E8" s="706">
        <v>7.6999999999999993</v>
      </c>
      <c r="F8" s="706">
        <v>15.3</v>
      </c>
      <c r="G8" s="705" t="s">
        <v>55</v>
      </c>
      <c r="H8" s="700"/>
      <c r="I8" s="703"/>
      <c r="J8" s="703"/>
      <c r="K8" s="703"/>
      <c r="L8" s="703"/>
      <c r="M8" s="703"/>
      <c r="N8" s="702"/>
      <c r="O8" s="704"/>
      <c r="P8" s="704"/>
      <c r="Q8" s="704"/>
      <c r="R8" s="704"/>
      <c r="S8" s="704"/>
      <c r="T8" s="704"/>
      <c r="U8" s="702"/>
      <c r="V8" s="702"/>
      <c r="W8" s="702"/>
      <c r="X8" s="702"/>
      <c r="Y8" s="702"/>
      <c r="Z8" s="702"/>
      <c r="AA8" s="702"/>
      <c r="AB8" s="702"/>
      <c r="AC8" s="702"/>
      <c r="AD8" s="702"/>
      <c r="AE8" s="702"/>
      <c r="AF8" s="702"/>
      <c r="AG8" s="702"/>
      <c r="AH8" s="702"/>
      <c r="AI8" s="702"/>
      <c r="AJ8" s="702"/>
      <c r="AK8" s="702"/>
      <c r="AL8" s="702"/>
      <c r="AM8" s="702"/>
      <c r="AN8" s="702"/>
      <c r="AO8" s="702"/>
      <c r="AP8" s="702"/>
      <c r="AQ8" s="702"/>
      <c r="AR8" s="702"/>
    </row>
    <row r="9" spans="1:44" s="88" customFormat="1" ht="11.25">
      <c r="A9" s="695" t="s">
        <v>2256</v>
      </c>
      <c r="B9" s="705">
        <v>10.55358125040331</v>
      </c>
      <c r="C9" s="705">
        <v>17.814551861339201</v>
      </c>
      <c r="D9" s="705">
        <v>30.127008610113499</v>
      </c>
      <c r="E9" s="706">
        <v>42.900000000000006</v>
      </c>
      <c r="F9" s="706">
        <v>62.1</v>
      </c>
      <c r="G9" s="705" t="s">
        <v>55</v>
      </c>
      <c r="H9" s="700"/>
      <c r="I9" s="703"/>
      <c r="J9" s="703"/>
      <c r="K9" s="703"/>
      <c r="L9" s="703"/>
      <c r="M9" s="703"/>
      <c r="N9" s="702"/>
      <c r="O9" s="704"/>
      <c r="P9" s="704"/>
      <c r="Q9" s="704"/>
      <c r="R9" s="704"/>
      <c r="S9" s="704"/>
      <c r="T9" s="704"/>
      <c r="U9" s="702"/>
      <c r="V9" s="702"/>
      <c r="W9" s="702"/>
      <c r="X9" s="702"/>
      <c r="Y9" s="702"/>
      <c r="Z9" s="702"/>
      <c r="AA9" s="702"/>
      <c r="AB9" s="702"/>
      <c r="AC9" s="702"/>
      <c r="AD9" s="702"/>
      <c r="AE9" s="702"/>
      <c r="AF9" s="702"/>
      <c r="AG9" s="702"/>
      <c r="AH9" s="702"/>
      <c r="AI9" s="702"/>
      <c r="AJ9" s="702"/>
      <c r="AK9" s="702"/>
      <c r="AL9" s="702"/>
      <c r="AM9" s="702"/>
      <c r="AN9" s="702"/>
      <c r="AO9" s="702"/>
      <c r="AP9" s="702"/>
      <c r="AQ9" s="702"/>
      <c r="AR9" s="702"/>
    </row>
    <row r="10" spans="1:44" s="88" customFormat="1" ht="11.25">
      <c r="A10" s="695" t="s">
        <v>1420</v>
      </c>
      <c r="B10" s="705">
        <v>13.719016979967051</v>
      </c>
      <c r="C10" s="705">
        <v>19.015625580090095</v>
      </c>
      <c r="D10" s="705">
        <v>29.898294656328147</v>
      </c>
      <c r="E10" s="706">
        <v>41.022397722561074</v>
      </c>
      <c r="F10" s="706">
        <v>49.112371505025557</v>
      </c>
      <c r="G10" s="705">
        <v>64</v>
      </c>
      <c r="H10" s="700"/>
      <c r="I10" s="703"/>
      <c r="J10" s="703"/>
      <c r="K10" s="703"/>
      <c r="L10" s="703"/>
      <c r="M10" s="703"/>
      <c r="N10" s="702"/>
      <c r="O10" s="704"/>
      <c r="P10" s="704"/>
      <c r="Q10" s="704"/>
      <c r="R10" s="704"/>
      <c r="S10" s="704"/>
      <c r="T10" s="704"/>
      <c r="U10" s="702"/>
      <c r="V10" s="702"/>
      <c r="W10" s="702"/>
      <c r="X10" s="702"/>
      <c r="Y10" s="702"/>
      <c r="Z10" s="702"/>
      <c r="AA10" s="702"/>
      <c r="AB10" s="702"/>
      <c r="AC10" s="702"/>
      <c r="AD10" s="702"/>
      <c r="AE10" s="702"/>
      <c r="AF10" s="702"/>
      <c r="AG10" s="702"/>
      <c r="AH10" s="702"/>
      <c r="AI10" s="702"/>
      <c r="AJ10" s="702"/>
      <c r="AK10" s="702"/>
      <c r="AL10" s="702"/>
      <c r="AM10" s="702"/>
      <c r="AN10" s="702"/>
      <c r="AO10" s="702"/>
      <c r="AP10" s="702"/>
      <c r="AQ10" s="702"/>
      <c r="AR10" s="702"/>
    </row>
    <row r="11" spans="1:44" s="88" customFormat="1" ht="11.25">
      <c r="A11" s="695" t="s">
        <v>2257</v>
      </c>
      <c r="B11" s="705">
        <v>8.6697008995596629</v>
      </c>
      <c r="C11" s="705">
        <v>12.606912244210831</v>
      </c>
      <c r="D11" s="705">
        <v>17.39798042815044</v>
      </c>
      <c r="E11" s="706">
        <v>18.2</v>
      </c>
      <c r="F11" s="706">
        <v>22.6</v>
      </c>
      <c r="G11" s="705" t="s">
        <v>55</v>
      </c>
      <c r="H11" s="700"/>
      <c r="I11" s="703"/>
      <c r="J11" s="703"/>
      <c r="K11" s="703"/>
      <c r="L11" s="703"/>
      <c r="M11" s="703"/>
      <c r="N11" s="702"/>
      <c r="O11" s="704"/>
      <c r="P11" s="704"/>
      <c r="Q11" s="704"/>
      <c r="R11" s="704"/>
      <c r="S11" s="704"/>
      <c r="T11" s="704"/>
      <c r="U11" s="702"/>
      <c r="V11" s="702"/>
      <c r="W11" s="702"/>
      <c r="X11" s="702"/>
      <c r="Y11" s="702"/>
      <c r="Z11" s="702"/>
      <c r="AA11" s="702"/>
      <c r="AB11" s="702"/>
      <c r="AC11" s="702"/>
      <c r="AD11" s="702"/>
      <c r="AE11" s="702"/>
      <c r="AF11" s="702"/>
      <c r="AG11" s="702"/>
      <c r="AH11" s="702"/>
      <c r="AI11" s="702"/>
      <c r="AJ11" s="702"/>
      <c r="AK11" s="702"/>
      <c r="AL11" s="702"/>
      <c r="AM11" s="702"/>
      <c r="AN11" s="702"/>
      <c r="AO11" s="702"/>
      <c r="AP11" s="702"/>
      <c r="AQ11" s="702"/>
      <c r="AR11" s="702"/>
    </row>
    <row r="12" spans="1:44" s="88" customFormat="1" ht="11.25">
      <c r="A12" s="695" t="s">
        <v>1970</v>
      </c>
      <c r="B12" s="705">
        <v>65.975222503810301</v>
      </c>
      <c r="C12" s="705">
        <v>74.0574673530041</v>
      </c>
      <c r="D12" s="705">
        <v>85.332672535016698</v>
      </c>
      <c r="E12" s="706">
        <v>118.2</v>
      </c>
      <c r="F12" s="706">
        <v>122.1</v>
      </c>
      <c r="G12" s="705" t="s">
        <v>55</v>
      </c>
      <c r="H12" s="700"/>
      <c r="I12" s="703"/>
      <c r="J12" s="703"/>
      <c r="K12" s="703"/>
      <c r="L12" s="703"/>
      <c r="M12" s="703"/>
      <c r="N12" s="702"/>
      <c r="O12" s="704"/>
      <c r="P12" s="704"/>
      <c r="Q12" s="704"/>
      <c r="R12" s="704"/>
      <c r="S12" s="704"/>
      <c r="T12" s="704"/>
      <c r="U12" s="702"/>
      <c r="V12" s="702"/>
      <c r="W12" s="702"/>
      <c r="X12" s="702"/>
      <c r="Y12" s="702"/>
      <c r="Z12" s="702"/>
      <c r="AA12" s="702"/>
      <c r="AB12" s="702"/>
      <c r="AC12" s="702"/>
      <c r="AD12" s="702"/>
      <c r="AE12" s="702"/>
      <c r="AF12" s="702"/>
      <c r="AG12" s="702"/>
      <c r="AH12" s="702"/>
      <c r="AI12" s="702"/>
      <c r="AJ12" s="702"/>
      <c r="AK12" s="702"/>
      <c r="AL12" s="702"/>
      <c r="AM12" s="702"/>
      <c r="AN12" s="702"/>
      <c r="AO12" s="702"/>
      <c r="AP12" s="702"/>
      <c r="AQ12" s="702"/>
      <c r="AR12" s="702"/>
    </row>
    <row r="13" spans="1:44" s="88" customFormat="1" ht="11.25">
      <c r="A13" s="695" t="s">
        <v>2258</v>
      </c>
      <c r="B13" s="705">
        <v>31.550489390304101</v>
      </c>
      <c r="C13" s="705">
        <v>48.439662582986998</v>
      </c>
      <c r="D13" s="705">
        <v>65.615494341339101</v>
      </c>
      <c r="E13" s="706">
        <v>78</v>
      </c>
      <c r="F13" s="706">
        <v>92.800000000000011</v>
      </c>
      <c r="G13" s="705" t="s">
        <v>55</v>
      </c>
      <c r="H13" s="700"/>
      <c r="I13" s="703"/>
      <c r="J13" s="703"/>
      <c r="K13" s="703"/>
      <c r="L13" s="703"/>
      <c r="M13" s="703"/>
      <c r="N13" s="702"/>
      <c r="O13" s="704"/>
      <c r="P13" s="704"/>
      <c r="Q13" s="704"/>
      <c r="R13" s="704"/>
      <c r="S13" s="704"/>
      <c r="T13" s="704"/>
      <c r="U13" s="702"/>
      <c r="V13" s="702"/>
      <c r="W13" s="702"/>
      <c r="X13" s="702"/>
      <c r="Y13" s="702"/>
      <c r="Z13" s="702"/>
      <c r="AA13" s="702"/>
      <c r="AB13" s="702"/>
      <c r="AC13" s="702"/>
      <c r="AD13" s="702"/>
      <c r="AE13" s="702"/>
      <c r="AF13" s="702"/>
      <c r="AG13" s="702"/>
      <c r="AH13" s="702"/>
      <c r="AI13" s="702"/>
      <c r="AJ13" s="702"/>
      <c r="AK13" s="702"/>
      <c r="AL13" s="702"/>
      <c r="AM13" s="702"/>
      <c r="AN13" s="702"/>
      <c r="AO13" s="702"/>
      <c r="AP13" s="702"/>
      <c r="AQ13" s="702"/>
      <c r="AR13" s="702"/>
    </row>
    <row r="14" spans="1:44" s="88" customFormat="1" ht="11.25">
      <c r="A14" s="695" t="s">
        <v>2259</v>
      </c>
      <c r="B14" s="705">
        <v>53.351623404616902</v>
      </c>
      <c r="C14" s="705">
        <v>57.546210796967003</v>
      </c>
      <c r="D14" s="705">
        <v>67.983676058979299</v>
      </c>
      <c r="E14" s="706">
        <v>74.300000000000011</v>
      </c>
      <c r="F14" s="706">
        <v>79.400000000000006</v>
      </c>
      <c r="G14" s="705" t="s">
        <v>55</v>
      </c>
      <c r="H14" s="700"/>
      <c r="I14" s="703"/>
      <c r="J14" s="703"/>
      <c r="K14" s="703"/>
      <c r="L14" s="703"/>
      <c r="M14" s="703"/>
      <c r="N14" s="702"/>
      <c r="O14" s="704"/>
      <c r="P14" s="704"/>
      <c r="Q14" s="704"/>
      <c r="R14" s="704"/>
      <c r="S14" s="704"/>
      <c r="T14" s="704"/>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row>
    <row r="15" spans="1:44" s="88" customFormat="1" ht="11.25">
      <c r="A15" s="695" t="s">
        <v>2260</v>
      </c>
      <c r="B15" s="705">
        <v>8.7122055272659047</v>
      </c>
      <c r="C15" s="705">
        <v>12.926597781432029</v>
      </c>
      <c r="D15" s="705" t="s">
        <v>55</v>
      </c>
      <c r="E15" s="706">
        <v>29.599999999999998</v>
      </c>
      <c r="F15" s="706">
        <v>35</v>
      </c>
      <c r="G15" s="705" t="s">
        <v>55</v>
      </c>
      <c r="H15" s="700"/>
      <c r="I15" s="703"/>
      <c r="J15" s="703"/>
      <c r="K15" s="703"/>
      <c r="L15" s="703"/>
      <c r="M15" s="703"/>
      <c r="N15" s="702"/>
      <c r="O15" s="704"/>
      <c r="P15" s="704"/>
      <c r="Q15" s="704"/>
      <c r="R15" s="704"/>
      <c r="S15" s="704"/>
      <c r="T15" s="704"/>
      <c r="U15" s="702"/>
      <c r="V15" s="702"/>
      <c r="W15" s="702"/>
      <c r="X15" s="702"/>
      <c r="Y15" s="702"/>
      <c r="Z15" s="702"/>
      <c r="AA15" s="702"/>
      <c r="AB15" s="702"/>
      <c r="AC15" s="702"/>
      <c r="AD15" s="702"/>
      <c r="AE15" s="702"/>
      <c r="AF15" s="702"/>
      <c r="AG15" s="702"/>
      <c r="AH15" s="702"/>
      <c r="AI15" s="702"/>
      <c r="AJ15" s="702"/>
      <c r="AK15" s="702"/>
      <c r="AL15" s="702"/>
      <c r="AM15" s="702"/>
      <c r="AN15" s="702"/>
      <c r="AO15" s="702"/>
      <c r="AP15" s="702"/>
      <c r="AQ15" s="702"/>
      <c r="AR15" s="702"/>
    </row>
    <row r="16" spans="1:44" s="88" customFormat="1" ht="11.25">
      <c r="A16" s="695" t="s">
        <v>2261</v>
      </c>
      <c r="B16" s="705" t="s">
        <v>55</v>
      </c>
      <c r="C16" s="705">
        <v>80.544686134386808</v>
      </c>
      <c r="D16" s="705">
        <v>104.6681434602516</v>
      </c>
      <c r="E16" s="706">
        <v>120.5</v>
      </c>
      <c r="F16" s="706">
        <v>136.1</v>
      </c>
      <c r="G16" s="705" t="s">
        <v>55</v>
      </c>
      <c r="H16" s="700"/>
      <c r="I16" s="703"/>
      <c r="J16" s="703"/>
      <c r="K16" s="703"/>
      <c r="L16" s="703"/>
      <c r="M16" s="703"/>
      <c r="N16" s="702"/>
      <c r="O16" s="704"/>
      <c r="P16" s="704"/>
      <c r="Q16" s="704"/>
      <c r="R16" s="704"/>
      <c r="S16" s="704"/>
      <c r="T16" s="704"/>
      <c r="U16" s="702"/>
      <c r="V16" s="702"/>
      <c r="W16" s="702"/>
      <c r="X16" s="702"/>
      <c r="Y16" s="702"/>
      <c r="Z16" s="702"/>
      <c r="AA16" s="702"/>
      <c r="AB16" s="702"/>
      <c r="AC16" s="702"/>
      <c r="AD16" s="702"/>
      <c r="AE16" s="702"/>
      <c r="AF16" s="702"/>
      <c r="AG16" s="702"/>
      <c r="AH16" s="702"/>
      <c r="AI16" s="702"/>
      <c r="AJ16" s="702"/>
      <c r="AK16" s="702"/>
      <c r="AL16" s="702"/>
      <c r="AM16" s="702"/>
      <c r="AN16" s="702"/>
      <c r="AO16" s="702"/>
      <c r="AP16" s="702"/>
      <c r="AQ16" s="702"/>
      <c r="AR16" s="702"/>
    </row>
    <row r="17" spans="1:44" s="88" customFormat="1" ht="11.25">
      <c r="A17" s="695" t="s">
        <v>2262</v>
      </c>
      <c r="B17" s="705">
        <v>105.136607997498</v>
      </c>
      <c r="C17" s="705">
        <v>115.08864044296669</v>
      </c>
      <c r="D17" s="705">
        <v>131.5765147794805</v>
      </c>
      <c r="E17" s="706">
        <v>140.80000000000001</v>
      </c>
      <c r="F17" s="706">
        <v>149.30000000000001</v>
      </c>
      <c r="G17" s="705" t="s">
        <v>55</v>
      </c>
      <c r="H17" s="700"/>
      <c r="I17" s="703"/>
      <c r="J17" s="703"/>
      <c r="K17" s="703"/>
      <c r="L17" s="703"/>
      <c r="M17" s="703"/>
      <c r="N17" s="702"/>
      <c r="O17" s="704"/>
      <c r="P17" s="704"/>
      <c r="Q17" s="704"/>
      <c r="R17" s="704"/>
      <c r="S17" s="704"/>
      <c r="T17" s="704"/>
      <c r="U17" s="702"/>
      <c r="V17" s="702"/>
      <c r="W17" s="702"/>
      <c r="X17" s="702"/>
      <c r="Y17" s="702"/>
      <c r="Z17" s="702"/>
      <c r="AA17" s="702"/>
      <c r="AB17" s="702"/>
      <c r="AC17" s="702"/>
      <c r="AD17" s="702"/>
      <c r="AE17" s="702"/>
      <c r="AF17" s="702"/>
      <c r="AG17" s="702"/>
      <c r="AH17" s="702"/>
      <c r="AI17" s="702"/>
      <c r="AJ17" s="702"/>
      <c r="AK17" s="702"/>
      <c r="AL17" s="702"/>
      <c r="AM17" s="702"/>
      <c r="AN17" s="702"/>
      <c r="AO17" s="702"/>
      <c r="AP17" s="702"/>
      <c r="AQ17" s="702"/>
      <c r="AR17" s="702"/>
    </row>
    <row r="18" spans="1:44" s="88" customFormat="1" ht="11.25">
      <c r="A18" s="695" t="s">
        <v>2263</v>
      </c>
      <c r="B18" s="705">
        <v>65.975222503810301</v>
      </c>
      <c r="C18" s="705">
        <v>74.0574673530041</v>
      </c>
      <c r="D18" s="705">
        <v>85.332672535016698</v>
      </c>
      <c r="E18" s="706">
        <v>111.4</v>
      </c>
      <c r="F18" s="706">
        <v>122.9</v>
      </c>
      <c r="G18" s="705" t="s">
        <v>55</v>
      </c>
      <c r="H18" s="700"/>
      <c r="I18" s="703"/>
      <c r="J18" s="703"/>
      <c r="K18" s="703"/>
      <c r="L18" s="703"/>
      <c r="M18" s="703"/>
      <c r="N18" s="702"/>
      <c r="O18" s="704"/>
      <c r="P18" s="704"/>
      <c r="Q18" s="704"/>
      <c r="R18" s="704"/>
      <c r="S18" s="704"/>
      <c r="T18" s="704"/>
      <c r="U18" s="702"/>
      <c r="V18" s="702"/>
      <c r="W18" s="702"/>
      <c r="X18" s="702"/>
      <c r="Y18" s="702"/>
      <c r="Z18" s="702"/>
      <c r="AA18" s="702"/>
      <c r="AB18" s="702"/>
      <c r="AC18" s="702"/>
      <c r="AD18" s="702"/>
      <c r="AE18" s="702"/>
      <c r="AF18" s="702"/>
      <c r="AG18" s="702"/>
      <c r="AH18" s="702"/>
      <c r="AI18" s="702"/>
      <c r="AJ18" s="702"/>
      <c r="AK18" s="702"/>
      <c r="AL18" s="702"/>
      <c r="AM18" s="702"/>
      <c r="AN18" s="702"/>
      <c r="AO18" s="702"/>
      <c r="AP18" s="702"/>
      <c r="AQ18" s="702"/>
      <c r="AR18" s="702"/>
    </row>
    <row r="19" spans="1:44" s="88" customFormat="1" ht="11.25">
      <c r="A19" s="695" t="s">
        <v>2264</v>
      </c>
      <c r="B19" s="705">
        <v>60.136341282064095</v>
      </c>
      <c r="C19" s="705">
        <v>70.463151802669103</v>
      </c>
      <c r="D19" s="705">
        <v>79.997282889965902</v>
      </c>
      <c r="E19" s="706">
        <v>89.3</v>
      </c>
      <c r="F19" s="706">
        <v>94.699999999999989</v>
      </c>
      <c r="G19" s="705" t="s">
        <v>55</v>
      </c>
      <c r="H19" s="700"/>
      <c r="I19" s="703"/>
      <c r="J19" s="703"/>
      <c r="K19" s="703"/>
      <c r="L19" s="703"/>
      <c r="M19" s="703"/>
      <c r="N19" s="702"/>
      <c r="O19" s="704"/>
      <c r="P19" s="704"/>
      <c r="Q19" s="704"/>
      <c r="R19" s="704"/>
      <c r="S19" s="704"/>
      <c r="T19" s="704"/>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row>
    <row r="20" spans="1:44" s="88" customFormat="1" ht="11.25">
      <c r="A20" s="695" t="s">
        <v>2265</v>
      </c>
      <c r="B20" s="705">
        <v>123.0184486786037</v>
      </c>
      <c r="C20" s="705">
        <v>133.89949572866971</v>
      </c>
      <c r="D20" s="705">
        <v>141.9576203950362</v>
      </c>
      <c r="E20" s="706">
        <v>142.30000000000001</v>
      </c>
      <c r="F20" s="706">
        <v>143.30000000000001</v>
      </c>
      <c r="G20" s="705" t="s">
        <v>55</v>
      </c>
      <c r="H20" s="700"/>
      <c r="I20" s="701"/>
      <c r="J20" s="707"/>
      <c r="K20" s="708"/>
      <c r="L20" s="708"/>
      <c r="M20" s="709"/>
      <c r="N20" s="702"/>
      <c r="O20" s="702"/>
      <c r="P20" s="702"/>
      <c r="Q20" s="702"/>
      <c r="R20" s="702"/>
      <c r="S20" s="702"/>
      <c r="T20" s="702"/>
      <c r="U20" s="702"/>
      <c r="V20" s="702"/>
      <c r="W20" s="702"/>
      <c r="X20" s="702"/>
      <c r="Y20" s="702"/>
      <c r="Z20" s="702"/>
      <c r="AA20" s="702"/>
      <c r="AB20" s="702"/>
      <c r="AC20" s="702"/>
      <c r="AD20" s="702"/>
      <c r="AE20" s="702"/>
      <c r="AF20" s="702"/>
      <c r="AG20" s="702"/>
      <c r="AH20" s="702"/>
      <c r="AI20" s="702"/>
      <c r="AJ20" s="702"/>
      <c r="AK20" s="702"/>
      <c r="AL20" s="702"/>
      <c r="AM20" s="702"/>
      <c r="AN20" s="702"/>
      <c r="AO20" s="702"/>
      <c r="AP20" s="702"/>
      <c r="AQ20" s="702"/>
      <c r="AR20" s="702"/>
    </row>
    <row r="21" spans="1:44" s="88" customFormat="1" ht="11.25">
      <c r="C21" s="710"/>
      <c r="D21" s="79"/>
      <c r="E21" s="79"/>
      <c r="F21" s="72"/>
      <c r="G21" s="72"/>
      <c r="H21" s="700"/>
      <c r="I21" s="711"/>
      <c r="J21" s="707"/>
      <c r="K21" s="708"/>
      <c r="L21" s="708"/>
      <c r="M21" s="709"/>
      <c r="N21" s="702"/>
      <c r="O21" s="702"/>
      <c r="P21" s="702"/>
      <c r="Q21" s="702"/>
      <c r="R21" s="702"/>
      <c r="S21" s="702"/>
      <c r="T21" s="702"/>
      <c r="U21" s="702"/>
      <c r="V21" s="702"/>
      <c r="W21" s="702"/>
      <c r="X21" s="702"/>
      <c r="Y21" s="702"/>
      <c r="Z21" s="702"/>
      <c r="AA21" s="702"/>
      <c r="AB21" s="702"/>
      <c r="AC21" s="702"/>
      <c r="AD21" s="702"/>
      <c r="AE21" s="702"/>
      <c r="AF21" s="702"/>
      <c r="AG21" s="702"/>
      <c r="AH21" s="702"/>
      <c r="AI21" s="702"/>
      <c r="AJ21" s="702"/>
      <c r="AK21" s="702"/>
      <c r="AL21" s="702"/>
      <c r="AM21" s="702"/>
      <c r="AN21" s="702"/>
      <c r="AO21" s="702"/>
      <c r="AP21" s="702"/>
      <c r="AQ21" s="702"/>
      <c r="AR21" s="702"/>
    </row>
    <row r="22" spans="1:44" s="88" customFormat="1" ht="36.75" customHeight="1">
      <c r="A22" s="2521" t="s">
        <v>3515</v>
      </c>
      <c r="B22" s="2521"/>
      <c r="C22" s="2521"/>
      <c r="D22" s="2521"/>
      <c r="E22" s="2521"/>
      <c r="F22" s="2521"/>
      <c r="G22" s="2521"/>
      <c r="H22" s="700"/>
      <c r="I22" s="712"/>
      <c r="J22" s="712"/>
      <c r="K22" s="712"/>
      <c r="L22" s="712"/>
      <c r="M22" s="712"/>
      <c r="N22" s="702"/>
      <c r="O22" s="702"/>
      <c r="P22" s="702"/>
      <c r="Q22" s="702"/>
      <c r="R22" s="702"/>
      <c r="S22" s="702"/>
      <c r="T22" s="702"/>
      <c r="U22" s="702"/>
      <c r="V22" s="702"/>
      <c r="W22" s="702"/>
      <c r="X22" s="702"/>
      <c r="Y22" s="702"/>
      <c r="Z22" s="702"/>
      <c r="AA22" s="702"/>
      <c r="AB22" s="702"/>
      <c r="AC22" s="702"/>
      <c r="AD22" s="702"/>
      <c r="AE22" s="702"/>
      <c r="AF22" s="702"/>
      <c r="AG22" s="702"/>
      <c r="AH22" s="702"/>
      <c r="AI22" s="702"/>
      <c r="AJ22" s="702"/>
      <c r="AK22" s="702"/>
      <c r="AL22" s="702"/>
      <c r="AM22" s="702"/>
      <c r="AN22" s="702"/>
      <c r="AO22" s="702"/>
      <c r="AP22" s="702"/>
      <c r="AQ22" s="702"/>
      <c r="AR22" s="702"/>
    </row>
    <row r="23" spans="1:44" s="88" customFormat="1" ht="34.5" customHeight="1">
      <c r="A23" s="2521" t="s">
        <v>3516</v>
      </c>
      <c r="B23" s="2521"/>
      <c r="C23" s="2521"/>
      <c r="D23" s="2521"/>
      <c r="E23" s="2521"/>
      <c r="F23" s="2521"/>
      <c r="G23" s="2521"/>
      <c r="H23" s="700"/>
      <c r="I23" s="711"/>
      <c r="J23" s="707"/>
      <c r="K23" s="708"/>
      <c r="L23" s="708"/>
      <c r="M23" s="709"/>
      <c r="N23" s="702"/>
      <c r="O23" s="702"/>
      <c r="P23" s="702"/>
      <c r="Q23" s="702"/>
      <c r="R23" s="702"/>
      <c r="S23" s="702"/>
      <c r="T23" s="702"/>
      <c r="U23" s="702"/>
      <c r="V23" s="702"/>
      <c r="W23" s="702"/>
      <c r="X23" s="702"/>
      <c r="Y23" s="702"/>
      <c r="Z23" s="702"/>
      <c r="AA23" s="702"/>
      <c r="AB23" s="702"/>
      <c r="AC23" s="702"/>
      <c r="AD23" s="702"/>
      <c r="AE23" s="702"/>
      <c r="AF23" s="702"/>
      <c r="AG23" s="702"/>
      <c r="AH23" s="702"/>
      <c r="AI23" s="702"/>
      <c r="AJ23" s="702"/>
      <c r="AK23" s="702"/>
      <c r="AL23" s="702"/>
      <c r="AM23" s="702"/>
      <c r="AN23" s="702"/>
      <c r="AO23" s="702"/>
      <c r="AP23" s="702"/>
      <c r="AQ23" s="702"/>
      <c r="AR23" s="702"/>
    </row>
    <row r="24" spans="1:44" s="88" customFormat="1" ht="11.25">
      <c r="A24" s="713" t="s">
        <v>3517</v>
      </c>
      <c r="B24" s="714"/>
      <c r="C24" s="714"/>
      <c r="D24" s="714"/>
      <c r="E24" s="714"/>
      <c r="F24" s="714"/>
      <c r="G24" s="714"/>
      <c r="H24" s="700"/>
      <c r="I24" s="711"/>
      <c r="J24" s="707"/>
      <c r="K24" s="708"/>
      <c r="L24" s="708"/>
      <c r="M24" s="709"/>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702"/>
      <c r="AP24" s="702"/>
      <c r="AQ24" s="702"/>
      <c r="AR24" s="702"/>
    </row>
    <row r="25" spans="1:44" s="88" customFormat="1" ht="10.5" customHeight="1">
      <c r="A25" s="709" t="s">
        <v>160</v>
      </c>
      <c r="B25" s="709"/>
      <c r="C25" s="709"/>
      <c r="D25" s="709"/>
      <c r="E25" s="709"/>
      <c r="F25" s="709"/>
      <c r="G25" s="700"/>
      <c r="H25" s="700"/>
      <c r="I25" s="711"/>
      <c r="J25" s="707"/>
      <c r="K25" s="708"/>
      <c r="L25" s="708"/>
      <c r="M25" s="709"/>
    </row>
    <row r="26" spans="1:44" s="88" customFormat="1" ht="23.25" customHeight="1">
      <c r="A26" s="2506" t="s">
        <v>2252</v>
      </c>
      <c r="B26" s="2506"/>
      <c r="C26" s="2506"/>
      <c r="D26" s="2506"/>
      <c r="E26" s="2506"/>
      <c r="F26" s="2506"/>
      <c r="G26" s="2506"/>
      <c r="H26" s="129"/>
    </row>
    <row r="27" spans="1:44" s="88" customFormat="1" ht="11.25">
      <c r="A27" s="715"/>
      <c r="B27" s="715"/>
      <c r="C27" s="716"/>
      <c r="D27" s="717"/>
      <c r="E27" s="718"/>
      <c r="F27" s="700"/>
      <c r="G27" s="700"/>
      <c r="H27" s="700"/>
      <c r="I27" s="719"/>
      <c r="J27" s="716"/>
      <c r="K27" s="717"/>
      <c r="L27" s="717"/>
      <c r="M27" s="700"/>
    </row>
    <row r="28" spans="1:44" s="88" customFormat="1" ht="11.25">
      <c r="A28" s="720"/>
    </row>
  </sheetData>
  <mergeCells count="6">
    <mergeCell ref="A26:G26"/>
    <mergeCell ref="A2:G2"/>
    <mergeCell ref="A4:A5"/>
    <mergeCell ref="B4:G4"/>
    <mergeCell ref="A22:G22"/>
    <mergeCell ref="A23:G23"/>
  </mergeCells>
  <pageMargins left="0.7" right="0.7" top="0.75" bottom="0.75" header="0.3" footer="0.3"/>
  <pageSetup paperSize="14" orientation="landscape" r:id="rId1"/>
</worksheet>
</file>

<file path=xl/worksheets/sheet244.xml><?xml version="1.0" encoding="utf-8"?>
<worksheet xmlns="http://schemas.openxmlformats.org/spreadsheetml/2006/main" xmlns:r="http://schemas.openxmlformats.org/officeDocument/2006/relationships">
  <dimension ref="A1:I30"/>
  <sheetViews>
    <sheetView zoomScaleNormal="100" workbookViewId="0">
      <selection activeCell="B34" sqref="B34"/>
    </sheetView>
  </sheetViews>
  <sheetFormatPr baseColWidth="10" defaultRowHeight="12"/>
  <cols>
    <col min="1" max="1" width="23.28515625" style="84" customWidth="1"/>
    <col min="2" max="2" width="9.42578125" style="84" customWidth="1"/>
    <col min="3" max="3" width="12" style="84" customWidth="1"/>
    <col min="4" max="4" width="11" style="84" customWidth="1"/>
    <col min="5" max="5" width="9.140625" style="84" customWidth="1"/>
    <col min="6" max="6" width="9.85546875" style="84" customWidth="1"/>
    <col min="7" max="7" width="10.5703125" style="84" customWidth="1"/>
    <col min="8" max="8" width="45" style="84" customWidth="1"/>
    <col min="9" max="9" width="9.140625" style="84" customWidth="1"/>
    <col min="10" max="16384" width="11.42578125" style="84"/>
  </cols>
  <sheetData>
    <row r="1" spans="1:9" s="83" customFormat="1" ht="11.25">
      <c r="A1" s="689"/>
    </row>
    <row r="2" spans="1:9" s="86" customFormat="1" ht="30" customHeight="1">
      <c r="A2" s="2523" t="s">
        <v>2266</v>
      </c>
      <c r="B2" s="2523"/>
      <c r="C2" s="2523"/>
      <c r="D2" s="2523"/>
      <c r="E2" s="2523"/>
      <c r="F2" s="2523"/>
      <c r="G2" s="2523"/>
      <c r="H2" s="2523"/>
      <c r="I2" s="690"/>
    </row>
    <row r="3" spans="1:9" ht="7.5" customHeight="1">
      <c r="A3" s="691"/>
      <c r="B3" s="691"/>
      <c r="C3" s="691"/>
      <c r="D3" s="691"/>
      <c r="E3" s="513"/>
      <c r="F3" s="513"/>
      <c r="G3" s="513"/>
      <c r="H3" s="513"/>
      <c r="I3" s="513"/>
    </row>
    <row r="4" spans="1:9">
      <c r="A4" s="2524" t="s">
        <v>0</v>
      </c>
      <c r="B4" s="2526">
        <v>2013</v>
      </c>
      <c r="C4" s="2527"/>
      <c r="D4" s="2528"/>
      <c r="E4" s="2529">
        <v>2014</v>
      </c>
      <c r="F4" s="2529"/>
      <c r="G4" s="2530"/>
      <c r="H4" s="2531" t="s">
        <v>2267</v>
      </c>
    </row>
    <row r="5" spans="1:9">
      <c r="A5" s="2524"/>
      <c r="B5" s="2508" t="s">
        <v>26</v>
      </c>
      <c r="C5" s="2534" t="s">
        <v>2268</v>
      </c>
      <c r="D5" s="2535"/>
      <c r="E5" s="2536" t="s">
        <v>26</v>
      </c>
      <c r="F5" s="2526" t="s">
        <v>2268</v>
      </c>
      <c r="G5" s="2528"/>
      <c r="H5" s="2532"/>
    </row>
    <row r="6" spans="1:9">
      <c r="A6" s="2525"/>
      <c r="B6" s="2510"/>
      <c r="C6" s="501" t="s">
        <v>2269</v>
      </c>
      <c r="D6" s="501" t="s">
        <v>2270</v>
      </c>
      <c r="E6" s="2537"/>
      <c r="F6" s="501" t="s">
        <v>2269</v>
      </c>
      <c r="G6" s="501" t="s">
        <v>2270</v>
      </c>
      <c r="H6" s="2533"/>
    </row>
    <row r="7" spans="1:9">
      <c r="A7" s="692" t="s">
        <v>679</v>
      </c>
      <c r="B7" s="693">
        <f t="shared" ref="B7:B23" si="0">SUM(C7:D7)</f>
        <v>105070</v>
      </c>
      <c r="C7" s="677">
        <f>SUM(C8:C23)</f>
        <v>46036</v>
      </c>
      <c r="D7" s="694">
        <f>SUM(D8:D23)</f>
        <v>59034</v>
      </c>
      <c r="E7" s="693">
        <f t="shared" ref="E7:E23" si="1">SUM(F7:G7)</f>
        <v>89928</v>
      </c>
      <c r="F7" s="677">
        <f>SUM(F8:F23)</f>
        <v>40361</v>
      </c>
      <c r="G7" s="677">
        <f>SUM(G8:G23)</f>
        <v>49567</v>
      </c>
      <c r="H7" s="695"/>
    </row>
    <row r="8" spans="1:9">
      <c r="A8" s="696" t="s">
        <v>7</v>
      </c>
      <c r="B8" s="693">
        <f t="shared" si="0"/>
        <v>3436</v>
      </c>
      <c r="C8" s="558">
        <v>1652</v>
      </c>
      <c r="D8" s="697">
        <v>1784</v>
      </c>
      <c r="E8" s="693">
        <f t="shared" si="1"/>
        <v>2985</v>
      </c>
      <c r="F8" s="558">
        <v>1542</v>
      </c>
      <c r="G8" s="558">
        <v>1443</v>
      </c>
      <c r="H8" s="698" t="s">
        <v>2271</v>
      </c>
    </row>
    <row r="9" spans="1:9">
      <c r="A9" s="696" t="s">
        <v>8</v>
      </c>
      <c r="B9" s="693">
        <f t="shared" si="0"/>
        <v>4183</v>
      </c>
      <c r="C9" s="558">
        <v>2019</v>
      </c>
      <c r="D9" s="697">
        <v>2164</v>
      </c>
      <c r="E9" s="693">
        <f t="shared" si="1"/>
        <v>3555</v>
      </c>
      <c r="F9" s="558">
        <v>1736</v>
      </c>
      <c r="G9" s="558">
        <v>1819</v>
      </c>
      <c r="H9" s="698" t="s">
        <v>2272</v>
      </c>
    </row>
    <row r="10" spans="1:9" ht="22.5">
      <c r="A10" s="696" t="s">
        <v>9</v>
      </c>
      <c r="B10" s="693">
        <f t="shared" si="0"/>
        <v>2689</v>
      </c>
      <c r="C10" s="558">
        <v>1300</v>
      </c>
      <c r="D10" s="697">
        <v>1389</v>
      </c>
      <c r="E10" s="693">
        <f t="shared" si="1"/>
        <v>2633</v>
      </c>
      <c r="F10" s="558">
        <v>1316</v>
      </c>
      <c r="G10" s="558">
        <v>1317</v>
      </c>
      <c r="H10" s="698" t="s">
        <v>2273</v>
      </c>
    </row>
    <row r="11" spans="1:9">
      <c r="A11" s="696" t="s">
        <v>10</v>
      </c>
      <c r="B11" s="693">
        <f t="shared" si="0"/>
        <v>2484</v>
      </c>
      <c r="C11" s="558">
        <v>1131</v>
      </c>
      <c r="D11" s="697">
        <v>1353</v>
      </c>
      <c r="E11" s="693">
        <f t="shared" si="1"/>
        <v>2928</v>
      </c>
      <c r="F11" s="558">
        <v>1369</v>
      </c>
      <c r="G11" s="558">
        <v>1559</v>
      </c>
      <c r="H11" s="698" t="s">
        <v>2274</v>
      </c>
    </row>
    <row r="12" spans="1:9">
      <c r="A12" s="696" t="s">
        <v>11</v>
      </c>
      <c r="B12" s="693">
        <f t="shared" si="0"/>
        <v>2092</v>
      </c>
      <c r="C12" s="558">
        <v>926</v>
      </c>
      <c r="D12" s="697">
        <v>1166</v>
      </c>
      <c r="E12" s="693">
        <f t="shared" si="1"/>
        <v>1414</v>
      </c>
      <c r="F12" s="558">
        <v>618</v>
      </c>
      <c r="G12" s="558">
        <v>796</v>
      </c>
      <c r="H12" s="698" t="s">
        <v>2275</v>
      </c>
    </row>
    <row r="13" spans="1:9" ht="24">
      <c r="A13" s="671" t="s">
        <v>3509</v>
      </c>
      <c r="B13" s="693">
        <f t="shared" si="0"/>
        <v>4979</v>
      </c>
      <c r="C13" s="558">
        <v>2145</v>
      </c>
      <c r="D13" s="697">
        <v>2834</v>
      </c>
      <c r="E13" s="693">
        <f t="shared" si="1"/>
        <v>3237</v>
      </c>
      <c r="F13" s="558">
        <v>1438</v>
      </c>
      <c r="G13" s="558">
        <v>1799</v>
      </c>
      <c r="H13" s="698" t="s">
        <v>2275</v>
      </c>
    </row>
    <row r="14" spans="1:9" ht="12.75">
      <c r="A14" s="671" t="s">
        <v>3510</v>
      </c>
      <c r="B14" s="693">
        <f t="shared" si="0"/>
        <v>466</v>
      </c>
      <c r="C14" s="558">
        <v>251</v>
      </c>
      <c r="D14" s="697">
        <v>215</v>
      </c>
      <c r="E14" s="693">
        <f t="shared" si="1"/>
        <v>352</v>
      </c>
      <c r="F14" s="558">
        <v>179</v>
      </c>
      <c r="G14" s="558">
        <v>173</v>
      </c>
      <c r="H14" s="698" t="s">
        <v>2276</v>
      </c>
    </row>
    <row r="15" spans="1:9">
      <c r="A15" s="696" t="s">
        <v>13</v>
      </c>
      <c r="B15" s="693">
        <f t="shared" si="0"/>
        <v>24881</v>
      </c>
      <c r="C15" s="558">
        <v>10372</v>
      </c>
      <c r="D15" s="697">
        <v>14509</v>
      </c>
      <c r="E15" s="693">
        <f t="shared" si="1"/>
        <v>21724</v>
      </c>
      <c r="F15" s="558">
        <v>9291</v>
      </c>
      <c r="G15" s="558">
        <v>12433</v>
      </c>
      <c r="H15" s="698" t="s">
        <v>2275</v>
      </c>
    </row>
    <row r="16" spans="1:9">
      <c r="A16" s="696" t="s">
        <v>14</v>
      </c>
      <c r="B16" s="693">
        <f t="shared" si="0"/>
        <v>2563</v>
      </c>
      <c r="C16" s="558">
        <v>1125</v>
      </c>
      <c r="D16" s="697">
        <v>1438</v>
      </c>
      <c r="E16" s="693">
        <f t="shared" si="1"/>
        <v>1888</v>
      </c>
      <c r="F16" s="558">
        <v>843</v>
      </c>
      <c r="G16" s="558">
        <v>1045</v>
      </c>
      <c r="H16" s="698" t="s">
        <v>2275</v>
      </c>
    </row>
    <row r="17" spans="1:9">
      <c r="A17" s="696" t="s">
        <v>15</v>
      </c>
      <c r="B17" s="693">
        <f t="shared" si="0"/>
        <v>2465</v>
      </c>
      <c r="C17" s="558">
        <v>1089</v>
      </c>
      <c r="D17" s="697">
        <v>1376</v>
      </c>
      <c r="E17" s="693">
        <f t="shared" si="1"/>
        <v>1919</v>
      </c>
      <c r="F17" s="558">
        <v>843</v>
      </c>
      <c r="G17" s="558">
        <v>1076</v>
      </c>
      <c r="H17" s="698" t="s">
        <v>2277</v>
      </c>
    </row>
    <row r="18" spans="1:9">
      <c r="A18" s="696" t="s">
        <v>16</v>
      </c>
      <c r="B18" s="693">
        <f t="shared" si="0"/>
        <v>10303</v>
      </c>
      <c r="C18" s="558">
        <v>4726</v>
      </c>
      <c r="D18" s="697">
        <v>5577</v>
      </c>
      <c r="E18" s="693">
        <f t="shared" si="1"/>
        <v>7807</v>
      </c>
      <c r="F18" s="558">
        <v>3670</v>
      </c>
      <c r="G18" s="558">
        <v>4137</v>
      </c>
      <c r="H18" s="698" t="s">
        <v>2277</v>
      </c>
    </row>
    <row r="19" spans="1:9">
      <c r="A19" s="696" t="s">
        <v>17</v>
      </c>
      <c r="B19" s="693">
        <f t="shared" si="0"/>
        <v>12984</v>
      </c>
      <c r="C19" s="558">
        <v>5804</v>
      </c>
      <c r="D19" s="697">
        <v>7180</v>
      </c>
      <c r="E19" s="693">
        <f t="shared" si="1"/>
        <v>13283</v>
      </c>
      <c r="F19" s="558">
        <v>6004</v>
      </c>
      <c r="G19" s="558">
        <v>7279</v>
      </c>
      <c r="H19" s="698" t="s">
        <v>2278</v>
      </c>
    </row>
    <row r="20" spans="1:9">
      <c r="A20" s="696" t="s">
        <v>18</v>
      </c>
      <c r="B20" s="693">
        <f t="shared" si="0"/>
        <v>4481</v>
      </c>
      <c r="C20" s="558">
        <v>1921</v>
      </c>
      <c r="D20" s="697">
        <v>2560</v>
      </c>
      <c r="E20" s="693">
        <f t="shared" si="1"/>
        <v>3868</v>
      </c>
      <c r="F20" s="558">
        <v>1693</v>
      </c>
      <c r="G20" s="558">
        <v>2175</v>
      </c>
      <c r="H20" s="698" t="s">
        <v>2279</v>
      </c>
    </row>
    <row r="21" spans="1:9">
      <c r="A21" s="696" t="s">
        <v>19</v>
      </c>
      <c r="B21" s="693">
        <f t="shared" si="0"/>
        <v>21791</v>
      </c>
      <c r="C21" s="558">
        <v>9132</v>
      </c>
      <c r="D21" s="697">
        <v>12659</v>
      </c>
      <c r="E21" s="693">
        <f t="shared" si="1"/>
        <v>17846</v>
      </c>
      <c r="F21" s="558">
        <v>7671</v>
      </c>
      <c r="G21" s="558">
        <v>10175</v>
      </c>
      <c r="H21" s="698" t="s">
        <v>2280</v>
      </c>
    </row>
    <row r="22" spans="1:9">
      <c r="A22" s="696" t="s">
        <v>20</v>
      </c>
      <c r="B22" s="693">
        <f t="shared" si="0"/>
        <v>2807</v>
      </c>
      <c r="C22" s="558">
        <v>1207</v>
      </c>
      <c r="D22" s="697">
        <v>1600</v>
      </c>
      <c r="E22" s="693">
        <f t="shared" si="1"/>
        <v>1788</v>
      </c>
      <c r="F22" s="558">
        <v>807</v>
      </c>
      <c r="G22" s="558">
        <v>981</v>
      </c>
      <c r="H22" s="698" t="s">
        <v>2281</v>
      </c>
    </row>
    <row r="23" spans="1:9">
      <c r="A23" s="696" t="s">
        <v>21</v>
      </c>
      <c r="B23" s="693">
        <f t="shared" si="0"/>
        <v>2466</v>
      </c>
      <c r="C23" s="558">
        <v>1236</v>
      </c>
      <c r="D23" s="697">
        <v>1230</v>
      </c>
      <c r="E23" s="693">
        <f t="shared" si="1"/>
        <v>2701</v>
      </c>
      <c r="F23" s="558">
        <v>1341</v>
      </c>
      <c r="G23" s="558">
        <v>1360</v>
      </c>
      <c r="H23" s="698" t="s">
        <v>2282</v>
      </c>
    </row>
    <row r="24" spans="1:9">
      <c r="A24" s="696"/>
      <c r="B24" s="558"/>
      <c r="F24" s="558"/>
      <c r="G24" s="698"/>
      <c r="H24" s="513"/>
      <c r="I24" s="513"/>
    </row>
    <row r="25" spans="1:9">
      <c r="A25" s="2522" t="s">
        <v>3511</v>
      </c>
      <c r="B25" s="2522"/>
      <c r="C25" s="2522"/>
      <c r="D25" s="2522"/>
      <c r="E25" s="513"/>
      <c r="F25" s="513"/>
      <c r="G25" s="513"/>
      <c r="H25" s="513"/>
      <c r="I25" s="513"/>
    </row>
    <row r="26" spans="1:9">
      <c r="A26" s="2522" t="s">
        <v>3512</v>
      </c>
      <c r="B26" s="2522"/>
      <c r="C26" s="2522"/>
      <c r="D26" s="2522"/>
      <c r="E26" s="513"/>
    </row>
    <row r="27" spans="1:9">
      <c r="A27" s="2521" t="s">
        <v>2283</v>
      </c>
      <c r="B27" s="2521"/>
      <c r="C27" s="2521"/>
      <c r="D27" s="2521"/>
      <c r="E27" s="513"/>
    </row>
    <row r="28" spans="1:9">
      <c r="A28" s="695"/>
      <c r="B28" s="695"/>
      <c r="C28" s="695"/>
      <c r="D28" s="695"/>
      <c r="E28" s="513"/>
    </row>
    <row r="29" spans="1:9" ht="14.25" customHeight="1">
      <c r="A29" s="699"/>
      <c r="B29" s="699"/>
      <c r="C29" s="699"/>
      <c r="D29" s="699"/>
      <c r="E29" s="699"/>
      <c r="F29" s="699"/>
      <c r="G29" s="699"/>
      <c r="H29" s="699"/>
    </row>
    <row r="30" spans="1:9" ht="15" customHeight="1">
      <c r="A30" s="699"/>
      <c r="B30" s="699"/>
      <c r="C30" s="699"/>
      <c r="D30" s="699"/>
      <c r="E30" s="699"/>
      <c r="F30" s="699"/>
      <c r="G30" s="699"/>
      <c r="H30" s="699"/>
    </row>
  </sheetData>
  <mergeCells count="12">
    <mergeCell ref="A25:D25"/>
    <mergeCell ref="A26:D26"/>
    <mergeCell ref="A27:D27"/>
    <mergeCell ref="A2:H2"/>
    <mergeCell ref="A4:A6"/>
    <mergeCell ref="B4:D4"/>
    <mergeCell ref="E4:G4"/>
    <mergeCell ref="H4:H6"/>
    <mergeCell ref="B5:B6"/>
    <mergeCell ref="C5:D5"/>
    <mergeCell ref="E5:E6"/>
    <mergeCell ref="F5:G5"/>
  </mergeCells>
  <pageMargins left="0.70866141732283472" right="0.39" top="0.54" bottom="0.56000000000000005" header="0.31496062992125984" footer="0.31496062992125984"/>
  <pageSetup scale="85" orientation="landscape" r:id="rId1"/>
</worksheet>
</file>

<file path=xl/worksheets/sheet245.xml><?xml version="1.0" encoding="utf-8"?>
<worksheet xmlns="http://schemas.openxmlformats.org/spreadsheetml/2006/main" xmlns:r="http://schemas.openxmlformats.org/officeDocument/2006/relationships">
  <dimension ref="A2:G17"/>
  <sheetViews>
    <sheetView zoomScaleNormal="100" workbookViewId="0">
      <selection activeCell="B24" sqref="B24"/>
    </sheetView>
  </sheetViews>
  <sheetFormatPr baseColWidth="10" defaultRowHeight="12"/>
  <cols>
    <col min="1" max="1" width="20.5703125" style="84" customWidth="1"/>
    <col min="2" max="2" width="13" style="84" customWidth="1"/>
    <col min="3" max="3" width="12.28515625" style="84" customWidth="1"/>
    <col min="4" max="4" width="13.28515625" style="84" customWidth="1"/>
    <col min="5" max="5" width="12.5703125" style="84" customWidth="1"/>
    <col min="6" max="6" width="12.85546875" style="84" customWidth="1"/>
    <col min="7" max="16384" width="11.42578125" style="84"/>
  </cols>
  <sheetData>
    <row r="2" spans="1:7" ht="27.75" customHeight="1">
      <c r="A2" s="2539" t="s">
        <v>2284</v>
      </c>
      <c r="B2" s="2539"/>
      <c r="C2" s="2539"/>
      <c r="D2" s="2539"/>
      <c r="E2" s="2539"/>
      <c r="F2" s="2539"/>
      <c r="G2" s="2539"/>
    </row>
    <row r="3" spans="1:7" ht="12" customHeight="1">
      <c r="A3" s="678"/>
      <c r="B3" s="678"/>
      <c r="C3" s="678"/>
      <c r="D3" s="678"/>
      <c r="E3" s="678"/>
    </row>
    <row r="4" spans="1:7" ht="12.75" customHeight="1">
      <c r="A4" s="2540" t="s">
        <v>2285</v>
      </c>
      <c r="B4" s="2503">
        <v>2012</v>
      </c>
      <c r="C4" s="2503"/>
      <c r="D4" s="2503">
        <v>2013</v>
      </c>
      <c r="E4" s="2503"/>
      <c r="F4" s="2503">
        <v>2014</v>
      </c>
      <c r="G4" s="2503"/>
    </row>
    <row r="5" spans="1:7" ht="22.5">
      <c r="A5" s="2540"/>
      <c r="B5" s="679" t="s">
        <v>2286</v>
      </c>
      <c r="C5" s="679" t="s">
        <v>1149</v>
      </c>
      <c r="D5" s="679" t="s">
        <v>2286</v>
      </c>
      <c r="E5" s="679" t="s">
        <v>1149</v>
      </c>
      <c r="F5" s="679" t="s">
        <v>2286</v>
      </c>
      <c r="G5" s="679" t="s">
        <v>1149</v>
      </c>
    </row>
    <row r="6" spans="1:7">
      <c r="A6" s="680" t="s">
        <v>6</v>
      </c>
      <c r="B6" s="681">
        <f t="shared" ref="B6:G6" si="0">SUM(B7:B15)</f>
        <v>84256</v>
      </c>
      <c r="C6" s="682">
        <f t="shared" si="0"/>
        <v>1</v>
      </c>
      <c r="D6" s="681">
        <f t="shared" si="0"/>
        <v>105070</v>
      </c>
      <c r="E6" s="682">
        <f t="shared" si="0"/>
        <v>0.99999999999999989</v>
      </c>
      <c r="F6" s="681">
        <f t="shared" si="0"/>
        <v>89928</v>
      </c>
      <c r="G6" s="682">
        <f t="shared" si="0"/>
        <v>0.99999999999999978</v>
      </c>
    </row>
    <row r="7" spans="1:7">
      <c r="A7" s="683" t="s">
        <v>2287</v>
      </c>
      <c r="B7" s="684">
        <v>70810</v>
      </c>
      <c r="C7" s="685">
        <f t="shared" ref="C7:C15" si="1">+B7/$B$6</f>
        <v>0.84041492593999245</v>
      </c>
      <c r="D7" s="686">
        <v>90544</v>
      </c>
      <c r="E7" s="685">
        <f t="shared" ref="E7:E15" si="2">+D7/$D$6</f>
        <v>0.86174930998382027</v>
      </c>
      <c r="F7" s="686">
        <v>76510</v>
      </c>
      <c r="G7" s="685">
        <f>+F7/$F$6</f>
        <v>0.85079174450671646</v>
      </c>
    </row>
    <row r="8" spans="1:7">
      <c r="A8" s="687" t="s">
        <v>1575</v>
      </c>
      <c r="B8" s="688">
        <v>6865</v>
      </c>
      <c r="C8" s="685">
        <f t="shared" si="1"/>
        <v>8.1477876946448924E-2</v>
      </c>
      <c r="D8" s="686">
        <v>6553</v>
      </c>
      <c r="E8" s="685">
        <f t="shared" si="2"/>
        <v>6.2367945179404208E-2</v>
      </c>
      <c r="F8" s="686">
        <v>5468</v>
      </c>
      <c r="G8" s="685">
        <f t="shared" ref="G8:G15" si="3">+F8/$F$6</f>
        <v>6.0804198914687309E-2</v>
      </c>
    </row>
    <row r="9" spans="1:7">
      <c r="A9" s="687" t="s">
        <v>2288</v>
      </c>
      <c r="B9" s="688">
        <v>381</v>
      </c>
      <c r="C9" s="685">
        <f t="shared" si="1"/>
        <v>4.5219331560957081E-3</v>
      </c>
      <c r="D9" s="686">
        <v>535</v>
      </c>
      <c r="E9" s="685">
        <f t="shared" si="2"/>
        <v>5.0918435328828398E-3</v>
      </c>
      <c r="F9" s="686">
        <v>398</v>
      </c>
      <c r="G9" s="685">
        <f t="shared" si="3"/>
        <v>4.4257628324882127E-3</v>
      </c>
    </row>
    <row r="10" spans="1:7">
      <c r="A10" s="687" t="s">
        <v>2289</v>
      </c>
      <c r="B10" s="688">
        <v>1159</v>
      </c>
      <c r="C10" s="685">
        <f t="shared" si="1"/>
        <v>1.3755696923661223E-2</v>
      </c>
      <c r="D10" s="686">
        <v>1549</v>
      </c>
      <c r="E10" s="685">
        <f t="shared" si="2"/>
        <v>1.4742552583991625E-2</v>
      </c>
      <c r="F10" s="686">
        <v>1600</v>
      </c>
      <c r="G10" s="685">
        <f t="shared" si="3"/>
        <v>1.7792011386887286E-2</v>
      </c>
    </row>
    <row r="11" spans="1:7">
      <c r="A11" s="687" t="s">
        <v>1581</v>
      </c>
      <c r="B11" s="688">
        <v>524</v>
      </c>
      <c r="C11" s="685">
        <f t="shared" si="1"/>
        <v>6.2191416635017094E-3</v>
      </c>
      <c r="D11" s="686">
        <v>643</v>
      </c>
      <c r="E11" s="685">
        <f t="shared" si="2"/>
        <v>6.1197297040068528E-3</v>
      </c>
      <c r="F11" s="686">
        <v>506</v>
      </c>
      <c r="G11" s="685">
        <f t="shared" si="3"/>
        <v>5.6267236011031049E-3</v>
      </c>
    </row>
    <row r="12" spans="1:7">
      <c r="A12" s="687" t="s">
        <v>2290</v>
      </c>
      <c r="B12" s="688">
        <v>679</v>
      </c>
      <c r="C12" s="685">
        <f t="shared" si="1"/>
        <v>8.0587732624382829E-3</v>
      </c>
      <c r="D12" s="686">
        <v>838</v>
      </c>
      <c r="E12" s="685">
        <f t="shared" si="2"/>
        <v>7.9756352907585423E-3</v>
      </c>
      <c r="F12" s="686">
        <v>1064</v>
      </c>
      <c r="G12" s="685">
        <f t="shared" si="3"/>
        <v>1.1831687572280047E-2</v>
      </c>
    </row>
    <row r="13" spans="1:7">
      <c r="A13" s="687" t="s">
        <v>2291</v>
      </c>
      <c r="B13" s="688">
        <v>3787</v>
      </c>
      <c r="C13" s="685">
        <f t="shared" si="1"/>
        <v>4.4946353968856816E-2</v>
      </c>
      <c r="D13" s="686">
        <v>4366</v>
      </c>
      <c r="E13" s="685">
        <f t="shared" si="2"/>
        <v>4.1553250214142953E-2</v>
      </c>
      <c r="F13" s="686">
        <v>4328</v>
      </c>
      <c r="G13" s="685">
        <f t="shared" si="3"/>
        <v>4.8127390801530112E-2</v>
      </c>
    </row>
    <row r="14" spans="1:7">
      <c r="A14" s="687" t="s">
        <v>2292</v>
      </c>
      <c r="B14" s="688">
        <v>31</v>
      </c>
      <c r="C14" s="685">
        <f t="shared" si="1"/>
        <v>3.6792631978731487E-4</v>
      </c>
      <c r="D14" s="686">
        <v>30</v>
      </c>
      <c r="E14" s="685">
        <f t="shared" si="2"/>
        <v>2.8552393642333681E-4</v>
      </c>
      <c r="F14" s="686">
        <v>42</v>
      </c>
      <c r="G14" s="685">
        <f t="shared" si="3"/>
        <v>4.6704029890579129E-4</v>
      </c>
    </row>
    <row r="15" spans="1:7">
      <c r="A15" s="687" t="s">
        <v>2293</v>
      </c>
      <c r="B15" s="688">
        <v>20</v>
      </c>
      <c r="C15" s="685">
        <f t="shared" si="1"/>
        <v>2.3737181921762248E-4</v>
      </c>
      <c r="D15" s="686">
        <v>12</v>
      </c>
      <c r="E15" s="685">
        <f t="shared" si="2"/>
        <v>1.1420957456933473E-4</v>
      </c>
      <c r="F15" s="686">
        <v>12</v>
      </c>
      <c r="G15" s="685">
        <f t="shared" si="3"/>
        <v>1.3344008540165466E-4</v>
      </c>
    </row>
    <row r="16" spans="1:7" ht="6" customHeight="1">
      <c r="A16" s="687"/>
      <c r="B16" s="688"/>
      <c r="C16" s="685"/>
      <c r="D16" s="662"/>
      <c r="E16" s="685"/>
    </row>
    <row r="17" spans="1:5" ht="12.75" customHeight="1">
      <c r="A17" s="2538" t="s">
        <v>2283</v>
      </c>
      <c r="B17" s="2538"/>
      <c r="C17" s="2538"/>
      <c r="D17" s="2538"/>
      <c r="E17" s="2538"/>
    </row>
  </sheetData>
  <mergeCells count="6">
    <mergeCell ref="A17:E17"/>
    <mergeCell ref="A2:G2"/>
    <mergeCell ref="A4:A5"/>
    <mergeCell ref="B4:C4"/>
    <mergeCell ref="D4:E4"/>
    <mergeCell ref="F4:G4"/>
  </mergeCells>
  <pageMargins left="0.70866141732283472" right="0.70866141732283472" top="0.74803149606299213" bottom="0.74803149606299213" header="0.31496062992125984" footer="0.31496062992125984"/>
  <pageSetup paperSize="14" scale="90" orientation="landscape" r:id="rId1"/>
</worksheet>
</file>

<file path=xl/worksheets/sheet246.xml><?xml version="1.0" encoding="utf-8"?>
<worksheet xmlns="http://schemas.openxmlformats.org/spreadsheetml/2006/main" xmlns:r="http://schemas.openxmlformats.org/officeDocument/2006/relationships">
  <dimension ref="A2:W76"/>
  <sheetViews>
    <sheetView topLeftCell="A43" zoomScaleNormal="100" workbookViewId="0">
      <selection activeCell="D80" sqref="D80"/>
    </sheetView>
  </sheetViews>
  <sheetFormatPr baseColWidth="10" defaultRowHeight="11.25"/>
  <cols>
    <col min="1" max="1" width="20.28515625" style="87" customWidth="1"/>
    <col min="2" max="2" width="11.5703125" style="87" customWidth="1"/>
    <col min="3" max="3" width="10.42578125" style="87" customWidth="1"/>
    <col min="4" max="4" width="12.28515625" style="87" customWidth="1"/>
    <col min="5" max="5" width="12.42578125" style="87" customWidth="1"/>
    <col min="6" max="6" width="11.28515625" style="87" customWidth="1"/>
    <col min="7" max="7" width="12.42578125" style="87" customWidth="1"/>
    <col min="8" max="8" width="11.7109375" style="87" customWidth="1"/>
    <col min="9" max="10" width="9.42578125" style="87" customWidth="1"/>
    <col min="11" max="11" width="12.5703125" style="87" customWidth="1"/>
    <col min="12" max="12" width="12.140625" style="87" customWidth="1"/>
    <col min="13" max="13" width="14.7109375" style="87" customWidth="1"/>
    <col min="14" max="14" width="13.28515625" style="87" customWidth="1"/>
    <col min="15" max="15" width="11.85546875" style="87" customWidth="1"/>
    <col min="16" max="16" width="12.42578125" style="87" customWidth="1"/>
    <col min="17" max="17" width="10.42578125" style="87" customWidth="1"/>
    <col min="18" max="18" width="10.7109375" style="87" customWidth="1"/>
    <col min="19" max="21" width="11.5703125" style="87" bestFit="1" customWidth="1"/>
    <col min="22" max="22" width="8.5703125" style="87" customWidth="1"/>
    <col min="23" max="23" width="9.42578125" style="87" customWidth="1"/>
    <col min="24" max="16384" width="11.42578125" style="87"/>
  </cols>
  <sheetData>
    <row r="2" spans="1:21" ht="17.25" customHeight="1">
      <c r="A2" s="75" t="s">
        <v>2294</v>
      </c>
    </row>
    <row r="3" spans="1:21">
      <c r="A3" s="499"/>
      <c r="B3" s="539"/>
      <c r="C3" s="539"/>
      <c r="D3" s="539"/>
      <c r="E3" s="539"/>
      <c r="F3" s="539"/>
      <c r="G3" s="539"/>
      <c r="H3" s="539"/>
      <c r="I3" s="666"/>
      <c r="J3" s="539"/>
      <c r="K3" s="539"/>
      <c r="L3" s="539"/>
      <c r="M3" s="539"/>
      <c r="N3" s="539"/>
      <c r="O3" s="539"/>
      <c r="P3" s="539"/>
      <c r="Q3" s="539"/>
      <c r="R3" s="539"/>
      <c r="S3" s="539"/>
      <c r="T3" s="539"/>
      <c r="U3" s="539"/>
    </row>
    <row r="4" spans="1:21" ht="12.75" customHeight="1">
      <c r="A4" s="2508" t="s">
        <v>0</v>
      </c>
      <c r="B4" s="2503">
        <v>2009</v>
      </c>
      <c r="C4" s="2503"/>
      <c r="D4" s="2503"/>
      <c r="E4" s="2503"/>
      <c r="F4" s="2503"/>
      <c r="G4" s="2503"/>
      <c r="H4" s="2503"/>
      <c r="I4" s="2503"/>
      <c r="J4" s="2503"/>
      <c r="K4" s="2503"/>
      <c r="L4" s="2503">
        <v>2010</v>
      </c>
      <c r="M4" s="2503"/>
      <c r="N4" s="2503"/>
      <c r="O4" s="2503"/>
      <c r="P4" s="2503"/>
      <c r="Q4" s="2503"/>
      <c r="R4" s="2503"/>
      <c r="S4" s="2503"/>
      <c r="T4" s="2503"/>
      <c r="U4" s="2503"/>
    </row>
    <row r="5" spans="1:21">
      <c r="A5" s="2509"/>
      <c r="B5" s="2520" t="s">
        <v>2295</v>
      </c>
      <c r="C5" s="2520" t="s">
        <v>2296</v>
      </c>
      <c r="D5" s="2520"/>
      <c r="E5" s="2520"/>
      <c r="F5" s="2520" t="s">
        <v>2297</v>
      </c>
      <c r="G5" s="2520"/>
      <c r="H5" s="2520"/>
      <c r="I5" s="2520" t="s">
        <v>2298</v>
      </c>
      <c r="J5" s="2520"/>
      <c r="K5" s="2520"/>
      <c r="L5" s="2520" t="s">
        <v>2299</v>
      </c>
      <c r="M5" s="2520" t="s">
        <v>2296</v>
      </c>
      <c r="N5" s="2520"/>
      <c r="O5" s="2520"/>
      <c r="P5" s="2520" t="s">
        <v>2297</v>
      </c>
      <c r="Q5" s="2520"/>
      <c r="R5" s="2520"/>
      <c r="S5" s="2520" t="s">
        <v>2298</v>
      </c>
      <c r="T5" s="2520"/>
      <c r="U5" s="2520"/>
    </row>
    <row r="6" spans="1:21">
      <c r="A6" s="2509"/>
      <c r="B6" s="2520"/>
      <c r="C6" s="2503" t="s">
        <v>2300</v>
      </c>
      <c r="D6" s="2503"/>
      <c r="E6" s="2503"/>
      <c r="F6" s="2503" t="s">
        <v>2300</v>
      </c>
      <c r="G6" s="2503"/>
      <c r="H6" s="2503"/>
      <c r="I6" s="2503" t="s">
        <v>2300</v>
      </c>
      <c r="J6" s="2503"/>
      <c r="K6" s="2503"/>
      <c r="L6" s="2520"/>
      <c r="M6" s="2503" t="s">
        <v>2300</v>
      </c>
      <c r="N6" s="2503"/>
      <c r="O6" s="2503"/>
      <c r="P6" s="2503" t="s">
        <v>2300</v>
      </c>
      <c r="Q6" s="2503"/>
      <c r="R6" s="2503"/>
      <c r="S6" s="2503" t="s">
        <v>2300</v>
      </c>
      <c r="T6" s="2503"/>
      <c r="U6" s="2503"/>
    </row>
    <row r="7" spans="1:21">
      <c r="A7" s="2510"/>
      <c r="B7" s="2520"/>
      <c r="C7" s="674" t="s">
        <v>26</v>
      </c>
      <c r="D7" s="674" t="s">
        <v>163</v>
      </c>
      <c r="E7" s="674" t="s">
        <v>164</v>
      </c>
      <c r="F7" s="674" t="s">
        <v>26</v>
      </c>
      <c r="G7" s="674" t="s">
        <v>163</v>
      </c>
      <c r="H7" s="674" t="s">
        <v>164</v>
      </c>
      <c r="I7" s="674" t="s">
        <v>26</v>
      </c>
      <c r="J7" s="674" t="s">
        <v>163</v>
      </c>
      <c r="K7" s="674" t="s">
        <v>164</v>
      </c>
      <c r="L7" s="2520"/>
      <c r="M7" s="674" t="s">
        <v>26</v>
      </c>
      <c r="N7" s="674" t="s">
        <v>163</v>
      </c>
      <c r="O7" s="674" t="s">
        <v>164</v>
      </c>
      <c r="P7" s="674" t="s">
        <v>26</v>
      </c>
      <c r="Q7" s="674" t="s">
        <v>163</v>
      </c>
      <c r="R7" s="674" t="s">
        <v>164</v>
      </c>
      <c r="S7" s="674" t="s">
        <v>26</v>
      </c>
      <c r="T7" s="674" t="s">
        <v>163</v>
      </c>
      <c r="U7" s="674" t="s">
        <v>164</v>
      </c>
    </row>
    <row r="8" spans="1:21">
      <c r="A8" s="499" t="s">
        <v>6</v>
      </c>
      <c r="B8" s="659">
        <f t="shared" ref="B8:B23" si="0">+C8+F8+I8</f>
        <v>43640</v>
      </c>
      <c r="C8" s="659">
        <f t="shared" ref="C8:C23" si="1">+D8+E8</f>
        <v>18148</v>
      </c>
      <c r="D8" s="659">
        <f>SUM(D9:D23)</f>
        <v>8140</v>
      </c>
      <c r="E8" s="659">
        <f>SUM(E9:E23)</f>
        <v>10008</v>
      </c>
      <c r="F8" s="659">
        <f t="shared" ref="F8:F23" si="2">+G8+H8</f>
        <v>17370</v>
      </c>
      <c r="G8" s="659">
        <f>SUM(G9:G23)</f>
        <v>7265</v>
      </c>
      <c r="H8" s="659">
        <f>SUM(H9:H23)</f>
        <v>10105</v>
      </c>
      <c r="I8" s="659">
        <f t="shared" ref="I8:I23" si="3">+J8+K8</f>
        <v>8122</v>
      </c>
      <c r="J8" s="659">
        <f>SUM(J9:J23)</f>
        <v>3061</v>
      </c>
      <c r="K8" s="659">
        <f>SUM(K9:K23)</f>
        <v>5061</v>
      </c>
      <c r="L8" s="659">
        <f t="shared" ref="L8:L23" si="4">+M8+P8+S8</f>
        <v>48158</v>
      </c>
      <c r="M8" s="659">
        <f t="shared" ref="M8:M23" si="5">+N8+O8</f>
        <v>20712</v>
      </c>
      <c r="N8" s="659">
        <f>SUM(N9:N23)</f>
        <v>9235</v>
      </c>
      <c r="O8" s="659">
        <f>SUM(O9:O23)</f>
        <v>11477</v>
      </c>
      <c r="P8" s="659">
        <f t="shared" ref="P8:P23" si="6">+Q8+R8</f>
        <v>19224</v>
      </c>
      <c r="Q8" s="659">
        <f>SUM(Q9:Q23)</f>
        <v>8235</v>
      </c>
      <c r="R8" s="659">
        <f>SUM(R9:R23)</f>
        <v>10989</v>
      </c>
      <c r="S8" s="659">
        <f t="shared" ref="S8:S23" si="7">+T8+U8</f>
        <v>8222</v>
      </c>
      <c r="T8" s="659">
        <f>SUM(T9:T23)</f>
        <v>3022</v>
      </c>
      <c r="U8" s="659">
        <f>SUM(U9:U23)</f>
        <v>5200</v>
      </c>
    </row>
    <row r="9" spans="1:21">
      <c r="A9" s="655" t="s">
        <v>7</v>
      </c>
      <c r="B9" s="662">
        <f t="shared" si="0"/>
        <v>2256</v>
      </c>
      <c r="C9" s="662">
        <f t="shared" si="1"/>
        <v>916</v>
      </c>
      <c r="D9" s="662">
        <v>415</v>
      </c>
      <c r="E9" s="662">
        <v>501</v>
      </c>
      <c r="F9" s="662">
        <f t="shared" si="2"/>
        <v>830</v>
      </c>
      <c r="G9" s="662">
        <v>366</v>
      </c>
      <c r="H9" s="662">
        <v>464</v>
      </c>
      <c r="I9" s="662">
        <f t="shared" si="3"/>
        <v>510</v>
      </c>
      <c r="J9" s="662">
        <v>186</v>
      </c>
      <c r="K9" s="662">
        <v>324</v>
      </c>
      <c r="L9" s="662">
        <f t="shared" si="4"/>
        <v>2467</v>
      </c>
      <c r="M9" s="662">
        <f t="shared" si="5"/>
        <v>1031</v>
      </c>
      <c r="N9" s="662">
        <v>468</v>
      </c>
      <c r="O9" s="662">
        <v>563</v>
      </c>
      <c r="P9" s="662">
        <f t="shared" si="6"/>
        <v>923</v>
      </c>
      <c r="Q9" s="662">
        <v>398</v>
      </c>
      <c r="R9" s="662">
        <v>525</v>
      </c>
      <c r="S9" s="662">
        <f t="shared" si="7"/>
        <v>513</v>
      </c>
      <c r="T9" s="662">
        <v>166</v>
      </c>
      <c r="U9" s="662">
        <v>347</v>
      </c>
    </row>
    <row r="10" spans="1:21">
      <c r="A10" s="655" t="s">
        <v>8</v>
      </c>
      <c r="B10" s="662">
        <f t="shared" si="0"/>
        <v>1971</v>
      </c>
      <c r="C10" s="662">
        <f t="shared" si="1"/>
        <v>887</v>
      </c>
      <c r="D10" s="662">
        <v>433</v>
      </c>
      <c r="E10" s="662">
        <v>454</v>
      </c>
      <c r="F10" s="662">
        <f t="shared" si="2"/>
        <v>736</v>
      </c>
      <c r="G10" s="662">
        <v>292</v>
      </c>
      <c r="H10" s="662">
        <v>444</v>
      </c>
      <c r="I10" s="662">
        <f t="shared" si="3"/>
        <v>348</v>
      </c>
      <c r="J10" s="662">
        <v>135</v>
      </c>
      <c r="K10" s="662">
        <v>213</v>
      </c>
      <c r="L10" s="662">
        <f t="shared" si="4"/>
        <v>2164</v>
      </c>
      <c r="M10" s="662">
        <f t="shared" si="5"/>
        <v>1003</v>
      </c>
      <c r="N10" s="662">
        <v>467</v>
      </c>
      <c r="O10" s="662">
        <v>536</v>
      </c>
      <c r="P10" s="662">
        <f t="shared" si="6"/>
        <v>808</v>
      </c>
      <c r="Q10" s="662">
        <v>361</v>
      </c>
      <c r="R10" s="662">
        <v>447</v>
      </c>
      <c r="S10" s="662">
        <f t="shared" si="7"/>
        <v>353</v>
      </c>
      <c r="T10" s="662">
        <v>129</v>
      </c>
      <c r="U10" s="662">
        <v>224</v>
      </c>
    </row>
    <row r="11" spans="1:21">
      <c r="A11" s="655" t="s">
        <v>9</v>
      </c>
      <c r="B11" s="662">
        <f t="shared" si="0"/>
        <v>1256</v>
      </c>
      <c r="C11" s="662">
        <f t="shared" si="1"/>
        <v>564</v>
      </c>
      <c r="D11" s="662">
        <v>277</v>
      </c>
      <c r="E11" s="662">
        <v>287</v>
      </c>
      <c r="F11" s="662">
        <f t="shared" si="2"/>
        <v>462</v>
      </c>
      <c r="G11" s="662">
        <v>205</v>
      </c>
      <c r="H11" s="662">
        <v>257</v>
      </c>
      <c r="I11" s="662">
        <f t="shared" si="3"/>
        <v>230</v>
      </c>
      <c r="J11" s="662">
        <v>80</v>
      </c>
      <c r="K11" s="662">
        <v>150</v>
      </c>
      <c r="L11" s="662">
        <f t="shared" si="4"/>
        <v>1381</v>
      </c>
      <c r="M11" s="662">
        <f t="shared" si="5"/>
        <v>641</v>
      </c>
      <c r="N11" s="662">
        <v>307</v>
      </c>
      <c r="O11" s="662">
        <v>334</v>
      </c>
      <c r="P11" s="662">
        <f t="shared" si="6"/>
        <v>510</v>
      </c>
      <c r="Q11" s="662">
        <v>228</v>
      </c>
      <c r="R11" s="662">
        <v>282</v>
      </c>
      <c r="S11" s="662">
        <f t="shared" si="7"/>
        <v>230</v>
      </c>
      <c r="T11" s="662">
        <v>87</v>
      </c>
      <c r="U11" s="662">
        <v>143</v>
      </c>
    </row>
    <row r="12" spans="1:21">
      <c r="A12" s="655" t="s">
        <v>10</v>
      </c>
      <c r="B12" s="662">
        <f t="shared" si="0"/>
        <v>831</v>
      </c>
      <c r="C12" s="662">
        <f t="shared" si="1"/>
        <v>307</v>
      </c>
      <c r="D12" s="662">
        <v>139</v>
      </c>
      <c r="E12" s="662">
        <v>168</v>
      </c>
      <c r="F12" s="662">
        <f t="shared" si="2"/>
        <v>353</v>
      </c>
      <c r="G12" s="662">
        <v>168</v>
      </c>
      <c r="H12" s="662">
        <v>185</v>
      </c>
      <c r="I12" s="662">
        <f t="shared" si="3"/>
        <v>171</v>
      </c>
      <c r="J12" s="662">
        <v>66</v>
      </c>
      <c r="K12" s="662">
        <v>105</v>
      </c>
      <c r="L12" s="662">
        <f t="shared" si="4"/>
        <v>920</v>
      </c>
      <c r="M12" s="662">
        <f t="shared" si="5"/>
        <v>351</v>
      </c>
      <c r="N12" s="662">
        <v>155</v>
      </c>
      <c r="O12" s="662">
        <v>196</v>
      </c>
      <c r="P12" s="662">
        <f t="shared" si="6"/>
        <v>395</v>
      </c>
      <c r="Q12" s="662">
        <v>170</v>
      </c>
      <c r="R12" s="662">
        <v>225</v>
      </c>
      <c r="S12" s="662">
        <f t="shared" si="7"/>
        <v>174</v>
      </c>
      <c r="T12" s="662">
        <v>71</v>
      </c>
      <c r="U12" s="662">
        <v>103</v>
      </c>
    </row>
    <row r="13" spans="1:21">
      <c r="A13" s="655" t="s">
        <v>11</v>
      </c>
      <c r="B13" s="662">
        <f t="shared" si="0"/>
        <v>781</v>
      </c>
      <c r="C13" s="662">
        <f t="shared" si="1"/>
        <v>233</v>
      </c>
      <c r="D13" s="662">
        <v>107</v>
      </c>
      <c r="E13" s="662">
        <v>126</v>
      </c>
      <c r="F13" s="662">
        <f t="shared" si="2"/>
        <v>372</v>
      </c>
      <c r="G13" s="662">
        <v>155</v>
      </c>
      <c r="H13" s="662">
        <v>217</v>
      </c>
      <c r="I13" s="662">
        <f t="shared" si="3"/>
        <v>176</v>
      </c>
      <c r="J13" s="662">
        <v>66</v>
      </c>
      <c r="K13" s="662">
        <v>110</v>
      </c>
      <c r="L13" s="662">
        <f t="shared" si="4"/>
        <v>853</v>
      </c>
      <c r="M13" s="662">
        <f t="shared" si="5"/>
        <v>262</v>
      </c>
      <c r="N13" s="662">
        <v>103</v>
      </c>
      <c r="O13" s="662">
        <v>159</v>
      </c>
      <c r="P13" s="662">
        <f t="shared" si="6"/>
        <v>411</v>
      </c>
      <c r="Q13" s="662">
        <v>165</v>
      </c>
      <c r="R13" s="662">
        <v>246</v>
      </c>
      <c r="S13" s="662">
        <f t="shared" si="7"/>
        <v>180</v>
      </c>
      <c r="T13" s="662">
        <v>62</v>
      </c>
      <c r="U13" s="662">
        <v>118</v>
      </c>
    </row>
    <row r="14" spans="1:21">
      <c r="A14" s="655" t="s">
        <v>12</v>
      </c>
      <c r="B14" s="662">
        <f t="shared" si="0"/>
        <v>1460</v>
      </c>
      <c r="C14" s="662">
        <f t="shared" si="1"/>
        <v>531</v>
      </c>
      <c r="D14" s="662">
        <v>232</v>
      </c>
      <c r="E14" s="662">
        <v>299</v>
      </c>
      <c r="F14" s="662">
        <f t="shared" si="2"/>
        <v>592</v>
      </c>
      <c r="G14" s="662">
        <v>263</v>
      </c>
      <c r="H14" s="662">
        <v>329</v>
      </c>
      <c r="I14" s="662">
        <f t="shared" si="3"/>
        <v>337</v>
      </c>
      <c r="J14" s="662">
        <v>111</v>
      </c>
      <c r="K14" s="662">
        <v>226</v>
      </c>
      <c r="L14" s="662">
        <f t="shared" si="4"/>
        <v>1594</v>
      </c>
      <c r="M14" s="662">
        <f t="shared" si="5"/>
        <v>606</v>
      </c>
      <c r="N14" s="662">
        <v>268</v>
      </c>
      <c r="O14" s="662">
        <v>338</v>
      </c>
      <c r="P14" s="662">
        <f t="shared" si="6"/>
        <v>651</v>
      </c>
      <c r="Q14" s="662">
        <v>285</v>
      </c>
      <c r="R14" s="662">
        <v>366</v>
      </c>
      <c r="S14" s="662">
        <f t="shared" si="7"/>
        <v>337</v>
      </c>
      <c r="T14" s="662">
        <v>123</v>
      </c>
      <c r="U14" s="662">
        <v>214</v>
      </c>
    </row>
    <row r="15" spans="1:21">
      <c r="A15" s="655" t="s">
        <v>13</v>
      </c>
      <c r="B15" s="662">
        <f t="shared" si="0"/>
        <v>6727</v>
      </c>
      <c r="C15" s="662">
        <f t="shared" si="1"/>
        <v>2503</v>
      </c>
      <c r="D15" s="662">
        <v>1093</v>
      </c>
      <c r="E15" s="662">
        <v>1410</v>
      </c>
      <c r="F15" s="662">
        <f t="shared" si="2"/>
        <v>2692</v>
      </c>
      <c r="G15" s="662">
        <v>1132</v>
      </c>
      <c r="H15" s="662">
        <v>1560</v>
      </c>
      <c r="I15" s="662">
        <f t="shared" si="3"/>
        <v>1532</v>
      </c>
      <c r="J15" s="662">
        <v>534</v>
      </c>
      <c r="K15" s="662">
        <v>998</v>
      </c>
      <c r="L15" s="662">
        <f t="shared" si="4"/>
        <v>7492</v>
      </c>
      <c r="M15" s="662">
        <f t="shared" si="5"/>
        <v>2899</v>
      </c>
      <c r="N15" s="662">
        <v>1281</v>
      </c>
      <c r="O15" s="662">
        <v>1618</v>
      </c>
      <c r="P15" s="662">
        <f t="shared" si="6"/>
        <v>3018</v>
      </c>
      <c r="Q15" s="662">
        <v>1263</v>
      </c>
      <c r="R15" s="662">
        <v>1755</v>
      </c>
      <c r="S15" s="662">
        <f t="shared" si="7"/>
        <v>1575</v>
      </c>
      <c r="T15" s="662">
        <v>549</v>
      </c>
      <c r="U15" s="662">
        <v>1026</v>
      </c>
    </row>
    <row r="16" spans="1:21">
      <c r="A16" s="655" t="s">
        <v>14</v>
      </c>
      <c r="B16" s="662">
        <f t="shared" si="0"/>
        <v>1034</v>
      </c>
      <c r="C16" s="662">
        <f t="shared" si="1"/>
        <v>374</v>
      </c>
      <c r="D16" s="662">
        <v>163</v>
      </c>
      <c r="E16" s="662">
        <v>211</v>
      </c>
      <c r="F16" s="662">
        <f t="shared" si="2"/>
        <v>440</v>
      </c>
      <c r="G16" s="662">
        <v>180</v>
      </c>
      <c r="H16" s="662">
        <v>260</v>
      </c>
      <c r="I16" s="662">
        <f t="shared" si="3"/>
        <v>220</v>
      </c>
      <c r="J16" s="662">
        <v>81</v>
      </c>
      <c r="K16" s="662">
        <v>139</v>
      </c>
      <c r="L16" s="662">
        <f t="shared" si="4"/>
        <v>1123</v>
      </c>
      <c r="M16" s="662">
        <f t="shared" si="5"/>
        <v>424</v>
      </c>
      <c r="N16" s="662">
        <v>195</v>
      </c>
      <c r="O16" s="662">
        <v>229</v>
      </c>
      <c r="P16" s="662">
        <f t="shared" si="6"/>
        <v>479</v>
      </c>
      <c r="Q16" s="662">
        <v>184</v>
      </c>
      <c r="R16" s="662">
        <v>295</v>
      </c>
      <c r="S16" s="662">
        <f t="shared" si="7"/>
        <v>220</v>
      </c>
      <c r="T16" s="662">
        <v>82</v>
      </c>
      <c r="U16" s="662">
        <v>138</v>
      </c>
    </row>
    <row r="17" spans="1:23">
      <c r="A17" s="655" t="s">
        <v>15</v>
      </c>
      <c r="B17" s="662">
        <f t="shared" si="0"/>
        <v>1394</v>
      </c>
      <c r="C17" s="662">
        <f t="shared" si="1"/>
        <v>483</v>
      </c>
      <c r="D17" s="662">
        <v>220</v>
      </c>
      <c r="E17" s="662">
        <v>263</v>
      </c>
      <c r="F17" s="662">
        <f t="shared" si="2"/>
        <v>638</v>
      </c>
      <c r="G17" s="662">
        <v>287</v>
      </c>
      <c r="H17" s="662">
        <v>351</v>
      </c>
      <c r="I17" s="662">
        <f t="shared" si="3"/>
        <v>273</v>
      </c>
      <c r="J17" s="662">
        <v>112</v>
      </c>
      <c r="K17" s="662">
        <v>161</v>
      </c>
      <c r="L17" s="662">
        <f t="shared" si="4"/>
        <v>1517</v>
      </c>
      <c r="M17" s="662">
        <f t="shared" si="5"/>
        <v>543</v>
      </c>
      <c r="N17" s="662">
        <v>235</v>
      </c>
      <c r="O17" s="662">
        <v>308</v>
      </c>
      <c r="P17" s="662">
        <f t="shared" si="6"/>
        <v>699</v>
      </c>
      <c r="Q17" s="662">
        <v>314</v>
      </c>
      <c r="R17" s="662">
        <v>385</v>
      </c>
      <c r="S17" s="662">
        <f t="shared" si="7"/>
        <v>275</v>
      </c>
      <c r="T17" s="662">
        <v>106</v>
      </c>
      <c r="U17" s="662">
        <v>169</v>
      </c>
    </row>
    <row r="18" spans="1:23">
      <c r="A18" s="655" t="s">
        <v>16</v>
      </c>
      <c r="B18" s="662">
        <f t="shared" si="0"/>
        <v>3990</v>
      </c>
      <c r="C18" s="662">
        <f t="shared" si="1"/>
        <v>1711</v>
      </c>
      <c r="D18" s="662">
        <v>737</v>
      </c>
      <c r="E18" s="662">
        <v>974</v>
      </c>
      <c r="F18" s="662">
        <f t="shared" si="2"/>
        <v>1572</v>
      </c>
      <c r="G18" s="662">
        <v>677</v>
      </c>
      <c r="H18" s="662">
        <v>895</v>
      </c>
      <c r="I18" s="662">
        <f t="shared" si="3"/>
        <v>707</v>
      </c>
      <c r="J18" s="662">
        <v>277</v>
      </c>
      <c r="K18" s="662">
        <v>430</v>
      </c>
      <c r="L18" s="662">
        <f t="shared" si="4"/>
        <v>4423</v>
      </c>
      <c r="M18" s="662">
        <f t="shared" si="5"/>
        <v>1959</v>
      </c>
      <c r="N18" s="662">
        <v>848</v>
      </c>
      <c r="O18" s="662">
        <v>1111</v>
      </c>
      <c r="P18" s="662">
        <f t="shared" si="6"/>
        <v>1749</v>
      </c>
      <c r="Q18" s="662">
        <v>766</v>
      </c>
      <c r="R18" s="662">
        <v>983</v>
      </c>
      <c r="S18" s="662">
        <f t="shared" si="7"/>
        <v>715</v>
      </c>
      <c r="T18" s="662">
        <v>256</v>
      </c>
      <c r="U18" s="662">
        <v>459</v>
      </c>
    </row>
    <row r="19" spans="1:23">
      <c r="A19" s="655" t="s">
        <v>17</v>
      </c>
      <c r="B19" s="662">
        <f t="shared" si="0"/>
        <v>11901</v>
      </c>
      <c r="C19" s="662">
        <f t="shared" si="1"/>
        <v>5239</v>
      </c>
      <c r="D19" s="662">
        <v>2330</v>
      </c>
      <c r="E19" s="662">
        <v>2909</v>
      </c>
      <c r="F19" s="662">
        <f t="shared" si="2"/>
        <v>4689</v>
      </c>
      <c r="G19" s="662">
        <v>1833</v>
      </c>
      <c r="H19" s="662">
        <v>2856</v>
      </c>
      <c r="I19" s="662">
        <f t="shared" si="3"/>
        <v>1973</v>
      </c>
      <c r="J19" s="662">
        <v>784</v>
      </c>
      <c r="K19" s="662">
        <v>1189</v>
      </c>
      <c r="L19" s="662">
        <f t="shared" si="4"/>
        <v>13169</v>
      </c>
      <c r="M19" s="662">
        <f t="shared" si="5"/>
        <v>5979</v>
      </c>
      <c r="N19" s="662">
        <v>2685</v>
      </c>
      <c r="O19" s="662">
        <v>3294</v>
      </c>
      <c r="P19" s="662">
        <f t="shared" si="6"/>
        <v>5186</v>
      </c>
      <c r="Q19" s="662">
        <v>2172</v>
      </c>
      <c r="R19" s="662">
        <v>3014</v>
      </c>
      <c r="S19" s="662">
        <f t="shared" si="7"/>
        <v>2004</v>
      </c>
      <c r="T19" s="662">
        <v>755</v>
      </c>
      <c r="U19" s="662">
        <v>1249</v>
      </c>
    </row>
    <row r="20" spans="1:23">
      <c r="A20" s="655" t="s">
        <v>18</v>
      </c>
      <c r="B20" s="662">
        <f t="shared" si="0"/>
        <v>2515</v>
      </c>
      <c r="C20" s="662">
        <f t="shared" si="1"/>
        <v>1055</v>
      </c>
      <c r="D20" s="662">
        <v>478</v>
      </c>
      <c r="E20" s="662">
        <v>577</v>
      </c>
      <c r="F20" s="662">
        <f t="shared" si="2"/>
        <v>1009</v>
      </c>
      <c r="G20" s="662">
        <v>422</v>
      </c>
      <c r="H20" s="662">
        <v>587</v>
      </c>
      <c r="I20" s="662">
        <f t="shared" si="3"/>
        <v>451</v>
      </c>
      <c r="J20" s="662">
        <v>157</v>
      </c>
      <c r="K20" s="662">
        <v>294</v>
      </c>
      <c r="L20" s="662">
        <f t="shared" si="4"/>
        <v>2760</v>
      </c>
      <c r="M20" s="662">
        <f t="shared" si="5"/>
        <v>1203</v>
      </c>
      <c r="N20" s="662">
        <v>532</v>
      </c>
      <c r="O20" s="662">
        <v>671</v>
      </c>
      <c r="P20" s="662">
        <f t="shared" si="6"/>
        <v>1103</v>
      </c>
      <c r="Q20" s="662">
        <v>488</v>
      </c>
      <c r="R20" s="662">
        <v>615</v>
      </c>
      <c r="S20" s="662">
        <f t="shared" si="7"/>
        <v>454</v>
      </c>
      <c r="T20" s="662">
        <v>168</v>
      </c>
      <c r="U20" s="662">
        <v>286</v>
      </c>
    </row>
    <row r="21" spans="1:23">
      <c r="A21" s="655" t="s">
        <v>19</v>
      </c>
      <c r="B21" s="662">
        <f t="shared" si="0"/>
        <v>5071</v>
      </c>
      <c r="C21" s="662">
        <f t="shared" si="1"/>
        <v>2262</v>
      </c>
      <c r="D21" s="662">
        <v>1018</v>
      </c>
      <c r="E21" s="662">
        <v>1244</v>
      </c>
      <c r="F21" s="662">
        <f t="shared" si="2"/>
        <v>2042</v>
      </c>
      <c r="G21" s="662">
        <v>882</v>
      </c>
      <c r="H21" s="662">
        <v>1160</v>
      </c>
      <c r="I21" s="662">
        <f t="shared" si="3"/>
        <v>767</v>
      </c>
      <c r="J21" s="662">
        <v>310</v>
      </c>
      <c r="K21" s="662">
        <v>457</v>
      </c>
      <c r="L21" s="662">
        <f t="shared" si="4"/>
        <v>5576</v>
      </c>
      <c r="M21" s="662">
        <f t="shared" si="5"/>
        <v>2572</v>
      </c>
      <c r="N21" s="662">
        <v>1114</v>
      </c>
      <c r="O21" s="662">
        <v>1458</v>
      </c>
      <c r="P21" s="662">
        <f t="shared" si="6"/>
        <v>2240</v>
      </c>
      <c r="Q21" s="662">
        <v>976</v>
      </c>
      <c r="R21" s="662">
        <v>1264</v>
      </c>
      <c r="S21" s="662">
        <f t="shared" si="7"/>
        <v>764</v>
      </c>
      <c r="T21" s="662">
        <v>316</v>
      </c>
      <c r="U21" s="662">
        <v>448</v>
      </c>
    </row>
    <row r="22" spans="1:23">
      <c r="A22" s="655" t="s">
        <v>20</v>
      </c>
      <c r="B22" s="662">
        <f t="shared" si="0"/>
        <v>1144</v>
      </c>
      <c r="C22" s="662">
        <f t="shared" si="1"/>
        <v>549</v>
      </c>
      <c r="D22" s="662">
        <v>251</v>
      </c>
      <c r="E22" s="662">
        <v>298</v>
      </c>
      <c r="F22" s="662">
        <f t="shared" si="2"/>
        <v>425</v>
      </c>
      <c r="G22" s="662">
        <v>201</v>
      </c>
      <c r="H22" s="662">
        <v>224</v>
      </c>
      <c r="I22" s="662">
        <f t="shared" si="3"/>
        <v>170</v>
      </c>
      <c r="J22" s="662">
        <v>66</v>
      </c>
      <c r="K22" s="662">
        <v>104</v>
      </c>
      <c r="L22" s="662">
        <f t="shared" si="4"/>
        <v>1277</v>
      </c>
      <c r="M22" s="662">
        <f t="shared" si="5"/>
        <v>631</v>
      </c>
      <c r="N22" s="662">
        <v>290</v>
      </c>
      <c r="O22" s="662">
        <v>341</v>
      </c>
      <c r="P22" s="662">
        <f t="shared" si="6"/>
        <v>481</v>
      </c>
      <c r="Q22" s="662">
        <v>236</v>
      </c>
      <c r="R22" s="662">
        <v>245</v>
      </c>
      <c r="S22" s="662">
        <f t="shared" si="7"/>
        <v>165</v>
      </c>
      <c r="T22" s="662">
        <v>61</v>
      </c>
      <c r="U22" s="662">
        <v>104</v>
      </c>
    </row>
    <row r="23" spans="1:23">
      <c r="A23" s="655" t="s">
        <v>21</v>
      </c>
      <c r="B23" s="662">
        <f t="shared" si="0"/>
        <v>1309</v>
      </c>
      <c r="C23" s="662">
        <f t="shared" si="1"/>
        <v>534</v>
      </c>
      <c r="D23" s="662">
        <v>247</v>
      </c>
      <c r="E23" s="662">
        <v>287</v>
      </c>
      <c r="F23" s="662">
        <f t="shared" si="2"/>
        <v>518</v>
      </c>
      <c r="G23" s="662">
        <v>202</v>
      </c>
      <c r="H23" s="662">
        <v>316</v>
      </c>
      <c r="I23" s="662">
        <f t="shared" si="3"/>
        <v>257</v>
      </c>
      <c r="J23" s="662">
        <v>96</v>
      </c>
      <c r="K23" s="662">
        <v>161</v>
      </c>
      <c r="L23" s="662">
        <f t="shared" si="4"/>
        <v>1442</v>
      </c>
      <c r="M23" s="662">
        <f t="shared" si="5"/>
        <v>608</v>
      </c>
      <c r="N23" s="662">
        <v>287</v>
      </c>
      <c r="O23" s="662">
        <v>321</v>
      </c>
      <c r="P23" s="662">
        <f t="shared" si="6"/>
        <v>571</v>
      </c>
      <c r="Q23" s="662">
        <v>229</v>
      </c>
      <c r="R23" s="662">
        <v>342</v>
      </c>
      <c r="S23" s="662">
        <f t="shared" si="7"/>
        <v>263</v>
      </c>
      <c r="T23" s="662">
        <v>91</v>
      </c>
      <c r="U23" s="662">
        <v>172</v>
      </c>
    </row>
    <row r="24" spans="1:23" ht="8.25" customHeight="1">
      <c r="A24" s="671"/>
      <c r="B24" s="662"/>
      <c r="C24" s="662"/>
      <c r="D24" s="662"/>
      <c r="E24" s="662"/>
      <c r="F24" s="662"/>
      <c r="G24" s="662"/>
      <c r="H24" s="662"/>
      <c r="I24" s="662"/>
      <c r="J24" s="662"/>
      <c r="K24" s="662"/>
      <c r="L24" s="662"/>
      <c r="M24" s="662"/>
      <c r="N24" s="662"/>
      <c r="O24" s="662"/>
      <c r="P24" s="662"/>
      <c r="Q24" s="662"/>
      <c r="R24" s="662"/>
      <c r="S24" s="662"/>
      <c r="T24" s="662"/>
      <c r="U24" s="662"/>
    </row>
    <row r="25" spans="1:23">
      <c r="A25" s="2541" t="s">
        <v>2301</v>
      </c>
      <c r="B25" s="2541"/>
      <c r="C25" s="2541"/>
      <c r="D25" s="2541"/>
      <c r="E25" s="2541"/>
      <c r="F25" s="2541"/>
      <c r="G25" s="2541"/>
    </row>
    <row r="27" spans="1:23">
      <c r="A27" s="499" t="s">
        <v>2302</v>
      </c>
      <c r="B27" s="539"/>
      <c r="C27" s="539"/>
      <c r="D27" s="539"/>
      <c r="E27" s="539"/>
      <c r="F27" s="539"/>
      <c r="G27" s="539"/>
      <c r="H27" s="539"/>
      <c r="I27" s="666"/>
      <c r="J27" s="539"/>
      <c r="K27" s="539"/>
      <c r="L27" s="539"/>
      <c r="M27" s="539"/>
      <c r="N27" s="539"/>
      <c r="O27" s="539"/>
      <c r="P27" s="539"/>
      <c r="Q27" s="539"/>
      <c r="R27" s="539"/>
      <c r="S27" s="539"/>
      <c r="T27" s="539"/>
      <c r="U27" s="539"/>
    </row>
    <row r="28" spans="1:23">
      <c r="A28" s="539"/>
      <c r="B28" s="539"/>
      <c r="C28" s="539"/>
      <c r="D28" s="539"/>
      <c r="E28" s="539"/>
      <c r="F28" s="539"/>
      <c r="G28" s="539"/>
      <c r="H28" s="539"/>
      <c r="I28" s="539"/>
      <c r="J28" s="539"/>
      <c r="K28" s="539"/>
      <c r="L28" s="539"/>
      <c r="M28" s="539"/>
      <c r="N28" s="539"/>
      <c r="O28" s="539"/>
      <c r="P28" s="539"/>
      <c r="Q28" s="539"/>
      <c r="R28" s="539"/>
      <c r="S28" s="539"/>
      <c r="T28" s="539"/>
      <c r="U28" s="539"/>
    </row>
    <row r="29" spans="1:23" ht="12.75" customHeight="1">
      <c r="A29" s="2508" t="s">
        <v>0</v>
      </c>
      <c r="B29" s="2503">
        <v>2011</v>
      </c>
      <c r="C29" s="2503"/>
      <c r="D29" s="2503"/>
      <c r="E29" s="2503"/>
      <c r="F29" s="2503"/>
      <c r="G29" s="2503"/>
      <c r="H29" s="2503"/>
      <c r="I29" s="2503"/>
      <c r="J29" s="2503"/>
      <c r="K29" s="2503"/>
      <c r="L29" s="2503">
        <v>2012</v>
      </c>
      <c r="M29" s="2503"/>
      <c r="N29" s="2503"/>
      <c r="O29" s="2503"/>
      <c r="P29" s="2503"/>
      <c r="Q29" s="2503"/>
      <c r="R29" s="2503"/>
      <c r="S29" s="2503"/>
      <c r="T29" s="2503"/>
      <c r="U29" s="2503"/>
      <c r="V29" s="499"/>
      <c r="W29" s="499"/>
    </row>
    <row r="30" spans="1:23">
      <c r="A30" s="2509"/>
      <c r="B30" s="2520" t="s">
        <v>2303</v>
      </c>
      <c r="C30" s="2520" t="s">
        <v>2296</v>
      </c>
      <c r="D30" s="2520"/>
      <c r="E30" s="2520"/>
      <c r="F30" s="2520" t="s">
        <v>2297</v>
      </c>
      <c r="G30" s="2520"/>
      <c r="H30" s="2520"/>
      <c r="I30" s="2520" t="s">
        <v>2298</v>
      </c>
      <c r="J30" s="2520"/>
      <c r="K30" s="2520"/>
      <c r="L30" s="2520" t="s">
        <v>2304</v>
      </c>
      <c r="M30" s="2520" t="s">
        <v>2296</v>
      </c>
      <c r="N30" s="2520"/>
      <c r="O30" s="2520"/>
      <c r="P30" s="2520" t="s">
        <v>2297</v>
      </c>
      <c r="Q30" s="2520"/>
      <c r="R30" s="2520"/>
      <c r="S30" s="2520" t="s">
        <v>2298</v>
      </c>
      <c r="T30" s="2520"/>
      <c r="U30" s="2520"/>
      <c r="V30" s="675"/>
      <c r="W30" s="675"/>
    </row>
    <row r="31" spans="1:23">
      <c r="A31" s="2509"/>
      <c r="B31" s="2520"/>
      <c r="C31" s="2503" t="s">
        <v>2300</v>
      </c>
      <c r="D31" s="2503"/>
      <c r="E31" s="2503"/>
      <c r="F31" s="2503" t="s">
        <v>2300</v>
      </c>
      <c r="G31" s="2503"/>
      <c r="H31" s="2503"/>
      <c r="I31" s="2503" t="s">
        <v>2300</v>
      </c>
      <c r="J31" s="2503"/>
      <c r="K31" s="2503"/>
      <c r="L31" s="2520"/>
      <c r="M31" s="2503" t="s">
        <v>2300</v>
      </c>
      <c r="N31" s="2503"/>
      <c r="O31" s="2503"/>
      <c r="P31" s="2503" t="s">
        <v>2300</v>
      </c>
      <c r="Q31" s="2503"/>
      <c r="R31" s="2503"/>
      <c r="S31" s="2503" t="s">
        <v>2300</v>
      </c>
      <c r="T31" s="2503"/>
      <c r="U31" s="2503"/>
      <c r="V31" s="675"/>
      <c r="W31" s="499"/>
    </row>
    <row r="32" spans="1:23">
      <c r="A32" s="2510"/>
      <c r="B32" s="2520"/>
      <c r="C32" s="674" t="s">
        <v>26</v>
      </c>
      <c r="D32" s="674" t="s">
        <v>163</v>
      </c>
      <c r="E32" s="674" t="s">
        <v>164</v>
      </c>
      <c r="F32" s="674" t="s">
        <v>26</v>
      </c>
      <c r="G32" s="674" t="s">
        <v>163</v>
      </c>
      <c r="H32" s="674" t="s">
        <v>164</v>
      </c>
      <c r="I32" s="674" t="s">
        <v>26</v>
      </c>
      <c r="J32" s="674" t="s">
        <v>163</v>
      </c>
      <c r="K32" s="674" t="s">
        <v>164</v>
      </c>
      <c r="L32" s="2520"/>
      <c r="M32" s="674" t="s">
        <v>26</v>
      </c>
      <c r="N32" s="674" t="s">
        <v>163</v>
      </c>
      <c r="O32" s="674" t="s">
        <v>164</v>
      </c>
      <c r="P32" s="674" t="s">
        <v>26</v>
      </c>
      <c r="Q32" s="674" t="s">
        <v>163</v>
      </c>
      <c r="R32" s="674" t="s">
        <v>164</v>
      </c>
      <c r="S32" s="674" t="s">
        <v>26</v>
      </c>
      <c r="T32" s="674" t="s">
        <v>163</v>
      </c>
      <c r="U32" s="674" t="s">
        <v>164</v>
      </c>
      <c r="V32" s="675"/>
      <c r="W32" s="676"/>
    </row>
    <row r="33" spans="1:23">
      <c r="A33" s="499" t="s">
        <v>6</v>
      </c>
      <c r="B33" s="659">
        <f t="shared" ref="B33:B48" si="8">+C33+F33+I33</f>
        <v>58115</v>
      </c>
      <c r="C33" s="659">
        <f t="shared" ref="C33:C48" si="9">+D33+E33</f>
        <v>24059</v>
      </c>
      <c r="D33" s="659">
        <f>SUM(D34:D48)</f>
        <v>10857</v>
      </c>
      <c r="E33" s="659">
        <f>SUM(E34:E48)</f>
        <v>13202</v>
      </c>
      <c r="F33" s="659">
        <f t="shared" ref="F33:F48" si="10">+G33+H33</f>
        <v>21668</v>
      </c>
      <c r="G33" s="659">
        <f>SUM(G34:G48)</f>
        <v>9337</v>
      </c>
      <c r="H33" s="659">
        <f>SUM(H34:H48)</f>
        <v>12331</v>
      </c>
      <c r="I33" s="659">
        <f t="shared" ref="I33:I48" si="11">+J33+K33</f>
        <v>12388</v>
      </c>
      <c r="J33" s="659">
        <f>SUM(J34:J48)</f>
        <v>4502</v>
      </c>
      <c r="K33" s="659">
        <f>SUM(K34:K48)</f>
        <v>7886</v>
      </c>
      <c r="L33" s="659">
        <f>+M33+P33+S33</f>
        <v>63283</v>
      </c>
      <c r="M33" s="659">
        <f t="shared" ref="M33:M48" si="12">+N33+O33</f>
        <v>25183</v>
      </c>
      <c r="N33" s="659">
        <f>SUM(N34:N48)</f>
        <v>11476</v>
      </c>
      <c r="O33" s="659">
        <f>SUM(O34:O48)</f>
        <v>13707</v>
      </c>
      <c r="P33" s="659">
        <f t="shared" ref="P33:P48" si="13">+Q33+R33</f>
        <v>24258</v>
      </c>
      <c r="Q33" s="659">
        <f>SUM(Q34:Q48)</f>
        <v>10540</v>
      </c>
      <c r="R33" s="659">
        <f>SUM(R34:R48)</f>
        <v>13718</v>
      </c>
      <c r="S33" s="659">
        <f>T33+U33</f>
        <v>13842</v>
      </c>
      <c r="T33" s="659">
        <f>SUM(T34:T48)</f>
        <v>4903</v>
      </c>
      <c r="U33" s="659">
        <f>SUM(U34:U48)</f>
        <v>8939</v>
      </c>
      <c r="V33" s="659"/>
      <c r="W33" s="659"/>
    </row>
    <row r="34" spans="1:23">
      <c r="A34" s="655" t="s">
        <v>7</v>
      </c>
      <c r="B34" s="662">
        <f t="shared" si="8"/>
        <v>3025</v>
      </c>
      <c r="C34" s="662">
        <f t="shared" si="9"/>
        <v>1208</v>
      </c>
      <c r="D34" s="662">
        <v>551</v>
      </c>
      <c r="E34" s="662">
        <v>657</v>
      </c>
      <c r="F34" s="662">
        <f t="shared" si="10"/>
        <v>1038</v>
      </c>
      <c r="G34" s="662">
        <v>451</v>
      </c>
      <c r="H34" s="662">
        <v>587</v>
      </c>
      <c r="I34" s="662">
        <f t="shared" si="11"/>
        <v>779</v>
      </c>
      <c r="J34" s="662">
        <v>274</v>
      </c>
      <c r="K34" s="662">
        <v>505</v>
      </c>
      <c r="L34" s="662">
        <f t="shared" ref="L34:L48" si="14">+M34+P34+S34</f>
        <v>3368</v>
      </c>
      <c r="M34" s="662">
        <f t="shared" si="12"/>
        <v>1251</v>
      </c>
      <c r="N34" s="662">
        <v>593</v>
      </c>
      <c r="O34" s="662">
        <v>658</v>
      </c>
      <c r="P34" s="662">
        <f>+Q34+R34</f>
        <v>1209</v>
      </c>
      <c r="Q34" s="662">
        <v>536</v>
      </c>
      <c r="R34" s="662">
        <v>673</v>
      </c>
      <c r="S34" s="662">
        <f t="shared" ref="S34:S48" si="15">+T34+U34</f>
        <v>908</v>
      </c>
      <c r="T34" s="662">
        <v>289</v>
      </c>
      <c r="U34" s="662">
        <v>619</v>
      </c>
      <c r="V34" s="662"/>
      <c r="W34" s="662"/>
    </row>
    <row r="35" spans="1:23">
      <c r="A35" s="655" t="s">
        <v>8</v>
      </c>
      <c r="B35" s="662">
        <f t="shared" si="8"/>
        <v>2656</v>
      </c>
      <c r="C35" s="662">
        <f t="shared" si="9"/>
        <v>1175</v>
      </c>
      <c r="D35" s="662">
        <v>547</v>
      </c>
      <c r="E35" s="662">
        <v>628</v>
      </c>
      <c r="F35" s="662">
        <f t="shared" si="10"/>
        <v>917</v>
      </c>
      <c r="G35" s="662">
        <v>405</v>
      </c>
      <c r="H35" s="662">
        <v>512</v>
      </c>
      <c r="I35" s="662">
        <f t="shared" si="11"/>
        <v>564</v>
      </c>
      <c r="J35" s="662">
        <v>188</v>
      </c>
      <c r="K35" s="662">
        <v>376</v>
      </c>
      <c r="L35" s="662">
        <f t="shared" si="14"/>
        <v>2850</v>
      </c>
      <c r="M35" s="662">
        <f t="shared" si="12"/>
        <v>1217</v>
      </c>
      <c r="N35" s="662">
        <v>565</v>
      </c>
      <c r="O35" s="662">
        <v>652</v>
      </c>
      <c r="P35" s="662">
        <f>+Q35+R35</f>
        <v>1028</v>
      </c>
      <c r="Q35" s="662">
        <v>443</v>
      </c>
      <c r="R35" s="662">
        <v>585</v>
      </c>
      <c r="S35" s="662">
        <f t="shared" si="15"/>
        <v>605</v>
      </c>
      <c r="T35" s="662">
        <v>208</v>
      </c>
      <c r="U35" s="662">
        <v>397</v>
      </c>
      <c r="V35" s="662"/>
      <c r="W35" s="662"/>
    </row>
    <row r="36" spans="1:23">
      <c r="A36" s="655" t="s">
        <v>9</v>
      </c>
      <c r="B36" s="662">
        <f t="shared" si="8"/>
        <v>1635</v>
      </c>
      <c r="C36" s="662">
        <f t="shared" si="9"/>
        <v>709</v>
      </c>
      <c r="D36" s="662">
        <v>336</v>
      </c>
      <c r="E36" s="662">
        <v>373</v>
      </c>
      <c r="F36" s="662">
        <f t="shared" si="10"/>
        <v>576</v>
      </c>
      <c r="G36" s="662">
        <v>273</v>
      </c>
      <c r="H36" s="662">
        <v>303</v>
      </c>
      <c r="I36" s="662">
        <f t="shared" si="11"/>
        <v>350</v>
      </c>
      <c r="J36" s="662">
        <v>135</v>
      </c>
      <c r="K36" s="662">
        <v>215</v>
      </c>
      <c r="L36" s="662">
        <f t="shared" si="14"/>
        <v>1702</v>
      </c>
      <c r="M36" s="662">
        <f t="shared" si="12"/>
        <v>685</v>
      </c>
      <c r="N36" s="662">
        <v>324</v>
      </c>
      <c r="O36" s="662">
        <v>361</v>
      </c>
      <c r="P36" s="662">
        <f t="shared" si="13"/>
        <v>620</v>
      </c>
      <c r="Q36" s="662">
        <v>279</v>
      </c>
      <c r="R36" s="662">
        <v>341</v>
      </c>
      <c r="S36" s="662">
        <f t="shared" si="15"/>
        <v>397</v>
      </c>
      <c r="T36" s="662">
        <v>125</v>
      </c>
      <c r="U36" s="662">
        <v>272</v>
      </c>
      <c r="V36" s="662"/>
      <c r="W36" s="662"/>
    </row>
    <row r="37" spans="1:23">
      <c r="A37" s="655" t="s">
        <v>10</v>
      </c>
      <c r="B37" s="662">
        <f t="shared" si="8"/>
        <v>1137</v>
      </c>
      <c r="C37" s="662">
        <f t="shared" si="9"/>
        <v>411</v>
      </c>
      <c r="D37" s="662">
        <v>197</v>
      </c>
      <c r="E37" s="662">
        <v>214</v>
      </c>
      <c r="F37" s="662">
        <f t="shared" si="10"/>
        <v>447</v>
      </c>
      <c r="G37" s="662">
        <v>190</v>
      </c>
      <c r="H37" s="662">
        <v>257</v>
      </c>
      <c r="I37" s="662">
        <f t="shared" si="11"/>
        <v>279</v>
      </c>
      <c r="J37" s="662">
        <v>109</v>
      </c>
      <c r="K37" s="662">
        <v>170</v>
      </c>
      <c r="L37" s="662">
        <f t="shared" si="14"/>
        <v>1267</v>
      </c>
      <c r="M37" s="662">
        <f t="shared" si="12"/>
        <v>430</v>
      </c>
      <c r="N37" s="662">
        <v>206</v>
      </c>
      <c r="O37" s="662">
        <v>224</v>
      </c>
      <c r="P37" s="662">
        <f t="shared" si="13"/>
        <v>517</v>
      </c>
      <c r="Q37" s="662">
        <v>225</v>
      </c>
      <c r="R37" s="662">
        <v>292</v>
      </c>
      <c r="S37" s="662">
        <f t="shared" si="15"/>
        <v>320</v>
      </c>
      <c r="T37" s="662">
        <v>108</v>
      </c>
      <c r="U37" s="662">
        <v>212</v>
      </c>
      <c r="V37" s="662"/>
      <c r="W37" s="662"/>
    </row>
    <row r="38" spans="1:23">
      <c r="A38" s="655" t="s">
        <v>11</v>
      </c>
      <c r="B38" s="662">
        <f t="shared" si="8"/>
        <v>805</v>
      </c>
      <c r="C38" s="662">
        <f t="shared" si="9"/>
        <v>224</v>
      </c>
      <c r="D38" s="662">
        <v>93</v>
      </c>
      <c r="E38" s="662">
        <v>131</v>
      </c>
      <c r="F38" s="662">
        <f t="shared" si="10"/>
        <v>353</v>
      </c>
      <c r="G38" s="662">
        <v>160</v>
      </c>
      <c r="H38" s="662">
        <v>193</v>
      </c>
      <c r="I38" s="662">
        <f t="shared" si="11"/>
        <v>228</v>
      </c>
      <c r="J38" s="662">
        <v>73</v>
      </c>
      <c r="K38" s="662">
        <v>155</v>
      </c>
      <c r="L38" s="662">
        <f t="shared" si="14"/>
        <v>910</v>
      </c>
      <c r="M38" s="662">
        <f t="shared" si="12"/>
        <v>251</v>
      </c>
      <c r="N38" s="662">
        <v>113</v>
      </c>
      <c r="O38" s="662">
        <v>138</v>
      </c>
      <c r="P38" s="662">
        <f t="shared" si="13"/>
        <v>380</v>
      </c>
      <c r="Q38" s="662">
        <v>172</v>
      </c>
      <c r="R38" s="662">
        <v>208</v>
      </c>
      <c r="S38" s="662">
        <f t="shared" si="15"/>
        <v>279</v>
      </c>
      <c r="T38" s="662">
        <v>89</v>
      </c>
      <c r="U38" s="662">
        <v>190</v>
      </c>
      <c r="V38" s="662"/>
      <c r="W38" s="662"/>
    </row>
    <row r="39" spans="1:23" ht="11.25" customHeight="1">
      <c r="A39" s="655" t="s">
        <v>12</v>
      </c>
      <c r="B39" s="662">
        <f t="shared" si="8"/>
        <v>1951</v>
      </c>
      <c r="C39" s="662">
        <f t="shared" si="9"/>
        <v>710</v>
      </c>
      <c r="D39" s="662">
        <v>319</v>
      </c>
      <c r="E39" s="662">
        <v>391</v>
      </c>
      <c r="F39" s="662">
        <f t="shared" si="10"/>
        <v>736</v>
      </c>
      <c r="G39" s="662">
        <v>306</v>
      </c>
      <c r="H39" s="662">
        <v>430</v>
      </c>
      <c r="I39" s="662">
        <f t="shared" si="11"/>
        <v>505</v>
      </c>
      <c r="J39" s="662">
        <v>174</v>
      </c>
      <c r="K39" s="662">
        <v>331</v>
      </c>
      <c r="L39" s="662">
        <f t="shared" si="14"/>
        <v>2157</v>
      </c>
      <c r="M39" s="662">
        <f t="shared" si="12"/>
        <v>735</v>
      </c>
      <c r="N39" s="662">
        <v>346</v>
      </c>
      <c r="O39" s="662">
        <v>389</v>
      </c>
      <c r="P39" s="662">
        <f t="shared" si="13"/>
        <v>837</v>
      </c>
      <c r="Q39" s="662">
        <v>362</v>
      </c>
      <c r="R39" s="662">
        <v>475</v>
      </c>
      <c r="S39" s="662">
        <f t="shared" si="15"/>
        <v>585</v>
      </c>
      <c r="T39" s="662">
        <v>228</v>
      </c>
      <c r="U39" s="662">
        <v>357</v>
      </c>
      <c r="V39" s="662"/>
      <c r="W39" s="662"/>
    </row>
    <row r="40" spans="1:23">
      <c r="A40" s="655" t="s">
        <v>13</v>
      </c>
      <c r="B40" s="662">
        <f t="shared" si="8"/>
        <v>9073</v>
      </c>
      <c r="C40" s="662">
        <f t="shared" si="9"/>
        <v>3329</v>
      </c>
      <c r="D40" s="662">
        <v>1481</v>
      </c>
      <c r="E40" s="662">
        <v>1848</v>
      </c>
      <c r="F40" s="662">
        <f t="shared" si="10"/>
        <v>3384</v>
      </c>
      <c r="G40" s="662">
        <v>1450</v>
      </c>
      <c r="H40" s="662">
        <v>1934</v>
      </c>
      <c r="I40" s="662">
        <f t="shared" si="11"/>
        <v>2360</v>
      </c>
      <c r="J40" s="662">
        <v>884</v>
      </c>
      <c r="K40" s="662">
        <v>1476</v>
      </c>
      <c r="L40" s="662">
        <f t="shared" si="14"/>
        <v>9891</v>
      </c>
      <c r="M40" s="662">
        <f t="shared" si="12"/>
        <v>3484</v>
      </c>
      <c r="N40" s="662">
        <v>1511</v>
      </c>
      <c r="O40" s="662">
        <v>1973</v>
      </c>
      <c r="P40" s="662">
        <f t="shared" si="13"/>
        <v>3829</v>
      </c>
      <c r="Q40" s="662">
        <v>1604</v>
      </c>
      <c r="R40" s="662">
        <v>2225</v>
      </c>
      <c r="S40" s="662">
        <f t="shared" si="15"/>
        <v>2578</v>
      </c>
      <c r="T40" s="662">
        <v>929</v>
      </c>
      <c r="U40" s="662">
        <v>1649</v>
      </c>
      <c r="V40" s="662"/>
      <c r="W40" s="662"/>
    </row>
    <row r="41" spans="1:23">
      <c r="A41" s="655" t="s">
        <v>14</v>
      </c>
      <c r="B41" s="662">
        <f t="shared" si="8"/>
        <v>1392</v>
      </c>
      <c r="C41" s="662">
        <f t="shared" si="9"/>
        <v>501</v>
      </c>
      <c r="D41" s="662">
        <v>233</v>
      </c>
      <c r="E41" s="662">
        <v>268</v>
      </c>
      <c r="F41" s="662">
        <f t="shared" si="10"/>
        <v>560</v>
      </c>
      <c r="G41" s="662">
        <v>233</v>
      </c>
      <c r="H41" s="662">
        <v>327</v>
      </c>
      <c r="I41" s="662">
        <f t="shared" si="11"/>
        <v>331</v>
      </c>
      <c r="J41" s="662">
        <v>118</v>
      </c>
      <c r="K41" s="662">
        <v>213</v>
      </c>
      <c r="L41" s="662">
        <f t="shared" si="14"/>
        <v>1407</v>
      </c>
      <c r="M41" s="662">
        <f t="shared" si="12"/>
        <v>449</v>
      </c>
      <c r="N41" s="662">
        <v>195</v>
      </c>
      <c r="O41" s="662">
        <v>254</v>
      </c>
      <c r="P41" s="662">
        <f t="shared" si="13"/>
        <v>564</v>
      </c>
      <c r="Q41" s="662">
        <v>259</v>
      </c>
      <c r="R41" s="662">
        <v>305</v>
      </c>
      <c r="S41" s="662">
        <f t="shared" si="15"/>
        <v>394</v>
      </c>
      <c r="T41" s="662">
        <v>137</v>
      </c>
      <c r="U41" s="662">
        <v>257</v>
      </c>
      <c r="V41" s="662"/>
      <c r="W41" s="662"/>
    </row>
    <row r="42" spans="1:23">
      <c r="A42" s="655" t="s">
        <v>15</v>
      </c>
      <c r="B42" s="662">
        <f t="shared" si="8"/>
        <v>1866</v>
      </c>
      <c r="C42" s="662">
        <f t="shared" si="9"/>
        <v>634</v>
      </c>
      <c r="D42" s="662">
        <v>292</v>
      </c>
      <c r="E42" s="662">
        <v>342</v>
      </c>
      <c r="F42" s="662">
        <f t="shared" si="10"/>
        <v>792</v>
      </c>
      <c r="G42" s="662">
        <v>360</v>
      </c>
      <c r="H42" s="662">
        <v>432</v>
      </c>
      <c r="I42" s="662">
        <f t="shared" si="11"/>
        <v>440</v>
      </c>
      <c r="J42" s="662">
        <v>168</v>
      </c>
      <c r="K42" s="662">
        <v>272</v>
      </c>
      <c r="L42" s="662">
        <f t="shared" si="14"/>
        <v>1890</v>
      </c>
      <c r="M42" s="662">
        <f t="shared" si="12"/>
        <v>653</v>
      </c>
      <c r="N42" s="662">
        <v>316</v>
      </c>
      <c r="O42" s="662">
        <v>337</v>
      </c>
      <c r="P42" s="662">
        <f t="shared" si="13"/>
        <v>793</v>
      </c>
      <c r="Q42" s="662">
        <v>346</v>
      </c>
      <c r="R42" s="662">
        <v>447</v>
      </c>
      <c r="S42" s="662">
        <f t="shared" si="15"/>
        <v>444</v>
      </c>
      <c r="T42" s="662">
        <v>169</v>
      </c>
      <c r="U42" s="662">
        <v>275</v>
      </c>
      <c r="V42" s="662"/>
      <c r="W42" s="662"/>
    </row>
    <row r="43" spans="1:23">
      <c r="A43" s="655" t="s">
        <v>16</v>
      </c>
      <c r="B43" s="662">
        <f t="shared" si="8"/>
        <v>5356</v>
      </c>
      <c r="C43" s="662">
        <f t="shared" si="9"/>
        <v>2293</v>
      </c>
      <c r="D43" s="662">
        <v>1019</v>
      </c>
      <c r="E43" s="662">
        <v>1274</v>
      </c>
      <c r="F43" s="662">
        <f t="shared" si="10"/>
        <v>1984</v>
      </c>
      <c r="G43" s="662">
        <v>855</v>
      </c>
      <c r="H43" s="662">
        <v>1129</v>
      </c>
      <c r="I43" s="662">
        <f t="shared" si="11"/>
        <v>1079</v>
      </c>
      <c r="J43" s="662">
        <v>374</v>
      </c>
      <c r="K43" s="662">
        <v>705</v>
      </c>
      <c r="L43" s="662">
        <f t="shared" si="14"/>
        <v>5668</v>
      </c>
      <c r="M43" s="662">
        <f t="shared" si="12"/>
        <v>2374</v>
      </c>
      <c r="N43" s="662">
        <v>1095</v>
      </c>
      <c r="O43" s="662">
        <v>1279</v>
      </c>
      <c r="P43" s="662">
        <f t="shared" si="13"/>
        <v>2144</v>
      </c>
      <c r="Q43" s="662">
        <v>917</v>
      </c>
      <c r="R43" s="662">
        <v>1227</v>
      </c>
      <c r="S43" s="662">
        <f t="shared" si="15"/>
        <v>1150</v>
      </c>
      <c r="T43" s="662">
        <v>408</v>
      </c>
      <c r="U43" s="662">
        <v>742</v>
      </c>
      <c r="V43" s="662"/>
      <c r="W43" s="662"/>
    </row>
    <row r="44" spans="1:23">
      <c r="A44" s="655" t="s">
        <v>17</v>
      </c>
      <c r="B44" s="662">
        <f t="shared" si="8"/>
        <v>15951</v>
      </c>
      <c r="C44" s="662">
        <f t="shared" si="9"/>
        <v>7004</v>
      </c>
      <c r="D44" s="662">
        <v>3182</v>
      </c>
      <c r="E44" s="662">
        <v>3822</v>
      </c>
      <c r="F44" s="662">
        <f t="shared" si="10"/>
        <v>5897</v>
      </c>
      <c r="G44" s="662">
        <v>2466</v>
      </c>
      <c r="H44" s="662">
        <v>3431</v>
      </c>
      <c r="I44" s="662">
        <f t="shared" si="11"/>
        <v>3050</v>
      </c>
      <c r="J44" s="662">
        <v>1117</v>
      </c>
      <c r="K44" s="662">
        <v>1933</v>
      </c>
      <c r="L44" s="662">
        <f t="shared" si="14"/>
        <v>17879</v>
      </c>
      <c r="M44" s="662">
        <f t="shared" si="12"/>
        <v>7619</v>
      </c>
      <c r="N44" s="662">
        <v>3490</v>
      </c>
      <c r="O44" s="662">
        <v>4129</v>
      </c>
      <c r="P44" s="662">
        <f t="shared" si="13"/>
        <v>6812</v>
      </c>
      <c r="Q44" s="662">
        <v>3030</v>
      </c>
      <c r="R44" s="662">
        <v>3782</v>
      </c>
      <c r="S44" s="662">
        <f t="shared" si="15"/>
        <v>3448</v>
      </c>
      <c r="T44" s="662">
        <v>1251</v>
      </c>
      <c r="U44" s="662">
        <v>2197</v>
      </c>
      <c r="V44" s="662"/>
      <c r="W44" s="662"/>
    </row>
    <row r="45" spans="1:23">
      <c r="A45" s="655" t="s">
        <v>18</v>
      </c>
      <c r="B45" s="662">
        <f t="shared" si="8"/>
        <v>3320</v>
      </c>
      <c r="C45" s="662">
        <f t="shared" si="9"/>
        <v>1411</v>
      </c>
      <c r="D45" s="662">
        <v>604</v>
      </c>
      <c r="E45" s="662">
        <v>807</v>
      </c>
      <c r="F45" s="662">
        <f t="shared" si="10"/>
        <v>1248</v>
      </c>
      <c r="G45" s="662">
        <v>556</v>
      </c>
      <c r="H45" s="662">
        <v>692</v>
      </c>
      <c r="I45" s="662">
        <f t="shared" si="11"/>
        <v>661</v>
      </c>
      <c r="J45" s="662">
        <v>255</v>
      </c>
      <c r="K45" s="662">
        <v>406</v>
      </c>
      <c r="L45" s="662">
        <f t="shared" si="14"/>
        <v>3517</v>
      </c>
      <c r="M45" s="662">
        <f t="shared" si="12"/>
        <v>1395</v>
      </c>
      <c r="N45" s="662">
        <v>627</v>
      </c>
      <c r="O45" s="662">
        <v>768</v>
      </c>
      <c r="P45" s="662">
        <f t="shared" si="13"/>
        <v>1384</v>
      </c>
      <c r="Q45" s="662">
        <v>615</v>
      </c>
      <c r="R45" s="662">
        <v>769</v>
      </c>
      <c r="S45" s="662">
        <f t="shared" si="15"/>
        <v>738</v>
      </c>
      <c r="T45" s="662">
        <v>251</v>
      </c>
      <c r="U45" s="662">
        <v>487</v>
      </c>
      <c r="V45" s="662"/>
      <c r="W45" s="662"/>
    </row>
    <row r="46" spans="1:23">
      <c r="A46" s="655" t="s">
        <v>19</v>
      </c>
      <c r="B46" s="662">
        <f t="shared" si="8"/>
        <v>6727</v>
      </c>
      <c r="C46" s="662">
        <f t="shared" si="9"/>
        <v>3019</v>
      </c>
      <c r="D46" s="662">
        <v>1310</v>
      </c>
      <c r="E46" s="662">
        <v>1709</v>
      </c>
      <c r="F46" s="662">
        <f t="shared" si="10"/>
        <v>2549</v>
      </c>
      <c r="G46" s="662">
        <v>1122</v>
      </c>
      <c r="H46" s="662">
        <v>1427</v>
      </c>
      <c r="I46" s="662">
        <f t="shared" si="11"/>
        <v>1159</v>
      </c>
      <c r="J46" s="662">
        <v>444</v>
      </c>
      <c r="K46" s="662">
        <v>715</v>
      </c>
      <c r="L46" s="662">
        <f t="shared" si="14"/>
        <v>7286</v>
      </c>
      <c r="M46" s="662">
        <f t="shared" si="12"/>
        <v>3140</v>
      </c>
      <c r="N46" s="662">
        <v>1385</v>
      </c>
      <c r="O46" s="662">
        <v>1755</v>
      </c>
      <c r="P46" s="662">
        <f t="shared" si="13"/>
        <v>2838</v>
      </c>
      <c r="Q46" s="662">
        <v>1207</v>
      </c>
      <c r="R46" s="662">
        <v>1631</v>
      </c>
      <c r="S46" s="662">
        <f t="shared" si="15"/>
        <v>1308</v>
      </c>
      <c r="T46" s="662">
        <v>508</v>
      </c>
      <c r="U46" s="662">
        <v>800</v>
      </c>
      <c r="V46" s="662"/>
      <c r="W46" s="662"/>
    </row>
    <row r="47" spans="1:23">
      <c r="A47" s="655" t="s">
        <v>20</v>
      </c>
      <c r="B47" s="662">
        <f t="shared" si="8"/>
        <v>1468</v>
      </c>
      <c r="C47" s="662">
        <f t="shared" si="9"/>
        <v>719</v>
      </c>
      <c r="D47" s="662">
        <v>336</v>
      </c>
      <c r="E47" s="662">
        <v>383</v>
      </c>
      <c r="F47" s="662">
        <f t="shared" si="10"/>
        <v>539</v>
      </c>
      <c r="G47" s="662">
        <v>248</v>
      </c>
      <c r="H47" s="662">
        <v>291</v>
      </c>
      <c r="I47" s="662">
        <f t="shared" si="11"/>
        <v>210</v>
      </c>
      <c r="J47" s="662">
        <v>70</v>
      </c>
      <c r="K47" s="662">
        <v>140</v>
      </c>
      <c r="L47" s="662">
        <f t="shared" si="14"/>
        <v>1617</v>
      </c>
      <c r="M47" s="662">
        <f t="shared" si="12"/>
        <v>760</v>
      </c>
      <c r="N47" s="662">
        <v>334</v>
      </c>
      <c r="O47" s="662">
        <v>426</v>
      </c>
      <c r="P47" s="662">
        <f t="shared" si="13"/>
        <v>608</v>
      </c>
      <c r="Q47" s="662">
        <v>255</v>
      </c>
      <c r="R47" s="662">
        <v>353</v>
      </c>
      <c r="S47" s="662">
        <f t="shared" si="15"/>
        <v>249</v>
      </c>
      <c r="T47" s="662">
        <v>77</v>
      </c>
      <c r="U47" s="662">
        <v>172</v>
      </c>
      <c r="V47" s="662"/>
      <c r="W47" s="662"/>
    </row>
    <row r="48" spans="1:23">
      <c r="A48" s="655" t="s">
        <v>21</v>
      </c>
      <c r="B48" s="662">
        <f t="shared" si="8"/>
        <v>1753</v>
      </c>
      <c r="C48" s="662">
        <f t="shared" si="9"/>
        <v>712</v>
      </c>
      <c r="D48" s="662">
        <v>357</v>
      </c>
      <c r="E48" s="662">
        <v>355</v>
      </c>
      <c r="F48" s="662">
        <f t="shared" si="10"/>
        <v>648</v>
      </c>
      <c r="G48" s="662">
        <v>262</v>
      </c>
      <c r="H48" s="662">
        <v>386</v>
      </c>
      <c r="I48" s="662">
        <f t="shared" si="11"/>
        <v>393</v>
      </c>
      <c r="J48" s="662">
        <v>119</v>
      </c>
      <c r="K48" s="662">
        <v>274</v>
      </c>
      <c r="L48" s="662">
        <f t="shared" si="14"/>
        <v>1874</v>
      </c>
      <c r="M48" s="662">
        <f t="shared" si="12"/>
        <v>740</v>
      </c>
      <c r="N48" s="662">
        <v>376</v>
      </c>
      <c r="O48" s="662">
        <v>364</v>
      </c>
      <c r="P48" s="662">
        <f t="shared" si="13"/>
        <v>695</v>
      </c>
      <c r="Q48" s="662">
        <v>290</v>
      </c>
      <c r="R48" s="662">
        <v>405</v>
      </c>
      <c r="S48" s="662">
        <f t="shared" si="15"/>
        <v>439</v>
      </c>
      <c r="T48" s="662">
        <v>126</v>
      </c>
      <c r="U48" s="662">
        <v>313</v>
      </c>
      <c r="V48" s="662"/>
      <c r="W48" s="662"/>
    </row>
    <row r="49" spans="1:23" ht="8.25" customHeight="1">
      <c r="A49" s="671"/>
      <c r="B49" s="662"/>
      <c r="C49" s="662"/>
      <c r="D49" s="662"/>
      <c r="E49" s="662"/>
      <c r="F49" s="662"/>
      <c r="G49" s="662"/>
      <c r="H49" s="662"/>
      <c r="I49" s="662"/>
      <c r="J49" s="662"/>
      <c r="K49" s="662"/>
      <c r="L49" s="662"/>
      <c r="M49" s="662"/>
      <c r="N49" s="662"/>
      <c r="O49" s="662"/>
      <c r="P49" s="662"/>
      <c r="Q49" s="662"/>
      <c r="R49" s="662"/>
      <c r="S49" s="662"/>
      <c r="T49" s="662"/>
      <c r="U49" s="662"/>
      <c r="V49" s="662"/>
      <c r="W49" s="662"/>
    </row>
    <row r="50" spans="1:23">
      <c r="A50" s="2541" t="s">
        <v>2305</v>
      </c>
      <c r="B50" s="2541"/>
      <c r="C50" s="2541"/>
      <c r="D50" s="2541"/>
      <c r="E50" s="2541"/>
      <c r="F50" s="2541"/>
      <c r="G50" s="2541"/>
    </row>
    <row r="51" spans="1:23">
      <c r="A51" s="539"/>
    </row>
    <row r="52" spans="1:23">
      <c r="A52" s="499" t="s">
        <v>2302</v>
      </c>
    </row>
    <row r="53" spans="1:23">
      <c r="A53" s="499"/>
    </row>
    <row r="54" spans="1:23">
      <c r="A54" s="2508" t="s">
        <v>0</v>
      </c>
      <c r="B54" s="2542">
        <v>2013</v>
      </c>
      <c r="C54" s="2543"/>
      <c r="D54" s="2543"/>
      <c r="E54" s="2543"/>
      <c r="F54" s="2543"/>
      <c r="G54" s="2543"/>
      <c r="H54" s="2543"/>
      <c r="I54" s="2543"/>
      <c r="J54" s="2543"/>
      <c r="K54" s="2544"/>
      <c r="L54" s="2503">
        <v>2014</v>
      </c>
      <c r="M54" s="2503"/>
      <c r="N54" s="2503"/>
      <c r="O54" s="2503"/>
      <c r="P54" s="2503"/>
      <c r="Q54" s="2503"/>
      <c r="R54" s="2503"/>
      <c r="S54" s="2503"/>
      <c r="T54" s="2503"/>
      <c r="U54" s="2503"/>
    </row>
    <row r="55" spans="1:23" ht="10.5" customHeight="1">
      <c r="A55" s="2509"/>
      <c r="B55" s="2520" t="s">
        <v>2306</v>
      </c>
      <c r="C55" s="2520" t="s">
        <v>2296</v>
      </c>
      <c r="D55" s="2520"/>
      <c r="E55" s="2520"/>
      <c r="F55" s="2520" t="s">
        <v>2297</v>
      </c>
      <c r="G55" s="2520"/>
      <c r="H55" s="2520"/>
      <c r="I55" s="2520" t="s">
        <v>2298</v>
      </c>
      <c r="J55" s="2520"/>
      <c r="K55" s="2520"/>
      <c r="L55" s="2520" t="s">
        <v>2307</v>
      </c>
      <c r="M55" s="2520" t="s">
        <v>2296</v>
      </c>
      <c r="N55" s="2520"/>
      <c r="O55" s="2520"/>
      <c r="P55" s="2520" t="s">
        <v>2297</v>
      </c>
      <c r="Q55" s="2520"/>
      <c r="R55" s="2520"/>
      <c r="S55" s="2520" t="s">
        <v>2298</v>
      </c>
      <c r="T55" s="2520"/>
      <c r="U55" s="2520"/>
    </row>
    <row r="56" spans="1:23">
      <c r="A56" s="2509"/>
      <c r="B56" s="2520"/>
      <c r="C56" s="2503" t="s">
        <v>2300</v>
      </c>
      <c r="D56" s="2503"/>
      <c r="E56" s="2503"/>
      <c r="F56" s="2503" t="s">
        <v>2300</v>
      </c>
      <c r="G56" s="2503"/>
      <c r="H56" s="2503"/>
      <c r="I56" s="2503" t="s">
        <v>2300</v>
      </c>
      <c r="J56" s="2503"/>
      <c r="K56" s="2503"/>
      <c r="L56" s="2520"/>
      <c r="M56" s="2503" t="s">
        <v>2300</v>
      </c>
      <c r="N56" s="2503"/>
      <c r="O56" s="2503"/>
      <c r="P56" s="2503" t="s">
        <v>2300</v>
      </c>
      <c r="Q56" s="2503"/>
      <c r="R56" s="2503"/>
      <c r="S56" s="2503" t="s">
        <v>2300</v>
      </c>
      <c r="T56" s="2503"/>
      <c r="U56" s="2503"/>
    </row>
    <row r="57" spans="1:23">
      <c r="A57" s="2510"/>
      <c r="B57" s="2520"/>
      <c r="C57" s="674" t="s">
        <v>26</v>
      </c>
      <c r="D57" s="674" t="s">
        <v>163</v>
      </c>
      <c r="E57" s="674" t="s">
        <v>164</v>
      </c>
      <c r="F57" s="674" t="s">
        <v>26</v>
      </c>
      <c r="G57" s="674" t="s">
        <v>163</v>
      </c>
      <c r="H57" s="674" t="s">
        <v>164</v>
      </c>
      <c r="I57" s="674" t="s">
        <v>26</v>
      </c>
      <c r="J57" s="674" t="s">
        <v>163</v>
      </c>
      <c r="K57" s="674" t="s">
        <v>164</v>
      </c>
      <c r="L57" s="2520"/>
      <c r="M57" s="674" t="s">
        <v>26</v>
      </c>
      <c r="N57" s="674" t="s">
        <v>163</v>
      </c>
      <c r="O57" s="674" t="s">
        <v>164</v>
      </c>
      <c r="P57" s="674" t="s">
        <v>26</v>
      </c>
      <c r="Q57" s="674" t="s">
        <v>163</v>
      </c>
      <c r="R57" s="674" t="s">
        <v>164</v>
      </c>
      <c r="S57" s="674" t="s">
        <v>26</v>
      </c>
      <c r="T57" s="674" t="s">
        <v>163</v>
      </c>
      <c r="U57" s="674" t="s">
        <v>164</v>
      </c>
    </row>
    <row r="58" spans="1:23">
      <c r="A58" s="499" t="s">
        <v>6</v>
      </c>
      <c r="B58" s="659">
        <f>+I58+F58+C58</f>
        <v>69599</v>
      </c>
      <c r="C58" s="659">
        <f t="shared" ref="C58:C73" si="16">+D58+E58</f>
        <v>27135</v>
      </c>
      <c r="D58" s="659">
        <f>SUM(D59:D73)</f>
        <v>12469</v>
      </c>
      <c r="E58" s="659">
        <f>SUM(E59:E73)</f>
        <v>14666</v>
      </c>
      <c r="F58" s="659">
        <f t="shared" ref="F58:F73" si="17">+H58+G58</f>
        <v>26982</v>
      </c>
      <c r="G58" s="659">
        <f>SUM(G59:G73)</f>
        <v>12113</v>
      </c>
      <c r="H58" s="659">
        <f>SUM(H59:H73)</f>
        <v>14869</v>
      </c>
      <c r="I58" s="659">
        <f t="shared" ref="I58:I73" si="18">+K58+J58</f>
        <v>15482</v>
      </c>
      <c r="J58" s="659">
        <f>SUM(J59:J73)</f>
        <v>5388</v>
      </c>
      <c r="K58" s="659">
        <f>SUM(K59:K73)</f>
        <v>10094</v>
      </c>
      <c r="L58" s="677">
        <f>+M58+P58+S58</f>
        <v>76176</v>
      </c>
      <c r="M58" s="677">
        <f t="shared" ref="M58:M72" si="19">+N58+O58</f>
        <v>30761</v>
      </c>
      <c r="N58" s="677">
        <f>SUM(N59:N73)</f>
        <v>14401</v>
      </c>
      <c r="O58" s="677">
        <f>SUM(O59:O73)</f>
        <v>16360</v>
      </c>
      <c r="P58" s="677">
        <f>+Q58+R58</f>
        <v>27459</v>
      </c>
      <c r="Q58" s="677">
        <f>SUM(Q59:Q73)</f>
        <v>12328</v>
      </c>
      <c r="R58" s="677">
        <f>SUM(R59:R73)</f>
        <v>15131</v>
      </c>
      <c r="S58" s="677">
        <f>T58+U58</f>
        <v>17956</v>
      </c>
      <c r="T58" s="677">
        <f>SUM(T59:T73)</f>
        <v>6355</v>
      </c>
      <c r="U58" s="677">
        <f>SUM(U59:U73)</f>
        <v>11601</v>
      </c>
    </row>
    <row r="59" spans="1:23">
      <c r="A59" s="655" t="s">
        <v>7</v>
      </c>
      <c r="B59" s="662">
        <f t="shared" ref="B59:B73" si="20">+I59+F59+C59</f>
        <v>3643</v>
      </c>
      <c r="C59" s="662">
        <f t="shared" si="16"/>
        <v>1343</v>
      </c>
      <c r="D59" s="662">
        <v>648</v>
      </c>
      <c r="E59" s="662">
        <v>695</v>
      </c>
      <c r="F59" s="662">
        <f t="shared" si="17"/>
        <v>1362</v>
      </c>
      <c r="G59" s="662">
        <v>633</v>
      </c>
      <c r="H59" s="662">
        <v>729</v>
      </c>
      <c r="I59" s="662">
        <f t="shared" si="18"/>
        <v>938</v>
      </c>
      <c r="J59" s="662">
        <v>297</v>
      </c>
      <c r="K59" s="662">
        <v>641</v>
      </c>
      <c r="L59" s="558">
        <f>+M59+P59+S59</f>
        <v>3599</v>
      </c>
      <c r="M59" s="558">
        <f t="shared" si="19"/>
        <v>1360</v>
      </c>
      <c r="N59" s="558">
        <v>681</v>
      </c>
      <c r="O59" s="558">
        <v>679</v>
      </c>
      <c r="P59" s="558">
        <f t="shared" ref="P59:P73" si="21">+Q59+R59</f>
        <v>1137</v>
      </c>
      <c r="Q59" s="558">
        <v>544</v>
      </c>
      <c r="R59" s="558">
        <v>593</v>
      </c>
      <c r="S59" s="558">
        <f t="shared" ref="S59:S73" si="22">+T59+U59</f>
        <v>1102</v>
      </c>
      <c r="T59" s="512">
        <v>367</v>
      </c>
      <c r="U59" s="512">
        <v>735</v>
      </c>
    </row>
    <row r="60" spans="1:23">
      <c r="A60" s="655" t="s">
        <v>8</v>
      </c>
      <c r="B60" s="662">
        <f t="shared" si="20"/>
        <v>3080</v>
      </c>
      <c r="C60" s="662">
        <f t="shared" si="16"/>
        <v>1256</v>
      </c>
      <c r="D60" s="662">
        <v>609</v>
      </c>
      <c r="E60" s="662">
        <v>647</v>
      </c>
      <c r="F60" s="662">
        <f t="shared" si="17"/>
        <v>1168</v>
      </c>
      <c r="G60" s="662">
        <v>501</v>
      </c>
      <c r="H60" s="662">
        <v>667</v>
      </c>
      <c r="I60" s="662">
        <f t="shared" si="18"/>
        <v>656</v>
      </c>
      <c r="J60" s="662">
        <v>224</v>
      </c>
      <c r="K60" s="662">
        <v>432</v>
      </c>
      <c r="L60" s="558">
        <f t="shared" ref="L60:L72" si="23">+M60+P60+S60</f>
        <v>3208</v>
      </c>
      <c r="M60" s="558">
        <f>+N60+O60</f>
        <v>1192</v>
      </c>
      <c r="N60" s="558">
        <v>564</v>
      </c>
      <c r="O60" s="558">
        <v>628</v>
      </c>
      <c r="P60" s="558">
        <f t="shared" si="21"/>
        <v>1151</v>
      </c>
      <c r="Q60" s="558">
        <v>513</v>
      </c>
      <c r="R60" s="558">
        <v>638</v>
      </c>
      <c r="S60" s="558">
        <f t="shared" si="22"/>
        <v>865</v>
      </c>
      <c r="T60" s="512">
        <v>286</v>
      </c>
      <c r="U60" s="512">
        <v>579</v>
      </c>
    </row>
    <row r="61" spans="1:23">
      <c r="A61" s="655" t="s">
        <v>9</v>
      </c>
      <c r="B61" s="662">
        <f t="shared" si="20"/>
        <v>1592</v>
      </c>
      <c r="C61" s="662">
        <f t="shared" si="16"/>
        <v>630</v>
      </c>
      <c r="D61" s="662">
        <v>293</v>
      </c>
      <c r="E61" s="662">
        <v>337</v>
      </c>
      <c r="F61" s="662">
        <f t="shared" si="17"/>
        <v>530</v>
      </c>
      <c r="G61" s="662">
        <v>256</v>
      </c>
      <c r="H61" s="662">
        <v>274</v>
      </c>
      <c r="I61" s="662">
        <f t="shared" si="18"/>
        <v>432</v>
      </c>
      <c r="J61" s="662">
        <v>139</v>
      </c>
      <c r="K61" s="662">
        <v>293</v>
      </c>
      <c r="L61" s="558">
        <f>+M61+P61+S61</f>
        <v>1690</v>
      </c>
      <c r="M61" s="558">
        <f t="shared" si="19"/>
        <v>604</v>
      </c>
      <c r="N61" s="558">
        <v>287</v>
      </c>
      <c r="O61" s="558">
        <v>317</v>
      </c>
      <c r="P61" s="558">
        <f t="shared" si="21"/>
        <v>569</v>
      </c>
      <c r="Q61" s="558">
        <v>248</v>
      </c>
      <c r="R61" s="558">
        <v>321</v>
      </c>
      <c r="S61" s="558">
        <f t="shared" si="22"/>
        <v>517</v>
      </c>
      <c r="T61" s="512">
        <v>168</v>
      </c>
      <c r="U61" s="512">
        <v>349</v>
      </c>
    </row>
    <row r="62" spans="1:23">
      <c r="A62" s="655" t="s">
        <v>10</v>
      </c>
      <c r="B62" s="662">
        <f t="shared" si="20"/>
        <v>1498</v>
      </c>
      <c r="C62" s="662">
        <f t="shared" si="16"/>
        <v>503</v>
      </c>
      <c r="D62" s="662">
        <v>229</v>
      </c>
      <c r="E62" s="662">
        <v>274</v>
      </c>
      <c r="F62" s="662">
        <f t="shared" si="17"/>
        <v>640</v>
      </c>
      <c r="G62" s="662">
        <v>278</v>
      </c>
      <c r="H62" s="662">
        <v>362</v>
      </c>
      <c r="I62" s="662">
        <f t="shared" si="18"/>
        <v>355</v>
      </c>
      <c r="J62" s="662">
        <v>126</v>
      </c>
      <c r="K62" s="662">
        <v>229</v>
      </c>
      <c r="L62" s="558">
        <f t="shared" si="23"/>
        <v>1624</v>
      </c>
      <c r="M62" s="558">
        <f>+N62+O62</f>
        <v>628</v>
      </c>
      <c r="N62" s="558">
        <v>285</v>
      </c>
      <c r="O62" s="558">
        <v>343</v>
      </c>
      <c r="P62" s="558">
        <f t="shared" si="21"/>
        <v>600</v>
      </c>
      <c r="Q62" s="558">
        <v>264</v>
      </c>
      <c r="R62" s="558">
        <v>336</v>
      </c>
      <c r="S62" s="558">
        <f t="shared" si="22"/>
        <v>396</v>
      </c>
      <c r="T62" s="512">
        <v>142</v>
      </c>
      <c r="U62" s="512">
        <v>254</v>
      </c>
    </row>
    <row r="63" spans="1:23">
      <c r="A63" s="655" t="s">
        <v>11</v>
      </c>
      <c r="B63" s="662">
        <f t="shared" si="20"/>
        <v>955</v>
      </c>
      <c r="C63" s="662">
        <f t="shared" si="16"/>
        <v>274</v>
      </c>
      <c r="D63" s="662">
        <v>128</v>
      </c>
      <c r="E63" s="662">
        <v>146</v>
      </c>
      <c r="F63" s="662">
        <f t="shared" si="17"/>
        <v>383</v>
      </c>
      <c r="G63" s="662">
        <v>182</v>
      </c>
      <c r="H63" s="662">
        <v>201</v>
      </c>
      <c r="I63" s="662">
        <f t="shared" si="18"/>
        <v>298</v>
      </c>
      <c r="J63" s="662">
        <v>107</v>
      </c>
      <c r="K63" s="662">
        <v>191</v>
      </c>
      <c r="L63" s="558">
        <f>+M63+P63+S63</f>
        <v>1006</v>
      </c>
      <c r="M63" s="558">
        <f t="shared" si="19"/>
        <v>306</v>
      </c>
      <c r="N63" s="558">
        <v>167</v>
      </c>
      <c r="O63" s="558">
        <v>139</v>
      </c>
      <c r="P63" s="558">
        <f t="shared" si="21"/>
        <v>383</v>
      </c>
      <c r="Q63" s="558">
        <v>177</v>
      </c>
      <c r="R63" s="558">
        <v>206</v>
      </c>
      <c r="S63" s="558">
        <f t="shared" si="22"/>
        <v>317</v>
      </c>
      <c r="T63" s="512">
        <v>104</v>
      </c>
      <c r="U63" s="512">
        <v>213</v>
      </c>
    </row>
    <row r="64" spans="1:23">
      <c r="A64" s="655" t="s">
        <v>12</v>
      </c>
      <c r="B64" s="662">
        <f t="shared" si="20"/>
        <v>2304</v>
      </c>
      <c r="C64" s="662">
        <f t="shared" si="16"/>
        <v>815</v>
      </c>
      <c r="D64" s="662">
        <v>365</v>
      </c>
      <c r="E64" s="662">
        <v>450</v>
      </c>
      <c r="F64" s="662">
        <f t="shared" si="17"/>
        <v>832</v>
      </c>
      <c r="G64" s="662">
        <v>381</v>
      </c>
      <c r="H64" s="662">
        <v>451</v>
      </c>
      <c r="I64" s="662">
        <f t="shared" si="18"/>
        <v>657</v>
      </c>
      <c r="J64" s="662">
        <v>250</v>
      </c>
      <c r="K64" s="662">
        <v>407</v>
      </c>
      <c r="L64" s="558">
        <f t="shared" si="23"/>
        <v>2561</v>
      </c>
      <c r="M64" s="558">
        <f>+N64+O64</f>
        <v>916</v>
      </c>
      <c r="N64" s="558">
        <v>409</v>
      </c>
      <c r="O64" s="558">
        <v>507</v>
      </c>
      <c r="P64" s="558">
        <f t="shared" si="21"/>
        <v>967</v>
      </c>
      <c r="Q64" s="558">
        <v>435</v>
      </c>
      <c r="R64" s="558">
        <v>532</v>
      </c>
      <c r="S64" s="558">
        <f t="shared" si="22"/>
        <v>678</v>
      </c>
      <c r="T64" s="512">
        <v>259</v>
      </c>
      <c r="U64" s="512">
        <v>419</v>
      </c>
    </row>
    <row r="65" spans="1:21">
      <c r="A65" s="655" t="s">
        <v>13</v>
      </c>
      <c r="B65" s="662">
        <f t="shared" si="20"/>
        <v>10235</v>
      </c>
      <c r="C65" s="662">
        <f t="shared" si="16"/>
        <v>3773</v>
      </c>
      <c r="D65" s="662">
        <v>1758</v>
      </c>
      <c r="E65" s="662">
        <v>2015</v>
      </c>
      <c r="F65" s="662">
        <f t="shared" si="17"/>
        <v>3647</v>
      </c>
      <c r="G65" s="662">
        <v>1597</v>
      </c>
      <c r="H65" s="662">
        <v>2050</v>
      </c>
      <c r="I65" s="662">
        <f t="shared" si="18"/>
        <v>2815</v>
      </c>
      <c r="J65" s="662">
        <v>966</v>
      </c>
      <c r="K65" s="662">
        <v>1849</v>
      </c>
      <c r="L65" s="558">
        <f t="shared" si="23"/>
        <v>10498</v>
      </c>
      <c r="M65" s="558">
        <f t="shared" si="19"/>
        <v>3718</v>
      </c>
      <c r="N65" s="558">
        <v>1761</v>
      </c>
      <c r="O65" s="558">
        <v>1957</v>
      </c>
      <c r="P65" s="558">
        <f t="shared" si="21"/>
        <v>3612</v>
      </c>
      <c r="Q65" s="558">
        <v>1607</v>
      </c>
      <c r="R65" s="558">
        <v>2005</v>
      </c>
      <c r="S65" s="558">
        <f t="shared" si="22"/>
        <v>3168</v>
      </c>
      <c r="T65" s="512">
        <v>1093</v>
      </c>
      <c r="U65" s="512">
        <v>2075</v>
      </c>
    </row>
    <row r="66" spans="1:21">
      <c r="A66" s="655" t="s">
        <v>14</v>
      </c>
      <c r="B66" s="662">
        <f t="shared" si="20"/>
        <v>1399</v>
      </c>
      <c r="C66" s="662">
        <f t="shared" si="16"/>
        <v>465</v>
      </c>
      <c r="D66" s="662">
        <v>209</v>
      </c>
      <c r="E66" s="662">
        <v>256</v>
      </c>
      <c r="F66" s="662">
        <f t="shared" si="17"/>
        <v>531</v>
      </c>
      <c r="G66" s="662">
        <v>229</v>
      </c>
      <c r="H66" s="662">
        <v>302</v>
      </c>
      <c r="I66" s="662">
        <f t="shared" si="18"/>
        <v>403</v>
      </c>
      <c r="J66" s="662">
        <v>150</v>
      </c>
      <c r="K66" s="662">
        <v>253</v>
      </c>
      <c r="L66" s="558">
        <f>+M66+P66+S66</f>
        <v>1538</v>
      </c>
      <c r="M66" s="558">
        <f>+N66+O66</f>
        <v>539</v>
      </c>
      <c r="N66" s="558">
        <v>242</v>
      </c>
      <c r="O66" s="558">
        <v>297</v>
      </c>
      <c r="P66" s="558">
        <f t="shared" si="21"/>
        <v>556</v>
      </c>
      <c r="Q66" s="558">
        <v>250</v>
      </c>
      <c r="R66" s="558">
        <v>306</v>
      </c>
      <c r="S66" s="558">
        <f t="shared" si="22"/>
        <v>443</v>
      </c>
      <c r="T66" s="512">
        <v>157</v>
      </c>
      <c r="U66" s="512">
        <v>286</v>
      </c>
    </row>
    <row r="67" spans="1:21">
      <c r="A67" s="655" t="s">
        <v>15</v>
      </c>
      <c r="B67" s="662">
        <f t="shared" si="20"/>
        <v>1978</v>
      </c>
      <c r="C67" s="662">
        <f t="shared" si="16"/>
        <v>669</v>
      </c>
      <c r="D67" s="662">
        <v>313</v>
      </c>
      <c r="E67" s="662">
        <v>356</v>
      </c>
      <c r="F67" s="662">
        <f t="shared" si="17"/>
        <v>832</v>
      </c>
      <c r="G67" s="662">
        <v>364</v>
      </c>
      <c r="H67" s="662">
        <v>468</v>
      </c>
      <c r="I67" s="662">
        <f t="shared" si="18"/>
        <v>477</v>
      </c>
      <c r="J67" s="662">
        <v>176</v>
      </c>
      <c r="K67" s="662">
        <v>301</v>
      </c>
      <c r="L67" s="558">
        <f>+M67+P67+S67</f>
        <v>2066</v>
      </c>
      <c r="M67" s="558">
        <f t="shared" si="19"/>
        <v>726</v>
      </c>
      <c r="N67" s="558">
        <v>339</v>
      </c>
      <c r="O67" s="558">
        <v>387</v>
      </c>
      <c r="P67" s="558">
        <f t="shared" si="21"/>
        <v>830</v>
      </c>
      <c r="Q67" s="558">
        <v>374</v>
      </c>
      <c r="R67" s="558">
        <v>456</v>
      </c>
      <c r="S67" s="558">
        <f t="shared" si="22"/>
        <v>510</v>
      </c>
      <c r="T67" s="512">
        <v>195</v>
      </c>
      <c r="U67" s="512">
        <v>315</v>
      </c>
    </row>
    <row r="68" spans="1:21">
      <c r="A68" s="655" t="s">
        <v>16</v>
      </c>
      <c r="B68" s="662">
        <f t="shared" si="20"/>
        <v>6419</v>
      </c>
      <c r="C68" s="662">
        <f t="shared" si="16"/>
        <v>2514</v>
      </c>
      <c r="D68" s="662">
        <v>1169</v>
      </c>
      <c r="E68" s="662">
        <v>1345</v>
      </c>
      <c r="F68" s="662">
        <f t="shared" si="17"/>
        <v>2677</v>
      </c>
      <c r="G68" s="662">
        <v>1207</v>
      </c>
      <c r="H68" s="662">
        <v>1470</v>
      </c>
      <c r="I68" s="662">
        <f t="shared" si="18"/>
        <v>1228</v>
      </c>
      <c r="J68" s="662">
        <v>426</v>
      </c>
      <c r="K68" s="662">
        <v>802</v>
      </c>
      <c r="L68" s="558">
        <f t="shared" si="23"/>
        <v>7209</v>
      </c>
      <c r="M68" s="558">
        <f>+N68+O68</f>
        <v>3020</v>
      </c>
      <c r="N68" s="558">
        <v>1426</v>
      </c>
      <c r="O68" s="558">
        <v>1594</v>
      </c>
      <c r="P68" s="558">
        <f t="shared" si="21"/>
        <v>2673</v>
      </c>
      <c r="Q68" s="558">
        <v>1206</v>
      </c>
      <c r="R68" s="558">
        <v>1467</v>
      </c>
      <c r="S68" s="558">
        <f t="shared" si="22"/>
        <v>1516</v>
      </c>
      <c r="T68" s="512">
        <v>548</v>
      </c>
      <c r="U68" s="512">
        <v>968</v>
      </c>
    </row>
    <row r="69" spans="1:21">
      <c r="A69" s="655" t="s">
        <v>17</v>
      </c>
      <c r="B69" s="662">
        <f t="shared" si="20"/>
        <v>20126</v>
      </c>
      <c r="C69" s="662">
        <f t="shared" si="16"/>
        <v>7926</v>
      </c>
      <c r="D69" s="662">
        <v>3649</v>
      </c>
      <c r="E69" s="662">
        <v>4277</v>
      </c>
      <c r="F69" s="662">
        <f t="shared" si="17"/>
        <v>7856</v>
      </c>
      <c r="G69" s="662">
        <v>3559</v>
      </c>
      <c r="H69" s="662">
        <v>4297</v>
      </c>
      <c r="I69" s="662">
        <f t="shared" si="18"/>
        <v>4344</v>
      </c>
      <c r="J69" s="662">
        <v>1542</v>
      </c>
      <c r="K69" s="662">
        <v>2802</v>
      </c>
      <c r="L69" s="558">
        <f>+M69+P69+S69</f>
        <v>22753</v>
      </c>
      <c r="M69" s="558">
        <f t="shared" si="19"/>
        <v>9747</v>
      </c>
      <c r="N69" s="558">
        <v>4562</v>
      </c>
      <c r="O69" s="558">
        <v>5185</v>
      </c>
      <c r="P69" s="558">
        <f t="shared" si="21"/>
        <v>7926</v>
      </c>
      <c r="Q69" s="558">
        <v>3561</v>
      </c>
      <c r="R69" s="558">
        <v>4365</v>
      </c>
      <c r="S69" s="558">
        <f t="shared" si="22"/>
        <v>5080</v>
      </c>
      <c r="T69" s="512">
        <v>1863</v>
      </c>
      <c r="U69" s="512">
        <v>3217</v>
      </c>
    </row>
    <row r="70" spans="1:21">
      <c r="A70" s="655" t="s">
        <v>18</v>
      </c>
      <c r="B70" s="662">
        <f t="shared" si="20"/>
        <v>3870</v>
      </c>
      <c r="C70" s="662">
        <f t="shared" si="16"/>
        <v>1520</v>
      </c>
      <c r="D70" s="662">
        <v>664</v>
      </c>
      <c r="E70" s="662">
        <v>856</v>
      </c>
      <c r="F70" s="662">
        <f t="shared" si="17"/>
        <v>1547</v>
      </c>
      <c r="G70" s="662">
        <v>737</v>
      </c>
      <c r="H70" s="662">
        <v>810</v>
      </c>
      <c r="I70" s="662">
        <f t="shared" si="18"/>
        <v>803</v>
      </c>
      <c r="J70" s="662">
        <v>269</v>
      </c>
      <c r="K70" s="662">
        <v>534</v>
      </c>
      <c r="L70" s="558">
        <f t="shared" si="23"/>
        <v>4456</v>
      </c>
      <c r="M70" s="558">
        <f>+N70+O70</f>
        <v>1755</v>
      </c>
      <c r="N70" s="558">
        <v>783</v>
      </c>
      <c r="O70" s="558">
        <v>972</v>
      </c>
      <c r="P70" s="558">
        <f t="shared" si="21"/>
        <v>1726</v>
      </c>
      <c r="Q70" s="558">
        <v>816</v>
      </c>
      <c r="R70" s="558">
        <v>910</v>
      </c>
      <c r="S70" s="558">
        <f t="shared" si="22"/>
        <v>975</v>
      </c>
      <c r="T70" s="512">
        <v>332</v>
      </c>
      <c r="U70" s="512">
        <v>643</v>
      </c>
    </row>
    <row r="71" spans="1:21">
      <c r="A71" s="655" t="s">
        <v>19</v>
      </c>
      <c r="B71" s="662">
        <f t="shared" si="20"/>
        <v>8781</v>
      </c>
      <c r="C71" s="662">
        <f t="shared" si="16"/>
        <v>3781</v>
      </c>
      <c r="D71" s="662">
        <v>1662</v>
      </c>
      <c r="E71" s="662">
        <v>2119</v>
      </c>
      <c r="F71" s="662">
        <f t="shared" si="17"/>
        <v>3550</v>
      </c>
      <c r="G71" s="662">
        <v>1546</v>
      </c>
      <c r="H71" s="662">
        <v>2004</v>
      </c>
      <c r="I71" s="662">
        <f t="shared" si="18"/>
        <v>1450</v>
      </c>
      <c r="J71" s="662">
        <v>528</v>
      </c>
      <c r="K71" s="662">
        <v>922</v>
      </c>
      <c r="L71" s="558">
        <f>+M71+P71+S71</f>
        <v>10536</v>
      </c>
      <c r="M71" s="558">
        <f t="shared" si="19"/>
        <v>4683</v>
      </c>
      <c r="N71" s="558">
        <v>2145</v>
      </c>
      <c r="O71" s="558">
        <v>2538</v>
      </c>
      <c r="P71" s="558">
        <f t="shared" si="21"/>
        <v>4064</v>
      </c>
      <c r="Q71" s="558">
        <v>1777</v>
      </c>
      <c r="R71" s="558">
        <v>2287</v>
      </c>
      <c r="S71" s="558">
        <f t="shared" si="22"/>
        <v>1789</v>
      </c>
      <c r="T71" s="512">
        <v>650</v>
      </c>
      <c r="U71" s="512">
        <v>1139</v>
      </c>
    </row>
    <row r="72" spans="1:21">
      <c r="A72" s="655" t="s">
        <v>20</v>
      </c>
      <c r="B72" s="662">
        <f t="shared" si="20"/>
        <v>1672</v>
      </c>
      <c r="C72" s="662">
        <f t="shared" si="16"/>
        <v>839</v>
      </c>
      <c r="D72" s="662">
        <v>387</v>
      </c>
      <c r="E72" s="662">
        <v>452</v>
      </c>
      <c r="F72" s="662">
        <f t="shared" si="17"/>
        <v>684</v>
      </c>
      <c r="G72" s="662">
        <v>302</v>
      </c>
      <c r="H72" s="662">
        <v>382</v>
      </c>
      <c r="I72" s="662">
        <f t="shared" si="18"/>
        <v>149</v>
      </c>
      <c r="J72" s="662">
        <v>40</v>
      </c>
      <c r="K72" s="662">
        <v>109</v>
      </c>
      <c r="L72" s="558">
        <f t="shared" si="23"/>
        <v>1510</v>
      </c>
      <c r="M72" s="558">
        <f t="shared" si="19"/>
        <v>820</v>
      </c>
      <c r="N72" s="558">
        <v>391</v>
      </c>
      <c r="O72" s="558">
        <v>429</v>
      </c>
      <c r="P72" s="558">
        <f t="shared" si="21"/>
        <v>634</v>
      </c>
      <c r="Q72" s="558">
        <v>263</v>
      </c>
      <c r="R72" s="558">
        <v>371</v>
      </c>
      <c r="S72" s="558">
        <f t="shared" si="22"/>
        <v>56</v>
      </c>
      <c r="T72" s="512">
        <v>17</v>
      </c>
      <c r="U72" s="512">
        <v>39</v>
      </c>
    </row>
    <row r="73" spans="1:21">
      <c r="A73" s="655" t="s">
        <v>21</v>
      </c>
      <c r="B73" s="662">
        <f t="shared" si="20"/>
        <v>2047</v>
      </c>
      <c r="C73" s="662">
        <f t="shared" si="16"/>
        <v>827</v>
      </c>
      <c r="D73" s="662">
        <v>386</v>
      </c>
      <c r="E73" s="662">
        <v>441</v>
      </c>
      <c r="F73" s="662">
        <f t="shared" si="17"/>
        <v>743</v>
      </c>
      <c r="G73" s="662">
        <v>341</v>
      </c>
      <c r="H73" s="662">
        <v>402</v>
      </c>
      <c r="I73" s="662">
        <f t="shared" si="18"/>
        <v>477</v>
      </c>
      <c r="J73" s="662">
        <v>148</v>
      </c>
      <c r="K73" s="662">
        <v>329</v>
      </c>
      <c r="L73" s="558">
        <f>+M73+P73+S73</f>
        <v>1922</v>
      </c>
      <c r="M73" s="558">
        <f>+N73+O73</f>
        <v>747</v>
      </c>
      <c r="N73" s="558">
        <v>359</v>
      </c>
      <c r="O73" s="558">
        <v>388</v>
      </c>
      <c r="P73" s="558">
        <f t="shared" si="21"/>
        <v>631</v>
      </c>
      <c r="Q73" s="558">
        <v>293</v>
      </c>
      <c r="R73" s="558">
        <v>338</v>
      </c>
      <c r="S73" s="558">
        <f t="shared" si="22"/>
        <v>544</v>
      </c>
      <c r="T73" s="512">
        <v>174</v>
      </c>
      <c r="U73" s="512">
        <v>370</v>
      </c>
    </row>
    <row r="74" spans="1:21">
      <c r="A74" s="539"/>
    </row>
    <row r="75" spans="1:21">
      <c r="A75" s="2541" t="s">
        <v>2305</v>
      </c>
      <c r="B75" s="2541"/>
      <c r="C75" s="2541"/>
      <c r="D75" s="2541"/>
      <c r="E75" s="2541"/>
      <c r="F75" s="2541"/>
      <c r="G75" s="2541"/>
      <c r="H75" s="2541"/>
      <c r="I75" s="2541"/>
      <c r="J75" s="2541"/>
      <c r="K75" s="2541"/>
      <c r="L75" s="2541"/>
      <c r="M75" s="2541"/>
    </row>
    <row r="76" spans="1:21">
      <c r="A76" s="539"/>
    </row>
  </sheetData>
  <mergeCells count="54">
    <mergeCell ref="P55:R55"/>
    <mergeCell ref="S55:U55"/>
    <mergeCell ref="C56:E56"/>
    <mergeCell ref="F56:H56"/>
    <mergeCell ref="I56:K56"/>
    <mergeCell ref="M56:O56"/>
    <mergeCell ref="P56:R56"/>
    <mergeCell ref="S56:U56"/>
    <mergeCell ref="A75:M75"/>
    <mergeCell ref="M31:O31"/>
    <mergeCell ref="P31:R31"/>
    <mergeCell ref="S31:U31"/>
    <mergeCell ref="A50:G50"/>
    <mergeCell ref="A54:A57"/>
    <mergeCell ref="B54:K54"/>
    <mergeCell ref="L54:U54"/>
    <mergeCell ref="B55:B57"/>
    <mergeCell ref="C55:E55"/>
    <mergeCell ref="F55:H55"/>
    <mergeCell ref="I55:K55"/>
    <mergeCell ref="L55:L57"/>
    <mergeCell ref="M55:O55"/>
    <mergeCell ref="S6:U6"/>
    <mergeCell ref="A25:G25"/>
    <mergeCell ref="A29:A32"/>
    <mergeCell ref="B29:K29"/>
    <mergeCell ref="L29:U29"/>
    <mergeCell ref="B30:B32"/>
    <mergeCell ref="C30:E30"/>
    <mergeCell ref="F30:H30"/>
    <mergeCell ref="I30:K30"/>
    <mergeCell ref="L30:L32"/>
    <mergeCell ref="M30:O30"/>
    <mergeCell ref="P30:R30"/>
    <mergeCell ref="S30:U30"/>
    <mergeCell ref="C31:E31"/>
    <mergeCell ref="F31:H31"/>
    <mergeCell ref="I31:K31"/>
    <mergeCell ref="A4:A7"/>
    <mergeCell ref="B4:K4"/>
    <mergeCell ref="L4:U4"/>
    <mergeCell ref="B5:B7"/>
    <mergeCell ref="C5:E5"/>
    <mergeCell ref="F5:H5"/>
    <mergeCell ref="I5:K5"/>
    <mergeCell ref="L5:L7"/>
    <mergeCell ref="M5:O5"/>
    <mergeCell ref="P5:R5"/>
    <mergeCell ref="S5:U5"/>
    <mergeCell ref="C6:E6"/>
    <mergeCell ref="F6:H6"/>
    <mergeCell ref="I6:K6"/>
    <mergeCell ref="M6:O6"/>
    <mergeCell ref="P6:R6"/>
  </mergeCells>
  <pageMargins left="0.38" right="0.39370078740157483" top="0.47244094488188981" bottom="0.43307086614173229" header="0.31496062992125984" footer="0.31496062992125984"/>
  <pageSetup paperSize="14" scale="60" orientation="landscape" r:id="rId1"/>
  <colBreaks count="1" manualBreakCount="1">
    <brk id="11" min="1" max="77" man="1"/>
  </colBreaks>
</worksheet>
</file>

<file path=xl/worksheets/sheet247.xml><?xml version="1.0" encoding="utf-8"?>
<worksheet xmlns="http://schemas.openxmlformats.org/spreadsheetml/2006/main" xmlns:r="http://schemas.openxmlformats.org/officeDocument/2006/relationships">
  <dimension ref="A1:J48"/>
  <sheetViews>
    <sheetView topLeftCell="A16" zoomScaleNormal="100" workbookViewId="0"/>
  </sheetViews>
  <sheetFormatPr baseColWidth="10" defaultRowHeight="12"/>
  <cols>
    <col min="1" max="1" width="17.28515625" style="84" customWidth="1"/>
    <col min="2" max="9" width="17.85546875" style="84" bestFit="1" customWidth="1"/>
    <col min="10" max="10" width="19.140625" style="84" bestFit="1" customWidth="1"/>
    <col min="11" max="16384" width="11.42578125" style="84"/>
  </cols>
  <sheetData>
    <row r="1" spans="1:10" ht="9" customHeight="1"/>
    <row r="2" spans="1:10" s="86" customFormat="1" ht="15" customHeight="1">
      <c r="A2" s="81" t="s">
        <v>2308</v>
      </c>
    </row>
    <row r="3" spans="1:10" s="80" customFormat="1" ht="3.75" customHeight="1">
      <c r="A3" s="499"/>
      <c r="B3" s="539"/>
      <c r="C3" s="539"/>
      <c r="D3" s="539"/>
      <c r="E3" s="539"/>
      <c r="F3" s="539"/>
      <c r="G3" s="539"/>
      <c r="H3" s="539"/>
      <c r="I3" s="666"/>
      <c r="J3" s="539"/>
    </row>
    <row r="4" spans="1:10" s="80" customFormat="1" ht="15" customHeight="1">
      <c r="A4" s="2508" t="s">
        <v>0</v>
      </c>
      <c r="B4" s="2503">
        <v>2009</v>
      </c>
      <c r="C4" s="2503"/>
      <c r="D4" s="2503"/>
      <c r="E4" s="2503">
        <v>2010</v>
      </c>
      <c r="F4" s="2503"/>
      <c r="G4" s="2503"/>
      <c r="H4" s="2503">
        <v>2011</v>
      </c>
      <c r="I4" s="2503"/>
      <c r="J4" s="2503"/>
    </row>
    <row r="5" spans="1:10" s="80" customFormat="1" ht="15" customHeight="1">
      <c r="A5" s="2509"/>
      <c r="B5" s="2503" t="s">
        <v>2309</v>
      </c>
      <c r="C5" s="2503"/>
      <c r="D5" s="2503"/>
      <c r="E5" s="2503" t="s">
        <v>2309</v>
      </c>
      <c r="F5" s="2503"/>
      <c r="G5" s="2503"/>
      <c r="H5" s="2503" t="s">
        <v>2309</v>
      </c>
      <c r="I5" s="2503"/>
      <c r="J5" s="2503"/>
    </row>
    <row r="6" spans="1:10" s="80" customFormat="1" ht="13.5" customHeight="1">
      <c r="A6" s="2510"/>
      <c r="B6" s="526" t="s">
        <v>1486</v>
      </c>
      <c r="C6" s="526" t="s">
        <v>2310</v>
      </c>
      <c r="D6" s="526" t="s">
        <v>2311</v>
      </c>
      <c r="E6" s="526" t="s">
        <v>1486</v>
      </c>
      <c r="F6" s="526" t="s">
        <v>2310</v>
      </c>
      <c r="G6" s="526" t="s">
        <v>2311</v>
      </c>
      <c r="H6" s="526" t="s">
        <v>1486</v>
      </c>
      <c r="I6" s="526" t="s">
        <v>2310</v>
      </c>
      <c r="J6" s="526" t="s">
        <v>2311</v>
      </c>
    </row>
    <row r="7" spans="1:10" s="80" customFormat="1" ht="11.25">
      <c r="A7" s="499" t="s">
        <v>6</v>
      </c>
      <c r="B7" s="667">
        <f>SUM(B8:B22)</f>
        <v>1568762625</v>
      </c>
      <c r="C7" s="667">
        <f t="shared" ref="C7:J7" si="0">SUM(C8:C22)</f>
        <v>3113378720</v>
      </c>
      <c r="D7" s="667">
        <f t="shared" si="0"/>
        <v>4537003216</v>
      </c>
      <c r="E7" s="667">
        <f t="shared" si="0"/>
        <v>2548504181</v>
      </c>
      <c r="F7" s="667">
        <f t="shared" si="0"/>
        <v>4524556600</v>
      </c>
      <c r="G7" s="667">
        <f t="shared" si="0"/>
        <v>4707250062</v>
      </c>
      <c r="H7" s="667">
        <f t="shared" si="0"/>
        <v>2250825500</v>
      </c>
      <c r="I7" s="667">
        <f t="shared" si="0"/>
        <v>4162514544</v>
      </c>
      <c r="J7" s="667">
        <f t="shared" si="0"/>
        <v>7079445600</v>
      </c>
    </row>
    <row r="8" spans="1:10" s="80" customFormat="1" ht="11.25">
      <c r="A8" s="655" t="s">
        <v>7</v>
      </c>
      <c r="B8" s="668">
        <v>80504350</v>
      </c>
      <c r="C8" s="669">
        <v>149830430</v>
      </c>
      <c r="D8" s="669">
        <v>288780240</v>
      </c>
      <c r="E8" s="670">
        <v>120350938</v>
      </c>
      <c r="F8" s="670">
        <v>215032226</v>
      </c>
      <c r="G8" s="670">
        <v>290770162</v>
      </c>
      <c r="H8" s="669">
        <v>112948000</v>
      </c>
      <c r="I8" s="669">
        <v>200334000</v>
      </c>
      <c r="J8" s="669">
        <v>443143500</v>
      </c>
    </row>
    <row r="9" spans="1:10" s="80" customFormat="1" ht="11.25">
      <c r="A9" s="655" t="s">
        <v>8</v>
      </c>
      <c r="B9" s="668">
        <v>77600475</v>
      </c>
      <c r="C9" s="669">
        <v>131504520</v>
      </c>
      <c r="D9" s="669">
        <v>191552704</v>
      </c>
      <c r="E9" s="670">
        <v>124477515</v>
      </c>
      <c r="F9" s="670">
        <v>205321016</v>
      </c>
      <c r="G9" s="670">
        <v>203436660</v>
      </c>
      <c r="H9" s="669">
        <v>109815750</v>
      </c>
      <c r="I9" s="669">
        <v>175630000</v>
      </c>
      <c r="J9" s="669">
        <v>319469200</v>
      </c>
    </row>
    <row r="10" spans="1:10" s="80" customFormat="1" ht="11.25">
      <c r="A10" s="655" t="s">
        <v>9</v>
      </c>
      <c r="B10" s="668">
        <v>48249000</v>
      </c>
      <c r="C10" s="669">
        <v>80670840</v>
      </c>
      <c r="D10" s="669">
        <v>128998384</v>
      </c>
      <c r="E10" s="670">
        <v>79765373</v>
      </c>
      <c r="F10" s="670">
        <v>121492458</v>
      </c>
      <c r="G10" s="670">
        <v>133248882</v>
      </c>
      <c r="H10" s="669">
        <v>66291500</v>
      </c>
      <c r="I10" s="669">
        <v>110722000</v>
      </c>
      <c r="J10" s="669">
        <v>196585300</v>
      </c>
    </row>
    <row r="11" spans="1:10" s="80" customFormat="1" ht="11.25">
      <c r="A11" s="655" t="s">
        <v>10</v>
      </c>
      <c r="B11" s="668">
        <v>27207075</v>
      </c>
      <c r="C11" s="669">
        <v>64370910</v>
      </c>
      <c r="D11" s="669">
        <v>92935528</v>
      </c>
      <c r="E11" s="670">
        <v>39723972</v>
      </c>
      <c r="F11" s="670">
        <v>83753600</v>
      </c>
      <c r="G11" s="670">
        <v>101515388</v>
      </c>
      <c r="H11" s="669">
        <v>38428500</v>
      </c>
      <c r="I11" s="669">
        <v>86246000</v>
      </c>
      <c r="J11" s="669">
        <v>159363300</v>
      </c>
    </row>
    <row r="12" spans="1:10" s="80" customFormat="1" ht="11.25">
      <c r="A12" s="655" t="s">
        <v>11</v>
      </c>
      <c r="B12" s="668">
        <v>20416475</v>
      </c>
      <c r="C12" s="669">
        <v>67041520</v>
      </c>
      <c r="D12" s="669">
        <v>97749320</v>
      </c>
      <c r="E12" s="670">
        <v>33239351</v>
      </c>
      <c r="F12" s="670">
        <v>91630458</v>
      </c>
      <c r="G12" s="670">
        <v>102741962</v>
      </c>
      <c r="H12" s="669">
        <v>20944000</v>
      </c>
      <c r="I12" s="669">
        <v>67936000</v>
      </c>
      <c r="J12" s="669">
        <v>127170300</v>
      </c>
    </row>
    <row r="13" spans="1:10" s="80" customFormat="1" ht="11.25">
      <c r="A13" s="655" t="s">
        <v>12</v>
      </c>
      <c r="B13" s="668">
        <v>45836550</v>
      </c>
      <c r="C13" s="669">
        <v>106548130</v>
      </c>
      <c r="D13" s="669">
        <v>187104156</v>
      </c>
      <c r="E13" s="670">
        <v>73280752</v>
      </c>
      <c r="F13" s="670">
        <v>155355408</v>
      </c>
      <c r="G13" s="670">
        <v>191952228</v>
      </c>
      <c r="H13" s="669">
        <v>66385000</v>
      </c>
      <c r="I13" s="669">
        <v>141276000</v>
      </c>
      <c r="J13" s="669">
        <v>289801100</v>
      </c>
    </row>
    <row r="14" spans="1:10" s="80" customFormat="1" ht="11.25">
      <c r="A14" s="655" t="s">
        <v>13</v>
      </c>
      <c r="B14" s="668">
        <v>211268075</v>
      </c>
      <c r="C14" s="669">
        <v>472879410</v>
      </c>
      <c r="D14" s="669">
        <v>852108214</v>
      </c>
      <c r="E14" s="670">
        <v>400867480</v>
      </c>
      <c r="F14" s="670">
        <v>872675949</v>
      </c>
      <c r="G14" s="670">
        <v>907141010</v>
      </c>
      <c r="H14" s="669">
        <v>311261500</v>
      </c>
      <c r="I14" s="669">
        <v>650217000</v>
      </c>
      <c r="J14" s="669">
        <v>1377034800</v>
      </c>
    </row>
    <row r="15" spans="1:10" s="80" customFormat="1" ht="11.25">
      <c r="A15" s="655" t="s">
        <v>14</v>
      </c>
      <c r="B15" s="668">
        <v>32031975</v>
      </c>
      <c r="C15" s="669">
        <v>79289490</v>
      </c>
      <c r="D15" s="669">
        <v>124418280</v>
      </c>
      <c r="E15" s="670">
        <v>46571369</v>
      </c>
      <c r="F15" s="670">
        <v>96883575</v>
      </c>
      <c r="G15" s="670">
        <v>124592212</v>
      </c>
      <c r="H15" s="669">
        <v>46609750</v>
      </c>
      <c r="I15" s="669">
        <v>106436000</v>
      </c>
      <c r="J15" s="669">
        <v>187905200</v>
      </c>
    </row>
    <row r="16" spans="1:10" s="80" customFormat="1" ht="11.25">
      <c r="A16" s="655" t="s">
        <v>15</v>
      </c>
      <c r="B16" s="668">
        <v>42039175</v>
      </c>
      <c r="C16" s="669">
        <v>115112500</v>
      </c>
      <c r="D16" s="669">
        <v>152306520</v>
      </c>
      <c r="E16" s="670">
        <v>64075311</v>
      </c>
      <c r="F16" s="670">
        <v>152364250</v>
      </c>
      <c r="G16" s="670">
        <v>159122468</v>
      </c>
      <c r="H16" s="669">
        <v>59045250</v>
      </c>
      <c r="I16" s="669">
        <v>150250500</v>
      </c>
      <c r="J16" s="669">
        <v>248203500</v>
      </c>
    </row>
    <row r="17" spans="1:10" s="80" customFormat="1" ht="11.25">
      <c r="A17" s="655" t="s">
        <v>16</v>
      </c>
      <c r="B17" s="668">
        <v>147382825</v>
      </c>
      <c r="C17" s="669">
        <v>285110640</v>
      </c>
      <c r="D17" s="669">
        <v>389547880</v>
      </c>
      <c r="E17" s="670">
        <v>223155368</v>
      </c>
      <c r="F17" s="670">
        <v>370067581</v>
      </c>
      <c r="G17" s="670">
        <v>406111206</v>
      </c>
      <c r="H17" s="669">
        <v>214208500</v>
      </c>
      <c r="I17" s="669">
        <v>381654000</v>
      </c>
      <c r="J17" s="669">
        <v>619482100</v>
      </c>
    </row>
    <row r="18" spans="1:10" s="80" customFormat="1" ht="11.25">
      <c r="A18" s="655" t="s">
        <v>17</v>
      </c>
      <c r="B18" s="668">
        <v>455148900</v>
      </c>
      <c r="C18" s="669">
        <v>849530250</v>
      </c>
      <c r="D18" s="669">
        <v>1113349026</v>
      </c>
      <c r="E18" s="670">
        <v>750220768</v>
      </c>
      <c r="F18" s="670">
        <v>1197869075</v>
      </c>
      <c r="G18" s="670">
        <v>1155145630</v>
      </c>
      <c r="H18" s="669">
        <v>654780500</v>
      </c>
      <c r="I18" s="669">
        <v>1132725866</v>
      </c>
      <c r="J18" s="669">
        <v>1746944300</v>
      </c>
    </row>
    <row r="19" spans="1:10" s="80" customFormat="1" ht="11.25">
      <c r="A19" s="655" t="s">
        <v>18</v>
      </c>
      <c r="B19" s="668">
        <v>91583750</v>
      </c>
      <c r="C19" s="669">
        <v>177920620</v>
      </c>
      <c r="D19" s="669">
        <v>252765318</v>
      </c>
      <c r="E19" s="670">
        <v>144520889</v>
      </c>
      <c r="F19" s="670">
        <v>251516225</v>
      </c>
      <c r="G19" s="670">
        <v>253666182</v>
      </c>
      <c r="H19" s="669">
        <v>131928500</v>
      </c>
      <c r="I19" s="669">
        <v>240801178</v>
      </c>
      <c r="J19" s="669">
        <v>370911800</v>
      </c>
    </row>
    <row r="20" spans="1:10" s="80" customFormat="1" ht="11.25">
      <c r="A20" s="655" t="s">
        <v>19</v>
      </c>
      <c r="B20" s="668">
        <v>194246900</v>
      </c>
      <c r="C20" s="669">
        <v>363755500</v>
      </c>
      <c r="D20" s="669">
        <v>431443782</v>
      </c>
      <c r="E20" s="670">
        <v>307316619</v>
      </c>
      <c r="F20" s="670">
        <v>489432971</v>
      </c>
      <c r="G20" s="670">
        <v>442957994</v>
      </c>
      <c r="H20" s="669">
        <v>282136250</v>
      </c>
      <c r="I20" s="669">
        <v>488712500</v>
      </c>
      <c r="J20" s="669">
        <v>656808400</v>
      </c>
    </row>
    <row r="21" spans="1:10" s="80" customFormat="1" ht="11.25">
      <c r="A21" s="655" t="s">
        <v>20</v>
      </c>
      <c r="B21" s="668">
        <v>48338350</v>
      </c>
      <c r="C21" s="669">
        <v>77079330</v>
      </c>
      <c r="D21" s="669">
        <v>95776352</v>
      </c>
      <c r="E21" s="670">
        <v>77225941</v>
      </c>
      <c r="F21" s="670">
        <v>104293100</v>
      </c>
      <c r="G21" s="670">
        <v>88724268</v>
      </c>
      <c r="H21" s="669">
        <v>69470500</v>
      </c>
      <c r="I21" s="669">
        <v>105281500</v>
      </c>
      <c r="J21" s="669">
        <v>115071700</v>
      </c>
    </row>
    <row r="22" spans="1:10" s="80" customFormat="1" ht="11.25">
      <c r="A22" s="655" t="s">
        <v>21</v>
      </c>
      <c r="B22" s="668">
        <v>46908750</v>
      </c>
      <c r="C22" s="669">
        <v>92734630</v>
      </c>
      <c r="D22" s="669">
        <v>138167512</v>
      </c>
      <c r="E22" s="670">
        <v>63712535</v>
      </c>
      <c r="F22" s="670">
        <v>116868708</v>
      </c>
      <c r="G22" s="670">
        <v>146123810</v>
      </c>
      <c r="H22" s="669">
        <v>66572000</v>
      </c>
      <c r="I22" s="669">
        <v>124292000</v>
      </c>
      <c r="J22" s="669">
        <v>221551100</v>
      </c>
    </row>
    <row r="23" spans="1:10" s="80" customFormat="1" ht="6.75" customHeight="1">
      <c r="A23" s="671"/>
      <c r="B23" s="668"/>
      <c r="C23" s="669"/>
      <c r="D23" s="669"/>
      <c r="E23" s="670"/>
      <c r="F23" s="670"/>
      <c r="G23" s="670"/>
      <c r="H23" s="669"/>
      <c r="I23" s="669"/>
      <c r="J23" s="669"/>
    </row>
    <row r="24" spans="1:10" s="80" customFormat="1" ht="14.25" customHeight="1">
      <c r="A24" s="2541" t="s">
        <v>2283</v>
      </c>
      <c r="B24" s="2541"/>
      <c r="C24" s="2541"/>
      <c r="D24" s="2541"/>
      <c r="E24" s="2541"/>
      <c r="F24" s="2541"/>
      <c r="G24" s="539"/>
      <c r="H24" s="539"/>
      <c r="I24" s="666"/>
      <c r="J24" s="662"/>
    </row>
    <row r="25" spans="1:10" s="80" customFormat="1" ht="14.25" customHeight="1">
      <c r="A25" s="672"/>
      <c r="B25" s="672"/>
      <c r="C25" s="672"/>
      <c r="D25" s="672"/>
      <c r="E25" s="672"/>
      <c r="F25" s="672"/>
      <c r="G25" s="539"/>
      <c r="H25" s="539"/>
      <c r="I25" s="666"/>
      <c r="J25" s="662"/>
    </row>
    <row r="26" spans="1:10" s="80" customFormat="1" ht="8.25" customHeight="1">
      <c r="A26" s="499" t="s">
        <v>2312</v>
      </c>
      <c r="B26" s="539"/>
      <c r="C26" s="539"/>
      <c r="D26" s="539"/>
      <c r="E26" s="539"/>
      <c r="F26" s="539"/>
      <c r="G26" s="539"/>
      <c r="H26" s="539"/>
      <c r="I26" s="666"/>
      <c r="J26" s="539"/>
    </row>
    <row r="27" spans="1:10" s="80" customFormat="1" ht="8.25" customHeight="1">
      <c r="B27" s="87"/>
    </row>
    <row r="28" spans="1:10" ht="16.5" customHeight="1">
      <c r="A28" s="2508" t="s">
        <v>0</v>
      </c>
      <c r="B28" s="2503">
        <v>2012</v>
      </c>
      <c r="C28" s="2503"/>
      <c r="D28" s="2503"/>
      <c r="E28" s="2503">
        <v>2013</v>
      </c>
      <c r="F28" s="2503"/>
      <c r="G28" s="2503"/>
      <c r="H28" s="2503">
        <v>2014</v>
      </c>
      <c r="I28" s="2503"/>
      <c r="J28" s="2503"/>
    </row>
    <row r="29" spans="1:10" ht="16.5" customHeight="1">
      <c r="A29" s="2509"/>
      <c r="B29" s="2503" t="s">
        <v>2309</v>
      </c>
      <c r="C29" s="2503"/>
      <c r="D29" s="2503"/>
      <c r="E29" s="2503" t="s">
        <v>2309</v>
      </c>
      <c r="F29" s="2503"/>
      <c r="G29" s="2503"/>
      <c r="H29" s="2503" t="s">
        <v>2309</v>
      </c>
      <c r="I29" s="2503"/>
      <c r="J29" s="2503"/>
    </row>
    <row r="30" spans="1:10">
      <c r="A30" s="2510"/>
      <c r="B30" s="526" t="s">
        <v>1486</v>
      </c>
      <c r="C30" s="526" t="s">
        <v>2310</v>
      </c>
      <c r="D30" s="526" t="s">
        <v>2311</v>
      </c>
      <c r="E30" s="526" t="s">
        <v>1486</v>
      </c>
      <c r="F30" s="526" t="s">
        <v>2310</v>
      </c>
      <c r="G30" s="526" t="s">
        <v>2311</v>
      </c>
      <c r="H30" s="526" t="s">
        <v>1486</v>
      </c>
      <c r="I30" s="526" t="s">
        <v>2310</v>
      </c>
      <c r="J30" s="526" t="s">
        <v>2311</v>
      </c>
    </row>
    <row r="31" spans="1:10">
      <c r="A31" s="499" t="s">
        <v>6</v>
      </c>
      <c r="B31" s="667">
        <f t="shared" ref="B31:G31" si="1">SUM(B32:B46)</f>
        <v>2287577000</v>
      </c>
      <c r="C31" s="667">
        <f>SUM(C32:C46)</f>
        <v>4543366089</v>
      </c>
      <c r="D31" s="667">
        <f t="shared" si="1"/>
        <v>8000705867</v>
      </c>
      <c r="E31" s="667">
        <f t="shared" si="1"/>
        <v>2504868000</v>
      </c>
      <c r="F31" s="667">
        <f t="shared" si="1"/>
        <v>5145283500</v>
      </c>
      <c r="G31" s="667">
        <f t="shared" si="1"/>
        <v>9037501000</v>
      </c>
      <c r="H31" s="667">
        <f>SUM(H32:H46)</f>
        <v>2901196949.999999</v>
      </c>
      <c r="I31" s="667">
        <f>SUM(I32:I46)</f>
        <v>5323102499.9999971</v>
      </c>
      <c r="J31" s="667">
        <f>SUM(J32:J46)</f>
        <v>11552957405.000004</v>
      </c>
    </row>
    <row r="32" spans="1:10">
      <c r="A32" s="655" t="s">
        <v>7</v>
      </c>
      <c r="B32" s="669">
        <v>116039500</v>
      </c>
      <c r="C32" s="669">
        <v>230249000</v>
      </c>
      <c r="D32" s="669">
        <v>519409900</v>
      </c>
      <c r="E32" s="669">
        <v>124588750</v>
      </c>
      <c r="F32" s="669">
        <v>257848000</v>
      </c>
      <c r="G32" s="669">
        <v>539744400</v>
      </c>
      <c r="H32" s="673">
        <v>153670905.76889598</v>
      </c>
      <c r="I32" s="673">
        <v>281954654.155994</v>
      </c>
      <c r="J32" s="669">
        <v>646412225.59513175</v>
      </c>
    </row>
    <row r="33" spans="1:10">
      <c r="A33" s="655" t="s">
        <v>8</v>
      </c>
      <c r="B33" s="669">
        <v>112106500</v>
      </c>
      <c r="C33" s="669">
        <v>194640500</v>
      </c>
      <c r="D33" s="669">
        <v>356855300</v>
      </c>
      <c r="E33" s="669">
        <v>116968500</v>
      </c>
      <c r="F33" s="669">
        <v>222625500</v>
      </c>
      <c r="G33" s="669">
        <v>384959400</v>
      </c>
      <c r="H33" s="673">
        <v>131484935.663743</v>
      </c>
      <c r="I33" s="673">
        <v>241247940.697032</v>
      </c>
      <c r="J33" s="669">
        <v>609141467.67402065</v>
      </c>
    </row>
    <row r="34" spans="1:10">
      <c r="A34" s="655" t="s">
        <v>9</v>
      </c>
      <c r="B34" s="669">
        <v>62271000</v>
      </c>
      <c r="C34" s="669">
        <v>118791500</v>
      </c>
      <c r="D34" s="669">
        <v>229142500</v>
      </c>
      <c r="E34" s="669">
        <v>57970000</v>
      </c>
      <c r="F34" s="669">
        <v>101904000</v>
      </c>
      <c r="G34" s="669">
        <v>253726000</v>
      </c>
      <c r="H34" s="673">
        <v>76516949.330015495</v>
      </c>
      <c r="I34" s="673">
        <v>140392938.25639102</v>
      </c>
      <c r="J34" s="669">
        <v>320698780.74366862</v>
      </c>
    </row>
    <row r="35" spans="1:10">
      <c r="A35" s="655" t="s">
        <v>10</v>
      </c>
      <c r="B35" s="669">
        <v>40158250</v>
      </c>
      <c r="C35" s="669">
        <v>99684500</v>
      </c>
      <c r="D35" s="669">
        <v>185013600</v>
      </c>
      <c r="E35" s="669">
        <v>46796750</v>
      </c>
      <c r="F35" s="669">
        <v>123423500</v>
      </c>
      <c r="G35" s="669">
        <v>209415000</v>
      </c>
      <c r="H35" s="673">
        <v>61622341.586666003</v>
      </c>
      <c r="I35" s="673">
        <v>113064382.11850299</v>
      </c>
      <c r="J35" s="669">
        <v>211585285.85297301</v>
      </c>
    </row>
    <row r="36" spans="1:10">
      <c r="A36" s="655" t="s">
        <v>11</v>
      </c>
      <c r="B36" s="669">
        <v>21972500</v>
      </c>
      <c r="C36" s="669">
        <v>72182000</v>
      </c>
      <c r="D36" s="669">
        <v>160551500</v>
      </c>
      <c r="E36" s="669">
        <v>25432000</v>
      </c>
      <c r="F36" s="669">
        <v>73436500</v>
      </c>
      <c r="G36" s="669">
        <v>178458000</v>
      </c>
      <c r="H36" s="673">
        <v>43722170.624929599</v>
      </c>
      <c r="I36" s="673">
        <v>80221232.742916405</v>
      </c>
      <c r="J36" s="669">
        <v>150123603.41382998</v>
      </c>
    </row>
    <row r="37" spans="1:10">
      <c r="A37" s="655" t="s">
        <v>12</v>
      </c>
      <c r="B37" s="669">
        <v>62598250</v>
      </c>
      <c r="C37" s="669">
        <v>152470000</v>
      </c>
      <c r="D37" s="669">
        <v>335428200</v>
      </c>
      <c r="E37" s="669">
        <v>75781750</v>
      </c>
      <c r="F37" s="669">
        <v>159128500</v>
      </c>
      <c r="G37" s="669">
        <v>384898700</v>
      </c>
      <c r="H37" s="673">
        <v>103909690.78982401</v>
      </c>
      <c r="I37" s="673">
        <v>190653011.274378</v>
      </c>
      <c r="J37" s="669">
        <v>356782314.05306298</v>
      </c>
    </row>
    <row r="38" spans="1:10">
      <c r="A38" s="655" t="s">
        <v>13</v>
      </c>
      <c r="B38" s="669">
        <v>307007250</v>
      </c>
      <c r="C38" s="669">
        <v>706959000</v>
      </c>
      <c r="D38" s="669">
        <v>1490002900</v>
      </c>
      <c r="E38" s="669">
        <v>347960250</v>
      </c>
      <c r="F38" s="669">
        <v>698563500</v>
      </c>
      <c r="G38" s="669">
        <v>1671980900</v>
      </c>
      <c r="H38" s="673">
        <v>436760502.254372</v>
      </c>
      <c r="I38" s="673">
        <v>801366112.51142597</v>
      </c>
      <c r="J38" s="669">
        <v>1570806643.2779276</v>
      </c>
    </row>
    <row r="39" spans="1:10">
      <c r="A39" s="655" t="s">
        <v>14</v>
      </c>
      <c r="B39" s="669">
        <v>39924500</v>
      </c>
      <c r="C39" s="669">
        <v>103930500</v>
      </c>
      <c r="D39" s="669">
        <v>219916100</v>
      </c>
      <c r="E39" s="669">
        <v>43477500</v>
      </c>
      <c r="F39" s="669">
        <v>102000500</v>
      </c>
      <c r="G39" s="669">
        <v>240372000</v>
      </c>
      <c r="H39" s="673">
        <v>63394092.388333</v>
      </c>
      <c r="I39" s="673">
        <v>116315182.14493001</v>
      </c>
      <c r="J39" s="669">
        <v>217668735.299692</v>
      </c>
    </row>
    <row r="40" spans="1:10">
      <c r="A40" s="655" t="s">
        <v>15</v>
      </c>
      <c r="B40" s="669">
        <v>60962000</v>
      </c>
      <c r="C40" s="669">
        <v>151022500</v>
      </c>
      <c r="D40" s="669">
        <v>261572300</v>
      </c>
      <c r="E40" s="669">
        <v>62317750</v>
      </c>
      <c r="F40" s="669">
        <v>157584500</v>
      </c>
      <c r="G40" s="669">
        <v>276731300</v>
      </c>
      <c r="H40" s="673">
        <v>79770104.592719704</v>
      </c>
      <c r="I40" s="673">
        <v>146361812.21091101</v>
      </c>
      <c r="J40" s="669">
        <v>273897095.56938201</v>
      </c>
    </row>
    <row r="41" spans="1:10">
      <c r="A41" s="655" t="s">
        <v>16</v>
      </c>
      <c r="B41" s="669">
        <v>216733000</v>
      </c>
      <c r="C41" s="669">
        <v>404817500</v>
      </c>
      <c r="D41" s="669">
        <v>667515400</v>
      </c>
      <c r="E41" s="669">
        <v>233282500</v>
      </c>
      <c r="F41" s="669">
        <v>514731000</v>
      </c>
      <c r="G41" s="669">
        <v>714074800</v>
      </c>
      <c r="H41" s="673">
        <v>266820150.95995799</v>
      </c>
      <c r="I41" s="673">
        <v>489560356.32993799</v>
      </c>
      <c r="J41" s="669">
        <v>1162449393.0176427</v>
      </c>
    </row>
    <row r="42" spans="1:10">
      <c r="A42" s="655" t="s">
        <v>17</v>
      </c>
      <c r="B42" s="669">
        <v>695359500</v>
      </c>
      <c r="C42" s="669">
        <v>1264536000</v>
      </c>
      <c r="D42" s="669">
        <v>1992841700</v>
      </c>
      <c r="E42" s="669">
        <v>736639750</v>
      </c>
      <c r="F42" s="669">
        <v>1509163500</v>
      </c>
      <c r="G42" s="669">
        <v>2535439000</v>
      </c>
      <c r="H42" s="673">
        <v>864724627.10435808</v>
      </c>
      <c r="I42" s="673">
        <v>1586592673.1898601</v>
      </c>
      <c r="J42" s="669">
        <v>3659930405.4207082</v>
      </c>
    </row>
    <row r="43" spans="1:10">
      <c r="A43" s="655" t="s">
        <v>18</v>
      </c>
      <c r="B43" s="669">
        <v>124168000</v>
      </c>
      <c r="C43" s="669">
        <v>258573089</v>
      </c>
      <c r="D43" s="669">
        <v>428299200</v>
      </c>
      <c r="E43" s="669">
        <v>140203250</v>
      </c>
      <c r="F43" s="669">
        <v>296448000</v>
      </c>
      <c r="G43" s="669">
        <v>467025800</v>
      </c>
      <c r="H43" s="673">
        <v>166811151.58482501</v>
      </c>
      <c r="I43" s="673">
        <v>306064315.29202497</v>
      </c>
      <c r="J43" s="669">
        <v>686330749.4525212</v>
      </c>
    </row>
    <row r="44" spans="1:10">
      <c r="A44" s="655" t="s">
        <v>19</v>
      </c>
      <c r="B44" s="669">
        <v>288681250</v>
      </c>
      <c r="C44" s="669">
        <v>537119000</v>
      </c>
      <c r="D44" s="669">
        <v>767794300</v>
      </c>
      <c r="E44" s="669">
        <v>338610250</v>
      </c>
      <c r="F44" s="669">
        <v>656103500</v>
      </c>
      <c r="G44" s="669">
        <v>842880200</v>
      </c>
      <c r="H44" s="673">
        <v>340169134.55798197</v>
      </c>
      <c r="I44" s="673">
        <v>624140725.98154008</v>
      </c>
      <c r="J44" s="669">
        <v>1276322592.823853</v>
      </c>
    </row>
    <row r="45" spans="1:10">
      <c r="A45" s="655" t="s">
        <v>20</v>
      </c>
      <c r="B45" s="669">
        <v>70919750</v>
      </c>
      <c r="C45" s="669">
        <v>116089500</v>
      </c>
      <c r="D45" s="669">
        <v>132819067</v>
      </c>
      <c r="E45" s="669">
        <v>78169000</v>
      </c>
      <c r="F45" s="669">
        <v>131626000</v>
      </c>
      <c r="G45" s="669">
        <v>61610500</v>
      </c>
      <c r="H45" s="673">
        <v>33184353.300590198</v>
      </c>
      <c r="I45" s="673">
        <v>60886495.146513499</v>
      </c>
      <c r="J45" s="669">
        <v>113941156.700068</v>
      </c>
    </row>
    <row r="46" spans="1:10">
      <c r="A46" s="655" t="s">
        <v>21</v>
      </c>
      <c r="B46" s="669">
        <v>68675750</v>
      </c>
      <c r="C46" s="669">
        <v>132301500</v>
      </c>
      <c r="D46" s="669">
        <v>253543900</v>
      </c>
      <c r="E46" s="669">
        <v>76670000</v>
      </c>
      <c r="F46" s="669">
        <v>140697000</v>
      </c>
      <c r="G46" s="669">
        <v>276185000</v>
      </c>
      <c r="H46" s="673">
        <v>78635839.492786989</v>
      </c>
      <c r="I46" s="673">
        <v>144280667.94763902</v>
      </c>
      <c r="J46" s="669">
        <v>296866956.10552311</v>
      </c>
    </row>
    <row r="47" spans="1:10" ht="8.25" customHeight="1"/>
    <row r="48" spans="1:10">
      <c r="A48" s="2541" t="s">
        <v>2283</v>
      </c>
      <c r="B48" s="2541"/>
      <c r="C48" s="2541"/>
      <c r="D48" s="2541"/>
      <c r="E48" s="2541"/>
      <c r="F48" s="2541"/>
    </row>
  </sheetData>
  <mergeCells count="16">
    <mergeCell ref="A48:F48"/>
    <mergeCell ref="A24:F24"/>
    <mergeCell ref="A28:A30"/>
    <mergeCell ref="B28:D28"/>
    <mergeCell ref="E28:G28"/>
    <mergeCell ref="H28:J28"/>
    <mergeCell ref="B29:D29"/>
    <mergeCell ref="E29:G29"/>
    <mergeCell ref="H29:J29"/>
    <mergeCell ref="A4:A6"/>
    <mergeCell ref="B4:D4"/>
    <mergeCell ref="E4:G4"/>
    <mergeCell ref="H4:J4"/>
    <mergeCell ref="B5:D5"/>
    <mergeCell ref="E5:G5"/>
    <mergeCell ref="H5:J5"/>
  </mergeCells>
  <pageMargins left="0.47244094488188981" right="0.47244094488188981" top="0.43307086614173229" bottom="0.59055118110236227" header="0.31496062992125984" footer="0.31496062992125984"/>
  <pageSetup paperSize="14" scale="90" orientation="landscape" r:id="rId1"/>
</worksheet>
</file>

<file path=xl/worksheets/sheet248.xml><?xml version="1.0" encoding="utf-8"?>
<worksheet xmlns="http://schemas.openxmlformats.org/spreadsheetml/2006/main" xmlns:r="http://schemas.openxmlformats.org/officeDocument/2006/relationships">
  <dimension ref="A1:K35"/>
  <sheetViews>
    <sheetView zoomScaleNormal="100" workbookViewId="0"/>
  </sheetViews>
  <sheetFormatPr baseColWidth="10" defaultRowHeight="12"/>
  <cols>
    <col min="1" max="1" width="20.85546875" style="84" customWidth="1"/>
    <col min="2" max="10" width="11.42578125" style="84"/>
    <col min="11" max="11" width="4.5703125" style="84" customWidth="1"/>
    <col min="12" max="16384" width="11.42578125" style="84"/>
  </cols>
  <sheetData>
    <row r="1" spans="1:11" ht="7.5" customHeight="1"/>
    <row r="2" spans="1:11" s="83" customFormat="1" ht="26.25" customHeight="1">
      <c r="A2" s="2523" t="s">
        <v>2313</v>
      </c>
      <c r="B2" s="2523"/>
      <c r="C2" s="2523"/>
      <c r="D2" s="2523"/>
      <c r="E2" s="2523"/>
      <c r="F2" s="2523"/>
      <c r="G2" s="2523"/>
      <c r="H2" s="2523"/>
      <c r="I2" s="2523"/>
      <c r="J2" s="2523"/>
    </row>
    <row r="3" spans="1:11" s="80" customFormat="1" ht="4.5" customHeight="1">
      <c r="A3" s="499"/>
      <c r="B3" s="539"/>
      <c r="C3" s="539"/>
      <c r="D3" s="539"/>
      <c r="E3" s="539"/>
      <c r="F3" s="539"/>
      <c r="G3" s="539"/>
      <c r="H3" s="659"/>
      <c r="I3" s="539"/>
      <c r="J3" s="539"/>
      <c r="K3" s="539"/>
    </row>
    <row r="4" spans="1:11" s="80" customFormat="1" ht="12.75" customHeight="1">
      <c r="A4" s="2508" t="s">
        <v>2314</v>
      </c>
      <c r="B4" s="2503">
        <v>2009</v>
      </c>
      <c r="C4" s="2503"/>
      <c r="D4" s="2503"/>
      <c r="E4" s="2503">
        <v>2010</v>
      </c>
      <c r="F4" s="2503"/>
      <c r="G4" s="2503"/>
      <c r="H4" s="2503">
        <v>2011</v>
      </c>
      <c r="I4" s="2503"/>
      <c r="J4" s="2503"/>
    </row>
    <row r="5" spans="1:11" s="80" customFormat="1" ht="22.5">
      <c r="A5" s="2510"/>
      <c r="B5" s="501" t="s">
        <v>2296</v>
      </c>
      <c r="C5" s="501" t="s">
        <v>2297</v>
      </c>
      <c r="D5" s="501" t="s">
        <v>2315</v>
      </c>
      <c r="E5" s="501" t="s">
        <v>2296</v>
      </c>
      <c r="F5" s="501" t="s">
        <v>2297</v>
      </c>
      <c r="G5" s="501" t="s">
        <v>2315</v>
      </c>
      <c r="H5" s="501" t="s">
        <v>2296</v>
      </c>
      <c r="I5" s="501" t="s">
        <v>2297</v>
      </c>
      <c r="J5" s="501" t="s">
        <v>2315</v>
      </c>
    </row>
    <row r="6" spans="1:11" s="80" customFormat="1" ht="11.25">
      <c r="A6" s="499" t="s">
        <v>6</v>
      </c>
      <c r="B6" s="660">
        <f t="shared" ref="B6:J6" si="0">SUM(B7:B15)</f>
        <v>18148</v>
      </c>
      <c r="C6" s="660">
        <f t="shared" si="0"/>
        <v>17370</v>
      </c>
      <c r="D6" s="659">
        <f t="shared" si="0"/>
        <v>8122</v>
      </c>
      <c r="E6" s="659">
        <f t="shared" si="0"/>
        <v>20712</v>
      </c>
      <c r="F6" s="659">
        <f t="shared" si="0"/>
        <v>19224</v>
      </c>
      <c r="G6" s="659">
        <f t="shared" si="0"/>
        <v>8222</v>
      </c>
      <c r="H6" s="659">
        <f t="shared" si="0"/>
        <v>24059</v>
      </c>
      <c r="I6" s="659">
        <f t="shared" si="0"/>
        <v>21668</v>
      </c>
      <c r="J6" s="659">
        <f t="shared" si="0"/>
        <v>12388</v>
      </c>
    </row>
    <row r="7" spans="1:11" s="80" customFormat="1" ht="11.25">
      <c r="A7" s="661" t="s">
        <v>2289</v>
      </c>
      <c r="B7" s="662">
        <v>414</v>
      </c>
      <c r="C7" s="663">
        <v>318</v>
      </c>
      <c r="D7" s="663">
        <v>161</v>
      </c>
      <c r="E7" s="663">
        <v>430</v>
      </c>
      <c r="F7" s="663">
        <v>384</v>
      </c>
      <c r="G7" s="663">
        <v>166</v>
      </c>
      <c r="H7" s="663">
        <v>462</v>
      </c>
      <c r="I7" s="663">
        <v>420</v>
      </c>
      <c r="J7" s="663">
        <v>215</v>
      </c>
    </row>
    <row r="8" spans="1:11" s="80" customFormat="1" ht="11.25">
      <c r="A8" s="661" t="s">
        <v>1575</v>
      </c>
      <c r="B8" s="662">
        <v>1828</v>
      </c>
      <c r="C8" s="663">
        <v>1612</v>
      </c>
      <c r="D8" s="663">
        <v>884</v>
      </c>
      <c r="E8" s="663">
        <v>2045</v>
      </c>
      <c r="F8" s="663">
        <v>1771</v>
      </c>
      <c r="G8" s="663">
        <v>910</v>
      </c>
      <c r="H8" s="663">
        <v>2366</v>
      </c>
      <c r="I8" s="663">
        <v>1986</v>
      </c>
      <c r="J8" s="663">
        <v>1415</v>
      </c>
    </row>
    <row r="9" spans="1:11" s="80" customFormat="1" ht="11.25">
      <c r="A9" s="661" t="s">
        <v>2290</v>
      </c>
      <c r="B9" s="662">
        <v>75</v>
      </c>
      <c r="C9" s="663">
        <v>87</v>
      </c>
      <c r="D9" s="663">
        <v>54</v>
      </c>
      <c r="E9" s="663">
        <v>82</v>
      </c>
      <c r="F9" s="663">
        <v>101</v>
      </c>
      <c r="G9" s="663">
        <v>61</v>
      </c>
      <c r="H9" s="663">
        <v>72</v>
      </c>
      <c r="I9" s="663">
        <v>111</v>
      </c>
      <c r="J9" s="663">
        <v>95</v>
      </c>
    </row>
    <row r="10" spans="1:11" s="80" customFormat="1" ht="11.25">
      <c r="A10" s="661" t="s">
        <v>2291</v>
      </c>
      <c r="B10" s="662">
        <v>263</v>
      </c>
      <c r="C10" s="663">
        <v>282</v>
      </c>
      <c r="D10" s="663">
        <v>161</v>
      </c>
      <c r="E10" s="663">
        <v>321</v>
      </c>
      <c r="F10" s="663">
        <v>345</v>
      </c>
      <c r="G10" s="663">
        <v>173</v>
      </c>
      <c r="H10" s="663">
        <v>408</v>
      </c>
      <c r="I10" s="663">
        <v>410</v>
      </c>
      <c r="J10" s="663">
        <v>284</v>
      </c>
    </row>
    <row r="11" spans="1:11" s="80" customFormat="1" ht="11.25">
      <c r="A11" s="661" t="s">
        <v>2316</v>
      </c>
      <c r="B11" s="662">
        <v>34</v>
      </c>
      <c r="C11" s="663">
        <v>11</v>
      </c>
      <c r="D11" s="663">
        <v>4</v>
      </c>
      <c r="E11" s="663">
        <v>35</v>
      </c>
      <c r="F11" s="663">
        <v>13</v>
      </c>
      <c r="G11" s="663">
        <v>5</v>
      </c>
      <c r="H11" s="663">
        <v>32</v>
      </c>
      <c r="I11" s="663">
        <v>17</v>
      </c>
      <c r="J11" s="663">
        <v>6</v>
      </c>
    </row>
    <row r="12" spans="1:11" s="80" customFormat="1" ht="11.25">
      <c r="A12" s="661" t="s">
        <v>2287</v>
      </c>
      <c r="B12" s="662">
        <v>15411</v>
      </c>
      <c r="C12" s="663">
        <v>14936</v>
      </c>
      <c r="D12" s="663">
        <v>6778</v>
      </c>
      <c r="E12" s="663">
        <v>17640</v>
      </c>
      <c r="F12" s="663">
        <v>16492</v>
      </c>
      <c r="G12" s="663">
        <v>6832</v>
      </c>
      <c r="H12" s="663">
        <v>20542</v>
      </c>
      <c r="I12" s="663">
        <v>18592</v>
      </c>
      <c r="J12" s="663">
        <v>10256</v>
      </c>
    </row>
    <row r="13" spans="1:11" s="80" customFormat="1" ht="11.25">
      <c r="A13" s="661" t="s">
        <v>1581</v>
      </c>
      <c r="B13" s="662">
        <v>89</v>
      </c>
      <c r="C13" s="663">
        <v>81</v>
      </c>
      <c r="D13" s="663">
        <v>47</v>
      </c>
      <c r="E13" s="663">
        <v>106</v>
      </c>
      <c r="F13" s="663">
        <v>66</v>
      </c>
      <c r="G13" s="663">
        <v>36</v>
      </c>
      <c r="H13" s="663">
        <v>127</v>
      </c>
      <c r="I13" s="663">
        <v>84</v>
      </c>
      <c r="J13" s="663">
        <v>68</v>
      </c>
    </row>
    <row r="14" spans="1:11" s="80" customFormat="1" ht="11.25">
      <c r="A14" s="661" t="s">
        <v>2288</v>
      </c>
      <c r="B14" s="662">
        <v>18</v>
      </c>
      <c r="C14" s="663">
        <v>38</v>
      </c>
      <c r="D14" s="663">
        <v>31</v>
      </c>
      <c r="E14" s="663">
        <v>39</v>
      </c>
      <c r="F14" s="663">
        <v>47</v>
      </c>
      <c r="G14" s="663">
        <v>35</v>
      </c>
      <c r="H14" s="663">
        <v>35</v>
      </c>
      <c r="I14" s="663">
        <v>37</v>
      </c>
      <c r="J14" s="663">
        <v>48</v>
      </c>
    </row>
    <row r="15" spans="1:11" s="80" customFormat="1" ht="11.25">
      <c r="A15" s="661" t="s">
        <v>2317</v>
      </c>
      <c r="B15" s="662">
        <v>16</v>
      </c>
      <c r="C15" s="663">
        <v>5</v>
      </c>
      <c r="D15" s="663">
        <v>2</v>
      </c>
      <c r="E15" s="663">
        <v>14</v>
      </c>
      <c r="F15" s="663">
        <v>5</v>
      </c>
      <c r="G15" s="663">
        <v>4</v>
      </c>
      <c r="H15" s="663">
        <v>15</v>
      </c>
      <c r="I15" s="663">
        <v>11</v>
      </c>
      <c r="J15" s="663">
        <v>1</v>
      </c>
    </row>
    <row r="16" spans="1:11" s="80" customFormat="1" ht="5.25" customHeight="1">
      <c r="A16" s="661"/>
      <c r="B16" s="662"/>
      <c r="C16" s="663"/>
      <c r="D16" s="663"/>
      <c r="E16" s="663"/>
      <c r="F16" s="663"/>
      <c r="G16" s="663"/>
      <c r="H16" s="663"/>
      <c r="I16" s="663"/>
      <c r="J16" s="663"/>
      <c r="K16" s="663"/>
    </row>
    <row r="17" spans="1:11" s="80" customFormat="1" ht="11.25">
      <c r="A17" s="539" t="s">
        <v>2305</v>
      </c>
      <c r="B17" s="539"/>
      <c r="C17" s="539"/>
      <c r="D17" s="539"/>
      <c r="E17" s="539"/>
      <c r="F17" s="539"/>
      <c r="G17" s="539"/>
      <c r="H17" s="539"/>
      <c r="I17" s="664"/>
      <c r="J17" s="539"/>
      <c r="K17" s="539"/>
    </row>
    <row r="18" spans="1:11" s="80" customFormat="1" ht="11.25">
      <c r="A18" s="539"/>
      <c r="B18" s="539"/>
      <c r="C18" s="539"/>
      <c r="D18" s="539"/>
      <c r="E18" s="539"/>
      <c r="F18" s="539"/>
      <c r="G18" s="539"/>
      <c r="H18" s="539"/>
      <c r="I18" s="664"/>
      <c r="J18" s="539"/>
      <c r="K18" s="539"/>
    </row>
    <row r="19" spans="1:11" s="80" customFormat="1" ht="5.25" customHeight="1">
      <c r="A19" s="539"/>
      <c r="B19" s="539"/>
      <c r="C19" s="539"/>
      <c r="D19" s="539"/>
      <c r="E19" s="539"/>
      <c r="F19" s="86"/>
      <c r="G19" s="86"/>
      <c r="H19" s="86"/>
      <c r="I19" s="665"/>
      <c r="J19" s="539"/>
      <c r="K19" s="539"/>
    </row>
    <row r="20" spans="1:11" s="80" customFormat="1" ht="13.5" customHeight="1">
      <c r="A20" s="499" t="s">
        <v>2318</v>
      </c>
      <c r="B20" s="539"/>
      <c r="C20" s="539"/>
      <c r="D20" s="539"/>
      <c r="E20" s="539"/>
      <c r="F20" s="86"/>
      <c r="G20" s="86"/>
      <c r="H20" s="86"/>
      <c r="I20" s="665"/>
      <c r="J20" s="539"/>
      <c r="K20" s="539"/>
    </row>
    <row r="21" spans="1:11" s="80" customFormat="1" ht="11.25">
      <c r="B21" s="87"/>
    </row>
    <row r="22" spans="1:11">
      <c r="A22" s="2508" t="s">
        <v>2314</v>
      </c>
      <c r="B22" s="2503">
        <v>2012</v>
      </c>
      <c r="C22" s="2503"/>
      <c r="D22" s="2503"/>
      <c r="E22" s="2503">
        <v>2013</v>
      </c>
      <c r="F22" s="2503"/>
      <c r="G22" s="2503"/>
      <c r="H22" s="2503">
        <v>2014</v>
      </c>
      <c r="I22" s="2503"/>
      <c r="J22" s="2503"/>
    </row>
    <row r="23" spans="1:11" ht="22.5">
      <c r="A23" s="2510"/>
      <c r="B23" s="501" t="s">
        <v>2296</v>
      </c>
      <c r="C23" s="501" t="s">
        <v>2297</v>
      </c>
      <c r="D23" s="501" t="s">
        <v>2315</v>
      </c>
      <c r="E23" s="501" t="s">
        <v>2296</v>
      </c>
      <c r="F23" s="501" t="s">
        <v>2297</v>
      </c>
      <c r="G23" s="501" t="s">
        <v>2315</v>
      </c>
      <c r="H23" s="501" t="s">
        <v>2296</v>
      </c>
      <c r="I23" s="501" t="s">
        <v>2297</v>
      </c>
      <c r="J23" s="501" t="s">
        <v>2315</v>
      </c>
    </row>
    <row r="24" spans="1:11">
      <c r="A24" s="499" t="s">
        <v>6</v>
      </c>
      <c r="B24" s="659">
        <f t="shared" ref="B24:J24" si="1">SUM(B25:B33)</f>
        <v>25183</v>
      </c>
      <c r="C24" s="659">
        <f t="shared" si="1"/>
        <v>24258</v>
      </c>
      <c r="D24" s="659">
        <f t="shared" si="1"/>
        <v>13842</v>
      </c>
      <c r="E24" s="659">
        <f t="shared" si="1"/>
        <v>27135</v>
      </c>
      <c r="F24" s="659">
        <f t="shared" si="1"/>
        <v>26982</v>
      </c>
      <c r="G24" s="659">
        <f t="shared" si="1"/>
        <v>15482</v>
      </c>
      <c r="H24" s="659">
        <f t="shared" si="1"/>
        <v>30761</v>
      </c>
      <c r="I24" s="659">
        <f t="shared" si="1"/>
        <v>27459</v>
      </c>
      <c r="J24" s="659">
        <f t="shared" si="1"/>
        <v>17956</v>
      </c>
    </row>
    <row r="25" spans="1:11">
      <c r="A25" s="661" t="s">
        <v>2289</v>
      </c>
      <c r="B25" s="663">
        <v>444</v>
      </c>
      <c r="C25" s="663">
        <v>425</v>
      </c>
      <c r="D25" s="663">
        <v>253</v>
      </c>
      <c r="E25" s="663">
        <v>404</v>
      </c>
      <c r="F25" s="663">
        <v>357</v>
      </c>
      <c r="G25" s="663">
        <v>257</v>
      </c>
      <c r="H25" s="663">
        <v>412</v>
      </c>
      <c r="I25" s="663">
        <v>381</v>
      </c>
      <c r="J25" s="663">
        <v>283</v>
      </c>
    </row>
    <row r="26" spans="1:11">
      <c r="A26" s="661" t="s">
        <v>1575</v>
      </c>
      <c r="B26" s="663">
        <v>2407</v>
      </c>
      <c r="C26" s="663">
        <v>2252</v>
      </c>
      <c r="D26" s="663">
        <v>1552</v>
      </c>
      <c r="E26" s="663">
        <v>2486</v>
      </c>
      <c r="F26" s="663">
        <v>2477</v>
      </c>
      <c r="G26" s="663">
        <v>1607</v>
      </c>
      <c r="H26" s="663">
        <v>2462</v>
      </c>
      <c r="I26" s="663">
        <v>2229</v>
      </c>
      <c r="J26" s="663">
        <v>1987</v>
      </c>
    </row>
    <row r="27" spans="1:11">
      <c r="A27" s="661" t="s">
        <v>2290</v>
      </c>
      <c r="B27" s="663">
        <v>93</v>
      </c>
      <c r="C27" s="663">
        <v>126</v>
      </c>
      <c r="D27" s="663">
        <v>111</v>
      </c>
      <c r="E27" s="663">
        <v>110</v>
      </c>
      <c r="F27" s="663">
        <v>156</v>
      </c>
      <c r="G27" s="663">
        <v>102</v>
      </c>
      <c r="H27" s="663">
        <v>138</v>
      </c>
      <c r="I27" s="663">
        <v>131</v>
      </c>
      <c r="J27" s="663">
        <v>119</v>
      </c>
    </row>
    <row r="28" spans="1:11">
      <c r="A28" s="661" t="s">
        <v>2291</v>
      </c>
      <c r="B28" s="663">
        <v>439</v>
      </c>
      <c r="C28" s="663">
        <v>511</v>
      </c>
      <c r="D28" s="663">
        <v>321</v>
      </c>
      <c r="E28" s="663">
        <v>550</v>
      </c>
      <c r="F28" s="663">
        <v>649</v>
      </c>
      <c r="G28" s="663">
        <v>410</v>
      </c>
      <c r="H28" s="663">
        <v>670</v>
      </c>
      <c r="I28" s="663">
        <v>677</v>
      </c>
      <c r="J28" s="663">
        <v>510</v>
      </c>
    </row>
    <row r="29" spans="1:11">
      <c r="A29" s="661" t="s">
        <v>2316</v>
      </c>
      <c r="B29" s="663">
        <v>27</v>
      </c>
      <c r="C29" s="663">
        <v>18</v>
      </c>
      <c r="D29" s="663">
        <v>4</v>
      </c>
      <c r="E29" s="663">
        <v>25</v>
      </c>
      <c r="F29" s="663">
        <v>13</v>
      </c>
      <c r="G29" s="663">
        <v>5</v>
      </c>
      <c r="H29" s="663">
        <v>26</v>
      </c>
      <c r="I29" s="663">
        <v>14</v>
      </c>
      <c r="J29" s="663">
        <v>9</v>
      </c>
    </row>
    <row r="30" spans="1:11">
      <c r="A30" s="661" t="s">
        <v>2287</v>
      </c>
      <c r="B30" s="663">
        <v>21579</v>
      </c>
      <c r="C30" s="663">
        <v>20750</v>
      </c>
      <c r="D30" s="663">
        <v>11420</v>
      </c>
      <c r="E30" s="663">
        <v>23360</v>
      </c>
      <c r="F30" s="663">
        <v>23108</v>
      </c>
      <c r="G30" s="663">
        <v>12945</v>
      </c>
      <c r="H30" s="663">
        <v>26808</v>
      </c>
      <c r="I30" s="663">
        <v>23789</v>
      </c>
      <c r="J30" s="663">
        <v>14901</v>
      </c>
    </row>
    <row r="31" spans="1:11">
      <c r="A31" s="661" t="s">
        <v>1581</v>
      </c>
      <c r="B31" s="663">
        <v>142</v>
      </c>
      <c r="C31" s="663">
        <v>114</v>
      </c>
      <c r="D31" s="663">
        <v>84</v>
      </c>
      <c r="E31" s="663">
        <v>127</v>
      </c>
      <c r="F31" s="663">
        <v>111</v>
      </c>
      <c r="G31" s="663">
        <v>78</v>
      </c>
      <c r="H31" s="663">
        <v>119</v>
      </c>
      <c r="I31" s="663">
        <v>117</v>
      </c>
      <c r="J31" s="663">
        <v>103</v>
      </c>
    </row>
    <row r="32" spans="1:11">
      <c r="A32" s="661" t="s">
        <v>2288</v>
      </c>
      <c r="B32" s="663">
        <v>37</v>
      </c>
      <c r="C32" s="663">
        <v>55</v>
      </c>
      <c r="D32" s="663">
        <v>94</v>
      </c>
      <c r="E32" s="663">
        <v>59</v>
      </c>
      <c r="F32" s="663">
        <v>105</v>
      </c>
      <c r="G32" s="663">
        <v>75</v>
      </c>
      <c r="H32" s="663">
        <v>116</v>
      </c>
      <c r="I32" s="663">
        <v>118</v>
      </c>
      <c r="J32" s="663">
        <v>44</v>
      </c>
    </row>
    <row r="33" spans="1:10">
      <c r="A33" s="661" t="s">
        <v>2317</v>
      </c>
      <c r="B33" s="663">
        <v>15</v>
      </c>
      <c r="C33" s="663">
        <v>7</v>
      </c>
      <c r="D33" s="663">
        <v>3</v>
      </c>
      <c r="E33" s="663">
        <v>14</v>
      </c>
      <c r="F33" s="663">
        <v>6</v>
      </c>
      <c r="G33" s="663">
        <v>3</v>
      </c>
      <c r="H33" s="663">
        <v>10</v>
      </c>
      <c r="I33" s="663">
        <v>3</v>
      </c>
      <c r="J33" s="663">
        <v>0</v>
      </c>
    </row>
    <row r="34" spans="1:10" ht="5.25" customHeight="1"/>
    <row r="35" spans="1:10">
      <c r="A35" s="539" t="s">
        <v>2305</v>
      </c>
    </row>
  </sheetData>
  <mergeCells count="9">
    <mergeCell ref="A22:A23"/>
    <mergeCell ref="B22:D22"/>
    <mergeCell ref="E22:G22"/>
    <mergeCell ref="H22:J22"/>
    <mergeCell ref="A2:J2"/>
    <mergeCell ref="A4:A5"/>
    <mergeCell ref="B4:D4"/>
    <mergeCell ref="E4:G4"/>
    <mergeCell ref="H4:J4"/>
  </mergeCells>
  <pageMargins left="0.74803149606299213" right="0.70866141732283472" top="0.9055118110236221" bottom="0.74803149606299213" header="0.31496062992125984" footer="0.31496062992125984"/>
  <pageSetup paperSize="14" scale="95" orientation="landscape" r:id="rId1"/>
</worksheet>
</file>

<file path=xl/worksheets/sheet249.xml><?xml version="1.0" encoding="utf-8"?>
<worksheet xmlns="http://schemas.openxmlformats.org/spreadsheetml/2006/main" xmlns:r="http://schemas.openxmlformats.org/officeDocument/2006/relationships">
  <dimension ref="A1:W27"/>
  <sheetViews>
    <sheetView zoomScaleNormal="100" workbookViewId="0">
      <selection activeCell="A31" sqref="A31"/>
    </sheetView>
  </sheetViews>
  <sheetFormatPr baseColWidth="10" defaultRowHeight="12"/>
  <cols>
    <col min="1" max="1" width="21.140625" style="84" customWidth="1"/>
    <col min="2" max="9" width="11.42578125" style="84"/>
    <col min="10" max="10" width="9.42578125" style="84" customWidth="1"/>
    <col min="11" max="16384" width="11.42578125" style="84"/>
  </cols>
  <sheetData>
    <row r="1" spans="1:23" ht="7.5" customHeight="1"/>
    <row r="2" spans="1:23">
      <c r="A2" s="81" t="s">
        <v>3193</v>
      </c>
    </row>
    <row r="3" spans="1:23" s="87" customFormat="1" ht="6" customHeight="1">
      <c r="A3" s="499"/>
      <c r="B3" s="539"/>
      <c r="C3" s="539"/>
      <c r="D3" s="539"/>
      <c r="E3" s="539"/>
      <c r="F3" s="539"/>
      <c r="G3" s="539"/>
      <c r="H3" s="539"/>
      <c r="I3" s="539"/>
      <c r="R3" s="545"/>
      <c r="S3" s="545"/>
      <c r="T3" s="545"/>
      <c r="U3" s="545"/>
      <c r="V3" s="545"/>
      <c r="W3" s="545"/>
    </row>
    <row r="4" spans="1:23" s="87" customFormat="1" ht="12.75" customHeight="1">
      <c r="A4" s="2503" t="s">
        <v>0</v>
      </c>
      <c r="B4" s="526" t="s">
        <v>3506</v>
      </c>
      <c r="C4" s="526" t="s">
        <v>3507</v>
      </c>
      <c r="D4" s="2520">
        <v>2011</v>
      </c>
      <c r="E4" s="2520"/>
      <c r="F4" s="2520"/>
      <c r="G4" s="2503">
        <v>2012</v>
      </c>
      <c r="H4" s="2503"/>
      <c r="I4" s="2503"/>
      <c r="J4" s="2503">
        <v>2013</v>
      </c>
      <c r="K4" s="2503"/>
      <c r="L4" s="2503"/>
      <c r="M4" s="2503">
        <v>2014</v>
      </c>
      <c r="N4" s="2503"/>
      <c r="O4" s="2503"/>
      <c r="R4" s="545"/>
      <c r="S4" s="545"/>
      <c r="T4" s="545"/>
      <c r="U4" s="545"/>
      <c r="V4" s="545"/>
      <c r="W4" s="545"/>
    </row>
    <row r="5" spans="1:23" s="87" customFormat="1" ht="11.25">
      <c r="A5" s="2503"/>
      <c r="B5" s="653" t="s">
        <v>26</v>
      </c>
      <c r="C5" s="653" t="s">
        <v>26</v>
      </c>
      <c r="D5" s="653" t="s">
        <v>26</v>
      </c>
      <c r="E5" s="526" t="s">
        <v>163</v>
      </c>
      <c r="F5" s="526" t="s">
        <v>164</v>
      </c>
      <c r="G5" s="653" t="s">
        <v>26</v>
      </c>
      <c r="H5" s="526" t="s">
        <v>163</v>
      </c>
      <c r="I5" s="526" t="s">
        <v>164</v>
      </c>
      <c r="J5" s="653" t="s">
        <v>26</v>
      </c>
      <c r="K5" s="526" t="s">
        <v>163</v>
      </c>
      <c r="L5" s="526" t="s">
        <v>164</v>
      </c>
      <c r="M5" s="653" t="s">
        <v>26</v>
      </c>
      <c r="N5" s="526" t="s">
        <v>163</v>
      </c>
      <c r="O5" s="526" t="s">
        <v>164</v>
      </c>
      <c r="R5" s="545"/>
      <c r="S5" s="545"/>
      <c r="T5" s="545"/>
      <c r="U5" s="545"/>
      <c r="V5" s="545"/>
      <c r="W5" s="545"/>
    </row>
    <row r="6" spans="1:23" s="87" customFormat="1" ht="11.25">
      <c r="A6" s="499" t="s">
        <v>6</v>
      </c>
      <c r="B6" s="654">
        <f t="shared" ref="B6:O6" si="0">SUM(B7:B21)</f>
        <v>28</v>
      </c>
      <c r="C6" s="654">
        <f t="shared" si="0"/>
        <v>32</v>
      </c>
      <c r="D6" s="654">
        <f t="shared" si="0"/>
        <v>43</v>
      </c>
      <c r="E6" s="654">
        <f t="shared" si="0"/>
        <v>19</v>
      </c>
      <c r="F6" s="654">
        <f t="shared" si="0"/>
        <v>24</v>
      </c>
      <c r="G6" s="654">
        <f t="shared" si="0"/>
        <v>72</v>
      </c>
      <c r="H6" s="654">
        <f t="shared" si="0"/>
        <v>23</v>
      </c>
      <c r="I6" s="654">
        <f t="shared" si="0"/>
        <v>49</v>
      </c>
      <c r="J6" s="654">
        <f t="shared" si="0"/>
        <v>71</v>
      </c>
      <c r="K6" s="654">
        <f t="shared" si="0"/>
        <v>21</v>
      </c>
      <c r="L6" s="654">
        <f t="shared" si="0"/>
        <v>50</v>
      </c>
      <c r="M6" s="654">
        <f t="shared" si="0"/>
        <v>166</v>
      </c>
      <c r="N6" s="654">
        <f t="shared" si="0"/>
        <v>45</v>
      </c>
      <c r="O6" s="654">
        <f t="shared" si="0"/>
        <v>121</v>
      </c>
      <c r="R6" s="545"/>
      <c r="S6" s="545"/>
      <c r="T6" s="545"/>
      <c r="U6" s="545"/>
      <c r="V6" s="545"/>
      <c r="W6" s="545"/>
    </row>
    <row r="7" spans="1:23" s="87" customFormat="1" ht="11.25">
      <c r="A7" s="655" t="s">
        <v>7</v>
      </c>
      <c r="B7" s="656">
        <v>0</v>
      </c>
      <c r="C7" s="656">
        <v>0</v>
      </c>
      <c r="D7" s="657">
        <f t="shared" ref="D7:D21" si="1">SUM(E7:F7)</f>
        <v>0</v>
      </c>
      <c r="E7" s="656">
        <v>0</v>
      </c>
      <c r="F7" s="656">
        <v>0</v>
      </c>
      <c r="G7" s="657">
        <f t="shared" ref="G7:G21" si="2">SUM(H7:I7)</f>
        <v>5</v>
      </c>
      <c r="H7" s="656">
        <v>1</v>
      </c>
      <c r="I7" s="656">
        <v>4</v>
      </c>
      <c r="J7" s="657">
        <f t="shared" ref="J7:J21" si="3">SUM(K7:L7)</f>
        <v>2</v>
      </c>
      <c r="K7" s="656">
        <v>2</v>
      </c>
      <c r="L7" s="656">
        <v>0</v>
      </c>
      <c r="M7" s="657">
        <f t="shared" ref="M7:M21" si="4">SUM(N7:O7)</f>
        <v>4</v>
      </c>
      <c r="N7" s="658">
        <v>1</v>
      </c>
      <c r="O7" s="658">
        <v>3</v>
      </c>
      <c r="R7" s="545"/>
      <c r="S7" s="545"/>
      <c r="T7" s="545"/>
      <c r="U7" s="545"/>
      <c r="V7" s="545"/>
      <c r="W7" s="545"/>
    </row>
    <row r="8" spans="1:23" s="87" customFormat="1" ht="11.25">
      <c r="A8" s="655" t="s">
        <v>8</v>
      </c>
      <c r="B8" s="656">
        <v>0</v>
      </c>
      <c r="C8" s="656">
        <v>0</v>
      </c>
      <c r="D8" s="657">
        <f t="shared" si="1"/>
        <v>11</v>
      </c>
      <c r="E8" s="656">
        <v>4</v>
      </c>
      <c r="F8" s="656">
        <v>7</v>
      </c>
      <c r="G8" s="657">
        <f t="shared" si="2"/>
        <v>3</v>
      </c>
      <c r="H8" s="656">
        <v>2</v>
      </c>
      <c r="I8" s="656">
        <v>1</v>
      </c>
      <c r="J8" s="657">
        <f t="shared" si="3"/>
        <v>4</v>
      </c>
      <c r="K8" s="656">
        <v>1</v>
      </c>
      <c r="L8" s="656">
        <v>3</v>
      </c>
      <c r="M8" s="657">
        <f t="shared" si="4"/>
        <v>0</v>
      </c>
      <c r="N8" s="658" t="s">
        <v>155</v>
      </c>
      <c r="O8" s="658" t="s">
        <v>155</v>
      </c>
      <c r="R8" s="545"/>
      <c r="S8" s="545"/>
      <c r="T8" s="545"/>
      <c r="U8" s="545"/>
      <c r="V8" s="545"/>
      <c r="W8" s="545"/>
    </row>
    <row r="9" spans="1:23" s="87" customFormat="1" ht="11.25">
      <c r="A9" s="655" t="s">
        <v>9</v>
      </c>
      <c r="B9" s="656">
        <v>0</v>
      </c>
      <c r="C9" s="656">
        <v>0</v>
      </c>
      <c r="D9" s="657">
        <f t="shared" si="1"/>
        <v>0</v>
      </c>
      <c r="E9" s="656">
        <v>0</v>
      </c>
      <c r="F9" s="656">
        <v>0</v>
      </c>
      <c r="G9" s="657">
        <f t="shared" si="2"/>
        <v>3</v>
      </c>
      <c r="H9" s="656">
        <v>0</v>
      </c>
      <c r="I9" s="656">
        <v>3</v>
      </c>
      <c r="J9" s="657">
        <f t="shared" si="3"/>
        <v>1</v>
      </c>
      <c r="K9" s="656">
        <v>0</v>
      </c>
      <c r="L9" s="656">
        <v>1</v>
      </c>
      <c r="M9" s="657">
        <f t="shared" si="4"/>
        <v>39</v>
      </c>
      <c r="N9" s="658">
        <v>1</v>
      </c>
      <c r="O9" s="658">
        <v>38</v>
      </c>
      <c r="R9" s="545"/>
      <c r="S9" s="545"/>
      <c r="T9" s="545"/>
      <c r="U9" s="545"/>
      <c r="V9" s="545"/>
      <c r="W9" s="545"/>
    </row>
    <row r="10" spans="1:23" s="87" customFormat="1" ht="11.25">
      <c r="A10" s="655" t="s">
        <v>10</v>
      </c>
      <c r="B10" s="656">
        <v>0</v>
      </c>
      <c r="C10" s="656">
        <v>0</v>
      </c>
      <c r="D10" s="657">
        <f t="shared" si="1"/>
        <v>0</v>
      </c>
      <c r="E10" s="656">
        <v>0</v>
      </c>
      <c r="F10" s="656">
        <v>0</v>
      </c>
      <c r="G10" s="657">
        <f t="shared" si="2"/>
        <v>0</v>
      </c>
      <c r="H10" s="656">
        <v>0</v>
      </c>
      <c r="I10" s="656">
        <v>0</v>
      </c>
      <c r="J10" s="657">
        <f t="shared" si="3"/>
        <v>0</v>
      </c>
      <c r="K10" s="656">
        <v>0</v>
      </c>
      <c r="L10" s="656">
        <v>0</v>
      </c>
      <c r="M10" s="657">
        <f t="shared" si="4"/>
        <v>0</v>
      </c>
      <c r="N10" s="658" t="s">
        <v>155</v>
      </c>
      <c r="O10" s="658" t="s">
        <v>155</v>
      </c>
      <c r="R10" s="545"/>
      <c r="S10" s="545"/>
      <c r="T10" s="545"/>
      <c r="U10" s="545"/>
      <c r="V10" s="545"/>
      <c r="W10" s="545"/>
    </row>
    <row r="11" spans="1:23" s="87" customFormat="1" ht="11.25">
      <c r="A11" s="655" t="s">
        <v>11</v>
      </c>
      <c r="B11" s="656">
        <v>0</v>
      </c>
      <c r="C11" s="656">
        <v>0</v>
      </c>
      <c r="D11" s="657">
        <f t="shared" si="1"/>
        <v>0</v>
      </c>
      <c r="E11" s="656">
        <v>0</v>
      </c>
      <c r="F11" s="656">
        <v>0</v>
      </c>
      <c r="G11" s="657">
        <f t="shared" si="2"/>
        <v>0</v>
      </c>
      <c r="H11" s="656">
        <v>0</v>
      </c>
      <c r="I11" s="656">
        <v>0</v>
      </c>
      <c r="J11" s="657">
        <f t="shared" si="3"/>
        <v>0</v>
      </c>
      <c r="K11" s="656">
        <v>0</v>
      </c>
      <c r="L11" s="656">
        <v>0</v>
      </c>
      <c r="M11" s="657">
        <f t="shared" si="4"/>
        <v>0</v>
      </c>
      <c r="N11" s="658" t="s">
        <v>155</v>
      </c>
      <c r="O11" s="658" t="s">
        <v>155</v>
      </c>
      <c r="R11" s="545"/>
      <c r="S11" s="545"/>
      <c r="T11" s="545"/>
      <c r="U11" s="545"/>
      <c r="V11" s="545"/>
      <c r="W11" s="545"/>
    </row>
    <row r="12" spans="1:23" s="87" customFormat="1" ht="11.25">
      <c r="A12" s="655" t="s">
        <v>12</v>
      </c>
      <c r="B12" s="656">
        <v>0</v>
      </c>
      <c r="C12" s="656">
        <v>0</v>
      </c>
      <c r="D12" s="657">
        <f t="shared" si="1"/>
        <v>0</v>
      </c>
      <c r="E12" s="656">
        <v>0</v>
      </c>
      <c r="F12" s="656">
        <v>0</v>
      </c>
      <c r="G12" s="657">
        <f t="shared" si="2"/>
        <v>1</v>
      </c>
      <c r="H12" s="656">
        <v>0</v>
      </c>
      <c r="I12" s="656">
        <v>1</v>
      </c>
      <c r="J12" s="657">
        <f t="shared" si="3"/>
        <v>2</v>
      </c>
      <c r="K12" s="656">
        <v>1</v>
      </c>
      <c r="L12" s="656">
        <v>1</v>
      </c>
      <c r="M12" s="657">
        <f t="shared" si="4"/>
        <v>5</v>
      </c>
      <c r="N12" s="658">
        <v>2</v>
      </c>
      <c r="O12" s="658">
        <v>3</v>
      </c>
      <c r="R12" s="545"/>
      <c r="S12" s="545"/>
      <c r="T12" s="545"/>
      <c r="U12" s="545"/>
      <c r="V12" s="545"/>
      <c r="W12" s="545"/>
    </row>
    <row r="13" spans="1:23" s="87" customFormat="1" ht="11.25">
      <c r="A13" s="655" t="s">
        <v>13</v>
      </c>
      <c r="B13" s="656">
        <v>28</v>
      </c>
      <c r="C13" s="656">
        <v>32</v>
      </c>
      <c r="D13" s="657">
        <f t="shared" si="1"/>
        <v>16</v>
      </c>
      <c r="E13" s="656">
        <v>8</v>
      </c>
      <c r="F13" s="656">
        <v>8</v>
      </c>
      <c r="G13" s="657">
        <f t="shared" si="2"/>
        <v>21</v>
      </c>
      <c r="H13" s="656">
        <v>9</v>
      </c>
      <c r="I13" s="656">
        <v>12</v>
      </c>
      <c r="J13" s="657">
        <f t="shared" si="3"/>
        <v>13</v>
      </c>
      <c r="K13" s="656">
        <v>7</v>
      </c>
      <c r="L13" s="656">
        <v>6</v>
      </c>
      <c r="M13" s="657">
        <f t="shared" si="4"/>
        <v>19</v>
      </c>
      <c r="N13" s="658">
        <v>11</v>
      </c>
      <c r="O13" s="658">
        <v>8</v>
      </c>
    </row>
    <row r="14" spans="1:23" s="87" customFormat="1" ht="11.25">
      <c r="A14" s="655" t="s">
        <v>14</v>
      </c>
      <c r="B14" s="656">
        <v>0</v>
      </c>
      <c r="C14" s="656">
        <v>0</v>
      </c>
      <c r="D14" s="657">
        <f t="shared" si="1"/>
        <v>0</v>
      </c>
      <c r="E14" s="656">
        <v>0</v>
      </c>
      <c r="F14" s="656">
        <v>0</v>
      </c>
      <c r="G14" s="657">
        <f t="shared" si="2"/>
        <v>0</v>
      </c>
      <c r="H14" s="656">
        <v>0</v>
      </c>
      <c r="I14" s="656">
        <v>0</v>
      </c>
      <c r="J14" s="657">
        <f t="shared" si="3"/>
        <v>0</v>
      </c>
      <c r="K14" s="656">
        <v>0</v>
      </c>
      <c r="L14" s="656">
        <v>0</v>
      </c>
      <c r="M14" s="657">
        <f t="shared" si="4"/>
        <v>0</v>
      </c>
      <c r="N14" s="658" t="s">
        <v>155</v>
      </c>
      <c r="O14" s="658" t="s">
        <v>155</v>
      </c>
      <c r="R14" s="545"/>
      <c r="S14" s="545"/>
      <c r="T14" s="545"/>
      <c r="U14" s="545"/>
      <c r="V14" s="545"/>
      <c r="W14" s="545"/>
    </row>
    <row r="15" spans="1:23" s="87" customFormat="1" ht="11.25">
      <c r="A15" s="655" t="s">
        <v>15</v>
      </c>
      <c r="B15" s="656">
        <v>0</v>
      </c>
      <c r="C15" s="656">
        <v>0</v>
      </c>
      <c r="D15" s="657">
        <f t="shared" si="1"/>
        <v>0</v>
      </c>
      <c r="E15" s="656">
        <v>0</v>
      </c>
      <c r="F15" s="656">
        <v>0</v>
      </c>
      <c r="G15" s="657">
        <f t="shared" si="2"/>
        <v>0</v>
      </c>
      <c r="H15" s="656">
        <v>0</v>
      </c>
      <c r="I15" s="656">
        <v>0</v>
      </c>
      <c r="J15" s="657">
        <f t="shared" si="3"/>
        <v>0</v>
      </c>
      <c r="K15" s="656">
        <v>0</v>
      </c>
      <c r="L15" s="656">
        <v>0</v>
      </c>
      <c r="M15" s="657">
        <f t="shared" si="4"/>
        <v>0</v>
      </c>
      <c r="N15" s="658" t="s">
        <v>155</v>
      </c>
      <c r="O15" s="658" t="s">
        <v>155</v>
      </c>
      <c r="R15" s="545"/>
      <c r="S15" s="545"/>
      <c r="T15" s="545"/>
      <c r="U15" s="545"/>
      <c r="V15" s="545"/>
      <c r="W15" s="545"/>
    </row>
    <row r="16" spans="1:23" s="87" customFormat="1" ht="11.25">
      <c r="A16" s="655" t="s">
        <v>16</v>
      </c>
      <c r="B16" s="656">
        <v>0</v>
      </c>
      <c r="C16" s="656">
        <v>0</v>
      </c>
      <c r="D16" s="657">
        <f t="shared" si="1"/>
        <v>0</v>
      </c>
      <c r="E16" s="656">
        <v>0</v>
      </c>
      <c r="F16" s="656">
        <v>0</v>
      </c>
      <c r="G16" s="657">
        <f t="shared" si="2"/>
        <v>4</v>
      </c>
      <c r="H16" s="656">
        <v>2</v>
      </c>
      <c r="I16" s="656">
        <v>2</v>
      </c>
      <c r="J16" s="657">
        <f t="shared" si="3"/>
        <v>5</v>
      </c>
      <c r="K16" s="656">
        <v>1</v>
      </c>
      <c r="L16" s="656">
        <v>4</v>
      </c>
      <c r="M16" s="657">
        <f t="shared" si="4"/>
        <v>5</v>
      </c>
      <c r="N16" s="658">
        <v>2</v>
      </c>
      <c r="O16" s="658">
        <v>3</v>
      </c>
      <c r="R16" s="545"/>
      <c r="S16" s="545"/>
      <c r="T16" s="545"/>
      <c r="U16" s="545"/>
      <c r="V16" s="545"/>
      <c r="W16" s="545"/>
    </row>
    <row r="17" spans="1:23" s="87" customFormat="1" ht="11.25">
      <c r="A17" s="655" t="s">
        <v>17</v>
      </c>
      <c r="B17" s="656">
        <v>0</v>
      </c>
      <c r="C17" s="656">
        <v>0</v>
      </c>
      <c r="D17" s="657">
        <f t="shared" si="1"/>
        <v>16</v>
      </c>
      <c r="E17" s="656">
        <v>7</v>
      </c>
      <c r="F17" s="656">
        <v>9</v>
      </c>
      <c r="G17" s="657">
        <f t="shared" si="2"/>
        <v>29</v>
      </c>
      <c r="H17" s="656">
        <v>8</v>
      </c>
      <c r="I17" s="656">
        <v>21</v>
      </c>
      <c r="J17" s="657">
        <f t="shared" si="3"/>
        <v>41</v>
      </c>
      <c r="K17" s="656">
        <v>8</v>
      </c>
      <c r="L17" s="656">
        <v>33</v>
      </c>
      <c r="M17" s="657">
        <f t="shared" si="4"/>
        <v>48</v>
      </c>
      <c r="N17" s="658">
        <v>18</v>
      </c>
      <c r="O17" s="658">
        <v>30</v>
      </c>
      <c r="R17" s="545"/>
      <c r="S17" s="545"/>
      <c r="T17" s="545"/>
      <c r="U17" s="545"/>
      <c r="V17" s="545"/>
      <c r="W17" s="545"/>
    </row>
    <row r="18" spans="1:23" s="87" customFormat="1" ht="11.25">
      <c r="A18" s="655" t="s">
        <v>18</v>
      </c>
      <c r="B18" s="656">
        <v>0</v>
      </c>
      <c r="C18" s="656">
        <v>0</v>
      </c>
      <c r="D18" s="657">
        <f t="shared" si="1"/>
        <v>0</v>
      </c>
      <c r="E18" s="656">
        <v>0</v>
      </c>
      <c r="F18" s="656">
        <v>0</v>
      </c>
      <c r="G18" s="657">
        <f t="shared" si="2"/>
        <v>2</v>
      </c>
      <c r="H18" s="656">
        <v>0</v>
      </c>
      <c r="I18" s="656">
        <v>2</v>
      </c>
      <c r="J18" s="657">
        <f t="shared" si="3"/>
        <v>1</v>
      </c>
      <c r="K18" s="656">
        <v>0</v>
      </c>
      <c r="L18" s="656">
        <v>1</v>
      </c>
      <c r="M18" s="657">
        <f t="shared" si="4"/>
        <v>3</v>
      </c>
      <c r="N18" s="658" t="s">
        <v>155</v>
      </c>
      <c r="O18" s="658">
        <v>3</v>
      </c>
      <c r="R18" s="545"/>
      <c r="S18" s="545"/>
      <c r="T18" s="545"/>
      <c r="U18" s="545"/>
      <c r="V18" s="545"/>
      <c r="W18" s="545"/>
    </row>
    <row r="19" spans="1:23" s="87" customFormat="1" ht="11.25">
      <c r="A19" s="655" t="s">
        <v>19</v>
      </c>
      <c r="B19" s="656">
        <v>0</v>
      </c>
      <c r="C19" s="656">
        <v>0</v>
      </c>
      <c r="D19" s="657">
        <f t="shared" si="1"/>
        <v>0</v>
      </c>
      <c r="E19" s="656">
        <v>0</v>
      </c>
      <c r="F19" s="656">
        <v>0</v>
      </c>
      <c r="G19" s="657">
        <f t="shared" si="2"/>
        <v>4</v>
      </c>
      <c r="H19" s="656">
        <v>1</v>
      </c>
      <c r="I19" s="656">
        <v>3</v>
      </c>
      <c r="J19" s="657">
        <f t="shared" si="3"/>
        <v>2</v>
      </c>
      <c r="K19" s="656">
        <v>1</v>
      </c>
      <c r="L19" s="656">
        <v>1</v>
      </c>
      <c r="M19" s="657">
        <f t="shared" si="4"/>
        <v>43</v>
      </c>
      <c r="N19" s="658">
        <v>10</v>
      </c>
      <c r="O19" s="658">
        <v>33</v>
      </c>
      <c r="R19" s="545"/>
      <c r="S19" s="545"/>
      <c r="T19" s="545"/>
      <c r="U19" s="545"/>
      <c r="V19" s="545"/>
      <c r="W19" s="545"/>
    </row>
    <row r="20" spans="1:23" s="87" customFormat="1" ht="11.25">
      <c r="A20" s="655" t="s">
        <v>20</v>
      </c>
      <c r="B20" s="656">
        <v>0</v>
      </c>
      <c r="C20" s="656">
        <v>0</v>
      </c>
      <c r="D20" s="657">
        <f t="shared" si="1"/>
        <v>0</v>
      </c>
      <c r="E20" s="656">
        <v>0</v>
      </c>
      <c r="F20" s="656">
        <v>0</v>
      </c>
      <c r="G20" s="657">
        <f t="shared" si="2"/>
        <v>0</v>
      </c>
      <c r="H20" s="656">
        <v>0</v>
      </c>
      <c r="I20" s="656">
        <v>0</v>
      </c>
      <c r="J20" s="657">
        <f t="shared" si="3"/>
        <v>0</v>
      </c>
      <c r="K20" s="656">
        <v>0</v>
      </c>
      <c r="L20" s="656">
        <v>0</v>
      </c>
      <c r="M20" s="657">
        <f t="shared" si="4"/>
        <v>0</v>
      </c>
      <c r="N20" s="658" t="s">
        <v>155</v>
      </c>
      <c r="O20" s="658" t="s">
        <v>155</v>
      </c>
    </row>
    <row r="21" spans="1:23" s="87" customFormat="1" ht="11.25">
      <c r="A21" s="655" t="s">
        <v>21</v>
      </c>
      <c r="B21" s="656">
        <v>0</v>
      </c>
      <c r="C21" s="656">
        <v>0</v>
      </c>
      <c r="D21" s="657">
        <f t="shared" si="1"/>
        <v>0</v>
      </c>
      <c r="E21" s="656">
        <v>0</v>
      </c>
      <c r="F21" s="656">
        <v>0</v>
      </c>
      <c r="G21" s="657">
        <f t="shared" si="2"/>
        <v>0</v>
      </c>
      <c r="H21" s="656">
        <v>0</v>
      </c>
      <c r="I21" s="656">
        <v>0</v>
      </c>
      <c r="J21" s="657">
        <f t="shared" si="3"/>
        <v>0</v>
      </c>
      <c r="K21" s="656">
        <v>0</v>
      </c>
      <c r="L21" s="656">
        <v>0</v>
      </c>
      <c r="M21" s="657">
        <f t="shared" si="4"/>
        <v>0</v>
      </c>
      <c r="N21" s="658" t="s">
        <v>155</v>
      </c>
      <c r="O21" s="658" t="s">
        <v>155</v>
      </c>
    </row>
    <row r="22" spans="1:23" s="87" customFormat="1" ht="11.25">
      <c r="A22" s="655"/>
      <c r="B22" s="656"/>
      <c r="C22" s="656"/>
      <c r="D22" s="657"/>
      <c r="E22" s="656"/>
      <c r="F22" s="656"/>
      <c r="G22" s="657"/>
      <c r="H22" s="656"/>
      <c r="I22" s="656"/>
    </row>
    <row r="23" spans="1:23" s="87" customFormat="1" ht="11.25">
      <c r="A23" s="2545" t="s">
        <v>3508</v>
      </c>
      <c r="B23" s="2545"/>
      <c r="C23" s="2545"/>
      <c r="D23" s="2545"/>
      <c r="E23" s="2545"/>
      <c r="F23" s="539"/>
      <c r="G23" s="539"/>
      <c r="H23" s="539"/>
      <c r="I23" s="539"/>
    </row>
    <row r="24" spans="1:23" s="87" customFormat="1" ht="14.25" customHeight="1">
      <c r="A24" s="545" t="s">
        <v>161</v>
      </c>
      <c r="B24" s="539"/>
      <c r="C24" s="539"/>
      <c r="E24" s="539"/>
      <c r="F24" s="539"/>
      <c r="H24" s="539"/>
      <c r="I24" s="539"/>
    </row>
    <row r="25" spans="1:23" s="87" customFormat="1">
      <c r="A25" s="539" t="s">
        <v>2319</v>
      </c>
      <c r="B25" s="539"/>
      <c r="C25" s="539"/>
      <c r="D25" s="539"/>
      <c r="E25" s="539"/>
      <c r="J25" s="84"/>
    </row>
    <row r="26" spans="1:23" ht="8.25" customHeight="1"/>
    <row r="27" spans="1:23" ht="6.75" customHeight="1"/>
  </sheetData>
  <mergeCells count="6">
    <mergeCell ref="M4:O4"/>
    <mergeCell ref="A23:E23"/>
    <mergeCell ref="A4:A5"/>
    <mergeCell ref="D4:F4"/>
    <mergeCell ref="G4:I4"/>
    <mergeCell ref="J4:L4"/>
  </mergeCells>
  <pageMargins left="0.42" right="0.31496062992125984" top="0.86614173228346458" bottom="1.8897637795275593" header="0.31496062992125984" footer="1.1417322834645669"/>
  <pageSetup scale="85" orientation="portrait" r:id="rId1"/>
</worksheet>
</file>

<file path=xl/worksheets/sheet25.xml><?xml version="1.0" encoding="utf-8"?>
<worksheet xmlns="http://schemas.openxmlformats.org/spreadsheetml/2006/main" xmlns:r="http://schemas.openxmlformats.org/officeDocument/2006/relationships">
  <dimension ref="A1:F24"/>
  <sheetViews>
    <sheetView zoomScaleNormal="100" workbookViewId="0"/>
  </sheetViews>
  <sheetFormatPr baseColWidth="10" defaultRowHeight="11.25"/>
  <cols>
    <col min="1" max="1" width="27.42578125" style="53" customWidth="1"/>
    <col min="2" max="2" width="11.42578125" style="53"/>
    <col min="3" max="6" width="13" style="53" customWidth="1"/>
    <col min="7" max="16384" width="11.42578125" style="53"/>
  </cols>
  <sheetData>
    <row r="1" spans="1:6">
      <c r="A1" s="61"/>
    </row>
    <row r="2" spans="1:6" s="148" customFormat="1" ht="22.5" customHeight="1">
      <c r="A2" s="2063" t="s">
        <v>954</v>
      </c>
      <c r="B2" s="2063"/>
      <c r="C2" s="2063"/>
      <c r="D2" s="2063"/>
      <c r="E2" s="2063"/>
      <c r="F2" s="2063"/>
    </row>
    <row r="3" spans="1:6" ht="10.5" customHeight="1"/>
    <row r="4" spans="1:6" ht="12.75" customHeight="1">
      <c r="A4" s="2066" t="s">
        <v>0</v>
      </c>
      <c r="B4" s="2066" t="s">
        <v>24</v>
      </c>
      <c r="C4" s="2066"/>
      <c r="D4" s="2066"/>
      <c r="E4" s="2066"/>
      <c r="F4" s="2066"/>
    </row>
    <row r="5" spans="1:6" ht="33.75">
      <c r="A5" s="2066"/>
      <c r="B5" s="818" t="s">
        <v>2</v>
      </c>
      <c r="C5" s="818" t="s">
        <v>25</v>
      </c>
      <c r="D5" s="818" t="s">
        <v>3</v>
      </c>
      <c r="E5" s="818" t="s">
        <v>4</v>
      </c>
      <c r="F5" s="818" t="s">
        <v>5</v>
      </c>
    </row>
    <row r="6" spans="1:6">
      <c r="A6" s="1899" t="s">
        <v>6</v>
      </c>
      <c r="B6" s="1900">
        <f>SUM(B7:B21)</f>
        <v>1382</v>
      </c>
      <c r="C6" s="1900">
        <f>SUM(C7:C21)</f>
        <v>333</v>
      </c>
      <c r="D6" s="1900">
        <f>SUM(D7:D21)</f>
        <v>883</v>
      </c>
      <c r="E6" s="1900">
        <f>SUM(E7:E21)</f>
        <v>43</v>
      </c>
      <c r="F6" s="1900">
        <f>SUM(F7:F21)</f>
        <v>123</v>
      </c>
    </row>
    <row r="7" spans="1:6">
      <c r="A7" s="310" t="s">
        <v>7</v>
      </c>
      <c r="B7" s="320">
        <f t="shared" ref="B7:B21" si="0">SUM(C7:F7)</f>
        <v>36</v>
      </c>
      <c r="C7" s="320">
        <v>2</v>
      </c>
      <c r="D7" s="320">
        <v>32</v>
      </c>
      <c r="E7" s="320">
        <v>1</v>
      </c>
      <c r="F7" s="320">
        <v>1</v>
      </c>
    </row>
    <row r="8" spans="1:6">
      <c r="A8" s="53" t="s">
        <v>8</v>
      </c>
      <c r="B8" s="1819">
        <f t="shared" si="0"/>
        <v>73</v>
      </c>
      <c r="C8" s="1819">
        <v>6</v>
      </c>
      <c r="D8" s="1819">
        <v>60</v>
      </c>
      <c r="E8" s="1819">
        <v>3</v>
      </c>
      <c r="F8" s="1819">
        <v>4</v>
      </c>
    </row>
    <row r="9" spans="1:6">
      <c r="A9" s="53" t="s">
        <v>9</v>
      </c>
      <c r="B9" s="1819">
        <f t="shared" si="0"/>
        <v>83</v>
      </c>
      <c r="C9" s="1819">
        <v>19</v>
      </c>
      <c r="D9" s="1819">
        <v>54</v>
      </c>
      <c r="E9" s="1819">
        <v>1</v>
      </c>
      <c r="F9" s="1819">
        <v>9</v>
      </c>
    </row>
    <row r="10" spans="1:6">
      <c r="A10" s="53" t="s">
        <v>10</v>
      </c>
      <c r="B10" s="1819">
        <f t="shared" si="0"/>
        <v>41</v>
      </c>
      <c r="C10" s="1819">
        <v>2</v>
      </c>
      <c r="D10" s="1819">
        <v>37</v>
      </c>
      <c r="E10" s="1819">
        <v>1</v>
      </c>
      <c r="F10" s="1819">
        <v>1</v>
      </c>
    </row>
    <row r="11" spans="1:6">
      <c r="A11" s="53" t="s">
        <v>11</v>
      </c>
      <c r="B11" s="1819">
        <f t="shared" si="0"/>
        <v>55</v>
      </c>
      <c r="C11" s="1819">
        <v>5</v>
      </c>
      <c r="D11" s="1819">
        <v>44</v>
      </c>
      <c r="E11" s="1819">
        <v>1</v>
      </c>
      <c r="F11" s="1819">
        <v>5</v>
      </c>
    </row>
    <row r="12" spans="1:6">
      <c r="A12" s="53" t="s">
        <v>12</v>
      </c>
      <c r="B12" s="1819">
        <f t="shared" si="0"/>
        <v>174</v>
      </c>
      <c r="C12" s="1819">
        <v>33</v>
      </c>
      <c r="D12" s="1819">
        <v>108</v>
      </c>
      <c r="E12" s="1819">
        <v>12</v>
      </c>
      <c r="F12" s="1819">
        <v>21</v>
      </c>
    </row>
    <row r="13" spans="1:6">
      <c r="A13" s="53" t="s">
        <v>13</v>
      </c>
      <c r="B13" s="1819">
        <f t="shared" si="0"/>
        <v>422</v>
      </c>
      <c r="C13" s="1819">
        <v>142</v>
      </c>
      <c r="D13" s="1819">
        <v>232</v>
      </c>
      <c r="E13" s="1819">
        <v>9</v>
      </c>
      <c r="F13" s="1819">
        <v>39</v>
      </c>
    </row>
    <row r="14" spans="1:6" ht="10.5" customHeight="1">
      <c r="A14" s="53" t="s">
        <v>14</v>
      </c>
      <c r="B14" s="1819">
        <f t="shared" si="0"/>
        <v>71</v>
      </c>
      <c r="C14" s="1819">
        <v>2</v>
      </c>
      <c r="D14" s="1819">
        <v>57</v>
      </c>
      <c r="E14" s="1819">
        <v>1</v>
      </c>
      <c r="F14" s="1819">
        <v>11</v>
      </c>
    </row>
    <row r="15" spans="1:6">
      <c r="A15" s="53" t="s">
        <v>15</v>
      </c>
      <c r="B15" s="1819">
        <f t="shared" si="0"/>
        <v>56</v>
      </c>
      <c r="C15" s="1819">
        <v>8</v>
      </c>
      <c r="D15" s="1819">
        <v>35</v>
      </c>
      <c r="E15" s="1819">
        <v>5</v>
      </c>
      <c r="F15" s="1819">
        <v>8</v>
      </c>
    </row>
    <row r="16" spans="1:6">
      <c r="A16" s="53" t="s">
        <v>16</v>
      </c>
      <c r="B16" s="1819">
        <f t="shared" si="0"/>
        <v>79</v>
      </c>
      <c r="C16" s="1819">
        <v>13</v>
      </c>
      <c r="D16" s="1819">
        <v>59</v>
      </c>
      <c r="E16" s="1819">
        <v>3</v>
      </c>
      <c r="F16" s="1819">
        <v>4</v>
      </c>
    </row>
    <row r="17" spans="1:6">
      <c r="A17" s="53" t="s">
        <v>17</v>
      </c>
      <c r="B17" s="1819">
        <f t="shared" si="0"/>
        <v>98</v>
      </c>
      <c r="C17" s="1819">
        <v>70</v>
      </c>
      <c r="D17" s="1819">
        <v>28</v>
      </c>
      <c r="E17" s="1819">
        <v>0</v>
      </c>
      <c r="F17" s="1819">
        <v>0</v>
      </c>
    </row>
    <row r="18" spans="1:6">
      <c r="A18" s="53" t="s">
        <v>18</v>
      </c>
      <c r="B18" s="1819">
        <f t="shared" si="0"/>
        <v>40</v>
      </c>
      <c r="C18" s="1819">
        <v>12</v>
      </c>
      <c r="D18" s="1819">
        <v>22</v>
      </c>
      <c r="E18" s="1819">
        <v>1</v>
      </c>
      <c r="F18" s="1819">
        <v>5</v>
      </c>
    </row>
    <row r="19" spans="1:6">
      <c r="A19" s="53" t="s">
        <v>19</v>
      </c>
      <c r="B19" s="1819">
        <f t="shared" si="0"/>
        <v>72</v>
      </c>
      <c r="C19" s="1819">
        <v>12</v>
      </c>
      <c r="D19" s="1819">
        <v>46</v>
      </c>
      <c r="E19" s="1819">
        <v>3</v>
      </c>
      <c r="F19" s="1819">
        <v>11</v>
      </c>
    </row>
    <row r="20" spans="1:6">
      <c r="A20" s="53" t="s">
        <v>20</v>
      </c>
      <c r="B20" s="1819">
        <f t="shared" si="0"/>
        <v>21</v>
      </c>
      <c r="C20" s="1819">
        <v>0</v>
      </c>
      <c r="D20" s="1819">
        <v>18</v>
      </c>
      <c r="E20" s="1819">
        <v>2</v>
      </c>
      <c r="F20" s="1819">
        <v>1</v>
      </c>
    </row>
    <row r="21" spans="1:6">
      <c r="A21" s="53" t="s">
        <v>21</v>
      </c>
      <c r="B21" s="1819">
        <f t="shared" si="0"/>
        <v>61</v>
      </c>
      <c r="C21" s="1819">
        <v>7</v>
      </c>
      <c r="D21" s="1819">
        <v>51</v>
      </c>
      <c r="E21" s="1819">
        <v>0</v>
      </c>
      <c r="F21" s="1819">
        <v>3</v>
      </c>
    </row>
    <row r="22" spans="1:6" ht="6" customHeight="1"/>
    <row r="23" spans="1:6">
      <c r="A23" s="2068" t="s">
        <v>22</v>
      </c>
      <c r="B23" s="2068"/>
      <c r="C23" s="2068"/>
      <c r="D23" s="2068"/>
      <c r="E23" s="2068"/>
      <c r="F23" s="2068"/>
    </row>
    <row r="24" spans="1:6">
      <c r="A24" s="53" t="s">
        <v>23</v>
      </c>
    </row>
  </sheetData>
  <mergeCells count="4">
    <mergeCell ref="A2:F2"/>
    <mergeCell ref="A4:A5"/>
    <mergeCell ref="B4:F4"/>
    <mergeCell ref="A23:F23"/>
  </mergeCells>
  <pageMargins left="0.7" right="0.7" top="0.75" bottom="0.75" header="0.3" footer="0.3"/>
</worksheet>
</file>

<file path=xl/worksheets/sheet250.xml><?xml version="1.0" encoding="utf-8"?>
<worksheet xmlns="http://schemas.openxmlformats.org/spreadsheetml/2006/main" xmlns:r="http://schemas.openxmlformats.org/officeDocument/2006/relationships">
  <dimension ref="A1:S60"/>
  <sheetViews>
    <sheetView topLeftCell="A31" zoomScaleNormal="100" zoomScaleSheetLayoutView="50" workbookViewId="0">
      <selection activeCell="B64" sqref="B64"/>
    </sheetView>
  </sheetViews>
  <sheetFormatPr baseColWidth="10" defaultRowHeight="11.25"/>
  <cols>
    <col min="1" max="1" width="17.85546875" style="85" customWidth="1"/>
    <col min="2" max="2" width="15.7109375" style="85" customWidth="1"/>
    <col min="3" max="3" width="7.28515625" style="85" customWidth="1"/>
    <col min="4" max="4" width="15.85546875" style="85" bestFit="1" customWidth="1"/>
    <col min="5" max="5" width="6.7109375" style="85" bestFit="1" customWidth="1"/>
    <col min="6" max="6" width="15.85546875" style="85" bestFit="1" customWidth="1"/>
    <col min="7" max="7" width="8.7109375" style="85" bestFit="1" customWidth="1"/>
    <col min="8" max="8" width="15.85546875" style="85" bestFit="1" customWidth="1"/>
    <col min="9" max="9" width="10.5703125" style="85" bestFit="1" customWidth="1"/>
    <col min="10" max="10" width="17.85546875" style="85" bestFit="1" customWidth="1"/>
    <col min="11" max="11" width="6.42578125" style="85" bestFit="1" customWidth="1"/>
    <col min="12" max="12" width="15.85546875" style="85" bestFit="1" customWidth="1"/>
    <col min="13" max="13" width="6.85546875" style="85" bestFit="1" customWidth="1"/>
    <col min="14" max="14" width="15.85546875" style="85" bestFit="1" customWidth="1"/>
    <col min="15" max="15" width="6.7109375" style="85" bestFit="1" customWidth="1"/>
    <col min="16" max="16" width="14.5703125" style="85" bestFit="1" customWidth="1"/>
    <col min="17" max="17" width="10.5703125" style="85" bestFit="1" customWidth="1"/>
    <col min="18" max="18" width="17.85546875" style="85" bestFit="1" customWidth="1"/>
    <col min="19" max="19" width="4.28515625" style="85" customWidth="1"/>
    <col min="20" max="216" width="11.42578125" style="85"/>
    <col min="217" max="217" width="21.5703125" style="85" customWidth="1"/>
    <col min="218" max="218" width="17.28515625" style="85" customWidth="1"/>
    <col min="219" max="219" width="11.42578125" style="85" customWidth="1"/>
    <col min="220" max="220" width="14.140625" style="85" customWidth="1"/>
    <col min="221" max="221" width="13" style="85" bestFit="1" customWidth="1"/>
    <col min="222" max="222" width="14.140625" style="85" customWidth="1"/>
    <col min="223" max="223" width="11.42578125" style="85" customWidth="1"/>
    <col min="224" max="224" width="15.28515625" style="85" customWidth="1"/>
    <col min="225" max="225" width="13" style="85" bestFit="1" customWidth="1"/>
    <col min="226" max="226" width="15.85546875" style="85" customWidth="1"/>
    <col min="227" max="227" width="11.42578125" style="85" customWidth="1"/>
    <col min="228" max="228" width="14.140625" style="85" customWidth="1"/>
    <col min="229" max="229" width="13" style="85" bestFit="1" customWidth="1"/>
    <col min="230" max="230" width="15.28515625" style="85" customWidth="1"/>
    <col min="231" max="231" width="11.42578125" style="85"/>
    <col min="232" max="232" width="14.140625" style="85" bestFit="1" customWidth="1"/>
    <col min="233" max="233" width="13" style="85" bestFit="1" customWidth="1"/>
    <col min="234" max="234" width="15.28515625" style="85" bestFit="1" customWidth="1"/>
    <col min="235" max="236" width="11.42578125" style="85"/>
    <col min="237" max="237" width="13" style="85" bestFit="1" customWidth="1"/>
    <col min="238" max="472" width="11.42578125" style="85"/>
    <col min="473" max="473" width="21.5703125" style="85" customWidth="1"/>
    <col min="474" max="474" width="17.28515625" style="85" customWidth="1"/>
    <col min="475" max="475" width="11.42578125" style="85" customWidth="1"/>
    <col min="476" max="476" width="14.140625" style="85" customWidth="1"/>
    <col min="477" max="477" width="13" style="85" bestFit="1" customWidth="1"/>
    <col min="478" max="478" width="14.140625" style="85" customWidth="1"/>
    <col min="479" max="479" width="11.42578125" style="85" customWidth="1"/>
    <col min="480" max="480" width="15.28515625" style="85" customWidth="1"/>
    <col min="481" max="481" width="13" style="85" bestFit="1" customWidth="1"/>
    <col min="482" max="482" width="15.85546875" style="85" customWidth="1"/>
    <col min="483" max="483" width="11.42578125" style="85" customWidth="1"/>
    <col min="484" max="484" width="14.140625" style="85" customWidth="1"/>
    <col min="485" max="485" width="13" style="85" bestFit="1" customWidth="1"/>
    <col min="486" max="486" width="15.28515625" style="85" customWidth="1"/>
    <col min="487" max="487" width="11.42578125" style="85"/>
    <col min="488" max="488" width="14.140625" style="85" bestFit="1" customWidth="1"/>
    <col min="489" max="489" width="13" style="85" bestFit="1" customWidth="1"/>
    <col min="490" max="490" width="15.28515625" style="85" bestFit="1" customWidth="1"/>
    <col min="491" max="492" width="11.42578125" style="85"/>
    <col min="493" max="493" width="13" style="85" bestFit="1" customWidth="1"/>
    <col min="494" max="728" width="11.42578125" style="85"/>
    <col min="729" max="729" width="21.5703125" style="85" customWidth="1"/>
    <col min="730" max="730" width="17.28515625" style="85" customWidth="1"/>
    <col min="731" max="731" width="11.42578125" style="85" customWidth="1"/>
    <col min="732" max="732" width="14.140625" style="85" customWidth="1"/>
    <col min="733" max="733" width="13" style="85" bestFit="1" customWidth="1"/>
    <col min="734" max="734" width="14.140625" style="85" customWidth="1"/>
    <col min="735" max="735" width="11.42578125" style="85" customWidth="1"/>
    <col min="736" max="736" width="15.28515625" style="85" customWidth="1"/>
    <col min="737" max="737" width="13" style="85" bestFit="1" customWidth="1"/>
    <col min="738" max="738" width="15.85546875" style="85" customWidth="1"/>
    <col min="739" max="739" width="11.42578125" style="85" customWidth="1"/>
    <col min="740" max="740" width="14.140625" style="85" customWidth="1"/>
    <col min="741" max="741" width="13" style="85" bestFit="1" customWidth="1"/>
    <col min="742" max="742" width="15.28515625" style="85" customWidth="1"/>
    <col min="743" max="743" width="11.42578125" style="85"/>
    <col min="744" max="744" width="14.140625" style="85" bestFit="1" customWidth="1"/>
    <col min="745" max="745" width="13" style="85" bestFit="1" customWidth="1"/>
    <col min="746" max="746" width="15.28515625" style="85" bestFit="1" customWidth="1"/>
    <col min="747" max="748" width="11.42578125" style="85"/>
    <col min="749" max="749" width="13" style="85" bestFit="1" customWidth="1"/>
    <col min="750" max="984" width="11.42578125" style="85"/>
    <col min="985" max="985" width="21.5703125" style="85" customWidth="1"/>
    <col min="986" max="986" width="17.28515625" style="85" customWidth="1"/>
    <col min="987" max="987" width="11.42578125" style="85" customWidth="1"/>
    <col min="988" max="988" width="14.140625" style="85" customWidth="1"/>
    <col min="989" max="989" width="13" style="85" bestFit="1" customWidth="1"/>
    <col min="990" max="990" width="14.140625" style="85" customWidth="1"/>
    <col min="991" max="991" width="11.42578125" style="85" customWidth="1"/>
    <col min="992" max="992" width="15.28515625" style="85" customWidth="1"/>
    <col min="993" max="993" width="13" style="85" bestFit="1" customWidth="1"/>
    <col min="994" max="994" width="15.85546875" style="85" customWidth="1"/>
    <col min="995" max="995" width="11.42578125" style="85" customWidth="1"/>
    <col min="996" max="996" width="14.140625" style="85" customWidth="1"/>
    <col min="997" max="997" width="13" style="85" bestFit="1" customWidth="1"/>
    <col min="998" max="998" width="15.28515625" style="85" customWidth="1"/>
    <col min="999" max="999" width="11.42578125" style="85"/>
    <col min="1000" max="1000" width="14.140625" style="85" bestFit="1" customWidth="1"/>
    <col min="1001" max="1001" width="13" style="85" bestFit="1" customWidth="1"/>
    <col min="1002" max="1002" width="15.28515625" style="85" bestFit="1" customWidth="1"/>
    <col min="1003" max="1004" width="11.42578125" style="85"/>
    <col min="1005" max="1005" width="13" style="85" bestFit="1" customWidth="1"/>
    <col min="1006" max="1240" width="11.42578125" style="85"/>
    <col min="1241" max="1241" width="21.5703125" style="85" customWidth="1"/>
    <col min="1242" max="1242" width="17.28515625" style="85" customWidth="1"/>
    <col min="1243" max="1243" width="11.42578125" style="85" customWidth="1"/>
    <col min="1244" max="1244" width="14.140625" style="85" customWidth="1"/>
    <col min="1245" max="1245" width="13" style="85" bestFit="1" customWidth="1"/>
    <col min="1246" max="1246" width="14.140625" style="85" customWidth="1"/>
    <col min="1247" max="1247" width="11.42578125" style="85" customWidth="1"/>
    <col min="1248" max="1248" width="15.28515625" style="85" customWidth="1"/>
    <col min="1249" max="1249" width="13" style="85" bestFit="1" customWidth="1"/>
    <col min="1250" max="1250" width="15.85546875" style="85" customWidth="1"/>
    <col min="1251" max="1251" width="11.42578125" style="85" customWidth="1"/>
    <col min="1252" max="1252" width="14.140625" style="85" customWidth="1"/>
    <col min="1253" max="1253" width="13" style="85" bestFit="1" customWidth="1"/>
    <col min="1254" max="1254" width="15.28515625" style="85" customWidth="1"/>
    <col min="1255" max="1255" width="11.42578125" style="85"/>
    <col min="1256" max="1256" width="14.140625" style="85" bestFit="1" customWidth="1"/>
    <col min="1257" max="1257" width="13" style="85" bestFit="1" customWidth="1"/>
    <col min="1258" max="1258" width="15.28515625" style="85" bestFit="1" customWidth="1"/>
    <col min="1259" max="1260" width="11.42578125" style="85"/>
    <col min="1261" max="1261" width="13" style="85" bestFit="1" customWidth="1"/>
    <col min="1262" max="1496" width="11.42578125" style="85"/>
    <col min="1497" max="1497" width="21.5703125" style="85" customWidth="1"/>
    <col min="1498" max="1498" width="17.28515625" style="85" customWidth="1"/>
    <col min="1499" max="1499" width="11.42578125" style="85" customWidth="1"/>
    <col min="1500" max="1500" width="14.140625" style="85" customWidth="1"/>
    <col min="1501" max="1501" width="13" style="85" bestFit="1" customWidth="1"/>
    <col min="1502" max="1502" width="14.140625" style="85" customWidth="1"/>
    <col min="1503" max="1503" width="11.42578125" style="85" customWidth="1"/>
    <col min="1504" max="1504" width="15.28515625" style="85" customWidth="1"/>
    <col min="1505" max="1505" width="13" style="85" bestFit="1" customWidth="1"/>
    <col min="1506" max="1506" width="15.85546875" style="85" customWidth="1"/>
    <col min="1507" max="1507" width="11.42578125" style="85" customWidth="1"/>
    <col min="1508" max="1508" width="14.140625" style="85" customWidth="1"/>
    <col min="1509" max="1509" width="13" style="85" bestFit="1" customWidth="1"/>
    <col min="1510" max="1510" width="15.28515625" style="85" customWidth="1"/>
    <col min="1511" max="1511" width="11.42578125" style="85"/>
    <col min="1512" max="1512" width="14.140625" style="85" bestFit="1" customWidth="1"/>
    <col min="1513" max="1513" width="13" style="85" bestFit="1" customWidth="1"/>
    <col min="1514" max="1514" width="15.28515625" style="85" bestFit="1" customWidth="1"/>
    <col min="1515" max="1516" width="11.42578125" style="85"/>
    <col min="1517" max="1517" width="13" style="85" bestFit="1" customWidth="1"/>
    <col min="1518" max="1752" width="11.42578125" style="85"/>
    <col min="1753" max="1753" width="21.5703125" style="85" customWidth="1"/>
    <col min="1754" max="1754" width="17.28515625" style="85" customWidth="1"/>
    <col min="1755" max="1755" width="11.42578125" style="85" customWidth="1"/>
    <col min="1756" max="1756" width="14.140625" style="85" customWidth="1"/>
    <col min="1757" max="1757" width="13" style="85" bestFit="1" customWidth="1"/>
    <col min="1758" max="1758" width="14.140625" style="85" customWidth="1"/>
    <col min="1759" max="1759" width="11.42578125" style="85" customWidth="1"/>
    <col min="1760" max="1760" width="15.28515625" style="85" customWidth="1"/>
    <col min="1761" max="1761" width="13" style="85" bestFit="1" customWidth="1"/>
    <col min="1762" max="1762" width="15.85546875" style="85" customWidth="1"/>
    <col min="1763" max="1763" width="11.42578125" style="85" customWidth="1"/>
    <col min="1764" max="1764" width="14.140625" style="85" customWidth="1"/>
    <col min="1765" max="1765" width="13" style="85" bestFit="1" customWidth="1"/>
    <col min="1766" max="1766" width="15.28515625" style="85" customWidth="1"/>
    <col min="1767" max="1767" width="11.42578125" style="85"/>
    <col min="1768" max="1768" width="14.140625" style="85" bestFit="1" customWidth="1"/>
    <col min="1769" max="1769" width="13" style="85" bestFit="1" customWidth="1"/>
    <col min="1770" max="1770" width="15.28515625" style="85" bestFit="1" customWidth="1"/>
    <col min="1771" max="1772" width="11.42578125" style="85"/>
    <col min="1773" max="1773" width="13" style="85" bestFit="1" customWidth="1"/>
    <col min="1774" max="2008" width="11.42578125" style="85"/>
    <col min="2009" max="2009" width="21.5703125" style="85" customWidth="1"/>
    <col min="2010" max="2010" width="17.28515625" style="85" customWidth="1"/>
    <col min="2011" max="2011" width="11.42578125" style="85" customWidth="1"/>
    <col min="2012" max="2012" width="14.140625" style="85" customWidth="1"/>
    <col min="2013" max="2013" width="13" style="85" bestFit="1" customWidth="1"/>
    <col min="2014" max="2014" width="14.140625" style="85" customWidth="1"/>
    <col min="2015" max="2015" width="11.42578125" style="85" customWidth="1"/>
    <col min="2016" max="2016" width="15.28515625" style="85" customWidth="1"/>
    <col min="2017" max="2017" width="13" style="85" bestFit="1" customWidth="1"/>
    <col min="2018" max="2018" width="15.85546875" style="85" customWidth="1"/>
    <col min="2019" max="2019" width="11.42578125" style="85" customWidth="1"/>
    <col min="2020" max="2020" width="14.140625" style="85" customWidth="1"/>
    <col min="2021" max="2021" width="13" style="85" bestFit="1" customWidth="1"/>
    <col min="2022" max="2022" width="15.28515625" style="85" customWidth="1"/>
    <col min="2023" max="2023" width="11.42578125" style="85"/>
    <col min="2024" max="2024" width="14.140625" style="85" bestFit="1" customWidth="1"/>
    <col min="2025" max="2025" width="13" style="85" bestFit="1" customWidth="1"/>
    <col min="2026" max="2026" width="15.28515625" style="85" bestFit="1" customWidth="1"/>
    <col min="2027" max="2028" width="11.42578125" style="85"/>
    <col min="2029" max="2029" width="13" style="85" bestFit="1" customWidth="1"/>
    <col min="2030" max="2264" width="11.42578125" style="85"/>
    <col min="2265" max="2265" width="21.5703125" style="85" customWidth="1"/>
    <col min="2266" max="2266" width="17.28515625" style="85" customWidth="1"/>
    <col min="2267" max="2267" width="11.42578125" style="85" customWidth="1"/>
    <col min="2268" max="2268" width="14.140625" style="85" customWidth="1"/>
    <col min="2269" max="2269" width="13" style="85" bestFit="1" customWidth="1"/>
    <col min="2270" max="2270" width="14.140625" style="85" customWidth="1"/>
    <col min="2271" max="2271" width="11.42578125" style="85" customWidth="1"/>
    <col min="2272" max="2272" width="15.28515625" style="85" customWidth="1"/>
    <col min="2273" max="2273" width="13" style="85" bestFit="1" customWidth="1"/>
    <col min="2274" max="2274" width="15.85546875" style="85" customWidth="1"/>
    <col min="2275" max="2275" width="11.42578125" style="85" customWidth="1"/>
    <col min="2276" max="2276" width="14.140625" style="85" customWidth="1"/>
    <col min="2277" max="2277" width="13" style="85" bestFit="1" customWidth="1"/>
    <col min="2278" max="2278" width="15.28515625" style="85" customWidth="1"/>
    <col min="2279" max="2279" width="11.42578125" style="85"/>
    <col min="2280" max="2280" width="14.140625" style="85" bestFit="1" customWidth="1"/>
    <col min="2281" max="2281" width="13" style="85" bestFit="1" customWidth="1"/>
    <col min="2282" max="2282" width="15.28515625" style="85" bestFit="1" customWidth="1"/>
    <col min="2283" max="2284" width="11.42578125" style="85"/>
    <col min="2285" max="2285" width="13" style="85" bestFit="1" customWidth="1"/>
    <col min="2286" max="2520" width="11.42578125" style="85"/>
    <col min="2521" max="2521" width="21.5703125" style="85" customWidth="1"/>
    <col min="2522" max="2522" width="17.28515625" style="85" customWidth="1"/>
    <col min="2523" max="2523" width="11.42578125" style="85" customWidth="1"/>
    <col min="2524" max="2524" width="14.140625" style="85" customWidth="1"/>
    <col min="2525" max="2525" width="13" style="85" bestFit="1" customWidth="1"/>
    <col min="2526" max="2526" width="14.140625" style="85" customWidth="1"/>
    <col min="2527" max="2527" width="11.42578125" style="85" customWidth="1"/>
    <col min="2528" max="2528" width="15.28515625" style="85" customWidth="1"/>
    <col min="2529" max="2529" width="13" style="85" bestFit="1" customWidth="1"/>
    <col min="2530" max="2530" width="15.85546875" style="85" customWidth="1"/>
    <col min="2531" max="2531" width="11.42578125" style="85" customWidth="1"/>
    <col min="2532" max="2532" width="14.140625" style="85" customWidth="1"/>
    <col min="2533" max="2533" width="13" style="85" bestFit="1" customWidth="1"/>
    <col min="2534" max="2534" width="15.28515625" style="85" customWidth="1"/>
    <col min="2535" max="2535" width="11.42578125" style="85"/>
    <col min="2536" max="2536" width="14.140625" style="85" bestFit="1" customWidth="1"/>
    <col min="2537" max="2537" width="13" style="85" bestFit="1" customWidth="1"/>
    <col min="2538" max="2538" width="15.28515625" style="85" bestFit="1" customWidth="1"/>
    <col min="2539" max="2540" width="11.42578125" style="85"/>
    <col min="2541" max="2541" width="13" style="85" bestFit="1" customWidth="1"/>
    <col min="2542" max="2776" width="11.42578125" style="85"/>
    <col min="2777" max="2777" width="21.5703125" style="85" customWidth="1"/>
    <col min="2778" max="2778" width="17.28515625" style="85" customWidth="1"/>
    <col min="2779" max="2779" width="11.42578125" style="85" customWidth="1"/>
    <col min="2780" max="2780" width="14.140625" style="85" customWidth="1"/>
    <col min="2781" max="2781" width="13" style="85" bestFit="1" customWidth="1"/>
    <col min="2782" max="2782" width="14.140625" style="85" customWidth="1"/>
    <col min="2783" max="2783" width="11.42578125" style="85" customWidth="1"/>
    <col min="2784" max="2784" width="15.28515625" style="85" customWidth="1"/>
    <col min="2785" max="2785" width="13" style="85" bestFit="1" customWidth="1"/>
    <col min="2786" max="2786" width="15.85546875" style="85" customWidth="1"/>
    <col min="2787" max="2787" width="11.42578125" style="85" customWidth="1"/>
    <col min="2788" max="2788" width="14.140625" style="85" customWidth="1"/>
    <col min="2789" max="2789" width="13" style="85" bestFit="1" customWidth="1"/>
    <col min="2790" max="2790" width="15.28515625" style="85" customWidth="1"/>
    <col min="2791" max="2791" width="11.42578125" style="85"/>
    <col min="2792" max="2792" width="14.140625" style="85" bestFit="1" customWidth="1"/>
    <col min="2793" max="2793" width="13" style="85" bestFit="1" customWidth="1"/>
    <col min="2794" max="2794" width="15.28515625" style="85" bestFit="1" customWidth="1"/>
    <col min="2795" max="2796" width="11.42578125" style="85"/>
    <col min="2797" max="2797" width="13" style="85" bestFit="1" customWidth="1"/>
    <col min="2798" max="3032" width="11.42578125" style="85"/>
    <col min="3033" max="3033" width="21.5703125" style="85" customWidth="1"/>
    <col min="3034" max="3034" width="17.28515625" style="85" customWidth="1"/>
    <col min="3035" max="3035" width="11.42578125" style="85" customWidth="1"/>
    <col min="3036" max="3036" width="14.140625" style="85" customWidth="1"/>
    <col min="3037" max="3037" width="13" style="85" bestFit="1" customWidth="1"/>
    <col min="3038" max="3038" width="14.140625" style="85" customWidth="1"/>
    <col min="3039" max="3039" width="11.42578125" style="85" customWidth="1"/>
    <col min="3040" max="3040" width="15.28515625" style="85" customWidth="1"/>
    <col min="3041" max="3041" width="13" style="85" bestFit="1" customWidth="1"/>
    <col min="3042" max="3042" width="15.85546875" style="85" customWidth="1"/>
    <col min="3043" max="3043" width="11.42578125" style="85" customWidth="1"/>
    <col min="3044" max="3044" width="14.140625" style="85" customWidth="1"/>
    <col min="3045" max="3045" width="13" style="85" bestFit="1" customWidth="1"/>
    <col min="3046" max="3046" width="15.28515625" style="85" customWidth="1"/>
    <col min="3047" max="3047" width="11.42578125" style="85"/>
    <col min="3048" max="3048" width="14.140625" style="85" bestFit="1" customWidth="1"/>
    <col min="3049" max="3049" width="13" style="85" bestFit="1" customWidth="1"/>
    <col min="3050" max="3050" width="15.28515625" style="85" bestFit="1" customWidth="1"/>
    <col min="3051" max="3052" width="11.42578125" style="85"/>
    <col min="3053" max="3053" width="13" style="85" bestFit="1" customWidth="1"/>
    <col min="3054" max="3288" width="11.42578125" style="85"/>
    <col min="3289" max="3289" width="21.5703125" style="85" customWidth="1"/>
    <col min="3290" max="3290" width="17.28515625" style="85" customWidth="1"/>
    <col min="3291" max="3291" width="11.42578125" style="85" customWidth="1"/>
    <col min="3292" max="3292" width="14.140625" style="85" customWidth="1"/>
    <col min="3293" max="3293" width="13" style="85" bestFit="1" customWidth="1"/>
    <col min="3294" max="3294" width="14.140625" style="85" customWidth="1"/>
    <col min="3295" max="3295" width="11.42578125" style="85" customWidth="1"/>
    <col min="3296" max="3296" width="15.28515625" style="85" customWidth="1"/>
    <col min="3297" max="3297" width="13" style="85" bestFit="1" customWidth="1"/>
    <col min="3298" max="3298" width="15.85546875" style="85" customWidth="1"/>
    <col min="3299" max="3299" width="11.42578125" style="85" customWidth="1"/>
    <col min="3300" max="3300" width="14.140625" style="85" customWidth="1"/>
    <col min="3301" max="3301" width="13" style="85" bestFit="1" customWidth="1"/>
    <col min="3302" max="3302" width="15.28515625" style="85" customWidth="1"/>
    <col min="3303" max="3303" width="11.42578125" style="85"/>
    <col min="3304" max="3304" width="14.140625" style="85" bestFit="1" customWidth="1"/>
    <col min="3305" max="3305" width="13" style="85" bestFit="1" customWidth="1"/>
    <col min="3306" max="3306" width="15.28515625" style="85" bestFit="1" customWidth="1"/>
    <col min="3307" max="3308" width="11.42578125" style="85"/>
    <col min="3309" max="3309" width="13" style="85" bestFit="1" customWidth="1"/>
    <col min="3310" max="3544" width="11.42578125" style="85"/>
    <col min="3545" max="3545" width="21.5703125" style="85" customWidth="1"/>
    <col min="3546" max="3546" width="17.28515625" style="85" customWidth="1"/>
    <col min="3547" max="3547" width="11.42578125" style="85" customWidth="1"/>
    <col min="3548" max="3548" width="14.140625" style="85" customWidth="1"/>
    <col min="3549" max="3549" width="13" style="85" bestFit="1" customWidth="1"/>
    <col min="3550" max="3550" width="14.140625" style="85" customWidth="1"/>
    <col min="3551" max="3551" width="11.42578125" style="85" customWidth="1"/>
    <col min="3552" max="3552" width="15.28515625" style="85" customWidth="1"/>
    <col min="3553" max="3553" width="13" style="85" bestFit="1" customWidth="1"/>
    <col min="3554" max="3554" width="15.85546875" style="85" customWidth="1"/>
    <col min="3555" max="3555" width="11.42578125" style="85" customWidth="1"/>
    <col min="3556" max="3556" width="14.140625" style="85" customWidth="1"/>
    <col min="3557" max="3557" width="13" style="85" bestFit="1" customWidth="1"/>
    <col min="3558" max="3558" width="15.28515625" style="85" customWidth="1"/>
    <col min="3559" max="3559" width="11.42578125" style="85"/>
    <col min="3560" max="3560" width="14.140625" style="85" bestFit="1" customWidth="1"/>
    <col min="3561" max="3561" width="13" style="85" bestFit="1" customWidth="1"/>
    <col min="3562" max="3562" width="15.28515625" style="85" bestFit="1" customWidth="1"/>
    <col min="3563" max="3564" width="11.42578125" style="85"/>
    <col min="3565" max="3565" width="13" style="85" bestFit="1" customWidth="1"/>
    <col min="3566" max="3800" width="11.42578125" style="85"/>
    <col min="3801" max="3801" width="21.5703125" style="85" customWidth="1"/>
    <col min="3802" max="3802" width="17.28515625" style="85" customWidth="1"/>
    <col min="3803" max="3803" width="11.42578125" style="85" customWidth="1"/>
    <col min="3804" max="3804" width="14.140625" style="85" customWidth="1"/>
    <col min="3805" max="3805" width="13" style="85" bestFit="1" customWidth="1"/>
    <col min="3806" max="3806" width="14.140625" style="85" customWidth="1"/>
    <col min="3807" max="3807" width="11.42578125" style="85" customWidth="1"/>
    <col min="3808" max="3808" width="15.28515625" style="85" customWidth="1"/>
    <col min="3809" max="3809" width="13" style="85" bestFit="1" customWidth="1"/>
    <col min="3810" max="3810" width="15.85546875" style="85" customWidth="1"/>
    <col min="3811" max="3811" width="11.42578125" style="85" customWidth="1"/>
    <col min="3812" max="3812" width="14.140625" style="85" customWidth="1"/>
    <col min="3813" max="3813" width="13" style="85" bestFit="1" customWidth="1"/>
    <col min="3814" max="3814" width="15.28515625" style="85" customWidth="1"/>
    <col min="3815" max="3815" width="11.42578125" style="85"/>
    <col min="3816" max="3816" width="14.140625" style="85" bestFit="1" customWidth="1"/>
    <col min="3817" max="3817" width="13" style="85" bestFit="1" customWidth="1"/>
    <col min="3818" max="3818" width="15.28515625" style="85" bestFit="1" customWidth="1"/>
    <col min="3819" max="3820" width="11.42578125" style="85"/>
    <col min="3821" max="3821" width="13" style="85" bestFit="1" customWidth="1"/>
    <col min="3822" max="4056" width="11.42578125" style="85"/>
    <col min="4057" max="4057" width="21.5703125" style="85" customWidth="1"/>
    <col min="4058" max="4058" width="17.28515625" style="85" customWidth="1"/>
    <col min="4059" max="4059" width="11.42578125" style="85" customWidth="1"/>
    <col min="4060" max="4060" width="14.140625" style="85" customWidth="1"/>
    <col min="4061" max="4061" width="13" style="85" bestFit="1" customWidth="1"/>
    <col min="4062" max="4062" width="14.140625" style="85" customWidth="1"/>
    <col min="4063" max="4063" width="11.42578125" style="85" customWidth="1"/>
    <col min="4064" max="4064" width="15.28515625" style="85" customWidth="1"/>
    <col min="4065" max="4065" width="13" style="85" bestFit="1" customWidth="1"/>
    <col min="4066" max="4066" width="15.85546875" style="85" customWidth="1"/>
    <col min="4067" max="4067" width="11.42578125" style="85" customWidth="1"/>
    <col min="4068" max="4068" width="14.140625" style="85" customWidth="1"/>
    <col min="4069" max="4069" width="13" style="85" bestFit="1" customWidth="1"/>
    <col min="4070" max="4070" width="15.28515625" style="85" customWidth="1"/>
    <col min="4071" max="4071" width="11.42578125" style="85"/>
    <col min="4072" max="4072" width="14.140625" style="85" bestFit="1" customWidth="1"/>
    <col min="4073" max="4073" width="13" style="85" bestFit="1" customWidth="1"/>
    <col min="4074" max="4074" width="15.28515625" style="85" bestFit="1" customWidth="1"/>
    <col min="4075" max="4076" width="11.42578125" style="85"/>
    <col min="4077" max="4077" width="13" style="85" bestFit="1" customWidth="1"/>
    <col min="4078" max="4312" width="11.42578125" style="85"/>
    <col min="4313" max="4313" width="21.5703125" style="85" customWidth="1"/>
    <col min="4314" max="4314" width="17.28515625" style="85" customWidth="1"/>
    <col min="4315" max="4315" width="11.42578125" style="85" customWidth="1"/>
    <col min="4316" max="4316" width="14.140625" style="85" customWidth="1"/>
    <col min="4317" max="4317" width="13" style="85" bestFit="1" customWidth="1"/>
    <col min="4318" max="4318" width="14.140625" style="85" customWidth="1"/>
    <col min="4319" max="4319" width="11.42578125" style="85" customWidth="1"/>
    <col min="4320" max="4320" width="15.28515625" style="85" customWidth="1"/>
    <col min="4321" max="4321" width="13" style="85" bestFit="1" customWidth="1"/>
    <col min="4322" max="4322" width="15.85546875" style="85" customWidth="1"/>
    <col min="4323" max="4323" width="11.42578125" style="85" customWidth="1"/>
    <col min="4324" max="4324" width="14.140625" style="85" customWidth="1"/>
    <col min="4325" max="4325" width="13" style="85" bestFit="1" customWidth="1"/>
    <col min="4326" max="4326" width="15.28515625" style="85" customWidth="1"/>
    <col min="4327" max="4327" width="11.42578125" style="85"/>
    <col min="4328" max="4328" width="14.140625" style="85" bestFit="1" customWidth="1"/>
    <col min="4329" max="4329" width="13" style="85" bestFit="1" customWidth="1"/>
    <col min="4330" max="4330" width="15.28515625" style="85" bestFit="1" customWidth="1"/>
    <col min="4331" max="4332" width="11.42578125" style="85"/>
    <col min="4333" max="4333" width="13" style="85" bestFit="1" customWidth="1"/>
    <col min="4334" max="4568" width="11.42578125" style="85"/>
    <col min="4569" max="4569" width="21.5703125" style="85" customWidth="1"/>
    <col min="4570" max="4570" width="17.28515625" style="85" customWidth="1"/>
    <col min="4571" max="4571" width="11.42578125" style="85" customWidth="1"/>
    <col min="4572" max="4572" width="14.140625" style="85" customWidth="1"/>
    <col min="4573" max="4573" width="13" style="85" bestFit="1" customWidth="1"/>
    <col min="4574" max="4574" width="14.140625" style="85" customWidth="1"/>
    <col min="4575" max="4575" width="11.42578125" style="85" customWidth="1"/>
    <col min="4576" max="4576" width="15.28515625" style="85" customWidth="1"/>
    <col min="4577" max="4577" width="13" style="85" bestFit="1" customWidth="1"/>
    <col min="4578" max="4578" width="15.85546875" style="85" customWidth="1"/>
    <col min="4579" max="4579" width="11.42578125" style="85" customWidth="1"/>
    <col min="4580" max="4580" width="14.140625" style="85" customWidth="1"/>
    <col min="4581" max="4581" width="13" style="85" bestFit="1" customWidth="1"/>
    <col min="4582" max="4582" width="15.28515625" style="85" customWidth="1"/>
    <col min="4583" max="4583" width="11.42578125" style="85"/>
    <col min="4584" max="4584" width="14.140625" style="85" bestFit="1" customWidth="1"/>
    <col min="4585" max="4585" width="13" style="85" bestFit="1" customWidth="1"/>
    <col min="4586" max="4586" width="15.28515625" style="85" bestFit="1" customWidth="1"/>
    <col min="4587" max="4588" width="11.42578125" style="85"/>
    <col min="4589" max="4589" width="13" style="85" bestFit="1" customWidth="1"/>
    <col min="4590" max="4824" width="11.42578125" style="85"/>
    <col min="4825" max="4825" width="21.5703125" style="85" customWidth="1"/>
    <col min="4826" max="4826" width="17.28515625" style="85" customWidth="1"/>
    <col min="4827" max="4827" width="11.42578125" style="85" customWidth="1"/>
    <col min="4828" max="4828" width="14.140625" style="85" customWidth="1"/>
    <col min="4829" max="4829" width="13" style="85" bestFit="1" customWidth="1"/>
    <col min="4830" max="4830" width="14.140625" style="85" customWidth="1"/>
    <col min="4831" max="4831" width="11.42578125" style="85" customWidth="1"/>
    <col min="4832" max="4832" width="15.28515625" style="85" customWidth="1"/>
    <col min="4833" max="4833" width="13" style="85" bestFit="1" customWidth="1"/>
    <col min="4834" max="4834" width="15.85546875" style="85" customWidth="1"/>
    <col min="4835" max="4835" width="11.42578125" style="85" customWidth="1"/>
    <col min="4836" max="4836" width="14.140625" style="85" customWidth="1"/>
    <col min="4837" max="4837" width="13" style="85" bestFit="1" customWidth="1"/>
    <col min="4838" max="4838" width="15.28515625" style="85" customWidth="1"/>
    <col min="4839" max="4839" width="11.42578125" style="85"/>
    <col min="4840" max="4840" width="14.140625" style="85" bestFit="1" customWidth="1"/>
    <col min="4841" max="4841" width="13" style="85" bestFit="1" customWidth="1"/>
    <col min="4842" max="4842" width="15.28515625" style="85" bestFit="1" customWidth="1"/>
    <col min="4843" max="4844" width="11.42578125" style="85"/>
    <col min="4845" max="4845" width="13" style="85" bestFit="1" customWidth="1"/>
    <col min="4846" max="5080" width="11.42578125" style="85"/>
    <col min="5081" max="5081" width="21.5703125" style="85" customWidth="1"/>
    <col min="5082" max="5082" width="17.28515625" style="85" customWidth="1"/>
    <col min="5083" max="5083" width="11.42578125" style="85" customWidth="1"/>
    <col min="5084" max="5084" width="14.140625" style="85" customWidth="1"/>
    <col min="5085" max="5085" width="13" style="85" bestFit="1" customWidth="1"/>
    <col min="5086" max="5086" width="14.140625" style="85" customWidth="1"/>
    <col min="5087" max="5087" width="11.42578125" style="85" customWidth="1"/>
    <col min="5088" max="5088" width="15.28515625" style="85" customWidth="1"/>
    <col min="5089" max="5089" width="13" style="85" bestFit="1" customWidth="1"/>
    <col min="5090" max="5090" width="15.85546875" style="85" customWidth="1"/>
    <col min="5091" max="5091" width="11.42578125" style="85" customWidth="1"/>
    <col min="5092" max="5092" width="14.140625" style="85" customWidth="1"/>
    <col min="5093" max="5093" width="13" style="85" bestFit="1" customWidth="1"/>
    <col min="5094" max="5094" width="15.28515625" style="85" customWidth="1"/>
    <col min="5095" max="5095" width="11.42578125" style="85"/>
    <col min="5096" max="5096" width="14.140625" style="85" bestFit="1" customWidth="1"/>
    <col min="5097" max="5097" width="13" style="85" bestFit="1" customWidth="1"/>
    <col min="5098" max="5098" width="15.28515625" style="85" bestFit="1" customWidth="1"/>
    <col min="5099" max="5100" width="11.42578125" style="85"/>
    <col min="5101" max="5101" width="13" style="85" bestFit="1" customWidth="1"/>
    <col min="5102" max="5336" width="11.42578125" style="85"/>
    <col min="5337" max="5337" width="21.5703125" style="85" customWidth="1"/>
    <col min="5338" max="5338" width="17.28515625" style="85" customWidth="1"/>
    <col min="5339" max="5339" width="11.42578125" style="85" customWidth="1"/>
    <col min="5340" max="5340" width="14.140625" style="85" customWidth="1"/>
    <col min="5341" max="5341" width="13" style="85" bestFit="1" customWidth="1"/>
    <col min="5342" max="5342" width="14.140625" style="85" customWidth="1"/>
    <col min="5343" max="5343" width="11.42578125" style="85" customWidth="1"/>
    <col min="5344" max="5344" width="15.28515625" style="85" customWidth="1"/>
    <col min="5345" max="5345" width="13" style="85" bestFit="1" customWidth="1"/>
    <col min="5346" max="5346" width="15.85546875" style="85" customWidth="1"/>
    <col min="5347" max="5347" width="11.42578125" style="85" customWidth="1"/>
    <col min="5348" max="5348" width="14.140625" style="85" customWidth="1"/>
    <col min="5349" max="5349" width="13" style="85" bestFit="1" customWidth="1"/>
    <col min="5350" max="5350" width="15.28515625" style="85" customWidth="1"/>
    <col min="5351" max="5351" width="11.42578125" style="85"/>
    <col min="5352" max="5352" width="14.140625" style="85" bestFit="1" customWidth="1"/>
    <col min="5353" max="5353" width="13" style="85" bestFit="1" customWidth="1"/>
    <col min="5354" max="5354" width="15.28515625" style="85" bestFit="1" customWidth="1"/>
    <col min="5355" max="5356" width="11.42578125" style="85"/>
    <col min="5357" max="5357" width="13" style="85" bestFit="1" customWidth="1"/>
    <col min="5358" max="5592" width="11.42578125" style="85"/>
    <col min="5593" max="5593" width="21.5703125" style="85" customWidth="1"/>
    <col min="5594" max="5594" width="17.28515625" style="85" customWidth="1"/>
    <col min="5595" max="5595" width="11.42578125" style="85" customWidth="1"/>
    <col min="5596" max="5596" width="14.140625" style="85" customWidth="1"/>
    <col min="5597" max="5597" width="13" style="85" bestFit="1" customWidth="1"/>
    <col min="5598" max="5598" width="14.140625" style="85" customWidth="1"/>
    <col min="5599" max="5599" width="11.42578125" style="85" customWidth="1"/>
    <col min="5600" max="5600" width="15.28515625" style="85" customWidth="1"/>
    <col min="5601" max="5601" width="13" style="85" bestFit="1" customWidth="1"/>
    <col min="5602" max="5602" width="15.85546875" style="85" customWidth="1"/>
    <col min="5603" max="5603" width="11.42578125" style="85" customWidth="1"/>
    <col min="5604" max="5604" width="14.140625" style="85" customWidth="1"/>
    <col min="5605" max="5605" width="13" style="85" bestFit="1" customWidth="1"/>
    <col min="5606" max="5606" width="15.28515625" style="85" customWidth="1"/>
    <col min="5607" max="5607" width="11.42578125" style="85"/>
    <col min="5608" max="5608" width="14.140625" style="85" bestFit="1" customWidth="1"/>
    <col min="5609" max="5609" width="13" style="85" bestFit="1" customWidth="1"/>
    <col min="5610" max="5610" width="15.28515625" style="85" bestFit="1" customWidth="1"/>
    <col min="5611" max="5612" width="11.42578125" style="85"/>
    <col min="5613" max="5613" width="13" style="85" bestFit="1" customWidth="1"/>
    <col min="5614" max="5848" width="11.42578125" style="85"/>
    <col min="5849" max="5849" width="21.5703125" style="85" customWidth="1"/>
    <col min="5850" max="5850" width="17.28515625" style="85" customWidth="1"/>
    <col min="5851" max="5851" width="11.42578125" style="85" customWidth="1"/>
    <col min="5852" max="5852" width="14.140625" style="85" customWidth="1"/>
    <col min="5853" max="5853" width="13" style="85" bestFit="1" customWidth="1"/>
    <col min="5854" max="5854" width="14.140625" style="85" customWidth="1"/>
    <col min="5855" max="5855" width="11.42578125" style="85" customWidth="1"/>
    <col min="5856" max="5856" width="15.28515625" style="85" customWidth="1"/>
    <col min="5857" max="5857" width="13" style="85" bestFit="1" customWidth="1"/>
    <col min="5858" max="5858" width="15.85546875" style="85" customWidth="1"/>
    <col min="5859" max="5859" width="11.42578125" style="85" customWidth="1"/>
    <col min="5860" max="5860" width="14.140625" style="85" customWidth="1"/>
    <col min="5861" max="5861" width="13" style="85" bestFit="1" customWidth="1"/>
    <col min="5862" max="5862" width="15.28515625" style="85" customWidth="1"/>
    <col min="5863" max="5863" width="11.42578125" style="85"/>
    <col min="5864" max="5864" width="14.140625" style="85" bestFit="1" customWidth="1"/>
    <col min="5865" max="5865" width="13" style="85" bestFit="1" customWidth="1"/>
    <col min="5866" max="5866" width="15.28515625" style="85" bestFit="1" customWidth="1"/>
    <col min="5867" max="5868" width="11.42578125" style="85"/>
    <col min="5869" max="5869" width="13" style="85" bestFit="1" customWidth="1"/>
    <col min="5870" max="6104" width="11.42578125" style="85"/>
    <col min="6105" max="6105" width="21.5703125" style="85" customWidth="1"/>
    <col min="6106" max="6106" width="17.28515625" style="85" customWidth="1"/>
    <col min="6107" max="6107" width="11.42578125" style="85" customWidth="1"/>
    <col min="6108" max="6108" width="14.140625" style="85" customWidth="1"/>
    <col min="6109" max="6109" width="13" style="85" bestFit="1" customWidth="1"/>
    <col min="6110" max="6110" width="14.140625" style="85" customWidth="1"/>
    <col min="6111" max="6111" width="11.42578125" style="85" customWidth="1"/>
    <col min="6112" max="6112" width="15.28515625" style="85" customWidth="1"/>
    <col min="6113" max="6113" width="13" style="85" bestFit="1" customWidth="1"/>
    <col min="6114" max="6114" width="15.85546875" style="85" customWidth="1"/>
    <col min="6115" max="6115" width="11.42578125" style="85" customWidth="1"/>
    <col min="6116" max="6116" width="14.140625" style="85" customWidth="1"/>
    <col min="6117" max="6117" width="13" style="85" bestFit="1" customWidth="1"/>
    <col min="6118" max="6118" width="15.28515625" style="85" customWidth="1"/>
    <col min="6119" max="6119" width="11.42578125" style="85"/>
    <col min="6120" max="6120" width="14.140625" style="85" bestFit="1" customWidth="1"/>
    <col min="6121" max="6121" width="13" style="85" bestFit="1" customWidth="1"/>
    <col min="6122" max="6122" width="15.28515625" style="85" bestFit="1" customWidth="1"/>
    <col min="6123" max="6124" width="11.42578125" style="85"/>
    <col min="6125" max="6125" width="13" style="85" bestFit="1" customWidth="1"/>
    <col min="6126" max="6360" width="11.42578125" style="85"/>
    <col min="6361" max="6361" width="21.5703125" style="85" customWidth="1"/>
    <col min="6362" max="6362" width="17.28515625" style="85" customWidth="1"/>
    <col min="6363" max="6363" width="11.42578125" style="85" customWidth="1"/>
    <col min="6364" max="6364" width="14.140625" style="85" customWidth="1"/>
    <col min="6365" max="6365" width="13" style="85" bestFit="1" customWidth="1"/>
    <col min="6366" max="6366" width="14.140625" style="85" customWidth="1"/>
    <col min="6367" max="6367" width="11.42578125" style="85" customWidth="1"/>
    <col min="6368" max="6368" width="15.28515625" style="85" customWidth="1"/>
    <col min="6369" max="6369" width="13" style="85" bestFit="1" customWidth="1"/>
    <col min="6370" max="6370" width="15.85546875" style="85" customWidth="1"/>
    <col min="6371" max="6371" width="11.42578125" style="85" customWidth="1"/>
    <col min="6372" max="6372" width="14.140625" style="85" customWidth="1"/>
    <col min="6373" max="6373" width="13" style="85" bestFit="1" customWidth="1"/>
    <col min="6374" max="6374" width="15.28515625" style="85" customWidth="1"/>
    <col min="6375" max="6375" width="11.42578125" style="85"/>
    <col min="6376" max="6376" width="14.140625" style="85" bestFit="1" customWidth="1"/>
    <col min="6377" max="6377" width="13" style="85" bestFit="1" customWidth="1"/>
    <col min="6378" max="6378" width="15.28515625" style="85" bestFit="1" customWidth="1"/>
    <col min="6379" max="6380" width="11.42578125" style="85"/>
    <col min="6381" max="6381" width="13" style="85" bestFit="1" customWidth="1"/>
    <col min="6382" max="6616" width="11.42578125" style="85"/>
    <col min="6617" max="6617" width="21.5703125" style="85" customWidth="1"/>
    <col min="6618" max="6618" width="17.28515625" style="85" customWidth="1"/>
    <col min="6619" max="6619" width="11.42578125" style="85" customWidth="1"/>
    <col min="6620" max="6620" width="14.140625" style="85" customWidth="1"/>
    <col min="6621" max="6621" width="13" style="85" bestFit="1" customWidth="1"/>
    <col min="6622" max="6622" width="14.140625" style="85" customWidth="1"/>
    <col min="6623" max="6623" width="11.42578125" style="85" customWidth="1"/>
    <col min="6624" max="6624" width="15.28515625" style="85" customWidth="1"/>
    <col min="6625" max="6625" width="13" style="85" bestFit="1" customWidth="1"/>
    <col min="6626" max="6626" width="15.85546875" style="85" customWidth="1"/>
    <col min="6627" max="6627" width="11.42578125" style="85" customWidth="1"/>
    <col min="6628" max="6628" width="14.140625" style="85" customWidth="1"/>
    <col min="6629" max="6629" width="13" style="85" bestFit="1" customWidth="1"/>
    <col min="6630" max="6630" width="15.28515625" style="85" customWidth="1"/>
    <col min="6631" max="6631" width="11.42578125" style="85"/>
    <col min="6632" max="6632" width="14.140625" style="85" bestFit="1" customWidth="1"/>
    <col min="6633" max="6633" width="13" style="85" bestFit="1" customWidth="1"/>
    <col min="6634" max="6634" width="15.28515625" style="85" bestFit="1" customWidth="1"/>
    <col min="6635" max="6636" width="11.42578125" style="85"/>
    <col min="6637" max="6637" width="13" style="85" bestFit="1" customWidth="1"/>
    <col min="6638" max="6872" width="11.42578125" style="85"/>
    <col min="6873" max="6873" width="21.5703125" style="85" customWidth="1"/>
    <col min="6874" max="6874" width="17.28515625" style="85" customWidth="1"/>
    <col min="6875" max="6875" width="11.42578125" style="85" customWidth="1"/>
    <col min="6876" max="6876" width="14.140625" style="85" customWidth="1"/>
    <col min="6877" max="6877" width="13" style="85" bestFit="1" customWidth="1"/>
    <col min="6878" max="6878" width="14.140625" style="85" customWidth="1"/>
    <col min="6879" max="6879" width="11.42578125" style="85" customWidth="1"/>
    <col min="6880" max="6880" width="15.28515625" style="85" customWidth="1"/>
    <col min="6881" max="6881" width="13" style="85" bestFit="1" customWidth="1"/>
    <col min="6882" max="6882" width="15.85546875" style="85" customWidth="1"/>
    <col min="6883" max="6883" width="11.42578125" style="85" customWidth="1"/>
    <col min="6884" max="6884" width="14.140625" style="85" customWidth="1"/>
    <col min="6885" max="6885" width="13" style="85" bestFit="1" customWidth="1"/>
    <col min="6886" max="6886" width="15.28515625" style="85" customWidth="1"/>
    <col min="6887" max="6887" width="11.42578125" style="85"/>
    <col min="6888" max="6888" width="14.140625" style="85" bestFit="1" customWidth="1"/>
    <col min="6889" max="6889" width="13" style="85" bestFit="1" customWidth="1"/>
    <col min="6890" max="6890" width="15.28515625" style="85" bestFit="1" customWidth="1"/>
    <col min="6891" max="6892" width="11.42578125" style="85"/>
    <col min="6893" max="6893" width="13" style="85" bestFit="1" customWidth="1"/>
    <col min="6894" max="7128" width="11.42578125" style="85"/>
    <col min="7129" max="7129" width="21.5703125" style="85" customWidth="1"/>
    <col min="7130" max="7130" width="17.28515625" style="85" customWidth="1"/>
    <col min="7131" max="7131" width="11.42578125" style="85" customWidth="1"/>
    <col min="7132" max="7132" width="14.140625" style="85" customWidth="1"/>
    <col min="7133" max="7133" width="13" style="85" bestFit="1" customWidth="1"/>
    <col min="7134" max="7134" width="14.140625" style="85" customWidth="1"/>
    <col min="7135" max="7135" width="11.42578125" style="85" customWidth="1"/>
    <col min="7136" max="7136" width="15.28515625" style="85" customWidth="1"/>
    <col min="7137" max="7137" width="13" style="85" bestFit="1" customWidth="1"/>
    <col min="7138" max="7138" width="15.85546875" style="85" customWidth="1"/>
    <col min="7139" max="7139" width="11.42578125" style="85" customWidth="1"/>
    <col min="7140" max="7140" width="14.140625" style="85" customWidth="1"/>
    <col min="7141" max="7141" width="13" style="85" bestFit="1" customWidth="1"/>
    <col min="7142" max="7142" width="15.28515625" style="85" customWidth="1"/>
    <col min="7143" max="7143" width="11.42578125" style="85"/>
    <col min="7144" max="7144" width="14.140625" style="85" bestFit="1" customWidth="1"/>
    <col min="7145" max="7145" width="13" style="85" bestFit="1" customWidth="1"/>
    <col min="7146" max="7146" width="15.28515625" style="85" bestFit="1" customWidth="1"/>
    <col min="7147" max="7148" width="11.42578125" style="85"/>
    <col min="7149" max="7149" width="13" style="85" bestFit="1" customWidth="1"/>
    <col min="7150" max="7384" width="11.42578125" style="85"/>
    <col min="7385" max="7385" width="21.5703125" style="85" customWidth="1"/>
    <col min="7386" max="7386" width="17.28515625" style="85" customWidth="1"/>
    <col min="7387" max="7387" width="11.42578125" style="85" customWidth="1"/>
    <col min="7388" max="7388" width="14.140625" style="85" customWidth="1"/>
    <col min="7389" max="7389" width="13" style="85" bestFit="1" customWidth="1"/>
    <col min="7390" max="7390" width="14.140625" style="85" customWidth="1"/>
    <col min="7391" max="7391" width="11.42578125" style="85" customWidth="1"/>
    <col min="7392" max="7392" width="15.28515625" style="85" customWidth="1"/>
    <col min="7393" max="7393" width="13" style="85" bestFit="1" customWidth="1"/>
    <col min="7394" max="7394" width="15.85546875" style="85" customWidth="1"/>
    <col min="7395" max="7395" width="11.42578125" style="85" customWidth="1"/>
    <col min="7396" max="7396" width="14.140625" style="85" customWidth="1"/>
    <col min="7397" max="7397" width="13" style="85" bestFit="1" customWidth="1"/>
    <col min="7398" max="7398" width="15.28515625" style="85" customWidth="1"/>
    <col min="7399" max="7399" width="11.42578125" style="85"/>
    <col min="7400" max="7400" width="14.140625" style="85" bestFit="1" customWidth="1"/>
    <col min="7401" max="7401" width="13" style="85" bestFit="1" customWidth="1"/>
    <col min="7402" max="7402" width="15.28515625" style="85" bestFit="1" customWidth="1"/>
    <col min="7403" max="7404" width="11.42578125" style="85"/>
    <col min="7405" max="7405" width="13" style="85" bestFit="1" customWidth="1"/>
    <col min="7406" max="7640" width="11.42578125" style="85"/>
    <col min="7641" max="7641" width="21.5703125" style="85" customWidth="1"/>
    <col min="7642" max="7642" width="17.28515625" style="85" customWidth="1"/>
    <col min="7643" max="7643" width="11.42578125" style="85" customWidth="1"/>
    <col min="7644" max="7644" width="14.140625" style="85" customWidth="1"/>
    <col min="7645" max="7645" width="13" style="85" bestFit="1" customWidth="1"/>
    <col min="7646" max="7646" width="14.140625" style="85" customWidth="1"/>
    <col min="7647" max="7647" width="11.42578125" style="85" customWidth="1"/>
    <col min="7648" max="7648" width="15.28515625" style="85" customWidth="1"/>
    <col min="7649" max="7649" width="13" style="85" bestFit="1" customWidth="1"/>
    <col min="7650" max="7650" width="15.85546875" style="85" customWidth="1"/>
    <col min="7651" max="7651" width="11.42578125" style="85" customWidth="1"/>
    <col min="7652" max="7652" width="14.140625" style="85" customWidth="1"/>
    <col min="7653" max="7653" width="13" style="85" bestFit="1" customWidth="1"/>
    <col min="7654" max="7654" width="15.28515625" style="85" customWidth="1"/>
    <col min="7655" max="7655" width="11.42578125" style="85"/>
    <col min="7656" max="7656" width="14.140625" style="85" bestFit="1" customWidth="1"/>
    <col min="7657" max="7657" width="13" style="85" bestFit="1" customWidth="1"/>
    <col min="7658" max="7658" width="15.28515625" style="85" bestFit="1" customWidth="1"/>
    <col min="7659" max="7660" width="11.42578125" style="85"/>
    <col min="7661" max="7661" width="13" style="85" bestFit="1" customWidth="1"/>
    <col min="7662" max="7896" width="11.42578125" style="85"/>
    <col min="7897" max="7897" width="21.5703125" style="85" customWidth="1"/>
    <col min="7898" max="7898" width="17.28515625" style="85" customWidth="1"/>
    <col min="7899" max="7899" width="11.42578125" style="85" customWidth="1"/>
    <col min="7900" max="7900" width="14.140625" style="85" customWidth="1"/>
    <col min="7901" max="7901" width="13" style="85" bestFit="1" customWidth="1"/>
    <col min="7902" max="7902" width="14.140625" style="85" customWidth="1"/>
    <col min="7903" max="7903" width="11.42578125" style="85" customWidth="1"/>
    <col min="7904" max="7904" width="15.28515625" style="85" customWidth="1"/>
    <col min="7905" max="7905" width="13" style="85" bestFit="1" customWidth="1"/>
    <col min="7906" max="7906" width="15.85546875" style="85" customWidth="1"/>
    <col min="7907" max="7907" width="11.42578125" style="85" customWidth="1"/>
    <col min="7908" max="7908" width="14.140625" style="85" customWidth="1"/>
    <col min="7909" max="7909" width="13" style="85" bestFit="1" customWidth="1"/>
    <col min="7910" max="7910" width="15.28515625" style="85" customWidth="1"/>
    <col min="7911" max="7911" width="11.42578125" style="85"/>
    <col min="7912" max="7912" width="14.140625" style="85" bestFit="1" customWidth="1"/>
    <col min="7913" max="7913" width="13" style="85" bestFit="1" customWidth="1"/>
    <col min="7914" max="7914" width="15.28515625" style="85" bestFit="1" customWidth="1"/>
    <col min="7915" max="7916" width="11.42578125" style="85"/>
    <col min="7917" max="7917" width="13" style="85" bestFit="1" customWidth="1"/>
    <col min="7918" max="8152" width="11.42578125" style="85"/>
    <col min="8153" max="8153" width="21.5703125" style="85" customWidth="1"/>
    <col min="8154" max="8154" width="17.28515625" style="85" customWidth="1"/>
    <col min="8155" max="8155" width="11.42578125" style="85" customWidth="1"/>
    <col min="8156" max="8156" width="14.140625" style="85" customWidth="1"/>
    <col min="8157" max="8157" width="13" style="85" bestFit="1" customWidth="1"/>
    <col min="8158" max="8158" width="14.140625" style="85" customWidth="1"/>
    <col min="8159" max="8159" width="11.42578125" style="85" customWidth="1"/>
    <col min="8160" max="8160" width="15.28515625" style="85" customWidth="1"/>
    <col min="8161" max="8161" width="13" style="85" bestFit="1" customWidth="1"/>
    <col min="8162" max="8162" width="15.85546875" style="85" customWidth="1"/>
    <col min="8163" max="8163" width="11.42578125" style="85" customWidth="1"/>
    <col min="8164" max="8164" width="14.140625" style="85" customWidth="1"/>
    <col min="8165" max="8165" width="13" style="85" bestFit="1" customWidth="1"/>
    <col min="8166" max="8166" width="15.28515625" style="85" customWidth="1"/>
    <col min="8167" max="8167" width="11.42578125" style="85"/>
    <col min="8168" max="8168" width="14.140625" style="85" bestFit="1" customWidth="1"/>
    <col min="8169" max="8169" width="13" style="85" bestFit="1" customWidth="1"/>
    <col min="8170" max="8170" width="15.28515625" style="85" bestFit="1" customWidth="1"/>
    <col min="8171" max="8172" width="11.42578125" style="85"/>
    <col min="8173" max="8173" width="13" style="85" bestFit="1" customWidth="1"/>
    <col min="8174" max="8408" width="11.42578125" style="85"/>
    <col min="8409" max="8409" width="21.5703125" style="85" customWidth="1"/>
    <col min="8410" max="8410" width="17.28515625" style="85" customWidth="1"/>
    <col min="8411" max="8411" width="11.42578125" style="85" customWidth="1"/>
    <col min="8412" max="8412" width="14.140625" style="85" customWidth="1"/>
    <col min="8413" max="8413" width="13" style="85" bestFit="1" customWidth="1"/>
    <col min="8414" max="8414" width="14.140625" style="85" customWidth="1"/>
    <col min="8415" max="8415" width="11.42578125" style="85" customWidth="1"/>
    <col min="8416" max="8416" width="15.28515625" style="85" customWidth="1"/>
    <col min="8417" max="8417" width="13" style="85" bestFit="1" customWidth="1"/>
    <col min="8418" max="8418" width="15.85546875" style="85" customWidth="1"/>
    <col min="8419" max="8419" width="11.42578125" style="85" customWidth="1"/>
    <col min="8420" max="8420" width="14.140625" style="85" customWidth="1"/>
    <col min="8421" max="8421" width="13" style="85" bestFit="1" customWidth="1"/>
    <col min="8422" max="8422" width="15.28515625" style="85" customWidth="1"/>
    <col min="8423" max="8423" width="11.42578125" style="85"/>
    <col min="8424" max="8424" width="14.140625" style="85" bestFit="1" customWidth="1"/>
    <col min="8425" max="8425" width="13" style="85" bestFit="1" customWidth="1"/>
    <col min="8426" max="8426" width="15.28515625" style="85" bestFit="1" customWidth="1"/>
    <col min="8427" max="8428" width="11.42578125" style="85"/>
    <col min="8429" max="8429" width="13" style="85" bestFit="1" customWidth="1"/>
    <col min="8430" max="8664" width="11.42578125" style="85"/>
    <col min="8665" max="8665" width="21.5703125" style="85" customWidth="1"/>
    <col min="8666" max="8666" width="17.28515625" style="85" customWidth="1"/>
    <col min="8667" max="8667" width="11.42578125" style="85" customWidth="1"/>
    <col min="8668" max="8668" width="14.140625" style="85" customWidth="1"/>
    <col min="8669" max="8669" width="13" style="85" bestFit="1" customWidth="1"/>
    <col min="8670" max="8670" width="14.140625" style="85" customWidth="1"/>
    <col min="8671" max="8671" width="11.42578125" style="85" customWidth="1"/>
    <col min="8672" max="8672" width="15.28515625" style="85" customWidth="1"/>
    <col min="8673" max="8673" width="13" style="85" bestFit="1" customWidth="1"/>
    <col min="8674" max="8674" width="15.85546875" style="85" customWidth="1"/>
    <col min="8675" max="8675" width="11.42578125" style="85" customWidth="1"/>
    <col min="8676" max="8676" width="14.140625" style="85" customWidth="1"/>
    <col min="8677" max="8677" width="13" style="85" bestFit="1" customWidth="1"/>
    <col min="8678" max="8678" width="15.28515625" style="85" customWidth="1"/>
    <col min="8679" max="8679" width="11.42578125" style="85"/>
    <col min="8680" max="8680" width="14.140625" style="85" bestFit="1" customWidth="1"/>
    <col min="8681" max="8681" width="13" style="85" bestFit="1" customWidth="1"/>
    <col min="8682" max="8682" width="15.28515625" style="85" bestFit="1" customWidth="1"/>
    <col min="8683" max="8684" width="11.42578125" style="85"/>
    <col min="8685" max="8685" width="13" style="85" bestFit="1" customWidth="1"/>
    <col min="8686" max="8920" width="11.42578125" style="85"/>
    <col min="8921" max="8921" width="21.5703125" style="85" customWidth="1"/>
    <col min="8922" max="8922" width="17.28515625" style="85" customWidth="1"/>
    <col min="8923" max="8923" width="11.42578125" style="85" customWidth="1"/>
    <col min="8924" max="8924" width="14.140625" style="85" customWidth="1"/>
    <col min="8925" max="8925" width="13" style="85" bestFit="1" customWidth="1"/>
    <col min="8926" max="8926" width="14.140625" style="85" customWidth="1"/>
    <col min="8927" max="8927" width="11.42578125" style="85" customWidth="1"/>
    <col min="8928" max="8928" width="15.28515625" style="85" customWidth="1"/>
    <col min="8929" max="8929" width="13" style="85" bestFit="1" customWidth="1"/>
    <col min="8930" max="8930" width="15.85546875" style="85" customWidth="1"/>
    <col min="8931" max="8931" width="11.42578125" style="85" customWidth="1"/>
    <col min="8932" max="8932" width="14.140625" style="85" customWidth="1"/>
    <col min="8933" max="8933" width="13" style="85" bestFit="1" customWidth="1"/>
    <col min="8934" max="8934" width="15.28515625" style="85" customWidth="1"/>
    <col min="8935" max="8935" width="11.42578125" style="85"/>
    <col min="8936" max="8936" width="14.140625" style="85" bestFit="1" customWidth="1"/>
    <col min="8937" max="8937" width="13" style="85" bestFit="1" customWidth="1"/>
    <col min="8938" max="8938" width="15.28515625" style="85" bestFit="1" customWidth="1"/>
    <col min="8939" max="8940" width="11.42578125" style="85"/>
    <col min="8941" max="8941" width="13" style="85" bestFit="1" customWidth="1"/>
    <col min="8942" max="9176" width="11.42578125" style="85"/>
    <col min="9177" max="9177" width="21.5703125" style="85" customWidth="1"/>
    <col min="9178" max="9178" width="17.28515625" style="85" customWidth="1"/>
    <col min="9179" max="9179" width="11.42578125" style="85" customWidth="1"/>
    <col min="9180" max="9180" width="14.140625" style="85" customWidth="1"/>
    <col min="9181" max="9181" width="13" style="85" bestFit="1" customWidth="1"/>
    <col min="9182" max="9182" width="14.140625" style="85" customWidth="1"/>
    <col min="9183" max="9183" width="11.42578125" style="85" customWidth="1"/>
    <col min="9184" max="9184" width="15.28515625" style="85" customWidth="1"/>
    <col min="9185" max="9185" width="13" style="85" bestFit="1" customWidth="1"/>
    <col min="9186" max="9186" width="15.85546875" style="85" customWidth="1"/>
    <col min="9187" max="9187" width="11.42578125" style="85" customWidth="1"/>
    <col min="9188" max="9188" width="14.140625" style="85" customWidth="1"/>
    <col min="9189" max="9189" width="13" style="85" bestFit="1" customWidth="1"/>
    <col min="9190" max="9190" width="15.28515625" style="85" customWidth="1"/>
    <col min="9191" max="9191" width="11.42578125" style="85"/>
    <col min="9192" max="9192" width="14.140625" style="85" bestFit="1" customWidth="1"/>
    <col min="9193" max="9193" width="13" style="85" bestFit="1" customWidth="1"/>
    <col min="9194" max="9194" width="15.28515625" style="85" bestFit="1" customWidth="1"/>
    <col min="9195" max="9196" width="11.42578125" style="85"/>
    <col min="9197" max="9197" width="13" style="85" bestFit="1" customWidth="1"/>
    <col min="9198" max="9432" width="11.42578125" style="85"/>
    <col min="9433" max="9433" width="21.5703125" style="85" customWidth="1"/>
    <col min="9434" max="9434" width="17.28515625" style="85" customWidth="1"/>
    <col min="9435" max="9435" width="11.42578125" style="85" customWidth="1"/>
    <col min="9436" max="9436" width="14.140625" style="85" customWidth="1"/>
    <col min="9437" max="9437" width="13" style="85" bestFit="1" customWidth="1"/>
    <col min="9438" max="9438" width="14.140625" style="85" customWidth="1"/>
    <col min="9439" max="9439" width="11.42578125" style="85" customWidth="1"/>
    <col min="9440" max="9440" width="15.28515625" style="85" customWidth="1"/>
    <col min="9441" max="9441" width="13" style="85" bestFit="1" customWidth="1"/>
    <col min="9442" max="9442" width="15.85546875" style="85" customWidth="1"/>
    <col min="9443" max="9443" width="11.42578125" style="85" customWidth="1"/>
    <col min="9444" max="9444" width="14.140625" style="85" customWidth="1"/>
    <col min="9445" max="9445" width="13" style="85" bestFit="1" customWidth="1"/>
    <col min="9446" max="9446" width="15.28515625" style="85" customWidth="1"/>
    <col min="9447" max="9447" width="11.42578125" style="85"/>
    <col min="9448" max="9448" width="14.140625" style="85" bestFit="1" customWidth="1"/>
    <col min="9449" max="9449" width="13" style="85" bestFit="1" customWidth="1"/>
    <col min="9450" max="9450" width="15.28515625" style="85" bestFit="1" customWidth="1"/>
    <col min="9451" max="9452" width="11.42578125" style="85"/>
    <col min="9453" max="9453" width="13" style="85" bestFit="1" customWidth="1"/>
    <col min="9454" max="9688" width="11.42578125" style="85"/>
    <col min="9689" max="9689" width="21.5703125" style="85" customWidth="1"/>
    <col min="9690" max="9690" width="17.28515625" style="85" customWidth="1"/>
    <col min="9691" max="9691" width="11.42578125" style="85" customWidth="1"/>
    <col min="9692" max="9692" width="14.140625" style="85" customWidth="1"/>
    <col min="9693" max="9693" width="13" style="85" bestFit="1" customWidth="1"/>
    <col min="9694" max="9694" width="14.140625" style="85" customWidth="1"/>
    <col min="9695" max="9695" width="11.42578125" style="85" customWidth="1"/>
    <col min="9696" max="9696" width="15.28515625" style="85" customWidth="1"/>
    <col min="9697" max="9697" width="13" style="85" bestFit="1" customWidth="1"/>
    <col min="9698" max="9698" width="15.85546875" style="85" customWidth="1"/>
    <col min="9699" max="9699" width="11.42578125" style="85" customWidth="1"/>
    <col min="9700" max="9700" width="14.140625" style="85" customWidth="1"/>
    <col min="9701" max="9701" width="13" style="85" bestFit="1" customWidth="1"/>
    <col min="9702" max="9702" width="15.28515625" style="85" customWidth="1"/>
    <col min="9703" max="9703" width="11.42578125" style="85"/>
    <col min="9704" max="9704" width="14.140625" style="85" bestFit="1" customWidth="1"/>
    <col min="9705" max="9705" width="13" style="85" bestFit="1" customWidth="1"/>
    <col min="9706" max="9706" width="15.28515625" style="85" bestFit="1" customWidth="1"/>
    <col min="9707" max="9708" width="11.42578125" style="85"/>
    <col min="9709" max="9709" width="13" style="85" bestFit="1" customWidth="1"/>
    <col min="9710" max="9944" width="11.42578125" style="85"/>
    <col min="9945" max="9945" width="21.5703125" style="85" customWidth="1"/>
    <col min="9946" max="9946" width="17.28515625" style="85" customWidth="1"/>
    <col min="9947" max="9947" width="11.42578125" style="85" customWidth="1"/>
    <col min="9948" max="9948" width="14.140625" style="85" customWidth="1"/>
    <col min="9949" max="9949" width="13" style="85" bestFit="1" customWidth="1"/>
    <col min="9950" max="9950" width="14.140625" style="85" customWidth="1"/>
    <col min="9951" max="9951" width="11.42578125" style="85" customWidth="1"/>
    <col min="9952" max="9952" width="15.28515625" style="85" customWidth="1"/>
    <col min="9953" max="9953" width="13" style="85" bestFit="1" customWidth="1"/>
    <col min="9954" max="9954" width="15.85546875" style="85" customWidth="1"/>
    <col min="9955" max="9955" width="11.42578125" style="85" customWidth="1"/>
    <col min="9956" max="9956" width="14.140625" style="85" customWidth="1"/>
    <col min="9957" max="9957" width="13" style="85" bestFit="1" customWidth="1"/>
    <col min="9958" max="9958" width="15.28515625" style="85" customWidth="1"/>
    <col min="9959" max="9959" width="11.42578125" style="85"/>
    <col min="9960" max="9960" width="14.140625" style="85" bestFit="1" customWidth="1"/>
    <col min="9961" max="9961" width="13" style="85" bestFit="1" customWidth="1"/>
    <col min="9962" max="9962" width="15.28515625" style="85" bestFit="1" customWidth="1"/>
    <col min="9963" max="9964" width="11.42578125" style="85"/>
    <col min="9965" max="9965" width="13" style="85" bestFit="1" customWidth="1"/>
    <col min="9966" max="10200" width="11.42578125" style="85"/>
    <col min="10201" max="10201" width="21.5703125" style="85" customWidth="1"/>
    <col min="10202" max="10202" width="17.28515625" style="85" customWidth="1"/>
    <col min="10203" max="10203" width="11.42578125" style="85" customWidth="1"/>
    <col min="10204" max="10204" width="14.140625" style="85" customWidth="1"/>
    <col min="10205" max="10205" width="13" style="85" bestFit="1" customWidth="1"/>
    <col min="10206" max="10206" width="14.140625" style="85" customWidth="1"/>
    <col min="10207" max="10207" width="11.42578125" style="85" customWidth="1"/>
    <col min="10208" max="10208" width="15.28515625" style="85" customWidth="1"/>
    <col min="10209" max="10209" width="13" style="85" bestFit="1" customWidth="1"/>
    <col min="10210" max="10210" width="15.85546875" style="85" customWidth="1"/>
    <col min="10211" max="10211" width="11.42578125" style="85" customWidth="1"/>
    <col min="10212" max="10212" width="14.140625" style="85" customWidth="1"/>
    <col min="10213" max="10213" width="13" style="85" bestFit="1" customWidth="1"/>
    <col min="10214" max="10214" width="15.28515625" style="85" customWidth="1"/>
    <col min="10215" max="10215" width="11.42578125" style="85"/>
    <col min="10216" max="10216" width="14.140625" style="85" bestFit="1" customWidth="1"/>
    <col min="10217" max="10217" width="13" style="85" bestFit="1" customWidth="1"/>
    <col min="10218" max="10218" width="15.28515625" style="85" bestFit="1" customWidth="1"/>
    <col min="10219" max="10220" width="11.42578125" style="85"/>
    <col min="10221" max="10221" width="13" style="85" bestFit="1" customWidth="1"/>
    <col min="10222" max="10456" width="11.42578125" style="85"/>
    <col min="10457" max="10457" width="21.5703125" style="85" customWidth="1"/>
    <col min="10458" max="10458" width="17.28515625" style="85" customWidth="1"/>
    <col min="10459" max="10459" width="11.42578125" style="85" customWidth="1"/>
    <col min="10460" max="10460" width="14.140625" style="85" customWidth="1"/>
    <col min="10461" max="10461" width="13" style="85" bestFit="1" customWidth="1"/>
    <col min="10462" max="10462" width="14.140625" style="85" customWidth="1"/>
    <col min="10463" max="10463" width="11.42578125" style="85" customWidth="1"/>
    <col min="10464" max="10464" width="15.28515625" style="85" customWidth="1"/>
    <col min="10465" max="10465" width="13" style="85" bestFit="1" customWidth="1"/>
    <col min="10466" max="10466" width="15.85546875" style="85" customWidth="1"/>
    <col min="10467" max="10467" width="11.42578125" style="85" customWidth="1"/>
    <col min="10468" max="10468" width="14.140625" style="85" customWidth="1"/>
    <col min="10469" max="10469" width="13" style="85" bestFit="1" customWidth="1"/>
    <col min="10470" max="10470" width="15.28515625" style="85" customWidth="1"/>
    <col min="10471" max="10471" width="11.42578125" style="85"/>
    <col min="10472" max="10472" width="14.140625" style="85" bestFit="1" customWidth="1"/>
    <col min="10473" max="10473" width="13" style="85" bestFit="1" customWidth="1"/>
    <col min="10474" max="10474" width="15.28515625" style="85" bestFit="1" customWidth="1"/>
    <col min="10475" max="10476" width="11.42578125" style="85"/>
    <col min="10477" max="10477" width="13" style="85" bestFit="1" customWidth="1"/>
    <col min="10478" max="10712" width="11.42578125" style="85"/>
    <col min="10713" max="10713" width="21.5703125" style="85" customWidth="1"/>
    <col min="10714" max="10714" width="17.28515625" style="85" customWidth="1"/>
    <col min="10715" max="10715" width="11.42578125" style="85" customWidth="1"/>
    <col min="10716" max="10716" width="14.140625" style="85" customWidth="1"/>
    <col min="10717" max="10717" width="13" style="85" bestFit="1" customWidth="1"/>
    <col min="10718" max="10718" width="14.140625" style="85" customWidth="1"/>
    <col min="10719" max="10719" width="11.42578125" style="85" customWidth="1"/>
    <col min="10720" max="10720" width="15.28515625" style="85" customWidth="1"/>
    <col min="10721" max="10721" width="13" style="85" bestFit="1" customWidth="1"/>
    <col min="10722" max="10722" width="15.85546875" style="85" customWidth="1"/>
    <col min="10723" max="10723" width="11.42578125" style="85" customWidth="1"/>
    <col min="10724" max="10724" width="14.140625" style="85" customWidth="1"/>
    <col min="10725" max="10725" width="13" style="85" bestFit="1" customWidth="1"/>
    <col min="10726" max="10726" width="15.28515625" style="85" customWidth="1"/>
    <col min="10727" max="10727" width="11.42578125" style="85"/>
    <col min="10728" max="10728" width="14.140625" style="85" bestFit="1" customWidth="1"/>
    <col min="10729" max="10729" width="13" style="85" bestFit="1" customWidth="1"/>
    <col min="10730" max="10730" width="15.28515625" style="85" bestFit="1" customWidth="1"/>
    <col min="10731" max="10732" width="11.42578125" style="85"/>
    <col min="10733" max="10733" width="13" style="85" bestFit="1" customWidth="1"/>
    <col min="10734" max="10968" width="11.42578125" style="85"/>
    <col min="10969" max="10969" width="21.5703125" style="85" customWidth="1"/>
    <col min="10970" max="10970" width="17.28515625" style="85" customWidth="1"/>
    <col min="10971" max="10971" width="11.42578125" style="85" customWidth="1"/>
    <col min="10972" max="10972" width="14.140625" style="85" customWidth="1"/>
    <col min="10973" max="10973" width="13" style="85" bestFit="1" customWidth="1"/>
    <col min="10974" max="10974" width="14.140625" style="85" customWidth="1"/>
    <col min="10975" max="10975" width="11.42578125" style="85" customWidth="1"/>
    <col min="10976" max="10976" width="15.28515625" style="85" customWidth="1"/>
    <col min="10977" max="10977" width="13" style="85" bestFit="1" customWidth="1"/>
    <col min="10978" max="10978" width="15.85546875" style="85" customWidth="1"/>
    <col min="10979" max="10979" width="11.42578125" style="85" customWidth="1"/>
    <col min="10980" max="10980" width="14.140625" style="85" customWidth="1"/>
    <col min="10981" max="10981" width="13" style="85" bestFit="1" customWidth="1"/>
    <col min="10982" max="10982" width="15.28515625" style="85" customWidth="1"/>
    <col min="10983" max="10983" width="11.42578125" style="85"/>
    <col min="10984" max="10984" width="14.140625" style="85" bestFit="1" customWidth="1"/>
    <col min="10985" max="10985" width="13" style="85" bestFit="1" customWidth="1"/>
    <col min="10986" max="10986" width="15.28515625" style="85" bestFit="1" customWidth="1"/>
    <col min="10987" max="10988" width="11.42578125" style="85"/>
    <col min="10989" max="10989" width="13" style="85" bestFit="1" customWidth="1"/>
    <col min="10990" max="11224" width="11.42578125" style="85"/>
    <col min="11225" max="11225" width="21.5703125" style="85" customWidth="1"/>
    <col min="11226" max="11226" width="17.28515625" style="85" customWidth="1"/>
    <col min="11227" max="11227" width="11.42578125" style="85" customWidth="1"/>
    <col min="11228" max="11228" width="14.140625" style="85" customWidth="1"/>
    <col min="11229" max="11229" width="13" style="85" bestFit="1" customWidth="1"/>
    <col min="11230" max="11230" width="14.140625" style="85" customWidth="1"/>
    <col min="11231" max="11231" width="11.42578125" style="85" customWidth="1"/>
    <col min="11232" max="11232" width="15.28515625" style="85" customWidth="1"/>
    <col min="11233" max="11233" width="13" style="85" bestFit="1" customWidth="1"/>
    <col min="11234" max="11234" width="15.85546875" style="85" customWidth="1"/>
    <col min="11235" max="11235" width="11.42578125" style="85" customWidth="1"/>
    <col min="11236" max="11236" width="14.140625" style="85" customWidth="1"/>
    <col min="11237" max="11237" width="13" style="85" bestFit="1" customWidth="1"/>
    <col min="11238" max="11238" width="15.28515625" style="85" customWidth="1"/>
    <col min="11239" max="11239" width="11.42578125" style="85"/>
    <col min="11240" max="11240" width="14.140625" style="85" bestFit="1" customWidth="1"/>
    <col min="11241" max="11241" width="13" style="85" bestFit="1" customWidth="1"/>
    <col min="11242" max="11242" width="15.28515625" style="85" bestFit="1" customWidth="1"/>
    <col min="11243" max="11244" width="11.42578125" style="85"/>
    <col min="11245" max="11245" width="13" style="85" bestFit="1" customWidth="1"/>
    <col min="11246" max="11480" width="11.42578125" style="85"/>
    <col min="11481" max="11481" width="21.5703125" style="85" customWidth="1"/>
    <col min="11482" max="11482" width="17.28515625" style="85" customWidth="1"/>
    <col min="11483" max="11483" width="11.42578125" style="85" customWidth="1"/>
    <col min="11484" max="11484" width="14.140625" style="85" customWidth="1"/>
    <col min="11485" max="11485" width="13" style="85" bestFit="1" customWidth="1"/>
    <col min="11486" max="11486" width="14.140625" style="85" customWidth="1"/>
    <col min="11487" max="11487" width="11.42578125" style="85" customWidth="1"/>
    <col min="11488" max="11488" width="15.28515625" style="85" customWidth="1"/>
    <col min="11489" max="11489" width="13" style="85" bestFit="1" customWidth="1"/>
    <col min="11490" max="11490" width="15.85546875" style="85" customWidth="1"/>
    <col min="11491" max="11491" width="11.42578125" style="85" customWidth="1"/>
    <col min="11492" max="11492" width="14.140625" style="85" customWidth="1"/>
    <col min="11493" max="11493" width="13" style="85" bestFit="1" customWidth="1"/>
    <col min="11494" max="11494" width="15.28515625" style="85" customWidth="1"/>
    <col min="11495" max="11495" width="11.42578125" style="85"/>
    <col min="11496" max="11496" width="14.140625" style="85" bestFit="1" customWidth="1"/>
    <col min="11497" max="11497" width="13" style="85" bestFit="1" customWidth="1"/>
    <col min="11498" max="11498" width="15.28515625" style="85" bestFit="1" customWidth="1"/>
    <col min="11499" max="11500" width="11.42578125" style="85"/>
    <col min="11501" max="11501" width="13" style="85" bestFit="1" customWidth="1"/>
    <col min="11502" max="11736" width="11.42578125" style="85"/>
    <col min="11737" max="11737" width="21.5703125" style="85" customWidth="1"/>
    <col min="11738" max="11738" width="17.28515625" style="85" customWidth="1"/>
    <col min="11739" max="11739" width="11.42578125" style="85" customWidth="1"/>
    <col min="11740" max="11740" width="14.140625" style="85" customWidth="1"/>
    <col min="11741" max="11741" width="13" style="85" bestFit="1" customWidth="1"/>
    <col min="11742" max="11742" width="14.140625" style="85" customWidth="1"/>
    <col min="11743" max="11743" width="11.42578125" style="85" customWidth="1"/>
    <col min="11744" max="11744" width="15.28515625" style="85" customWidth="1"/>
    <col min="11745" max="11745" width="13" style="85" bestFit="1" customWidth="1"/>
    <col min="11746" max="11746" width="15.85546875" style="85" customWidth="1"/>
    <col min="11747" max="11747" width="11.42578125" style="85" customWidth="1"/>
    <col min="11748" max="11748" width="14.140625" style="85" customWidth="1"/>
    <col min="11749" max="11749" width="13" style="85" bestFit="1" customWidth="1"/>
    <col min="11750" max="11750" width="15.28515625" style="85" customWidth="1"/>
    <col min="11751" max="11751" width="11.42578125" style="85"/>
    <col min="11752" max="11752" width="14.140625" style="85" bestFit="1" customWidth="1"/>
    <col min="11753" max="11753" width="13" style="85" bestFit="1" customWidth="1"/>
    <col min="11754" max="11754" width="15.28515625" style="85" bestFit="1" customWidth="1"/>
    <col min="11755" max="11756" width="11.42578125" style="85"/>
    <col min="11757" max="11757" width="13" style="85" bestFit="1" customWidth="1"/>
    <col min="11758" max="11992" width="11.42578125" style="85"/>
    <col min="11993" max="11993" width="21.5703125" style="85" customWidth="1"/>
    <col min="11994" max="11994" width="17.28515625" style="85" customWidth="1"/>
    <col min="11995" max="11995" width="11.42578125" style="85" customWidth="1"/>
    <col min="11996" max="11996" width="14.140625" style="85" customWidth="1"/>
    <col min="11997" max="11997" width="13" style="85" bestFit="1" customWidth="1"/>
    <col min="11998" max="11998" width="14.140625" style="85" customWidth="1"/>
    <col min="11999" max="11999" width="11.42578125" style="85" customWidth="1"/>
    <col min="12000" max="12000" width="15.28515625" style="85" customWidth="1"/>
    <col min="12001" max="12001" width="13" style="85" bestFit="1" customWidth="1"/>
    <col min="12002" max="12002" width="15.85546875" style="85" customWidth="1"/>
    <col min="12003" max="12003" width="11.42578125" style="85" customWidth="1"/>
    <col min="12004" max="12004" width="14.140625" style="85" customWidth="1"/>
    <col min="12005" max="12005" width="13" style="85" bestFit="1" customWidth="1"/>
    <col min="12006" max="12006" width="15.28515625" style="85" customWidth="1"/>
    <col min="12007" max="12007" width="11.42578125" style="85"/>
    <col min="12008" max="12008" width="14.140625" style="85" bestFit="1" customWidth="1"/>
    <col min="12009" max="12009" width="13" style="85" bestFit="1" customWidth="1"/>
    <col min="12010" max="12010" width="15.28515625" style="85" bestFit="1" customWidth="1"/>
    <col min="12011" max="12012" width="11.42578125" style="85"/>
    <col min="12013" max="12013" width="13" style="85" bestFit="1" customWidth="1"/>
    <col min="12014" max="12248" width="11.42578125" style="85"/>
    <col min="12249" max="12249" width="21.5703125" style="85" customWidth="1"/>
    <col min="12250" max="12250" width="17.28515625" style="85" customWidth="1"/>
    <col min="12251" max="12251" width="11.42578125" style="85" customWidth="1"/>
    <col min="12252" max="12252" width="14.140625" style="85" customWidth="1"/>
    <col min="12253" max="12253" width="13" style="85" bestFit="1" customWidth="1"/>
    <col min="12254" max="12254" width="14.140625" style="85" customWidth="1"/>
    <col min="12255" max="12255" width="11.42578125" style="85" customWidth="1"/>
    <col min="12256" max="12256" width="15.28515625" style="85" customWidth="1"/>
    <col min="12257" max="12257" width="13" style="85" bestFit="1" customWidth="1"/>
    <col min="12258" max="12258" width="15.85546875" style="85" customWidth="1"/>
    <col min="12259" max="12259" width="11.42578125" style="85" customWidth="1"/>
    <col min="12260" max="12260" width="14.140625" style="85" customWidth="1"/>
    <col min="12261" max="12261" width="13" style="85" bestFit="1" customWidth="1"/>
    <col min="12262" max="12262" width="15.28515625" style="85" customWidth="1"/>
    <col min="12263" max="12263" width="11.42578125" style="85"/>
    <col min="12264" max="12264" width="14.140625" style="85" bestFit="1" customWidth="1"/>
    <col min="12265" max="12265" width="13" style="85" bestFit="1" customWidth="1"/>
    <col min="12266" max="12266" width="15.28515625" style="85" bestFit="1" customWidth="1"/>
    <col min="12267" max="12268" width="11.42578125" style="85"/>
    <col min="12269" max="12269" width="13" style="85" bestFit="1" customWidth="1"/>
    <col min="12270" max="12504" width="11.42578125" style="85"/>
    <col min="12505" max="12505" width="21.5703125" style="85" customWidth="1"/>
    <col min="12506" max="12506" width="17.28515625" style="85" customWidth="1"/>
    <col min="12507" max="12507" width="11.42578125" style="85" customWidth="1"/>
    <col min="12508" max="12508" width="14.140625" style="85" customWidth="1"/>
    <col min="12509" max="12509" width="13" style="85" bestFit="1" customWidth="1"/>
    <col min="12510" max="12510" width="14.140625" style="85" customWidth="1"/>
    <col min="12511" max="12511" width="11.42578125" style="85" customWidth="1"/>
    <col min="12512" max="12512" width="15.28515625" style="85" customWidth="1"/>
    <col min="12513" max="12513" width="13" style="85" bestFit="1" customWidth="1"/>
    <col min="12514" max="12514" width="15.85546875" style="85" customWidth="1"/>
    <col min="12515" max="12515" width="11.42578125" style="85" customWidth="1"/>
    <col min="12516" max="12516" width="14.140625" style="85" customWidth="1"/>
    <col min="12517" max="12517" width="13" style="85" bestFit="1" customWidth="1"/>
    <col min="12518" max="12518" width="15.28515625" style="85" customWidth="1"/>
    <col min="12519" max="12519" width="11.42578125" style="85"/>
    <col min="12520" max="12520" width="14.140625" style="85" bestFit="1" customWidth="1"/>
    <col min="12521" max="12521" width="13" style="85" bestFit="1" customWidth="1"/>
    <col min="12522" max="12522" width="15.28515625" style="85" bestFit="1" customWidth="1"/>
    <col min="12523" max="12524" width="11.42578125" style="85"/>
    <col min="12525" max="12525" width="13" style="85" bestFit="1" customWidth="1"/>
    <col min="12526" max="12760" width="11.42578125" style="85"/>
    <col min="12761" max="12761" width="21.5703125" style="85" customWidth="1"/>
    <col min="12762" max="12762" width="17.28515625" style="85" customWidth="1"/>
    <col min="12763" max="12763" width="11.42578125" style="85" customWidth="1"/>
    <col min="12764" max="12764" width="14.140625" style="85" customWidth="1"/>
    <col min="12765" max="12765" width="13" style="85" bestFit="1" customWidth="1"/>
    <col min="12766" max="12766" width="14.140625" style="85" customWidth="1"/>
    <col min="12767" max="12767" width="11.42578125" style="85" customWidth="1"/>
    <col min="12768" max="12768" width="15.28515625" style="85" customWidth="1"/>
    <col min="12769" max="12769" width="13" style="85" bestFit="1" customWidth="1"/>
    <col min="12770" max="12770" width="15.85546875" style="85" customWidth="1"/>
    <col min="12771" max="12771" width="11.42578125" style="85" customWidth="1"/>
    <col min="12772" max="12772" width="14.140625" style="85" customWidth="1"/>
    <col min="12773" max="12773" width="13" style="85" bestFit="1" customWidth="1"/>
    <col min="12774" max="12774" width="15.28515625" style="85" customWidth="1"/>
    <col min="12775" max="12775" width="11.42578125" style="85"/>
    <col min="12776" max="12776" width="14.140625" style="85" bestFit="1" customWidth="1"/>
    <col min="12777" max="12777" width="13" style="85" bestFit="1" customWidth="1"/>
    <col min="12778" max="12778" width="15.28515625" style="85" bestFit="1" customWidth="1"/>
    <col min="12779" max="12780" width="11.42578125" style="85"/>
    <col min="12781" max="12781" width="13" style="85" bestFit="1" customWidth="1"/>
    <col min="12782" max="13016" width="11.42578125" style="85"/>
    <col min="13017" max="13017" width="21.5703125" style="85" customWidth="1"/>
    <col min="13018" max="13018" width="17.28515625" style="85" customWidth="1"/>
    <col min="13019" max="13019" width="11.42578125" style="85" customWidth="1"/>
    <col min="13020" max="13020" width="14.140625" style="85" customWidth="1"/>
    <col min="13021" max="13021" width="13" style="85" bestFit="1" customWidth="1"/>
    <col min="13022" max="13022" width="14.140625" style="85" customWidth="1"/>
    <col min="13023" max="13023" width="11.42578125" style="85" customWidth="1"/>
    <col min="13024" max="13024" width="15.28515625" style="85" customWidth="1"/>
    <col min="13025" max="13025" width="13" style="85" bestFit="1" customWidth="1"/>
    <col min="13026" max="13026" width="15.85546875" style="85" customWidth="1"/>
    <col min="13027" max="13027" width="11.42578125" style="85" customWidth="1"/>
    <col min="13028" max="13028" width="14.140625" style="85" customWidth="1"/>
    <col min="13029" max="13029" width="13" style="85" bestFit="1" customWidth="1"/>
    <col min="13030" max="13030" width="15.28515625" style="85" customWidth="1"/>
    <col min="13031" max="13031" width="11.42578125" style="85"/>
    <col min="13032" max="13032" width="14.140625" style="85" bestFit="1" customWidth="1"/>
    <col min="13033" max="13033" width="13" style="85" bestFit="1" customWidth="1"/>
    <col min="13034" max="13034" width="15.28515625" style="85" bestFit="1" customWidth="1"/>
    <col min="13035" max="13036" width="11.42578125" style="85"/>
    <col min="13037" max="13037" width="13" style="85" bestFit="1" customWidth="1"/>
    <col min="13038" max="13272" width="11.42578125" style="85"/>
    <col min="13273" max="13273" width="21.5703125" style="85" customWidth="1"/>
    <col min="13274" max="13274" width="17.28515625" style="85" customWidth="1"/>
    <col min="13275" max="13275" width="11.42578125" style="85" customWidth="1"/>
    <col min="13276" max="13276" width="14.140625" style="85" customWidth="1"/>
    <col min="13277" max="13277" width="13" style="85" bestFit="1" customWidth="1"/>
    <col min="13278" max="13278" width="14.140625" style="85" customWidth="1"/>
    <col min="13279" max="13279" width="11.42578125" style="85" customWidth="1"/>
    <col min="13280" max="13280" width="15.28515625" style="85" customWidth="1"/>
    <col min="13281" max="13281" width="13" style="85" bestFit="1" customWidth="1"/>
    <col min="13282" max="13282" width="15.85546875" style="85" customWidth="1"/>
    <col min="13283" max="13283" width="11.42578125" style="85" customWidth="1"/>
    <col min="13284" max="13284" width="14.140625" style="85" customWidth="1"/>
    <col min="13285" max="13285" width="13" style="85" bestFit="1" customWidth="1"/>
    <col min="13286" max="13286" width="15.28515625" style="85" customWidth="1"/>
    <col min="13287" max="13287" width="11.42578125" style="85"/>
    <col min="13288" max="13288" width="14.140625" style="85" bestFit="1" customWidth="1"/>
    <col min="13289" max="13289" width="13" style="85" bestFit="1" customWidth="1"/>
    <col min="13290" max="13290" width="15.28515625" style="85" bestFit="1" customWidth="1"/>
    <col min="13291" max="13292" width="11.42578125" style="85"/>
    <col min="13293" max="13293" width="13" style="85" bestFit="1" customWidth="1"/>
    <col min="13294" max="13528" width="11.42578125" style="85"/>
    <col min="13529" max="13529" width="21.5703125" style="85" customWidth="1"/>
    <col min="13530" max="13530" width="17.28515625" style="85" customWidth="1"/>
    <col min="13531" max="13531" width="11.42578125" style="85" customWidth="1"/>
    <col min="13532" max="13532" width="14.140625" style="85" customWidth="1"/>
    <col min="13533" max="13533" width="13" style="85" bestFit="1" customWidth="1"/>
    <col min="13534" max="13534" width="14.140625" style="85" customWidth="1"/>
    <col min="13535" max="13535" width="11.42578125" style="85" customWidth="1"/>
    <col min="13536" max="13536" width="15.28515625" style="85" customWidth="1"/>
    <col min="13537" max="13537" width="13" style="85" bestFit="1" customWidth="1"/>
    <col min="13538" max="13538" width="15.85546875" style="85" customWidth="1"/>
    <col min="13539" max="13539" width="11.42578125" style="85" customWidth="1"/>
    <col min="13540" max="13540" width="14.140625" style="85" customWidth="1"/>
    <col min="13541" max="13541" width="13" style="85" bestFit="1" customWidth="1"/>
    <col min="13542" max="13542" width="15.28515625" style="85" customWidth="1"/>
    <col min="13543" max="13543" width="11.42578125" style="85"/>
    <col min="13544" max="13544" width="14.140625" style="85" bestFit="1" customWidth="1"/>
    <col min="13545" max="13545" width="13" style="85" bestFit="1" customWidth="1"/>
    <col min="13546" max="13546" width="15.28515625" style="85" bestFit="1" customWidth="1"/>
    <col min="13547" max="13548" width="11.42578125" style="85"/>
    <col min="13549" max="13549" width="13" style="85" bestFit="1" customWidth="1"/>
    <col min="13550" max="13784" width="11.42578125" style="85"/>
    <col min="13785" max="13785" width="21.5703125" style="85" customWidth="1"/>
    <col min="13786" max="13786" width="17.28515625" style="85" customWidth="1"/>
    <col min="13787" max="13787" width="11.42578125" style="85" customWidth="1"/>
    <col min="13788" max="13788" width="14.140625" style="85" customWidth="1"/>
    <col min="13789" max="13789" width="13" style="85" bestFit="1" customWidth="1"/>
    <col min="13790" max="13790" width="14.140625" style="85" customWidth="1"/>
    <col min="13791" max="13791" width="11.42578125" style="85" customWidth="1"/>
    <col min="13792" max="13792" width="15.28515625" style="85" customWidth="1"/>
    <col min="13793" max="13793" width="13" style="85" bestFit="1" customWidth="1"/>
    <col min="13794" max="13794" width="15.85546875" style="85" customWidth="1"/>
    <col min="13795" max="13795" width="11.42578125" style="85" customWidth="1"/>
    <col min="13796" max="13796" width="14.140625" style="85" customWidth="1"/>
    <col min="13797" max="13797" width="13" style="85" bestFit="1" customWidth="1"/>
    <col min="13798" max="13798" width="15.28515625" style="85" customWidth="1"/>
    <col min="13799" max="13799" width="11.42578125" style="85"/>
    <col min="13800" max="13800" width="14.140625" style="85" bestFit="1" customWidth="1"/>
    <col min="13801" max="13801" width="13" style="85" bestFit="1" customWidth="1"/>
    <col min="13802" max="13802" width="15.28515625" style="85" bestFit="1" customWidth="1"/>
    <col min="13803" max="13804" width="11.42578125" style="85"/>
    <col min="13805" max="13805" width="13" style="85" bestFit="1" customWidth="1"/>
    <col min="13806" max="14040" width="11.42578125" style="85"/>
    <col min="14041" max="14041" width="21.5703125" style="85" customWidth="1"/>
    <col min="14042" max="14042" width="17.28515625" style="85" customWidth="1"/>
    <col min="14043" max="14043" width="11.42578125" style="85" customWidth="1"/>
    <col min="14044" max="14044" width="14.140625" style="85" customWidth="1"/>
    <col min="14045" max="14045" width="13" style="85" bestFit="1" customWidth="1"/>
    <col min="14046" max="14046" width="14.140625" style="85" customWidth="1"/>
    <col min="14047" max="14047" width="11.42578125" style="85" customWidth="1"/>
    <col min="14048" max="14048" width="15.28515625" style="85" customWidth="1"/>
    <col min="14049" max="14049" width="13" style="85" bestFit="1" customWidth="1"/>
    <col min="14050" max="14050" width="15.85546875" style="85" customWidth="1"/>
    <col min="14051" max="14051" width="11.42578125" style="85" customWidth="1"/>
    <col min="14052" max="14052" width="14.140625" style="85" customWidth="1"/>
    <col min="14053" max="14053" width="13" style="85" bestFit="1" customWidth="1"/>
    <col min="14054" max="14054" width="15.28515625" style="85" customWidth="1"/>
    <col min="14055" max="14055" width="11.42578125" style="85"/>
    <col min="14056" max="14056" width="14.140625" style="85" bestFit="1" customWidth="1"/>
    <col min="14057" max="14057" width="13" style="85" bestFit="1" customWidth="1"/>
    <col min="14058" max="14058" width="15.28515625" style="85" bestFit="1" customWidth="1"/>
    <col min="14059" max="14060" width="11.42578125" style="85"/>
    <col min="14061" max="14061" width="13" style="85" bestFit="1" customWidth="1"/>
    <col min="14062" max="14296" width="11.42578125" style="85"/>
    <col min="14297" max="14297" width="21.5703125" style="85" customWidth="1"/>
    <col min="14298" max="14298" width="17.28515625" style="85" customWidth="1"/>
    <col min="14299" max="14299" width="11.42578125" style="85" customWidth="1"/>
    <col min="14300" max="14300" width="14.140625" style="85" customWidth="1"/>
    <col min="14301" max="14301" width="13" style="85" bestFit="1" customWidth="1"/>
    <col min="14302" max="14302" width="14.140625" style="85" customWidth="1"/>
    <col min="14303" max="14303" width="11.42578125" style="85" customWidth="1"/>
    <col min="14304" max="14304" width="15.28515625" style="85" customWidth="1"/>
    <col min="14305" max="14305" width="13" style="85" bestFit="1" customWidth="1"/>
    <col min="14306" max="14306" width="15.85546875" style="85" customWidth="1"/>
    <col min="14307" max="14307" width="11.42578125" style="85" customWidth="1"/>
    <col min="14308" max="14308" width="14.140625" style="85" customWidth="1"/>
    <col min="14309" max="14309" width="13" style="85" bestFit="1" customWidth="1"/>
    <col min="14310" max="14310" width="15.28515625" style="85" customWidth="1"/>
    <col min="14311" max="14311" width="11.42578125" style="85"/>
    <col min="14312" max="14312" width="14.140625" style="85" bestFit="1" customWidth="1"/>
    <col min="14313" max="14313" width="13" style="85" bestFit="1" customWidth="1"/>
    <col min="14314" max="14314" width="15.28515625" style="85" bestFit="1" customWidth="1"/>
    <col min="14315" max="14316" width="11.42578125" style="85"/>
    <col min="14317" max="14317" width="13" style="85" bestFit="1" customWidth="1"/>
    <col min="14318" max="14552" width="11.42578125" style="85"/>
    <col min="14553" max="14553" width="21.5703125" style="85" customWidth="1"/>
    <col min="14554" max="14554" width="17.28515625" style="85" customWidth="1"/>
    <col min="14555" max="14555" width="11.42578125" style="85" customWidth="1"/>
    <col min="14556" max="14556" width="14.140625" style="85" customWidth="1"/>
    <col min="14557" max="14557" width="13" style="85" bestFit="1" customWidth="1"/>
    <col min="14558" max="14558" width="14.140625" style="85" customWidth="1"/>
    <col min="14559" max="14559" width="11.42578125" style="85" customWidth="1"/>
    <col min="14560" max="14560" width="15.28515625" style="85" customWidth="1"/>
    <col min="14561" max="14561" width="13" style="85" bestFit="1" customWidth="1"/>
    <col min="14562" max="14562" width="15.85546875" style="85" customWidth="1"/>
    <col min="14563" max="14563" width="11.42578125" style="85" customWidth="1"/>
    <col min="14564" max="14564" width="14.140625" style="85" customWidth="1"/>
    <col min="14565" max="14565" width="13" style="85" bestFit="1" customWidth="1"/>
    <col min="14566" max="14566" width="15.28515625" style="85" customWidth="1"/>
    <col min="14567" max="14567" width="11.42578125" style="85"/>
    <col min="14568" max="14568" width="14.140625" style="85" bestFit="1" customWidth="1"/>
    <col min="14569" max="14569" width="13" style="85" bestFit="1" customWidth="1"/>
    <col min="14570" max="14570" width="15.28515625" style="85" bestFit="1" customWidth="1"/>
    <col min="14571" max="14572" width="11.42578125" style="85"/>
    <col min="14573" max="14573" width="13" style="85" bestFit="1" customWidth="1"/>
    <col min="14574" max="14808" width="11.42578125" style="85"/>
    <col min="14809" max="14809" width="21.5703125" style="85" customWidth="1"/>
    <col min="14810" max="14810" width="17.28515625" style="85" customWidth="1"/>
    <col min="14811" max="14811" width="11.42578125" style="85" customWidth="1"/>
    <col min="14812" max="14812" width="14.140625" style="85" customWidth="1"/>
    <col min="14813" max="14813" width="13" style="85" bestFit="1" customWidth="1"/>
    <col min="14814" max="14814" width="14.140625" style="85" customWidth="1"/>
    <col min="14815" max="14815" width="11.42578125" style="85" customWidth="1"/>
    <col min="14816" max="14816" width="15.28515625" style="85" customWidth="1"/>
    <col min="14817" max="14817" width="13" style="85" bestFit="1" customWidth="1"/>
    <col min="14818" max="14818" width="15.85546875" style="85" customWidth="1"/>
    <col min="14819" max="14819" width="11.42578125" style="85" customWidth="1"/>
    <col min="14820" max="14820" width="14.140625" style="85" customWidth="1"/>
    <col min="14821" max="14821" width="13" style="85" bestFit="1" customWidth="1"/>
    <col min="14822" max="14822" width="15.28515625" style="85" customWidth="1"/>
    <col min="14823" max="14823" width="11.42578125" style="85"/>
    <col min="14824" max="14824" width="14.140625" style="85" bestFit="1" customWidth="1"/>
    <col min="14825" max="14825" width="13" style="85" bestFit="1" customWidth="1"/>
    <col min="14826" max="14826" width="15.28515625" style="85" bestFit="1" customWidth="1"/>
    <col min="14827" max="14828" width="11.42578125" style="85"/>
    <col min="14829" max="14829" width="13" style="85" bestFit="1" customWidth="1"/>
    <col min="14830" max="15064" width="11.42578125" style="85"/>
    <col min="15065" max="15065" width="21.5703125" style="85" customWidth="1"/>
    <col min="15066" max="15066" width="17.28515625" style="85" customWidth="1"/>
    <col min="15067" max="15067" width="11.42578125" style="85" customWidth="1"/>
    <col min="15068" max="15068" width="14.140625" style="85" customWidth="1"/>
    <col min="15069" max="15069" width="13" style="85" bestFit="1" customWidth="1"/>
    <col min="15070" max="15070" width="14.140625" style="85" customWidth="1"/>
    <col min="15071" max="15071" width="11.42578125" style="85" customWidth="1"/>
    <col min="15072" max="15072" width="15.28515625" style="85" customWidth="1"/>
    <col min="15073" max="15073" width="13" style="85" bestFit="1" customWidth="1"/>
    <col min="15074" max="15074" width="15.85546875" style="85" customWidth="1"/>
    <col min="15075" max="15075" width="11.42578125" style="85" customWidth="1"/>
    <col min="15076" max="15076" width="14.140625" style="85" customWidth="1"/>
    <col min="15077" max="15077" width="13" style="85" bestFit="1" customWidth="1"/>
    <col min="15078" max="15078" width="15.28515625" style="85" customWidth="1"/>
    <col min="15079" max="15079" width="11.42578125" style="85"/>
    <col min="15080" max="15080" width="14.140625" style="85" bestFit="1" customWidth="1"/>
    <col min="15081" max="15081" width="13" style="85" bestFit="1" customWidth="1"/>
    <col min="15082" max="15082" width="15.28515625" style="85" bestFit="1" customWidth="1"/>
    <col min="15083" max="15084" width="11.42578125" style="85"/>
    <col min="15085" max="15085" width="13" style="85" bestFit="1" customWidth="1"/>
    <col min="15086" max="15320" width="11.42578125" style="85"/>
    <col min="15321" max="15321" width="21.5703125" style="85" customWidth="1"/>
    <col min="15322" max="15322" width="17.28515625" style="85" customWidth="1"/>
    <col min="15323" max="15323" width="11.42578125" style="85" customWidth="1"/>
    <col min="15324" max="15324" width="14.140625" style="85" customWidth="1"/>
    <col min="15325" max="15325" width="13" style="85" bestFit="1" customWidth="1"/>
    <col min="15326" max="15326" width="14.140625" style="85" customWidth="1"/>
    <col min="15327" max="15327" width="11.42578125" style="85" customWidth="1"/>
    <col min="15328" max="15328" width="15.28515625" style="85" customWidth="1"/>
    <col min="15329" max="15329" width="13" style="85" bestFit="1" customWidth="1"/>
    <col min="15330" max="15330" width="15.85546875" style="85" customWidth="1"/>
    <col min="15331" max="15331" width="11.42578125" style="85" customWidth="1"/>
    <col min="15332" max="15332" width="14.140625" style="85" customWidth="1"/>
    <col min="15333" max="15333" width="13" style="85" bestFit="1" customWidth="1"/>
    <col min="15334" max="15334" width="15.28515625" style="85" customWidth="1"/>
    <col min="15335" max="15335" width="11.42578125" style="85"/>
    <col min="15336" max="15336" width="14.140625" style="85" bestFit="1" customWidth="1"/>
    <col min="15337" max="15337" width="13" style="85" bestFit="1" customWidth="1"/>
    <col min="15338" max="15338" width="15.28515625" style="85" bestFit="1" customWidth="1"/>
    <col min="15339" max="15340" width="11.42578125" style="85"/>
    <col min="15341" max="15341" width="13" style="85" bestFit="1" customWidth="1"/>
    <col min="15342" max="15576" width="11.42578125" style="85"/>
    <col min="15577" max="15577" width="21.5703125" style="85" customWidth="1"/>
    <col min="15578" max="15578" width="17.28515625" style="85" customWidth="1"/>
    <col min="15579" max="15579" width="11.42578125" style="85" customWidth="1"/>
    <col min="15580" max="15580" width="14.140625" style="85" customWidth="1"/>
    <col min="15581" max="15581" width="13" style="85" bestFit="1" customWidth="1"/>
    <col min="15582" max="15582" width="14.140625" style="85" customWidth="1"/>
    <col min="15583" max="15583" width="11.42578125" style="85" customWidth="1"/>
    <col min="15584" max="15584" width="15.28515625" style="85" customWidth="1"/>
    <col min="15585" max="15585" width="13" style="85" bestFit="1" customWidth="1"/>
    <col min="15586" max="15586" width="15.85546875" style="85" customWidth="1"/>
    <col min="15587" max="15587" width="11.42578125" style="85" customWidth="1"/>
    <col min="15588" max="15588" width="14.140625" style="85" customWidth="1"/>
    <col min="15589" max="15589" width="13" style="85" bestFit="1" customWidth="1"/>
    <col min="15590" max="15590" width="15.28515625" style="85" customWidth="1"/>
    <col min="15591" max="15591" width="11.42578125" style="85"/>
    <col min="15592" max="15592" width="14.140625" style="85" bestFit="1" customWidth="1"/>
    <col min="15593" max="15593" width="13" style="85" bestFit="1" customWidth="1"/>
    <col min="15594" max="15594" width="15.28515625" style="85" bestFit="1" customWidth="1"/>
    <col min="15595" max="15596" width="11.42578125" style="85"/>
    <col min="15597" max="15597" width="13" style="85" bestFit="1" customWidth="1"/>
    <col min="15598" max="15832" width="11.42578125" style="85"/>
    <col min="15833" max="15833" width="21.5703125" style="85" customWidth="1"/>
    <col min="15834" max="15834" width="17.28515625" style="85" customWidth="1"/>
    <col min="15835" max="15835" width="11.42578125" style="85" customWidth="1"/>
    <col min="15836" max="15836" width="14.140625" style="85" customWidth="1"/>
    <col min="15837" max="15837" width="13" style="85" bestFit="1" customWidth="1"/>
    <col min="15838" max="15838" width="14.140625" style="85" customWidth="1"/>
    <col min="15839" max="15839" width="11.42578125" style="85" customWidth="1"/>
    <col min="15840" max="15840" width="15.28515625" style="85" customWidth="1"/>
    <col min="15841" max="15841" width="13" style="85" bestFit="1" customWidth="1"/>
    <col min="15842" max="15842" width="15.85546875" style="85" customWidth="1"/>
    <col min="15843" max="15843" width="11.42578125" style="85" customWidth="1"/>
    <col min="15844" max="15844" width="14.140625" style="85" customWidth="1"/>
    <col min="15845" max="15845" width="13" style="85" bestFit="1" customWidth="1"/>
    <col min="15846" max="15846" width="15.28515625" style="85" customWidth="1"/>
    <col min="15847" max="15847" width="11.42578125" style="85"/>
    <col min="15848" max="15848" width="14.140625" style="85" bestFit="1" customWidth="1"/>
    <col min="15849" max="15849" width="13" style="85" bestFit="1" customWidth="1"/>
    <col min="15850" max="15850" width="15.28515625" style="85" bestFit="1" customWidth="1"/>
    <col min="15851" max="15852" width="11.42578125" style="85"/>
    <col min="15853" max="15853" width="13" style="85" bestFit="1" customWidth="1"/>
    <col min="15854" max="16088" width="11.42578125" style="85"/>
    <col min="16089" max="16089" width="21.5703125" style="85" customWidth="1"/>
    <col min="16090" max="16090" width="17.28515625" style="85" customWidth="1"/>
    <col min="16091" max="16091" width="11.42578125" style="85" customWidth="1"/>
    <col min="16092" max="16092" width="14.140625" style="85" customWidth="1"/>
    <col min="16093" max="16093" width="13" style="85" bestFit="1" customWidth="1"/>
    <col min="16094" max="16094" width="14.140625" style="85" customWidth="1"/>
    <col min="16095" max="16095" width="11.42578125" style="85" customWidth="1"/>
    <col min="16096" max="16096" width="15.28515625" style="85" customWidth="1"/>
    <col min="16097" max="16097" width="13" style="85" bestFit="1" customWidth="1"/>
    <col min="16098" max="16098" width="15.85546875" style="85" customWidth="1"/>
    <col min="16099" max="16099" width="11.42578125" style="85" customWidth="1"/>
    <col min="16100" max="16100" width="14.140625" style="85" customWidth="1"/>
    <col min="16101" max="16101" width="13" style="85" bestFit="1" customWidth="1"/>
    <col min="16102" max="16102" width="15.28515625" style="85" customWidth="1"/>
    <col min="16103" max="16103" width="11.42578125" style="85"/>
    <col min="16104" max="16104" width="14.140625" style="85" bestFit="1" customWidth="1"/>
    <col min="16105" max="16105" width="13" style="85" bestFit="1" customWidth="1"/>
    <col min="16106" max="16106" width="15.28515625" style="85" bestFit="1" customWidth="1"/>
    <col min="16107" max="16108" width="11.42578125" style="85"/>
    <col min="16109" max="16109" width="13" style="85" bestFit="1" customWidth="1"/>
    <col min="16110" max="16384" width="11.42578125" style="85"/>
  </cols>
  <sheetData>
    <row r="1" spans="1:19" ht="8.25" customHeight="1"/>
    <row r="2" spans="1:19" ht="16.5" customHeight="1">
      <c r="A2" s="81" t="s">
        <v>3194</v>
      </c>
    </row>
    <row r="3" spans="1:19" ht="9" customHeight="1">
      <c r="A3" s="636"/>
      <c r="B3" s="636"/>
      <c r="C3" s="636"/>
      <c r="D3" s="636"/>
      <c r="E3" s="636"/>
      <c r="F3" s="636"/>
      <c r="G3" s="636"/>
      <c r="H3" s="636"/>
      <c r="I3" s="636"/>
      <c r="J3" s="636"/>
      <c r="K3" s="636"/>
      <c r="L3" s="636"/>
      <c r="M3" s="636"/>
      <c r="N3" s="636"/>
      <c r="O3" s="636"/>
      <c r="P3" s="636"/>
      <c r="Q3" s="636"/>
      <c r="R3" s="636"/>
      <c r="S3" s="585"/>
    </row>
    <row r="4" spans="1:19">
      <c r="A4" s="2547" t="s">
        <v>0</v>
      </c>
      <c r="B4" s="2547" t="s">
        <v>2267</v>
      </c>
      <c r="C4" s="2547" t="s">
        <v>2320</v>
      </c>
      <c r="D4" s="2547"/>
      <c r="E4" s="2547"/>
      <c r="F4" s="2547"/>
      <c r="G4" s="2547"/>
      <c r="H4" s="2547"/>
      <c r="I4" s="2547"/>
      <c r="J4" s="2547"/>
      <c r="K4" s="2547" t="s">
        <v>2321</v>
      </c>
      <c r="L4" s="2547"/>
      <c r="M4" s="2547"/>
      <c r="N4" s="2547"/>
      <c r="O4" s="2547"/>
      <c r="P4" s="2547"/>
      <c r="Q4" s="2547"/>
      <c r="R4" s="2547"/>
      <c r="S4" s="585"/>
    </row>
    <row r="5" spans="1:19" ht="12.75">
      <c r="A5" s="2548"/>
      <c r="B5" s="2548"/>
      <c r="C5" s="637" t="s">
        <v>3497</v>
      </c>
      <c r="D5" s="637" t="s">
        <v>3498</v>
      </c>
      <c r="E5" s="637" t="s">
        <v>3499</v>
      </c>
      <c r="F5" s="637" t="s">
        <v>3500</v>
      </c>
      <c r="G5" s="637" t="s">
        <v>3501</v>
      </c>
      <c r="H5" s="637" t="s">
        <v>3502</v>
      </c>
      <c r="I5" s="637" t="s">
        <v>2322</v>
      </c>
      <c r="J5" s="638" t="s">
        <v>2323</v>
      </c>
      <c r="K5" s="637" t="s">
        <v>3497</v>
      </c>
      <c r="L5" s="637" t="s">
        <v>3498</v>
      </c>
      <c r="M5" s="637" t="s">
        <v>3499</v>
      </c>
      <c r="N5" s="637" t="s">
        <v>3500</v>
      </c>
      <c r="O5" s="637" t="s">
        <v>3501</v>
      </c>
      <c r="P5" s="637" t="s">
        <v>3502</v>
      </c>
      <c r="Q5" s="637" t="s">
        <v>2322</v>
      </c>
      <c r="R5" s="638" t="s">
        <v>2323</v>
      </c>
      <c r="S5" s="585"/>
    </row>
    <row r="6" spans="1:19" s="104" customFormat="1">
      <c r="A6" s="2549" t="s">
        <v>6</v>
      </c>
      <c r="B6" s="2549"/>
      <c r="C6" s="639">
        <f t="shared" ref="C6:R6" si="0">SUM(C7:C17)</f>
        <v>108</v>
      </c>
      <c r="D6" s="639">
        <f t="shared" si="0"/>
        <v>269154000</v>
      </c>
      <c r="E6" s="639">
        <f t="shared" si="0"/>
        <v>17</v>
      </c>
      <c r="F6" s="639">
        <f t="shared" si="0"/>
        <v>343601000</v>
      </c>
      <c r="G6" s="639">
        <f t="shared" si="0"/>
        <v>48</v>
      </c>
      <c r="H6" s="639">
        <f t="shared" si="0"/>
        <v>98156000</v>
      </c>
      <c r="I6" s="639">
        <f>SUM(I7:I17)</f>
        <v>173</v>
      </c>
      <c r="J6" s="639">
        <f t="shared" si="0"/>
        <v>710911000</v>
      </c>
      <c r="K6" s="639">
        <f t="shared" si="0"/>
        <v>102</v>
      </c>
      <c r="L6" s="639">
        <f t="shared" si="0"/>
        <v>273191000</v>
      </c>
      <c r="M6" s="639">
        <f t="shared" si="0"/>
        <v>15</v>
      </c>
      <c r="N6" s="639">
        <f t="shared" si="0"/>
        <v>318755000</v>
      </c>
      <c r="O6" s="640">
        <f t="shared" si="0"/>
        <v>43</v>
      </c>
      <c r="P6" s="639">
        <f t="shared" si="0"/>
        <v>116057665</v>
      </c>
      <c r="Q6" s="640">
        <f t="shared" si="0"/>
        <v>160</v>
      </c>
      <c r="R6" s="639">
        <f t="shared" si="0"/>
        <v>708003665</v>
      </c>
      <c r="S6" s="194"/>
    </row>
    <row r="7" spans="1:19" s="104" customFormat="1">
      <c r="A7" s="618" t="s">
        <v>7</v>
      </c>
      <c r="B7" s="641" t="s">
        <v>33</v>
      </c>
      <c r="C7" s="642">
        <v>7</v>
      </c>
      <c r="D7" s="643">
        <v>25000000</v>
      </c>
      <c r="E7" s="644">
        <v>1</v>
      </c>
      <c r="F7" s="643">
        <v>20000000</v>
      </c>
      <c r="G7" s="642">
        <v>1</v>
      </c>
      <c r="H7" s="643">
        <v>7000000</v>
      </c>
      <c r="I7" s="642">
        <f>C7+E7+G7</f>
        <v>9</v>
      </c>
      <c r="J7" s="643">
        <f t="shared" ref="J7:J17" si="1">D7+F7+H7</f>
        <v>52000000</v>
      </c>
      <c r="K7" s="644">
        <v>5</v>
      </c>
      <c r="L7" s="643">
        <v>28000000</v>
      </c>
      <c r="M7" s="644">
        <v>2</v>
      </c>
      <c r="N7" s="643">
        <v>65000000</v>
      </c>
      <c r="O7" s="642">
        <v>1</v>
      </c>
      <c r="P7" s="643">
        <v>8000000</v>
      </c>
      <c r="Q7" s="642">
        <f t="shared" ref="Q7:R17" si="2">K7+M7+O7</f>
        <v>8</v>
      </c>
      <c r="R7" s="643">
        <f t="shared" si="2"/>
        <v>101000000</v>
      </c>
      <c r="S7" s="194"/>
    </row>
    <row r="8" spans="1:19" s="104" customFormat="1" ht="22.5">
      <c r="A8" s="618" t="s">
        <v>2324</v>
      </c>
      <c r="B8" s="641" t="s">
        <v>35</v>
      </c>
      <c r="C8" s="642">
        <v>12</v>
      </c>
      <c r="D8" s="643">
        <v>39000000</v>
      </c>
      <c r="E8" s="644">
        <v>2</v>
      </c>
      <c r="F8" s="643">
        <v>56934000</v>
      </c>
      <c r="G8" s="642">
        <v>2</v>
      </c>
      <c r="H8" s="643">
        <v>15000000</v>
      </c>
      <c r="I8" s="642">
        <f t="shared" ref="I8:I17" si="3">C8+E8+G8</f>
        <v>16</v>
      </c>
      <c r="J8" s="643">
        <f t="shared" si="1"/>
        <v>110934000</v>
      </c>
      <c r="K8" s="644">
        <v>11</v>
      </c>
      <c r="L8" s="643">
        <v>39000000</v>
      </c>
      <c r="M8" s="644">
        <v>1</v>
      </c>
      <c r="N8" s="643">
        <v>20000000</v>
      </c>
      <c r="O8" s="642">
        <v>2</v>
      </c>
      <c r="P8" s="643">
        <v>12000000</v>
      </c>
      <c r="Q8" s="642">
        <f t="shared" si="2"/>
        <v>14</v>
      </c>
      <c r="R8" s="643">
        <f t="shared" si="2"/>
        <v>71000000</v>
      </c>
      <c r="S8" s="194"/>
    </row>
    <row r="9" spans="1:19" s="104" customFormat="1">
      <c r="A9" s="618" t="s">
        <v>9</v>
      </c>
      <c r="B9" s="641" t="s">
        <v>2325</v>
      </c>
      <c r="C9" s="642">
        <v>7</v>
      </c>
      <c r="D9" s="643">
        <v>12000000</v>
      </c>
      <c r="E9" s="644">
        <v>1</v>
      </c>
      <c r="F9" s="643">
        <v>20000000</v>
      </c>
      <c r="G9" s="642">
        <v>4</v>
      </c>
      <c r="H9" s="643">
        <v>8000000</v>
      </c>
      <c r="I9" s="642">
        <f t="shared" si="3"/>
        <v>12</v>
      </c>
      <c r="J9" s="643">
        <f t="shared" si="1"/>
        <v>40000000</v>
      </c>
      <c r="K9" s="644">
        <v>4</v>
      </c>
      <c r="L9" s="643">
        <v>12000000</v>
      </c>
      <c r="M9" s="644">
        <v>1</v>
      </c>
      <c r="N9" s="643">
        <v>20000000</v>
      </c>
      <c r="O9" s="642">
        <v>3</v>
      </c>
      <c r="P9" s="643">
        <v>6000000</v>
      </c>
      <c r="Q9" s="642">
        <f t="shared" si="2"/>
        <v>8</v>
      </c>
      <c r="R9" s="643">
        <f t="shared" si="2"/>
        <v>38000000</v>
      </c>
      <c r="S9" s="194"/>
    </row>
    <row r="10" spans="1:19" s="104" customFormat="1">
      <c r="A10" s="618" t="s">
        <v>12</v>
      </c>
      <c r="B10" s="641" t="s">
        <v>251</v>
      </c>
      <c r="C10" s="642">
        <v>4</v>
      </c>
      <c r="D10" s="643">
        <v>16000000</v>
      </c>
      <c r="E10" s="644">
        <v>2</v>
      </c>
      <c r="F10" s="643">
        <v>53333000</v>
      </c>
      <c r="G10" s="642">
        <v>1</v>
      </c>
      <c r="H10" s="643">
        <v>8000000</v>
      </c>
      <c r="I10" s="642">
        <f t="shared" si="3"/>
        <v>7</v>
      </c>
      <c r="J10" s="643">
        <f t="shared" si="1"/>
        <v>77333000</v>
      </c>
      <c r="K10" s="644">
        <v>3</v>
      </c>
      <c r="L10" s="643">
        <v>12000000</v>
      </c>
      <c r="M10" s="644">
        <v>1</v>
      </c>
      <c r="N10" s="643">
        <v>10000000</v>
      </c>
      <c r="O10" s="642">
        <v>1</v>
      </c>
      <c r="P10" s="643">
        <v>6000000</v>
      </c>
      <c r="Q10" s="642">
        <f t="shared" si="2"/>
        <v>5</v>
      </c>
      <c r="R10" s="643">
        <f t="shared" si="2"/>
        <v>28000000</v>
      </c>
      <c r="S10" s="194"/>
    </row>
    <row r="11" spans="1:19" s="104" customFormat="1" ht="43.5" customHeight="1">
      <c r="A11" s="618" t="s">
        <v>2326</v>
      </c>
      <c r="B11" s="641" t="s">
        <v>186</v>
      </c>
      <c r="C11" s="642">
        <v>16</v>
      </c>
      <c r="D11" s="643">
        <v>43000000</v>
      </c>
      <c r="E11" s="644">
        <v>2</v>
      </c>
      <c r="F11" s="643">
        <v>30000000</v>
      </c>
      <c r="G11" s="642">
        <v>7</v>
      </c>
      <c r="H11" s="643">
        <v>16000000</v>
      </c>
      <c r="I11" s="642">
        <f t="shared" si="3"/>
        <v>25</v>
      </c>
      <c r="J11" s="643">
        <f t="shared" si="1"/>
        <v>89000000</v>
      </c>
      <c r="K11" s="644">
        <v>11</v>
      </c>
      <c r="L11" s="643">
        <v>45000000</v>
      </c>
      <c r="M11" s="644">
        <v>1</v>
      </c>
      <c r="N11" s="643">
        <v>15000000</v>
      </c>
      <c r="O11" s="642">
        <v>2</v>
      </c>
      <c r="P11" s="643">
        <v>18267000</v>
      </c>
      <c r="Q11" s="642">
        <f t="shared" si="2"/>
        <v>14</v>
      </c>
      <c r="R11" s="643">
        <f t="shared" si="2"/>
        <v>78267000</v>
      </c>
      <c r="S11" s="194"/>
    </row>
    <row r="12" spans="1:19" s="104" customFormat="1">
      <c r="A12" s="618" t="s">
        <v>2327</v>
      </c>
      <c r="B12" s="641" t="s">
        <v>2328</v>
      </c>
      <c r="C12" s="642">
        <v>19</v>
      </c>
      <c r="D12" s="643">
        <v>22000000</v>
      </c>
      <c r="E12" s="644">
        <v>1</v>
      </c>
      <c r="F12" s="643">
        <v>10000000</v>
      </c>
      <c r="G12" s="642">
        <v>10</v>
      </c>
      <c r="H12" s="643">
        <v>10000000</v>
      </c>
      <c r="I12" s="642">
        <f t="shared" si="3"/>
        <v>30</v>
      </c>
      <c r="J12" s="643">
        <f t="shared" si="1"/>
        <v>42000000</v>
      </c>
      <c r="K12" s="644">
        <v>22</v>
      </c>
      <c r="L12" s="643">
        <v>20000000</v>
      </c>
      <c r="M12" s="644">
        <v>1</v>
      </c>
      <c r="N12" s="643">
        <v>10000000</v>
      </c>
      <c r="O12" s="642">
        <v>13</v>
      </c>
      <c r="P12" s="643">
        <v>12000000</v>
      </c>
      <c r="Q12" s="642">
        <f t="shared" si="2"/>
        <v>36</v>
      </c>
      <c r="R12" s="643">
        <f t="shared" si="2"/>
        <v>42000000</v>
      </c>
      <c r="S12" s="194"/>
    </row>
    <row r="13" spans="1:19" s="104" customFormat="1">
      <c r="A13" s="618" t="s">
        <v>379</v>
      </c>
      <c r="B13" s="641" t="s">
        <v>181</v>
      </c>
      <c r="C13" s="642">
        <v>15</v>
      </c>
      <c r="D13" s="643">
        <v>43000000</v>
      </c>
      <c r="E13" s="644">
        <v>2</v>
      </c>
      <c r="F13" s="643">
        <v>20000000</v>
      </c>
      <c r="G13" s="642">
        <v>13</v>
      </c>
      <c r="H13" s="643">
        <v>13156000</v>
      </c>
      <c r="I13" s="642">
        <f t="shared" si="3"/>
        <v>30</v>
      </c>
      <c r="J13" s="643">
        <f t="shared" si="1"/>
        <v>76156000</v>
      </c>
      <c r="K13" s="644">
        <v>18</v>
      </c>
      <c r="L13" s="643">
        <v>45000000</v>
      </c>
      <c r="M13" s="644">
        <v>1</v>
      </c>
      <c r="N13" s="643">
        <v>13755000</v>
      </c>
      <c r="O13" s="642">
        <v>13</v>
      </c>
      <c r="P13" s="643">
        <v>18000000</v>
      </c>
      <c r="Q13" s="642">
        <f t="shared" si="2"/>
        <v>32</v>
      </c>
      <c r="R13" s="643">
        <f t="shared" si="2"/>
        <v>76755000</v>
      </c>
      <c r="S13" s="194"/>
    </row>
    <row r="14" spans="1:19" s="104" customFormat="1">
      <c r="A14" s="618" t="s">
        <v>276</v>
      </c>
      <c r="B14" s="641" t="s">
        <v>182</v>
      </c>
      <c r="C14" s="642">
        <v>8</v>
      </c>
      <c r="D14" s="643">
        <v>17154000</v>
      </c>
      <c r="E14" s="644">
        <v>1</v>
      </c>
      <c r="F14" s="643">
        <v>10000000</v>
      </c>
      <c r="G14" s="642">
        <v>3</v>
      </c>
      <c r="H14" s="643">
        <v>5000000</v>
      </c>
      <c r="I14" s="642">
        <f t="shared" si="3"/>
        <v>12</v>
      </c>
      <c r="J14" s="643">
        <f t="shared" si="1"/>
        <v>32154000</v>
      </c>
      <c r="K14" s="644">
        <v>9</v>
      </c>
      <c r="L14" s="643">
        <v>12191000</v>
      </c>
      <c r="M14" s="644">
        <v>2</v>
      </c>
      <c r="N14" s="643">
        <v>22000000</v>
      </c>
      <c r="O14" s="642">
        <v>1</v>
      </c>
      <c r="P14" s="643">
        <v>8000000</v>
      </c>
      <c r="Q14" s="642">
        <f t="shared" si="2"/>
        <v>12</v>
      </c>
      <c r="R14" s="643">
        <f t="shared" si="2"/>
        <v>42191000</v>
      </c>
      <c r="S14" s="194"/>
    </row>
    <row r="15" spans="1:19" s="104" customFormat="1">
      <c r="A15" s="618" t="s">
        <v>2329</v>
      </c>
      <c r="B15" s="641" t="s">
        <v>47</v>
      </c>
      <c r="C15" s="642">
        <v>14</v>
      </c>
      <c r="D15" s="643">
        <v>35000000</v>
      </c>
      <c r="E15" s="644">
        <v>2</v>
      </c>
      <c r="F15" s="643">
        <v>38000000</v>
      </c>
      <c r="G15" s="642">
        <v>6</v>
      </c>
      <c r="H15" s="643">
        <v>9000000</v>
      </c>
      <c r="I15" s="642">
        <f t="shared" si="3"/>
        <v>22</v>
      </c>
      <c r="J15" s="643">
        <f t="shared" si="1"/>
        <v>82000000</v>
      </c>
      <c r="K15" s="644">
        <v>12</v>
      </c>
      <c r="L15" s="643">
        <v>40000000</v>
      </c>
      <c r="M15" s="644">
        <v>2</v>
      </c>
      <c r="N15" s="643">
        <v>25000000</v>
      </c>
      <c r="O15" s="642">
        <v>6</v>
      </c>
      <c r="P15" s="643">
        <v>21790665</v>
      </c>
      <c r="Q15" s="642">
        <f t="shared" si="2"/>
        <v>20</v>
      </c>
      <c r="R15" s="643">
        <f t="shared" si="2"/>
        <v>86790665</v>
      </c>
      <c r="S15" s="194"/>
    </row>
    <row r="16" spans="1:19" s="104" customFormat="1">
      <c r="A16" s="618" t="s">
        <v>21</v>
      </c>
      <c r="B16" s="641" t="s">
        <v>185</v>
      </c>
      <c r="C16" s="642">
        <v>6</v>
      </c>
      <c r="D16" s="643">
        <v>17000000</v>
      </c>
      <c r="E16" s="644">
        <v>1</v>
      </c>
      <c r="F16" s="643">
        <v>10000000</v>
      </c>
      <c r="G16" s="642">
        <v>1</v>
      </c>
      <c r="H16" s="643">
        <v>7000000</v>
      </c>
      <c r="I16" s="642">
        <f t="shared" si="3"/>
        <v>8</v>
      </c>
      <c r="J16" s="643">
        <f t="shared" si="1"/>
        <v>34000000</v>
      </c>
      <c r="K16" s="644">
        <v>6</v>
      </c>
      <c r="L16" s="643">
        <v>15000000</v>
      </c>
      <c r="M16" s="644">
        <v>1</v>
      </c>
      <c r="N16" s="643">
        <v>15000000</v>
      </c>
      <c r="O16" s="642">
        <v>1</v>
      </c>
      <c r="P16" s="643">
        <v>6000000</v>
      </c>
      <c r="Q16" s="642">
        <f t="shared" si="2"/>
        <v>8</v>
      </c>
      <c r="R16" s="643">
        <f t="shared" si="2"/>
        <v>36000000</v>
      </c>
      <c r="S16" s="194"/>
    </row>
    <row r="17" spans="1:19" s="104" customFormat="1">
      <c r="A17" s="641" t="s">
        <v>2330</v>
      </c>
      <c r="B17" s="641" t="s">
        <v>2331</v>
      </c>
      <c r="C17" s="642">
        <v>0</v>
      </c>
      <c r="D17" s="643">
        <v>0</v>
      </c>
      <c r="E17" s="644">
        <v>2</v>
      </c>
      <c r="F17" s="643">
        <v>75334000</v>
      </c>
      <c r="G17" s="642">
        <v>0</v>
      </c>
      <c r="H17" s="643">
        <v>0</v>
      </c>
      <c r="I17" s="642">
        <f t="shared" si="3"/>
        <v>2</v>
      </c>
      <c r="J17" s="643">
        <f t="shared" si="1"/>
        <v>75334000</v>
      </c>
      <c r="K17" s="644">
        <v>1</v>
      </c>
      <c r="L17" s="643">
        <v>5000000</v>
      </c>
      <c r="M17" s="644">
        <v>2</v>
      </c>
      <c r="N17" s="643">
        <v>103000000</v>
      </c>
      <c r="O17" s="642">
        <v>0</v>
      </c>
      <c r="P17" s="643">
        <v>0</v>
      </c>
      <c r="Q17" s="642">
        <f t="shared" si="2"/>
        <v>3</v>
      </c>
      <c r="R17" s="643">
        <f t="shared" si="2"/>
        <v>108000000</v>
      </c>
      <c r="S17" s="194"/>
    </row>
    <row r="18" spans="1:19">
      <c r="A18" s="585"/>
      <c r="B18" s="636"/>
      <c r="C18" s="636"/>
      <c r="D18" s="636"/>
      <c r="E18" s="636"/>
      <c r="F18" s="636"/>
      <c r="G18" s="636"/>
      <c r="H18" s="636"/>
      <c r="I18" s="636"/>
      <c r="J18" s="636"/>
      <c r="K18" s="636"/>
      <c r="L18" s="636"/>
      <c r="M18" s="636"/>
      <c r="N18" s="636"/>
      <c r="O18" s="636"/>
      <c r="P18" s="636"/>
      <c r="Q18" s="636"/>
      <c r="R18" s="636"/>
      <c r="S18" s="585"/>
    </row>
    <row r="19" spans="1:19">
      <c r="A19" s="550" t="s">
        <v>3195</v>
      </c>
      <c r="B19" s="585"/>
      <c r="C19" s="585"/>
      <c r="D19" s="585"/>
      <c r="E19" s="585"/>
      <c r="F19" s="585"/>
      <c r="G19" s="585"/>
      <c r="H19" s="585"/>
      <c r="I19" s="585"/>
      <c r="J19" s="585"/>
      <c r="K19" s="585"/>
      <c r="L19" s="585"/>
      <c r="M19" s="585"/>
      <c r="N19" s="585"/>
      <c r="O19" s="585"/>
      <c r="P19" s="585"/>
      <c r="Q19" s="585"/>
      <c r="R19" s="585"/>
      <c r="S19" s="585"/>
    </row>
    <row r="20" spans="1:19">
      <c r="A20" s="550"/>
      <c r="B20" s="585"/>
      <c r="C20" s="585"/>
      <c r="D20" s="585"/>
      <c r="E20" s="585"/>
      <c r="F20" s="585"/>
      <c r="G20" s="585"/>
      <c r="H20" s="585"/>
      <c r="I20" s="585"/>
      <c r="J20" s="585"/>
      <c r="K20" s="585"/>
      <c r="L20" s="585"/>
      <c r="M20" s="585"/>
      <c r="N20" s="585"/>
      <c r="O20" s="585"/>
      <c r="P20" s="585"/>
      <c r="Q20" s="585"/>
      <c r="R20" s="585"/>
      <c r="S20" s="585"/>
    </row>
    <row r="21" spans="1:19">
      <c r="A21" s="2547" t="s">
        <v>0</v>
      </c>
      <c r="B21" s="2547" t="s">
        <v>2267</v>
      </c>
      <c r="C21" s="2547" t="s">
        <v>2332</v>
      </c>
      <c r="D21" s="2547"/>
      <c r="E21" s="2547"/>
      <c r="F21" s="2547"/>
      <c r="G21" s="2547"/>
      <c r="H21" s="2547"/>
      <c r="I21" s="2547"/>
      <c r="J21" s="2547"/>
      <c r="K21" s="2547" t="s">
        <v>2333</v>
      </c>
      <c r="L21" s="2547"/>
      <c r="M21" s="2547"/>
      <c r="N21" s="2547"/>
      <c r="O21" s="2547"/>
      <c r="P21" s="2547"/>
      <c r="Q21" s="2547"/>
      <c r="R21" s="2547"/>
      <c r="S21" s="585"/>
    </row>
    <row r="22" spans="1:19" ht="12.75">
      <c r="A22" s="2548"/>
      <c r="B22" s="2548"/>
      <c r="C22" s="637" t="s">
        <v>3497</v>
      </c>
      <c r="D22" s="637" t="s">
        <v>3498</v>
      </c>
      <c r="E22" s="637" t="s">
        <v>3499</v>
      </c>
      <c r="F22" s="637" t="s">
        <v>3500</v>
      </c>
      <c r="G22" s="637" t="s">
        <v>3501</v>
      </c>
      <c r="H22" s="637" t="s">
        <v>3502</v>
      </c>
      <c r="I22" s="637" t="s">
        <v>2322</v>
      </c>
      <c r="J22" s="638" t="s">
        <v>2323</v>
      </c>
      <c r="K22" s="637" t="s">
        <v>3497</v>
      </c>
      <c r="L22" s="637" t="s">
        <v>3498</v>
      </c>
      <c r="M22" s="637" t="s">
        <v>3499</v>
      </c>
      <c r="N22" s="637" t="s">
        <v>3500</v>
      </c>
      <c r="O22" s="637" t="s">
        <v>3501</v>
      </c>
      <c r="P22" s="637" t="s">
        <v>3502</v>
      </c>
      <c r="Q22" s="637" t="s">
        <v>2322</v>
      </c>
      <c r="R22" s="638" t="s">
        <v>2323</v>
      </c>
      <c r="S22" s="585"/>
    </row>
    <row r="23" spans="1:19" s="104" customFormat="1">
      <c r="A23" s="2546" t="s">
        <v>6</v>
      </c>
      <c r="B23" s="2546"/>
      <c r="C23" s="622">
        <f t="shared" ref="C23:H23" si="4">SUM(C24:C34)</f>
        <v>136</v>
      </c>
      <c r="D23" s="645">
        <f t="shared" si="4"/>
        <v>240945114</v>
      </c>
      <c r="E23" s="626">
        <f t="shared" si="4"/>
        <v>18</v>
      </c>
      <c r="F23" s="623">
        <f t="shared" si="4"/>
        <v>360264250</v>
      </c>
      <c r="G23" s="626">
        <f t="shared" si="4"/>
        <v>75</v>
      </c>
      <c r="H23" s="623">
        <f t="shared" si="4"/>
        <v>266273785</v>
      </c>
      <c r="I23" s="622">
        <f t="shared" ref="I23:J34" si="5">C23+E23+G23</f>
        <v>229</v>
      </c>
      <c r="J23" s="623">
        <f t="shared" si="5"/>
        <v>867483149</v>
      </c>
      <c r="K23" s="622">
        <f t="shared" ref="K23:P23" si="6">SUM(K24:K34)</f>
        <v>85</v>
      </c>
      <c r="L23" s="623">
        <f t="shared" si="6"/>
        <v>223340320</v>
      </c>
      <c r="M23" s="626">
        <f t="shared" si="6"/>
        <v>378</v>
      </c>
      <c r="N23" s="623">
        <f t="shared" si="6"/>
        <v>549798000</v>
      </c>
      <c r="O23" s="622">
        <f t="shared" si="6"/>
        <v>63</v>
      </c>
      <c r="P23" s="623">
        <f t="shared" si="6"/>
        <v>98210691</v>
      </c>
      <c r="Q23" s="622">
        <f t="shared" ref="Q23:R34" si="7">K23+M23+O23</f>
        <v>526</v>
      </c>
      <c r="R23" s="623">
        <f t="shared" si="7"/>
        <v>871349011</v>
      </c>
      <c r="S23" s="194"/>
    </row>
    <row r="24" spans="1:19" s="104" customFormat="1">
      <c r="A24" s="618" t="s">
        <v>7</v>
      </c>
      <c r="B24" s="641" t="s">
        <v>33</v>
      </c>
      <c r="C24" s="644">
        <v>10</v>
      </c>
      <c r="D24" s="643">
        <v>17250000</v>
      </c>
      <c r="E24" s="642">
        <v>1</v>
      </c>
      <c r="F24" s="643">
        <v>65000000</v>
      </c>
      <c r="G24" s="642">
        <v>1</v>
      </c>
      <c r="H24" s="643">
        <v>84000000</v>
      </c>
      <c r="I24" s="622">
        <f t="shared" si="5"/>
        <v>12</v>
      </c>
      <c r="J24" s="646">
        <f t="shared" si="5"/>
        <v>166250000</v>
      </c>
      <c r="K24" s="642">
        <v>11</v>
      </c>
      <c r="L24" s="643">
        <v>24700000</v>
      </c>
      <c r="M24" s="642">
        <v>19</v>
      </c>
      <c r="N24" s="643">
        <v>35000000</v>
      </c>
      <c r="O24" s="644">
        <v>2</v>
      </c>
      <c r="P24" s="643">
        <v>5000000</v>
      </c>
      <c r="Q24" s="538">
        <f t="shared" si="7"/>
        <v>32</v>
      </c>
      <c r="R24" s="646">
        <f t="shared" si="7"/>
        <v>64700000</v>
      </c>
      <c r="S24" s="194"/>
    </row>
    <row r="25" spans="1:19" s="104" customFormat="1" ht="22.5">
      <c r="A25" s="618" t="s">
        <v>2324</v>
      </c>
      <c r="B25" s="641" t="s">
        <v>35</v>
      </c>
      <c r="C25" s="644">
        <v>16</v>
      </c>
      <c r="D25" s="643">
        <v>23971619</v>
      </c>
      <c r="E25" s="642">
        <v>2</v>
      </c>
      <c r="F25" s="643">
        <v>20720000</v>
      </c>
      <c r="G25" s="642">
        <v>2</v>
      </c>
      <c r="H25" s="643">
        <v>13490000</v>
      </c>
      <c r="I25" s="622">
        <f t="shared" si="5"/>
        <v>20</v>
      </c>
      <c r="J25" s="646">
        <f t="shared" si="5"/>
        <v>58181619</v>
      </c>
      <c r="K25" s="642">
        <v>11</v>
      </c>
      <c r="L25" s="643">
        <v>34500000</v>
      </c>
      <c r="M25" s="642">
        <v>26</v>
      </c>
      <c r="N25" s="643">
        <v>31000000</v>
      </c>
      <c r="O25" s="644">
        <v>1</v>
      </c>
      <c r="P25" s="643">
        <v>4997300</v>
      </c>
      <c r="Q25" s="538">
        <f t="shared" si="7"/>
        <v>38</v>
      </c>
      <c r="R25" s="646">
        <f t="shared" si="7"/>
        <v>70497300</v>
      </c>
      <c r="S25" s="194"/>
    </row>
    <row r="26" spans="1:19" s="104" customFormat="1">
      <c r="A26" s="618" t="s">
        <v>9</v>
      </c>
      <c r="B26" s="641" t="s">
        <v>2325</v>
      </c>
      <c r="C26" s="644">
        <v>8</v>
      </c>
      <c r="D26" s="643">
        <v>12918295</v>
      </c>
      <c r="E26" s="642">
        <v>2</v>
      </c>
      <c r="F26" s="643">
        <v>30000000</v>
      </c>
      <c r="G26" s="642">
        <v>4</v>
      </c>
      <c r="H26" s="643">
        <v>8000000</v>
      </c>
      <c r="I26" s="622">
        <f t="shared" si="5"/>
        <v>14</v>
      </c>
      <c r="J26" s="646">
        <f t="shared" si="5"/>
        <v>50918295</v>
      </c>
      <c r="K26" s="642">
        <v>8</v>
      </c>
      <c r="L26" s="643">
        <v>8125000</v>
      </c>
      <c r="M26" s="642">
        <v>2</v>
      </c>
      <c r="N26" s="643">
        <v>32000000</v>
      </c>
      <c r="O26" s="644">
        <v>2</v>
      </c>
      <c r="P26" s="643">
        <v>5000000</v>
      </c>
      <c r="Q26" s="538">
        <f t="shared" si="7"/>
        <v>12</v>
      </c>
      <c r="R26" s="646">
        <f t="shared" si="7"/>
        <v>45125000</v>
      </c>
      <c r="S26" s="194"/>
    </row>
    <row r="27" spans="1:19" s="104" customFormat="1">
      <c r="A27" s="618" t="s">
        <v>12</v>
      </c>
      <c r="B27" s="641" t="s">
        <v>251</v>
      </c>
      <c r="C27" s="644">
        <v>3</v>
      </c>
      <c r="D27" s="643">
        <v>23817000</v>
      </c>
      <c r="E27" s="642">
        <v>2</v>
      </c>
      <c r="F27" s="643">
        <v>26280250</v>
      </c>
      <c r="G27" s="642">
        <v>1</v>
      </c>
      <c r="H27" s="643">
        <v>10000000</v>
      </c>
      <c r="I27" s="622">
        <f t="shared" si="5"/>
        <v>6</v>
      </c>
      <c r="J27" s="646">
        <f t="shared" si="5"/>
        <v>60097250</v>
      </c>
      <c r="K27" s="642">
        <v>1</v>
      </c>
      <c r="L27" s="643">
        <v>14317000</v>
      </c>
      <c r="M27" s="642">
        <v>11</v>
      </c>
      <c r="N27" s="643">
        <v>29693000</v>
      </c>
      <c r="O27" s="644">
        <v>6</v>
      </c>
      <c r="P27" s="643">
        <v>5675031</v>
      </c>
      <c r="Q27" s="538">
        <f t="shared" si="7"/>
        <v>18</v>
      </c>
      <c r="R27" s="646">
        <f t="shared" si="7"/>
        <v>49685031</v>
      </c>
      <c r="S27" s="194"/>
    </row>
    <row r="28" spans="1:19" s="104" customFormat="1" ht="45">
      <c r="A28" s="618" t="s">
        <v>2326</v>
      </c>
      <c r="B28" s="641" t="s">
        <v>186</v>
      </c>
      <c r="C28" s="644">
        <v>13</v>
      </c>
      <c r="D28" s="643">
        <v>44000000</v>
      </c>
      <c r="E28" s="642">
        <v>2</v>
      </c>
      <c r="F28" s="643">
        <v>30000000</v>
      </c>
      <c r="G28" s="642">
        <v>13</v>
      </c>
      <c r="H28" s="643">
        <v>35534000</v>
      </c>
      <c r="I28" s="622">
        <f t="shared" si="5"/>
        <v>28</v>
      </c>
      <c r="J28" s="646">
        <f t="shared" si="5"/>
        <v>109534000</v>
      </c>
      <c r="K28" s="642">
        <v>10</v>
      </c>
      <c r="L28" s="643">
        <v>26250000</v>
      </c>
      <c r="M28" s="642">
        <v>46</v>
      </c>
      <c r="N28" s="643">
        <v>75000000</v>
      </c>
      <c r="O28" s="644">
        <v>17</v>
      </c>
      <c r="P28" s="643">
        <v>20000000</v>
      </c>
      <c r="Q28" s="538">
        <f t="shared" si="7"/>
        <v>73</v>
      </c>
      <c r="R28" s="646">
        <f t="shared" si="7"/>
        <v>121250000</v>
      </c>
      <c r="S28" s="194"/>
    </row>
    <row r="29" spans="1:19" s="104" customFormat="1">
      <c r="A29" s="618" t="s">
        <v>2327</v>
      </c>
      <c r="B29" s="641" t="s">
        <v>2328</v>
      </c>
      <c r="C29" s="644">
        <v>23</v>
      </c>
      <c r="D29" s="643">
        <v>22706000</v>
      </c>
      <c r="E29" s="642">
        <v>1</v>
      </c>
      <c r="F29" s="643">
        <v>20000000</v>
      </c>
      <c r="G29" s="642">
        <v>20</v>
      </c>
      <c r="H29" s="643">
        <v>23500000</v>
      </c>
      <c r="I29" s="622">
        <f t="shared" si="5"/>
        <v>44</v>
      </c>
      <c r="J29" s="646">
        <f t="shared" si="5"/>
        <v>66206000</v>
      </c>
      <c r="K29" s="642">
        <v>17</v>
      </c>
      <c r="L29" s="643">
        <v>19023320</v>
      </c>
      <c r="M29" s="642">
        <v>55</v>
      </c>
      <c r="N29" s="643">
        <v>55000000</v>
      </c>
      <c r="O29" s="644">
        <v>10</v>
      </c>
      <c r="P29" s="643">
        <v>9948840</v>
      </c>
      <c r="Q29" s="538">
        <f t="shared" si="7"/>
        <v>82</v>
      </c>
      <c r="R29" s="646">
        <f t="shared" si="7"/>
        <v>83972160</v>
      </c>
      <c r="S29" s="194"/>
    </row>
    <row r="30" spans="1:19" s="104" customFormat="1">
      <c r="A30" s="618" t="s">
        <v>379</v>
      </c>
      <c r="B30" s="641" t="s">
        <v>181</v>
      </c>
      <c r="C30" s="644">
        <v>34</v>
      </c>
      <c r="D30" s="643">
        <v>44500000</v>
      </c>
      <c r="E30" s="642">
        <v>1</v>
      </c>
      <c r="F30" s="643">
        <v>55325000</v>
      </c>
      <c r="G30" s="642">
        <v>21</v>
      </c>
      <c r="H30" s="643">
        <v>35000000</v>
      </c>
      <c r="I30" s="622">
        <f t="shared" si="5"/>
        <v>56</v>
      </c>
      <c r="J30" s="646">
        <f t="shared" si="5"/>
        <v>134825000</v>
      </c>
      <c r="K30" s="642">
        <v>10</v>
      </c>
      <c r="L30" s="643">
        <v>38000000</v>
      </c>
      <c r="M30" s="642">
        <v>129</v>
      </c>
      <c r="N30" s="643">
        <v>100000000</v>
      </c>
      <c r="O30" s="644">
        <v>11</v>
      </c>
      <c r="P30" s="643">
        <v>13214900</v>
      </c>
      <c r="Q30" s="538">
        <f t="shared" si="7"/>
        <v>150</v>
      </c>
      <c r="R30" s="646">
        <f t="shared" si="7"/>
        <v>151214900</v>
      </c>
      <c r="S30" s="194"/>
    </row>
    <row r="31" spans="1:19" s="104" customFormat="1">
      <c r="A31" s="618" t="s">
        <v>276</v>
      </c>
      <c r="B31" s="641" t="s">
        <v>182</v>
      </c>
      <c r="C31" s="644">
        <v>12</v>
      </c>
      <c r="D31" s="643">
        <v>13282200</v>
      </c>
      <c r="E31" s="642">
        <v>3</v>
      </c>
      <c r="F31" s="643">
        <v>20000000</v>
      </c>
      <c r="G31" s="642">
        <v>2</v>
      </c>
      <c r="H31" s="643">
        <v>21000000</v>
      </c>
      <c r="I31" s="622">
        <f t="shared" si="5"/>
        <v>17</v>
      </c>
      <c r="J31" s="646">
        <f t="shared" si="5"/>
        <v>54282200</v>
      </c>
      <c r="K31" s="642">
        <v>7</v>
      </c>
      <c r="L31" s="643">
        <v>13840440</v>
      </c>
      <c r="M31" s="642">
        <v>42</v>
      </c>
      <c r="N31" s="643">
        <v>42000000</v>
      </c>
      <c r="O31" s="644">
        <v>6</v>
      </c>
      <c r="P31" s="643">
        <v>9199620</v>
      </c>
      <c r="Q31" s="538">
        <f t="shared" si="7"/>
        <v>55</v>
      </c>
      <c r="R31" s="646">
        <f t="shared" si="7"/>
        <v>65040060</v>
      </c>
      <c r="S31" s="194"/>
    </row>
    <row r="32" spans="1:19" s="104" customFormat="1">
      <c r="A32" s="618" t="s">
        <v>2329</v>
      </c>
      <c r="B32" s="641" t="s">
        <v>47</v>
      </c>
      <c r="C32" s="644">
        <v>12</v>
      </c>
      <c r="D32" s="643">
        <v>23000000</v>
      </c>
      <c r="E32" s="642">
        <v>3</v>
      </c>
      <c r="F32" s="643">
        <v>40000000</v>
      </c>
      <c r="G32" s="642">
        <v>9</v>
      </c>
      <c r="H32" s="643">
        <v>18250198</v>
      </c>
      <c r="I32" s="622">
        <f t="shared" si="5"/>
        <v>24</v>
      </c>
      <c r="J32" s="646">
        <f t="shared" si="5"/>
        <v>81250198</v>
      </c>
      <c r="K32" s="642">
        <v>6</v>
      </c>
      <c r="L32" s="643">
        <v>30000000</v>
      </c>
      <c r="M32" s="642">
        <v>43</v>
      </c>
      <c r="N32" s="643">
        <v>45000000</v>
      </c>
      <c r="O32" s="644">
        <v>5</v>
      </c>
      <c r="P32" s="643">
        <v>5000000</v>
      </c>
      <c r="Q32" s="538">
        <f t="shared" si="7"/>
        <v>54</v>
      </c>
      <c r="R32" s="646">
        <f t="shared" si="7"/>
        <v>80000000</v>
      </c>
      <c r="S32" s="194"/>
    </row>
    <row r="33" spans="1:19" s="104" customFormat="1">
      <c r="A33" s="618" t="s">
        <v>21</v>
      </c>
      <c r="B33" s="641" t="s">
        <v>185</v>
      </c>
      <c r="C33" s="644">
        <v>4</v>
      </c>
      <c r="D33" s="643">
        <v>13153275</v>
      </c>
      <c r="E33" s="642">
        <v>0</v>
      </c>
      <c r="F33" s="643">
        <v>9939000</v>
      </c>
      <c r="G33" s="642">
        <v>1</v>
      </c>
      <c r="H33" s="643">
        <v>7500000</v>
      </c>
      <c r="I33" s="622">
        <f t="shared" si="5"/>
        <v>5</v>
      </c>
      <c r="J33" s="646">
        <f t="shared" si="5"/>
        <v>30592275</v>
      </c>
      <c r="K33" s="642">
        <v>4</v>
      </c>
      <c r="L33" s="643">
        <v>14584560</v>
      </c>
      <c r="M33" s="642">
        <v>5</v>
      </c>
      <c r="N33" s="643">
        <v>10000000</v>
      </c>
      <c r="O33" s="644">
        <v>2</v>
      </c>
      <c r="P33" s="643">
        <v>6000000</v>
      </c>
      <c r="Q33" s="538">
        <f t="shared" si="7"/>
        <v>11</v>
      </c>
      <c r="R33" s="646">
        <f t="shared" si="7"/>
        <v>30584560</v>
      </c>
      <c r="S33" s="194"/>
    </row>
    <row r="34" spans="1:19" s="104" customFormat="1">
      <c r="A34" s="641" t="s">
        <v>2330</v>
      </c>
      <c r="B34" s="641" t="s">
        <v>2334</v>
      </c>
      <c r="C34" s="644">
        <v>1</v>
      </c>
      <c r="D34" s="643">
        <v>2346725</v>
      </c>
      <c r="E34" s="642">
        <v>1</v>
      </c>
      <c r="F34" s="643">
        <v>43000000</v>
      </c>
      <c r="G34" s="642">
        <v>1</v>
      </c>
      <c r="H34" s="643">
        <v>9999587</v>
      </c>
      <c r="I34" s="622">
        <f t="shared" si="5"/>
        <v>3</v>
      </c>
      <c r="J34" s="646">
        <f t="shared" si="5"/>
        <v>55346312</v>
      </c>
      <c r="K34" s="642">
        <v>0</v>
      </c>
      <c r="L34" s="643">
        <v>0</v>
      </c>
      <c r="M34" s="642">
        <v>0</v>
      </c>
      <c r="N34" s="643">
        <v>95105000</v>
      </c>
      <c r="O34" s="644">
        <v>1</v>
      </c>
      <c r="P34" s="643">
        <v>14175000</v>
      </c>
      <c r="Q34" s="538">
        <f t="shared" si="7"/>
        <v>1</v>
      </c>
      <c r="R34" s="646">
        <f t="shared" si="7"/>
        <v>109280000</v>
      </c>
      <c r="S34" s="194"/>
    </row>
    <row r="35" spans="1:19" s="104" customFormat="1" ht="7.5" customHeight="1">
      <c r="A35" s="641"/>
      <c r="B35" s="641"/>
      <c r="C35" s="644"/>
      <c r="D35" s="643"/>
      <c r="E35" s="644"/>
      <c r="F35" s="643"/>
      <c r="G35" s="644"/>
      <c r="H35" s="643"/>
      <c r="I35" s="622"/>
      <c r="J35" s="646"/>
      <c r="K35" s="644"/>
      <c r="L35" s="643"/>
      <c r="M35" s="644"/>
      <c r="N35" s="643"/>
      <c r="O35" s="644"/>
      <c r="P35" s="643"/>
      <c r="Q35" s="538"/>
      <c r="R35" s="646"/>
      <c r="S35" s="194"/>
    </row>
    <row r="36" spans="1:19">
      <c r="A36" s="585"/>
      <c r="B36" s="585"/>
      <c r="C36" s="585"/>
      <c r="D36" s="585"/>
      <c r="E36" s="585"/>
      <c r="F36" s="585"/>
      <c r="G36" s="585"/>
      <c r="H36" s="585"/>
      <c r="I36" s="585"/>
      <c r="J36" s="585"/>
      <c r="K36" s="585"/>
      <c r="L36" s="585"/>
      <c r="M36" s="585"/>
      <c r="N36" s="585"/>
      <c r="O36" s="585"/>
      <c r="P36" s="585"/>
      <c r="Q36" s="585"/>
      <c r="R36" s="585"/>
      <c r="S36" s="585"/>
    </row>
    <row r="37" spans="1:19">
      <c r="A37" s="550" t="s">
        <v>3195</v>
      </c>
      <c r="B37" s="585"/>
      <c r="C37" s="585"/>
      <c r="D37" s="585"/>
      <c r="E37" s="585"/>
      <c r="F37" s="585"/>
      <c r="G37" s="585"/>
      <c r="H37" s="585"/>
      <c r="I37" s="585"/>
      <c r="J37" s="585"/>
      <c r="K37" s="585"/>
      <c r="L37" s="585"/>
      <c r="M37" s="585"/>
      <c r="N37" s="585"/>
      <c r="O37" s="585"/>
      <c r="P37" s="585"/>
      <c r="Q37" s="585"/>
      <c r="R37" s="585"/>
      <c r="S37" s="585"/>
    </row>
    <row r="38" spans="1:19">
      <c r="A38" s="550"/>
      <c r="B38" s="585"/>
      <c r="C38" s="585"/>
      <c r="D38" s="585"/>
      <c r="E38" s="585"/>
      <c r="F38" s="585"/>
      <c r="G38" s="585"/>
      <c r="H38" s="585"/>
      <c r="I38" s="585"/>
      <c r="J38" s="585"/>
      <c r="K38" s="585"/>
      <c r="L38" s="585"/>
      <c r="M38" s="585"/>
      <c r="N38" s="585"/>
      <c r="O38" s="585"/>
      <c r="P38" s="585"/>
      <c r="Q38" s="585"/>
      <c r="R38" s="585"/>
      <c r="S38" s="585"/>
    </row>
    <row r="39" spans="1:19">
      <c r="A39" s="2547" t="s">
        <v>0</v>
      </c>
      <c r="B39" s="2547" t="s">
        <v>2267</v>
      </c>
      <c r="C39" s="2547" t="s">
        <v>2335</v>
      </c>
      <c r="D39" s="2547"/>
      <c r="E39" s="2547"/>
      <c r="F39" s="2547"/>
      <c r="G39" s="2547"/>
      <c r="H39" s="2547"/>
      <c r="I39" s="2547"/>
      <c r="J39" s="2547"/>
      <c r="K39" s="2547" t="s">
        <v>3196</v>
      </c>
      <c r="L39" s="2547"/>
      <c r="M39" s="2547"/>
      <c r="N39" s="2547"/>
      <c r="O39" s="2547"/>
      <c r="P39" s="2547"/>
      <c r="Q39" s="2547"/>
      <c r="R39" s="2547"/>
      <c r="S39" s="585"/>
    </row>
    <row r="40" spans="1:19" ht="12.75">
      <c r="A40" s="2548"/>
      <c r="B40" s="2548"/>
      <c r="C40" s="637" t="s">
        <v>3497</v>
      </c>
      <c r="D40" s="637" t="s">
        <v>3498</v>
      </c>
      <c r="E40" s="637" t="s">
        <v>3499</v>
      </c>
      <c r="F40" s="637" t="s">
        <v>3500</v>
      </c>
      <c r="G40" s="637" t="s">
        <v>3501</v>
      </c>
      <c r="H40" s="637" t="s">
        <v>3502</v>
      </c>
      <c r="I40" s="637" t="s">
        <v>2322</v>
      </c>
      <c r="J40" s="638" t="s">
        <v>2323</v>
      </c>
      <c r="K40" s="637" t="s">
        <v>3497</v>
      </c>
      <c r="L40" s="637" t="s">
        <v>3498</v>
      </c>
      <c r="M40" s="637" t="s">
        <v>3499</v>
      </c>
      <c r="N40" s="637" t="s">
        <v>3500</v>
      </c>
      <c r="O40" s="637" t="s">
        <v>3501</v>
      </c>
      <c r="P40" s="637" t="s">
        <v>3502</v>
      </c>
      <c r="Q40" s="637" t="s">
        <v>2322</v>
      </c>
      <c r="R40" s="638" t="s">
        <v>2323</v>
      </c>
      <c r="S40" s="585"/>
    </row>
    <row r="41" spans="1:19" s="104" customFormat="1">
      <c r="A41" s="2546" t="s">
        <v>6</v>
      </c>
      <c r="B41" s="2546"/>
      <c r="C41" s="622">
        <v>95</v>
      </c>
      <c r="D41" s="623">
        <f>SUM(D42:D52)</f>
        <v>312000000</v>
      </c>
      <c r="E41" s="622">
        <f>SUM(E42:E52)</f>
        <v>29</v>
      </c>
      <c r="F41" s="623">
        <f>SUM(F42:F52)</f>
        <v>707618000</v>
      </c>
      <c r="G41" s="626">
        <f>SUM(G42:G52)</f>
        <v>1156</v>
      </c>
      <c r="H41" s="623">
        <f>SUM(H42:H52)</f>
        <v>166000000</v>
      </c>
      <c r="I41" s="622">
        <f t="shared" ref="I41:J52" si="8">C41+E41+G41</f>
        <v>1280</v>
      </c>
      <c r="J41" s="647">
        <f t="shared" si="8"/>
        <v>1185618000</v>
      </c>
      <c r="K41" s="622">
        <f t="shared" ref="K41:P41" si="9">SUM(K42:K52)</f>
        <v>93</v>
      </c>
      <c r="L41" s="623">
        <f t="shared" si="9"/>
        <v>200141000</v>
      </c>
      <c r="M41" s="622">
        <f t="shared" si="9"/>
        <v>423</v>
      </c>
      <c r="N41" s="623">
        <f t="shared" si="9"/>
        <v>755965000</v>
      </c>
      <c r="O41" s="626">
        <f t="shared" si="9"/>
        <v>51</v>
      </c>
      <c r="P41" s="623">
        <f t="shared" si="9"/>
        <v>92710000</v>
      </c>
      <c r="Q41" s="622">
        <f t="shared" ref="Q41:R52" si="10">K41+M41+O41</f>
        <v>567</v>
      </c>
      <c r="R41" s="647">
        <f t="shared" si="10"/>
        <v>1048816000</v>
      </c>
      <c r="S41" s="194"/>
    </row>
    <row r="42" spans="1:19" s="104" customFormat="1">
      <c r="A42" s="618" t="s">
        <v>7</v>
      </c>
      <c r="B42" s="641" t="s">
        <v>33</v>
      </c>
      <c r="C42" s="644">
        <v>7</v>
      </c>
      <c r="D42" s="643">
        <v>27000000</v>
      </c>
      <c r="E42" s="644">
        <v>2</v>
      </c>
      <c r="F42" s="643">
        <v>45000000</v>
      </c>
      <c r="G42" s="642">
        <v>0</v>
      </c>
      <c r="H42" s="643">
        <v>6000000</v>
      </c>
      <c r="I42" s="538">
        <f t="shared" si="8"/>
        <v>9</v>
      </c>
      <c r="J42" s="648">
        <f t="shared" si="8"/>
        <v>78000000</v>
      </c>
      <c r="K42" s="644">
        <v>5</v>
      </c>
      <c r="L42" s="643">
        <v>10000000</v>
      </c>
      <c r="M42" s="644">
        <v>2</v>
      </c>
      <c r="N42" s="643">
        <v>16295000</v>
      </c>
      <c r="O42" s="642">
        <v>1</v>
      </c>
      <c r="P42" s="643">
        <v>6000000</v>
      </c>
      <c r="Q42" s="538">
        <f t="shared" si="10"/>
        <v>8</v>
      </c>
      <c r="R42" s="648">
        <f t="shared" si="10"/>
        <v>32295000</v>
      </c>
      <c r="S42" s="194"/>
    </row>
    <row r="43" spans="1:19" s="104" customFormat="1" ht="22.5">
      <c r="A43" s="618" t="s">
        <v>2324</v>
      </c>
      <c r="B43" s="641" t="s">
        <v>35</v>
      </c>
      <c r="C43" s="644">
        <v>9</v>
      </c>
      <c r="D43" s="643">
        <v>22000000</v>
      </c>
      <c r="E43" s="644">
        <v>2</v>
      </c>
      <c r="F43" s="643">
        <v>41700000</v>
      </c>
      <c r="G43" s="642">
        <v>0</v>
      </c>
      <c r="H43" s="643">
        <v>10000000</v>
      </c>
      <c r="I43" s="538">
        <f t="shared" si="8"/>
        <v>11</v>
      </c>
      <c r="J43" s="648">
        <f t="shared" si="8"/>
        <v>73700000</v>
      </c>
      <c r="K43" s="644">
        <v>11</v>
      </c>
      <c r="L43" s="643">
        <v>16500000</v>
      </c>
      <c r="M43" s="644">
        <v>15</v>
      </c>
      <c r="N43" s="643">
        <v>43330000</v>
      </c>
      <c r="O43" s="642">
        <v>1</v>
      </c>
      <c r="P43" s="643">
        <v>2360000</v>
      </c>
      <c r="Q43" s="538">
        <f t="shared" si="10"/>
        <v>27</v>
      </c>
      <c r="R43" s="648">
        <f t="shared" si="10"/>
        <v>62190000</v>
      </c>
      <c r="S43" s="194"/>
    </row>
    <row r="44" spans="1:19" s="104" customFormat="1">
      <c r="A44" s="618" t="s">
        <v>9</v>
      </c>
      <c r="B44" s="641" t="s">
        <v>2325</v>
      </c>
      <c r="C44" s="644">
        <v>6</v>
      </c>
      <c r="D44" s="643">
        <v>14000000</v>
      </c>
      <c r="E44" s="644">
        <v>2</v>
      </c>
      <c r="F44" s="643">
        <v>22000000</v>
      </c>
      <c r="G44" s="642">
        <v>240</v>
      </c>
      <c r="H44" s="643">
        <v>5000000</v>
      </c>
      <c r="I44" s="538">
        <f t="shared" si="8"/>
        <v>248</v>
      </c>
      <c r="J44" s="648">
        <f t="shared" si="8"/>
        <v>41000000</v>
      </c>
      <c r="K44" s="644">
        <v>6</v>
      </c>
      <c r="L44" s="643">
        <v>17161000</v>
      </c>
      <c r="M44" s="644">
        <v>9</v>
      </c>
      <c r="N44" s="643">
        <v>153000000</v>
      </c>
      <c r="O44" s="642">
        <v>2</v>
      </c>
      <c r="P44" s="643">
        <v>5500000</v>
      </c>
      <c r="Q44" s="538">
        <f t="shared" si="10"/>
        <v>17</v>
      </c>
      <c r="R44" s="648">
        <f t="shared" si="10"/>
        <v>175661000</v>
      </c>
      <c r="S44" s="194"/>
    </row>
    <row r="45" spans="1:19" s="104" customFormat="1">
      <c r="A45" s="618" t="s">
        <v>12</v>
      </c>
      <c r="B45" s="641" t="s">
        <v>251</v>
      </c>
      <c r="C45" s="644">
        <v>2</v>
      </c>
      <c r="D45" s="643">
        <v>15000000</v>
      </c>
      <c r="E45" s="644">
        <v>2</v>
      </c>
      <c r="F45" s="643">
        <v>25600000</v>
      </c>
      <c r="G45" s="642">
        <v>866</v>
      </c>
      <c r="H45" s="643">
        <v>16000000</v>
      </c>
      <c r="I45" s="538">
        <f t="shared" si="8"/>
        <v>870</v>
      </c>
      <c r="J45" s="648">
        <f t="shared" si="8"/>
        <v>56600000</v>
      </c>
      <c r="K45" s="644">
        <v>1</v>
      </c>
      <c r="L45" s="643">
        <v>5000000</v>
      </c>
      <c r="M45" s="644">
        <v>15</v>
      </c>
      <c r="N45" s="643">
        <v>20200000</v>
      </c>
      <c r="O45" s="642">
        <v>9</v>
      </c>
      <c r="P45" s="643">
        <v>20000000</v>
      </c>
      <c r="Q45" s="538">
        <f t="shared" si="10"/>
        <v>25</v>
      </c>
      <c r="R45" s="648">
        <f t="shared" si="10"/>
        <v>45200000</v>
      </c>
      <c r="S45" s="194"/>
    </row>
    <row r="46" spans="1:19" s="104" customFormat="1" ht="45">
      <c r="A46" s="618" t="s">
        <v>2326</v>
      </c>
      <c r="B46" s="641" t="s">
        <v>186</v>
      </c>
      <c r="C46" s="644">
        <v>9</v>
      </c>
      <c r="D46" s="643">
        <v>30000000</v>
      </c>
      <c r="E46" s="644">
        <v>2</v>
      </c>
      <c r="F46" s="643">
        <v>73600000</v>
      </c>
      <c r="G46" s="642">
        <v>0</v>
      </c>
      <c r="H46" s="643">
        <v>19000000</v>
      </c>
      <c r="I46" s="538">
        <f t="shared" si="8"/>
        <v>11</v>
      </c>
      <c r="J46" s="648">
        <f t="shared" si="8"/>
        <v>122600000</v>
      </c>
      <c r="K46" s="644">
        <v>14</v>
      </c>
      <c r="L46" s="643">
        <v>32242000</v>
      </c>
      <c r="M46" s="644">
        <v>85</v>
      </c>
      <c r="N46" s="643">
        <v>109200000</v>
      </c>
      <c r="O46" s="642">
        <v>4</v>
      </c>
      <c r="P46" s="643">
        <v>4000000</v>
      </c>
      <c r="Q46" s="538">
        <f t="shared" si="10"/>
        <v>103</v>
      </c>
      <c r="R46" s="648">
        <f t="shared" si="10"/>
        <v>145442000</v>
      </c>
      <c r="S46" s="194"/>
    </row>
    <row r="47" spans="1:19" s="104" customFormat="1">
      <c r="A47" s="618" t="s">
        <v>2327</v>
      </c>
      <c r="B47" s="641" t="s">
        <v>2328</v>
      </c>
      <c r="C47" s="644">
        <v>22</v>
      </c>
      <c r="D47" s="643">
        <v>22000000</v>
      </c>
      <c r="E47" s="644">
        <v>2</v>
      </c>
      <c r="F47" s="643">
        <v>76400000</v>
      </c>
      <c r="G47" s="642">
        <v>10</v>
      </c>
      <c r="H47" s="643">
        <v>10000000</v>
      </c>
      <c r="I47" s="538">
        <f t="shared" si="8"/>
        <v>34</v>
      </c>
      <c r="J47" s="648">
        <f t="shared" si="8"/>
        <v>108400000</v>
      </c>
      <c r="K47" s="644">
        <v>14</v>
      </c>
      <c r="L47" s="643">
        <v>32242000</v>
      </c>
      <c r="M47" s="644">
        <v>55</v>
      </c>
      <c r="N47" s="643">
        <v>66000000</v>
      </c>
      <c r="O47" s="642">
        <v>18</v>
      </c>
      <c r="P47" s="643">
        <v>18000000</v>
      </c>
      <c r="Q47" s="538">
        <f t="shared" si="10"/>
        <v>87</v>
      </c>
      <c r="R47" s="648">
        <f t="shared" si="10"/>
        <v>116242000</v>
      </c>
      <c r="S47" s="194"/>
    </row>
    <row r="48" spans="1:19" s="104" customFormat="1">
      <c r="A48" s="618" t="s">
        <v>379</v>
      </c>
      <c r="B48" s="641" t="s">
        <v>181</v>
      </c>
      <c r="C48" s="644">
        <v>13</v>
      </c>
      <c r="D48" s="643">
        <v>48100000</v>
      </c>
      <c r="E48" s="644">
        <v>2</v>
      </c>
      <c r="F48" s="643">
        <v>166200000</v>
      </c>
      <c r="G48" s="642">
        <v>0</v>
      </c>
      <c r="H48" s="643">
        <v>24000000</v>
      </c>
      <c r="I48" s="538">
        <f t="shared" si="8"/>
        <v>15</v>
      </c>
      <c r="J48" s="648">
        <f t="shared" si="8"/>
        <v>238300000</v>
      </c>
      <c r="K48" s="644">
        <v>10</v>
      </c>
      <c r="L48" s="643">
        <v>24774000</v>
      </c>
      <c r="M48" s="644">
        <v>171</v>
      </c>
      <c r="N48" s="643">
        <v>180000000</v>
      </c>
      <c r="O48" s="642">
        <v>14</v>
      </c>
      <c r="P48" s="643">
        <v>14000000</v>
      </c>
      <c r="Q48" s="538">
        <f t="shared" si="10"/>
        <v>195</v>
      </c>
      <c r="R48" s="648">
        <f t="shared" si="10"/>
        <v>218774000</v>
      </c>
      <c r="S48" s="194"/>
    </row>
    <row r="49" spans="1:19" s="104" customFormat="1">
      <c r="A49" s="618" t="s">
        <v>276</v>
      </c>
      <c r="B49" s="641" t="s">
        <v>182</v>
      </c>
      <c r="C49" s="644">
        <v>10</v>
      </c>
      <c r="D49" s="643">
        <v>15000000</v>
      </c>
      <c r="E49" s="644">
        <v>2</v>
      </c>
      <c r="F49" s="643">
        <v>55100000</v>
      </c>
      <c r="G49" s="642">
        <v>0</v>
      </c>
      <c r="H49" s="643">
        <v>10000000</v>
      </c>
      <c r="I49" s="538">
        <f t="shared" si="8"/>
        <v>12</v>
      </c>
      <c r="J49" s="648">
        <f t="shared" si="8"/>
        <v>80100000</v>
      </c>
      <c r="K49" s="644">
        <v>18</v>
      </c>
      <c r="L49" s="643">
        <v>18000000</v>
      </c>
      <c r="M49" s="644">
        <v>34</v>
      </c>
      <c r="N49" s="643">
        <v>46400000</v>
      </c>
      <c r="O49" s="642"/>
      <c r="P49" s="643"/>
      <c r="Q49" s="538">
        <f t="shared" si="10"/>
        <v>52</v>
      </c>
      <c r="R49" s="648">
        <f t="shared" si="10"/>
        <v>64400000</v>
      </c>
      <c r="S49" s="194"/>
    </row>
    <row r="50" spans="1:19" s="104" customFormat="1">
      <c r="A50" s="618" t="s">
        <v>2329</v>
      </c>
      <c r="B50" s="641" t="s">
        <v>47</v>
      </c>
      <c r="C50" s="644">
        <v>10</v>
      </c>
      <c r="D50" s="643">
        <v>31000000</v>
      </c>
      <c r="E50" s="644">
        <v>2</v>
      </c>
      <c r="F50" s="643">
        <v>55800000</v>
      </c>
      <c r="G50" s="642">
        <v>5</v>
      </c>
      <c r="H50" s="643">
        <v>8000000</v>
      </c>
      <c r="I50" s="538">
        <f t="shared" si="8"/>
        <v>17</v>
      </c>
      <c r="J50" s="648">
        <f t="shared" si="8"/>
        <v>94800000</v>
      </c>
      <c r="K50" s="644">
        <v>10</v>
      </c>
      <c r="L50" s="643">
        <v>12222000</v>
      </c>
      <c r="M50" s="644"/>
      <c r="N50" s="643"/>
      <c r="O50" s="642"/>
      <c r="P50" s="643"/>
      <c r="Q50" s="538">
        <f t="shared" si="10"/>
        <v>10</v>
      </c>
      <c r="R50" s="648">
        <f t="shared" si="10"/>
        <v>12222000</v>
      </c>
      <c r="S50" s="194"/>
    </row>
    <row r="51" spans="1:19" s="104" customFormat="1">
      <c r="A51" s="618" t="s">
        <v>21</v>
      </c>
      <c r="B51" s="641" t="s">
        <v>185</v>
      </c>
      <c r="C51" s="644">
        <v>4</v>
      </c>
      <c r="D51" s="643">
        <v>14000000</v>
      </c>
      <c r="E51" s="644">
        <v>1</v>
      </c>
      <c r="F51" s="643">
        <v>18000000</v>
      </c>
      <c r="G51" s="642">
        <v>5</v>
      </c>
      <c r="H51" s="643">
        <v>5000000</v>
      </c>
      <c r="I51" s="538">
        <f t="shared" si="8"/>
        <v>10</v>
      </c>
      <c r="J51" s="648">
        <f t="shared" si="8"/>
        <v>37000000</v>
      </c>
      <c r="K51" s="644">
        <v>2</v>
      </c>
      <c r="L51" s="643">
        <v>8000000</v>
      </c>
      <c r="M51" s="644">
        <v>33</v>
      </c>
      <c r="N51" s="643">
        <v>48000000</v>
      </c>
      <c r="O51" s="642"/>
      <c r="P51" s="643"/>
      <c r="Q51" s="538">
        <f t="shared" si="10"/>
        <v>35</v>
      </c>
      <c r="R51" s="648">
        <f t="shared" si="10"/>
        <v>56000000</v>
      </c>
      <c r="S51" s="194"/>
    </row>
    <row r="52" spans="1:19" s="104" customFormat="1">
      <c r="A52" s="641" t="s">
        <v>2330</v>
      </c>
      <c r="B52" s="641" t="s">
        <v>2331</v>
      </c>
      <c r="C52" s="644">
        <v>3</v>
      </c>
      <c r="D52" s="643">
        <v>73900000</v>
      </c>
      <c r="E52" s="644">
        <v>10</v>
      </c>
      <c r="F52" s="643">
        <v>128218000</v>
      </c>
      <c r="G52" s="642">
        <v>30</v>
      </c>
      <c r="H52" s="643">
        <v>53000000</v>
      </c>
      <c r="I52" s="538">
        <f t="shared" si="8"/>
        <v>43</v>
      </c>
      <c r="J52" s="648">
        <f t="shared" si="8"/>
        <v>255118000</v>
      </c>
      <c r="K52" s="644">
        <v>2</v>
      </c>
      <c r="L52" s="643">
        <v>24000000</v>
      </c>
      <c r="M52" s="644">
        <v>4</v>
      </c>
      <c r="N52" s="643">
        <v>73540000</v>
      </c>
      <c r="O52" s="642">
        <v>2</v>
      </c>
      <c r="P52" s="643">
        <v>22850000</v>
      </c>
      <c r="Q52" s="538">
        <f t="shared" si="10"/>
        <v>8</v>
      </c>
      <c r="R52" s="648">
        <f t="shared" si="10"/>
        <v>120390000</v>
      </c>
      <c r="S52" s="194"/>
    </row>
    <row r="53" spans="1:19" s="104" customFormat="1" ht="6.75" customHeight="1">
      <c r="A53" s="641"/>
      <c r="B53" s="641"/>
      <c r="C53" s="644"/>
      <c r="D53" s="643"/>
      <c r="E53" s="644"/>
      <c r="F53" s="643"/>
      <c r="G53" s="644"/>
      <c r="H53" s="643"/>
      <c r="I53" s="538"/>
      <c r="J53" s="648"/>
      <c r="K53" s="194"/>
      <c r="L53" s="194"/>
      <c r="M53" s="194"/>
      <c r="N53" s="194"/>
      <c r="O53" s="194"/>
      <c r="P53" s="194"/>
      <c r="Q53" s="194"/>
      <c r="R53" s="194"/>
      <c r="S53" s="194"/>
    </row>
    <row r="54" spans="1:19">
      <c r="A54" s="649" t="s">
        <v>3503</v>
      </c>
      <c r="B54" s="636"/>
      <c r="C54" s="636"/>
      <c r="D54" s="636"/>
      <c r="E54" s="636"/>
      <c r="F54" s="636"/>
      <c r="G54" s="636"/>
      <c r="H54" s="636"/>
      <c r="I54" s="636"/>
      <c r="J54" s="636"/>
      <c r="K54" s="636"/>
      <c r="L54" s="636"/>
      <c r="M54" s="636"/>
      <c r="N54" s="636"/>
      <c r="O54" s="636"/>
      <c r="P54" s="636"/>
      <c r="Q54" s="636"/>
      <c r="R54" s="636"/>
      <c r="S54" s="585"/>
    </row>
    <row r="55" spans="1:19">
      <c r="A55" s="649" t="s">
        <v>3504</v>
      </c>
      <c r="B55" s="636"/>
      <c r="C55" s="636"/>
      <c r="D55" s="636"/>
      <c r="E55" s="636"/>
      <c r="F55" s="636"/>
      <c r="G55" s="636"/>
      <c r="H55" s="636"/>
      <c r="I55" s="636"/>
      <c r="J55" s="636"/>
      <c r="K55" s="636"/>
      <c r="L55" s="636"/>
      <c r="M55" s="636"/>
      <c r="N55" s="636"/>
      <c r="O55" s="636"/>
      <c r="P55" s="636"/>
      <c r="Q55" s="636"/>
      <c r="R55" s="636"/>
      <c r="S55" s="585"/>
    </row>
    <row r="56" spans="1:19">
      <c r="A56" s="649" t="s">
        <v>3505</v>
      </c>
      <c r="B56" s="636"/>
      <c r="C56" s="636"/>
      <c r="D56" s="636"/>
      <c r="E56" s="636"/>
      <c r="F56" s="636"/>
      <c r="G56" s="636"/>
      <c r="H56" s="636"/>
      <c r="I56" s="636"/>
      <c r="J56" s="636"/>
      <c r="K56" s="636"/>
      <c r="L56" s="636"/>
      <c r="M56" s="636"/>
      <c r="N56" s="636"/>
      <c r="O56" s="636"/>
      <c r="P56" s="636"/>
      <c r="Q56" s="636"/>
      <c r="R56" s="636"/>
      <c r="S56" s="585"/>
    </row>
    <row r="57" spans="1:19">
      <c r="A57" s="545" t="s">
        <v>161</v>
      </c>
      <c r="B57" s="636"/>
      <c r="C57" s="636"/>
      <c r="D57" s="636"/>
      <c r="E57" s="636"/>
      <c r="F57" s="636"/>
      <c r="G57" s="636"/>
      <c r="H57" s="636"/>
      <c r="I57" s="636"/>
      <c r="J57" s="636"/>
      <c r="K57" s="636"/>
      <c r="L57" s="636"/>
      <c r="M57" s="636"/>
      <c r="N57" s="636"/>
      <c r="O57" s="636"/>
      <c r="P57" s="636"/>
      <c r="Q57" s="636"/>
      <c r="R57" s="636"/>
      <c r="S57" s="585"/>
    </row>
    <row r="58" spans="1:19" s="104" customFormat="1">
      <c r="A58" s="194" t="s">
        <v>2283</v>
      </c>
      <c r="B58" s="194"/>
      <c r="C58" s="194"/>
      <c r="D58" s="194"/>
      <c r="E58" s="194"/>
      <c r="F58" s="194"/>
      <c r="G58" s="194"/>
      <c r="H58" s="194"/>
      <c r="I58" s="194"/>
      <c r="J58" s="194"/>
      <c r="K58" s="194"/>
      <c r="L58" s="194"/>
      <c r="M58" s="194"/>
      <c r="N58" s="194"/>
      <c r="O58" s="194"/>
      <c r="P58" s="194"/>
      <c r="Q58" s="194"/>
      <c r="R58" s="194"/>
      <c r="S58" s="194"/>
    </row>
    <row r="59" spans="1:19" s="104" customFormat="1">
      <c r="A59" s="650"/>
      <c r="B59" s="651"/>
      <c r="C59" s="651"/>
      <c r="D59" s="651"/>
      <c r="E59" s="194"/>
      <c r="F59" s="194"/>
      <c r="G59" s="194"/>
      <c r="H59" s="194"/>
      <c r="I59" s="194"/>
      <c r="J59" s="194"/>
      <c r="K59" s="194"/>
      <c r="L59" s="194"/>
      <c r="M59" s="194"/>
      <c r="N59" s="194"/>
      <c r="O59" s="194"/>
      <c r="P59" s="194"/>
      <c r="Q59" s="194"/>
      <c r="R59" s="194"/>
      <c r="S59" s="194"/>
    </row>
    <row r="60" spans="1:19" s="104" customFormat="1" ht="7.5" customHeight="1">
      <c r="A60" s="652"/>
      <c r="B60" s="651"/>
      <c r="C60" s="651"/>
      <c r="D60" s="651"/>
      <c r="E60" s="651"/>
      <c r="F60" s="651"/>
      <c r="G60" s="194"/>
      <c r="H60" s="194"/>
      <c r="I60" s="194"/>
      <c r="J60" s="194"/>
      <c r="K60" s="194"/>
      <c r="L60" s="194"/>
      <c r="M60" s="194"/>
      <c r="N60" s="194"/>
      <c r="O60" s="194"/>
      <c r="P60" s="194"/>
      <c r="Q60" s="194"/>
      <c r="R60" s="194"/>
      <c r="S60" s="194"/>
    </row>
  </sheetData>
  <mergeCells count="15">
    <mergeCell ref="A41:B41"/>
    <mergeCell ref="A4:A5"/>
    <mergeCell ref="B4:B5"/>
    <mergeCell ref="C4:J4"/>
    <mergeCell ref="K4:R4"/>
    <mergeCell ref="A6:B6"/>
    <mergeCell ref="A21:A22"/>
    <mergeCell ref="B21:B22"/>
    <mergeCell ref="C21:J21"/>
    <mergeCell ref="K21:R21"/>
    <mergeCell ref="A23:B23"/>
    <mergeCell ref="A39:A40"/>
    <mergeCell ref="B39:B40"/>
    <mergeCell ref="C39:J39"/>
    <mergeCell ref="K39:R39"/>
  </mergeCells>
  <pageMargins left="0.7" right="0.7" top="0.72" bottom="0.51" header="0.3" footer="0.3"/>
  <pageSetup paperSize="14" scale="61" orientation="landscape" r:id="rId1"/>
  <rowBreaks count="1" manualBreakCount="1">
    <brk id="35" max="17" man="1"/>
  </rowBreaks>
</worksheet>
</file>

<file path=xl/worksheets/sheet251.xml><?xml version="1.0" encoding="utf-8"?>
<worksheet xmlns="http://schemas.openxmlformats.org/spreadsheetml/2006/main" xmlns:r="http://schemas.openxmlformats.org/officeDocument/2006/relationships">
  <dimension ref="A1:U58"/>
  <sheetViews>
    <sheetView topLeftCell="A28" zoomScaleNormal="100" workbookViewId="0">
      <selection activeCell="A65" sqref="A65"/>
    </sheetView>
  </sheetViews>
  <sheetFormatPr baseColWidth="10" defaultRowHeight="12"/>
  <cols>
    <col min="1" max="1" width="20.28515625" style="84" customWidth="1"/>
    <col min="2" max="2" width="17.28515625" style="84" bestFit="1" customWidth="1"/>
    <col min="3" max="3" width="7.5703125" style="84" customWidth="1"/>
    <col min="4" max="4" width="15.7109375" style="84" bestFit="1" customWidth="1"/>
    <col min="5" max="5" width="6.85546875" style="84" bestFit="1" customWidth="1"/>
    <col min="6" max="6" width="14.42578125" style="84" bestFit="1" customWidth="1"/>
    <col min="7" max="7" width="10.5703125" style="84" bestFit="1" customWidth="1"/>
    <col min="8" max="8" width="16.140625" style="84" bestFit="1" customWidth="1"/>
    <col min="9" max="9" width="6.28515625" style="84" bestFit="1" customWidth="1"/>
    <col min="10" max="10" width="15.7109375" style="84" bestFit="1" customWidth="1"/>
    <col min="11" max="11" width="6.85546875" style="84" bestFit="1" customWidth="1"/>
    <col min="12" max="12" width="15.7109375" style="84" bestFit="1" customWidth="1"/>
    <col min="13" max="13" width="10.5703125" style="84" bestFit="1" customWidth="1"/>
    <col min="14" max="14" width="16.140625" style="84" bestFit="1" customWidth="1"/>
    <col min="15" max="16384" width="11.42578125" style="84"/>
  </cols>
  <sheetData>
    <row r="1" spans="1:21" ht="6" customHeight="1"/>
    <row r="2" spans="1:21" ht="18" customHeight="1">
      <c r="A2" s="81" t="s">
        <v>2336</v>
      </c>
    </row>
    <row r="3" spans="1:21" s="85" customFormat="1" ht="5.25" customHeight="1">
      <c r="A3" s="608"/>
      <c r="B3" s="608"/>
      <c r="C3" s="608"/>
      <c r="D3" s="608"/>
      <c r="E3" s="608"/>
      <c r="F3" s="608"/>
      <c r="G3" s="608"/>
      <c r="H3" s="608"/>
      <c r="I3" s="608"/>
      <c r="J3" s="608"/>
      <c r="K3" s="608"/>
      <c r="L3" s="608"/>
      <c r="M3" s="608"/>
      <c r="N3" s="608"/>
      <c r="O3" s="585"/>
      <c r="P3" s="585"/>
      <c r="Q3" s="585"/>
      <c r="R3" s="585"/>
      <c r="S3" s="585"/>
      <c r="T3" s="585"/>
      <c r="U3" s="585"/>
    </row>
    <row r="4" spans="1:21" s="85" customFormat="1" ht="14.25" customHeight="1">
      <c r="A4" s="2551" t="s">
        <v>0</v>
      </c>
      <c r="B4" s="2553" t="s">
        <v>2267</v>
      </c>
      <c r="C4" s="2551" t="s">
        <v>2337</v>
      </c>
      <c r="D4" s="2551"/>
      <c r="E4" s="2551"/>
      <c r="F4" s="2551"/>
      <c r="G4" s="2551"/>
      <c r="H4" s="2551"/>
      <c r="I4" s="2551" t="s">
        <v>2338</v>
      </c>
      <c r="J4" s="2551"/>
      <c r="K4" s="2551"/>
      <c r="L4" s="2551"/>
      <c r="M4" s="2551"/>
      <c r="N4" s="2551"/>
      <c r="O4" s="585"/>
      <c r="P4" s="585"/>
      <c r="Q4" s="585"/>
      <c r="R4" s="585"/>
      <c r="S4" s="585"/>
      <c r="T4" s="585"/>
      <c r="U4" s="585"/>
    </row>
    <row r="5" spans="1:21" s="85" customFormat="1" ht="14.25" customHeight="1">
      <c r="A5" s="2552"/>
      <c r="B5" s="2554"/>
      <c r="C5" s="609" t="s">
        <v>3491</v>
      </c>
      <c r="D5" s="609" t="s">
        <v>3492</v>
      </c>
      <c r="E5" s="609" t="s">
        <v>3493</v>
      </c>
      <c r="F5" s="609" t="s">
        <v>3494</v>
      </c>
      <c r="G5" s="609" t="s">
        <v>2322</v>
      </c>
      <c r="H5" s="610" t="s">
        <v>2323</v>
      </c>
      <c r="I5" s="609" t="s">
        <v>3491</v>
      </c>
      <c r="J5" s="609" t="s">
        <v>3492</v>
      </c>
      <c r="K5" s="609" t="s">
        <v>3493</v>
      </c>
      <c r="L5" s="609" t="s">
        <v>3494</v>
      </c>
      <c r="M5" s="609" t="s">
        <v>2322</v>
      </c>
      <c r="N5" s="610" t="s">
        <v>2323</v>
      </c>
      <c r="O5" s="585"/>
      <c r="P5" s="585"/>
      <c r="Q5" s="585"/>
      <c r="R5" s="585"/>
      <c r="S5" s="585"/>
      <c r="T5" s="585"/>
      <c r="U5" s="585"/>
    </row>
    <row r="6" spans="1:21" s="104" customFormat="1" ht="14.25" customHeight="1">
      <c r="A6" s="611" t="s">
        <v>6</v>
      </c>
      <c r="B6" s="612"/>
      <c r="C6" s="613">
        <f t="shared" ref="C6:N6" si="0">SUM(C7:C17)</f>
        <v>23</v>
      </c>
      <c r="D6" s="613">
        <f t="shared" si="0"/>
        <v>182382400</v>
      </c>
      <c r="E6" s="613">
        <f t="shared" si="0"/>
        <v>28</v>
      </c>
      <c r="F6" s="613">
        <f t="shared" si="0"/>
        <v>29117400</v>
      </c>
      <c r="G6" s="613">
        <f t="shared" si="0"/>
        <v>51</v>
      </c>
      <c r="H6" s="613">
        <f t="shared" si="0"/>
        <v>211499800</v>
      </c>
      <c r="I6" s="613">
        <f t="shared" si="0"/>
        <v>21</v>
      </c>
      <c r="J6" s="613">
        <f t="shared" si="0"/>
        <v>150823000</v>
      </c>
      <c r="K6" s="613">
        <f t="shared" si="0"/>
        <v>32</v>
      </c>
      <c r="L6" s="613">
        <f t="shared" si="0"/>
        <v>29597399</v>
      </c>
      <c r="M6" s="613">
        <f t="shared" si="0"/>
        <v>53</v>
      </c>
      <c r="N6" s="613">
        <f t="shared" si="0"/>
        <v>180420399</v>
      </c>
      <c r="O6" s="194"/>
      <c r="P6" s="194"/>
      <c r="Q6" s="194"/>
      <c r="R6" s="194"/>
      <c r="S6" s="194"/>
      <c r="T6" s="194"/>
      <c r="U6" s="194"/>
    </row>
    <row r="7" spans="1:21" s="104" customFormat="1" ht="11.25">
      <c r="A7" s="614" t="s">
        <v>7</v>
      </c>
      <c r="B7" s="615" t="s">
        <v>33</v>
      </c>
      <c r="C7" s="616">
        <v>2</v>
      </c>
      <c r="D7" s="616">
        <v>16000000</v>
      </c>
      <c r="E7" s="616">
        <v>0</v>
      </c>
      <c r="F7" s="616">
        <v>0</v>
      </c>
      <c r="G7" s="617">
        <f t="shared" ref="G7:H17" si="1">C7+E7</f>
        <v>2</v>
      </c>
      <c r="H7" s="617">
        <f t="shared" si="1"/>
        <v>16000000</v>
      </c>
      <c r="I7" s="617">
        <v>1</v>
      </c>
      <c r="J7" s="617">
        <v>16500000</v>
      </c>
      <c r="K7" s="617">
        <v>0</v>
      </c>
      <c r="L7" s="617">
        <v>0</v>
      </c>
      <c r="M7" s="617">
        <f t="shared" ref="M7:N17" si="2">I7+K7</f>
        <v>1</v>
      </c>
      <c r="N7" s="617">
        <f t="shared" si="2"/>
        <v>16500000</v>
      </c>
      <c r="O7" s="194"/>
      <c r="P7" s="194"/>
      <c r="Q7" s="194"/>
      <c r="R7" s="194"/>
      <c r="S7" s="194"/>
      <c r="T7" s="194"/>
      <c r="U7" s="194"/>
    </row>
    <row r="8" spans="1:21" s="104" customFormat="1" ht="11.25">
      <c r="A8" s="614" t="s">
        <v>2324</v>
      </c>
      <c r="B8" s="615" t="s">
        <v>35</v>
      </c>
      <c r="C8" s="616">
        <v>2</v>
      </c>
      <c r="D8" s="616">
        <v>26382400</v>
      </c>
      <c r="E8" s="616">
        <v>0</v>
      </c>
      <c r="F8" s="616">
        <v>0</v>
      </c>
      <c r="G8" s="617">
        <f t="shared" si="1"/>
        <v>2</v>
      </c>
      <c r="H8" s="617">
        <f t="shared" si="1"/>
        <v>26382400</v>
      </c>
      <c r="I8" s="617">
        <v>4</v>
      </c>
      <c r="J8" s="617">
        <v>30323000</v>
      </c>
      <c r="K8" s="617">
        <v>0</v>
      </c>
      <c r="L8" s="617">
        <v>0</v>
      </c>
      <c r="M8" s="617">
        <f t="shared" si="2"/>
        <v>4</v>
      </c>
      <c r="N8" s="617">
        <f t="shared" si="2"/>
        <v>30323000</v>
      </c>
      <c r="O8" s="194"/>
      <c r="P8" s="194"/>
      <c r="Q8" s="194"/>
      <c r="R8" s="194"/>
      <c r="S8" s="194"/>
      <c r="T8" s="194"/>
      <c r="U8" s="194"/>
    </row>
    <row r="9" spans="1:21" s="104" customFormat="1" ht="11.25">
      <c r="A9" s="614" t="s">
        <v>9</v>
      </c>
      <c r="B9" s="615" t="s">
        <v>2325</v>
      </c>
      <c r="C9" s="616">
        <v>1</v>
      </c>
      <c r="D9" s="616">
        <v>8000000</v>
      </c>
      <c r="E9" s="616">
        <v>0</v>
      </c>
      <c r="F9" s="616">
        <v>0</v>
      </c>
      <c r="G9" s="617">
        <f t="shared" si="1"/>
        <v>1</v>
      </c>
      <c r="H9" s="617">
        <f t="shared" si="1"/>
        <v>8000000</v>
      </c>
      <c r="I9" s="617">
        <v>1</v>
      </c>
      <c r="J9" s="617">
        <v>12000000</v>
      </c>
      <c r="K9" s="617">
        <v>0</v>
      </c>
      <c r="L9" s="617">
        <v>0</v>
      </c>
      <c r="M9" s="617">
        <f t="shared" si="2"/>
        <v>1</v>
      </c>
      <c r="N9" s="617">
        <f t="shared" si="2"/>
        <v>12000000</v>
      </c>
      <c r="O9" s="194"/>
      <c r="P9" s="194"/>
      <c r="Q9" s="194"/>
      <c r="R9" s="194"/>
      <c r="S9" s="194"/>
      <c r="T9" s="194"/>
      <c r="U9" s="194"/>
    </row>
    <row r="10" spans="1:21" s="104" customFormat="1" ht="11.25">
      <c r="A10" s="614" t="s">
        <v>12</v>
      </c>
      <c r="B10" s="615" t="s">
        <v>251</v>
      </c>
      <c r="C10" s="616">
        <v>1</v>
      </c>
      <c r="D10" s="616">
        <v>8000000</v>
      </c>
      <c r="E10" s="616">
        <v>0</v>
      </c>
      <c r="F10" s="616">
        <v>0</v>
      </c>
      <c r="G10" s="617">
        <f t="shared" si="1"/>
        <v>1</v>
      </c>
      <c r="H10" s="617">
        <f t="shared" si="1"/>
        <v>8000000</v>
      </c>
      <c r="I10" s="617">
        <v>1</v>
      </c>
      <c r="J10" s="617">
        <v>10000000</v>
      </c>
      <c r="K10" s="617">
        <v>0</v>
      </c>
      <c r="L10" s="617">
        <v>0</v>
      </c>
      <c r="M10" s="617">
        <f t="shared" si="2"/>
        <v>1</v>
      </c>
      <c r="N10" s="617">
        <f t="shared" si="2"/>
        <v>10000000</v>
      </c>
      <c r="O10" s="194"/>
      <c r="P10" s="194"/>
      <c r="Q10" s="194"/>
      <c r="R10" s="194"/>
      <c r="S10" s="194"/>
      <c r="T10" s="194"/>
      <c r="U10" s="194"/>
    </row>
    <row r="11" spans="1:21" s="104" customFormat="1" ht="45">
      <c r="A11" s="614" t="s">
        <v>2326</v>
      </c>
      <c r="B11" s="615" t="s">
        <v>186</v>
      </c>
      <c r="C11" s="616">
        <v>3</v>
      </c>
      <c r="D11" s="616">
        <v>27000000</v>
      </c>
      <c r="E11" s="616">
        <v>28</v>
      </c>
      <c r="F11" s="616">
        <v>29117400</v>
      </c>
      <c r="G11" s="617">
        <f t="shared" si="1"/>
        <v>31</v>
      </c>
      <c r="H11" s="617">
        <f t="shared" si="1"/>
        <v>56117400</v>
      </c>
      <c r="I11" s="617">
        <v>3</v>
      </c>
      <c r="J11" s="617">
        <v>22000000</v>
      </c>
      <c r="K11" s="617">
        <v>32</v>
      </c>
      <c r="L11" s="617">
        <v>29597399</v>
      </c>
      <c r="M11" s="617">
        <f t="shared" si="2"/>
        <v>35</v>
      </c>
      <c r="N11" s="617">
        <f t="shared" si="2"/>
        <v>51597399</v>
      </c>
      <c r="O11" s="194"/>
      <c r="P11" s="194"/>
      <c r="Q11" s="194"/>
      <c r="R11" s="194"/>
      <c r="S11" s="194"/>
      <c r="T11" s="194"/>
      <c r="U11" s="194"/>
    </row>
    <row r="12" spans="1:21" s="104" customFormat="1" ht="11.25">
      <c r="A12" s="614" t="s">
        <v>2327</v>
      </c>
      <c r="B12" s="615" t="s">
        <v>2328</v>
      </c>
      <c r="C12" s="616">
        <v>3</v>
      </c>
      <c r="D12" s="616">
        <v>18000000</v>
      </c>
      <c r="E12" s="616">
        <v>0</v>
      </c>
      <c r="F12" s="616">
        <v>0</v>
      </c>
      <c r="G12" s="617">
        <f t="shared" si="1"/>
        <v>3</v>
      </c>
      <c r="H12" s="617">
        <f t="shared" si="1"/>
        <v>18000000</v>
      </c>
      <c r="I12" s="617">
        <v>3</v>
      </c>
      <c r="J12" s="617">
        <v>18000000</v>
      </c>
      <c r="K12" s="617">
        <v>0</v>
      </c>
      <c r="L12" s="617">
        <v>0</v>
      </c>
      <c r="M12" s="617">
        <f t="shared" si="2"/>
        <v>3</v>
      </c>
      <c r="N12" s="617">
        <f t="shared" si="2"/>
        <v>18000000</v>
      </c>
      <c r="O12" s="194"/>
      <c r="P12" s="194"/>
      <c r="Q12" s="194"/>
      <c r="R12" s="194"/>
      <c r="S12" s="194"/>
      <c r="T12" s="194"/>
      <c r="U12" s="194"/>
    </row>
    <row r="13" spans="1:21" s="104" customFormat="1" ht="11.25">
      <c r="A13" s="614" t="s">
        <v>379</v>
      </c>
      <c r="B13" s="615" t="s">
        <v>181</v>
      </c>
      <c r="C13" s="616">
        <v>5</v>
      </c>
      <c r="D13" s="616">
        <v>28000000</v>
      </c>
      <c r="E13" s="616">
        <v>0</v>
      </c>
      <c r="F13" s="616">
        <v>0</v>
      </c>
      <c r="G13" s="617">
        <f t="shared" si="1"/>
        <v>5</v>
      </c>
      <c r="H13" s="617">
        <f t="shared" si="1"/>
        <v>28000000</v>
      </c>
      <c r="I13" s="617">
        <v>1</v>
      </c>
      <c r="J13" s="617">
        <v>3000000</v>
      </c>
      <c r="K13" s="617">
        <v>0</v>
      </c>
      <c r="L13" s="617">
        <v>0</v>
      </c>
      <c r="M13" s="617">
        <f t="shared" si="2"/>
        <v>1</v>
      </c>
      <c r="N13" s="617">
        <f t="shared" si="2"/>
        <v>3000000</v>
      </c>
      <c r="O13" s="194"/>
      <c r="P13" s="194"/>
      <c r="Q13" s="194"/>
      <c r="R13" s="194"/>
      <c r="S13" s="194"/>
      <c r="T13" s="194"/>
      <c r="U13" s="194"/>
    </row>
    <row r="14" spans="1:21" s="104" customFormat="1" ht="11.25">
      <c r="A14" s="614" t="s">
        <v>276</v>
      </c>
      <c r="B14" s="615" t="s">
        <v>182</v>
      </c>
      <c r="C14" s="616">
        <v>1</v>
      </c>
      <c r="D14" s="616">
        <v>8000000</v>
      </c>
      <c r="E14" s="616">
        <v>0</v>
      </c>
      <c r="F14" s="616">
        <v>0</v>
      </c>
      <c r="G14" s="617">
        <f t="shared" si="1"/>
        <v>1</v>
      </c>
      <c r="H14" s="617">
        <f t="shared" si="1"/>
        <v>8000000</v>
      </c>
      <c r="I14" s="617">
        <v>2</v>
      </c>
      <c r="J14" s="617">
        <v>13000000</v>
      </c>
      <c r="K14" s="617">
        <v>0</v>
      </c>
      <c r="L14" s="617">
        <v>0</v>
      </c>
      <c r="M14" s="617">
        <f t="shared" si="2"/>
        <v>2</v>
      </c>
      <c r="N14" s="617">
        <f t="shared" si="2"/>
        <v>13000000</v>
      </c>
      <c r="O14" s="194"/>
      <c r="P14" s="194"/>
      <c r="Q14" s="194"/>
      <c r="R14" s="194"/>
      <c r="S14" s="194"/>
      <c r="T14" s="194"/>
      <c r="U14" s="194"/>
    </row>
    <row r="15" spans="1:21" s="104" customFormat="1" ht="11.25">
      <c r="A15" s="614" t="s">
        <v>2329</v>
      </c>
      <c r="B15" s="615" t="s">
        <v>47</v>
      </c>
      <c r="C15" s="616">
        <v>4</v>
      </c>
      <c r="D15" s="616">
        <v>36000000</v>
      </c>
      <c r="E15" s="616">
        <v>0</v>
      </c>
      <c r="F15" s="616">
        <v>0</v>
      </c>
      <c r="G15" s="617">
        <f t="shared" si="1"/>
        <v>4</v>
      </c>
      <c r="H15" s="617">
        <f t="shared" si="1"/>
        <v>36000000</v>
      </c>
      <c r="I15" s="617">
        <v>3</v>
      </c>
      <c r="J15" s="617">
        <v>17000000</v>
      </c>
      <c r="K15" s="617">
        <v>0</v>
      </c>
      <c r="L15" s="617">
        <v>0</v>
      </c>
      <c r="M15" s="617">
        <f t="shared" si="2"/>
        <v>3</v>
      </c>
      <c r="N15" s="617">
        <f t="shared" si="2"/>
        <v>17000000</v>
      </c>
      <c r="O15" s="194"/>
      <c r="P15" s="194"/>
      <c r="Q15" s="194"/>
      <c r="R15" s="194"/>
      <c r="S15" s="194"/>
      <c r="T15" s="194"/>
      <c r="U15" s="194"/>
    </row>
    <row r="16" spans="1:21" s="104" customFormat="1" ht="11.25">
      <c r="A16" s="618" t="s">
        <v>21</v>
      </c>
      <c r="B16" s="615" t="s">
        <v>185</v>
      </c>
      <c r="C16" s="616">
        <v>1</v>
      </c>
      <c r="D16" s="616">
        <v>7000000</v>
      </c>
      <c r="E16" s="616">
        <v>0</v>
      </c>
      <c r="F16" s="616">
        <v>0</v>
      </c>
      <c r="G16" s="617">
        <f t="shared" si="1"/>
        <v>1</v>
      </c>
      <c r="H16" s="617">
        <f t="shared" si="1"/>
        <v>7000000</v>
      </c>
      <c r="I16" s="617">
        <v>2</v>
      </c>
      <c r="J16" s="617">
        <v>9000000</v>
      </c>
      <c r="K16" s="617">
        <v>0</v>
      </c>
      <c r="L16" s="617">
        <v>0</v>
      </c>
      <c r="M16" s="617">
        <f t="shared" si="2"/>
        <v>2</v>
      </c>
      <c r="N16" s="617">
        <f t="shared" si="2"/>
        <v>9000000</v>
      </c>
      <c r="O16" s="194"/>
      <c r="P16" s="194"/>
      <c r="Q16" s="194"/>
      <c r="R16" s="194"/>
      <c r="S16" s="194"/>
      <c r="T16" s="194"/>
      <c r="U16" s="194"/>
    </row>
    <row r="17" spans="1:21" s="104" customFormat="1" ht="11.25">
      <c r="A17" s="615" t="s">
        <v>2330</v>
      </c>
      <c r="B17" s="615" t="s">
        <v>2331</v>
      </c>
      <c r="C17" s="616">
        <v>0</v>
      </c>
      <c r="D17" s="616">
        <v>0</v>
      </c>
      <c r="E17" s="616">
        <v>0</v>
      </c>
      <c r="F17" s="616">
        <v>0</v>
      </c>
      <c r="G17" s="617">
        <f t="shared" si="1"/>
        <v>0</v>
      </c>
      <c r="H17" s="617">
        <f t="shared" si="1"/>
        <v>0</v>
      </c>
      <c r="I17" s="617">
        <v>0</v>
      </c>
      <c r="J17" s="617">
        <v>0</v>
      </c>
      <c r="K17" s="617">
        <v>0</v>
      </c>
      <c r="L17" s="617">
        <v>0</v>
      </c>
      <c r="M17" s="617">
        <f t="shared" si="2"/>
        <v>0</v>
      </c>
      <c r="N17" s="617">
        <f t="shared" si="2"/>
        <v>0</v>
      </c>
      <c r="O17" s="194"/>
      <c r="P17" s="194"/>
      <c r="Q17" s="194"/>
      <c r="R17" s="194"/>
      <c r="S17" s="194"/>
      <c r="T17" s="194"/>
      <c r="U17" s="194"/>
    </row>
    <row r="18" spans="1:21" s="606" customFormat="1" ht="4.5" customHeight="1">
      <c r="A18" s="619"/>
      <c r="B18" s="619"/>
      <c r="C18" s="620"/>
      <c r="D18" s="621"/>
      <c r="E18" s="620"/>
      <c r="F18" s="621"/>
      <c r="G18" s="622"/>
      <c r="H18" s="623"/>
      <c r="I18" s="622"/>
      <c r="J18" s="623"/>
      <c r="K18" s="622"/>
      <c r="L18" s="623"/>
      <c r="M18" s="622"/>
      <c r="N18" s="623"/>
      <c r="O18" s="585"/>
      <c r="P18" s="585"/>
      <c r="Q18" s="585"/>
      <c r="R18" s="585"/>
      <c r="S18" s="585"/>
      <c r="T18" s="585"/>
      <c r="U18" s="585"/>
    </row>
    <row r="19" spans="1:21" s="85" customFormat="1" ht="11.25">
      <c r="A19" s="624"/>
      <c r="B19" s="608"/>
      <c r="C19" s="608"/>
      <c r="D19" s="608"/>
      <c r="E19" s="608"/>
      <c r="F19" s="608"/>
      <c r="G19" s="608"/>
      <c r="H19" s="608"/>
      <c r="I19" s="608"/>
      <c r="J19" s="608"/>
      <c r="K19" s="608"/>
      <c r="L19" s="608"/>
      <c r="M19" s="608"/>
      <c r="N19" s="608"/>
      <c r="O19" s="585"/>
      <c r="P19" s="585"/>
      <c r="Q19" s="585"/>
      <c r="R19" s="585"/>
      <c r="S19" s="585"/>
      <c r="T19" s="585"/>
      <c r="U19" s="585"/>
    </row>
    <row r="20" spans="1:21" s="85" customFormat="1" ht="11.25">
      <c r="A20" s="550" t="s">
        <v>3197</v>
      </c>
      <c r="B20" s="585"/>
      <c r="C20" s="585"/>
      <c r="D20" s="585"/>
      <c r="E20" s="585"/>
      <c r="F20" s="585"/>
      <c r="G20" s="585"/>
      <c r="H20" s="585"/>
      <c r="I20" s="585"/>
      <c r="J20" s="585"/>
      <c r="K20" s="585"/>
      <c r="L20" s="585"/>
      <c r="M20" s="585"/>
      <c r="N20" s="585"/>
      <c r="O20" s="585"/>
      <c r="P20" s="585"/>
      <c r="Q20" s="585"/>
      <c r="R20" s="585"/>
      <c r="S20" s="585"/>
      <c r="T20" s="585"/>
      <c r="U20" s="585"/>
    </row>
    <row r="21" spans="1:21" s="85" customFormat="1" ht="11.25">
      <c r="A21" s="550"/>
      <c r="B21" s="585"/>
      <c r="C21" s="585"/>
      <c r="D21" s="585"/>
      <c r="E21" s="585"/>
      <c r="F21" s="585"/>
      <c r="G21" s="585"/>
      <c r="H21" s="585"/>
      <c r="I21" s="585"/>
      <c r="J21" s="585"/>
      <c r="K21" s="585"/>
      <c r="L21" s="585"/>
      <c r="M21" s="585"/>
      <c r="N21" s="585"/>
      <c r="O21" s="585"/>
      <c r="P21" s="585"/>
      <c r="Q21" s="585"/>
      <c r="R21" s="585"/>
      <c r="S21" s="585"/>
      <c r="T21" s="585"/>
      <c r="U21" s="585"/>
    </row>
    <row r="22" spans="1:21" s="85" customFormat="1" ht="11.25">
      <c r="A22" s="2551" t="s">
        <v>0</v>
      </c>
      <c r="B22" s="2553" t="s">
        <v>2267</v>
      </c>
      <c r="C22" s="2551" t="s">
        <v>2339</v>
      </c>
      <c r="D22" s="2551"/>
      <c r="E22" s="2551"/>
      <c r="F22" s="2551"/>
      <c r="G22" s="2551"/>
      <c r="H22" s="2551"/>
      <c r="I22" s="2551" t="s">
        <v>2340</v>
      </c>
      <c r="J22" s="2551"/>
      <c r="K22" s="2551"/>
      <c r="L22" s="2551"/>
      <c r="M22" s="2551"/>
      <c r="N22" s="2551"/>
      <c r="O22" s="585"/>
      <c r="P22" s="585"/>
      <c r="Q22" s="585"/>
      <c r="R22" s="585"/>
      <c r="S22" s="585"/>
      <c r="T22" s="585"/>
      <c r="U22" s="585"/>
    </row>
    <row r="23" spans="1:21" s="85" customFormat="1" ht="12.75">
      <c r="A23" s="2552"/>
      <c r="B23" s="2554"/>
      <c r="C23" s="609" t="s">
        <v>3491</v>
      </c>
      <c r="D23" s="609" t="s">
        <v>3492</v>
      </c>
      <c r="E23" s="609" t="s">
        <v>3493</v>
      </c>
      <c r="F23" s="609" t="s">
        <v>3494</v>
      </c>
      <c r="G23" s="609" t="s">
        <v>2322</v>
      </c>
      <c r="H23" s="610" t="s">
        <v>2323</v>
      </c>
      <c r="I23" s="609" t="s">
        <v>3491</v>
      </c>
      <c r="J23" s="609" t="s">
        <v>3492</v>
      </c>
      <c r="K23" s="609" t="s">
        <v>3493</v>
      </c>
      <c r="L23" s="609" t="s">
        <v>3494</v>
      </c>
      <c r="M23" s="609" t="s">
        <v>2322</v>
      </c>
      <c r="N23" s="610" t="s">
        <v>2323</v>
      </c>
      <c r="O23" s="585"/>
      <c r="P23" s="585"/>
      <c r="Q23" s="585"/>
      <c r="R23" s="585"/>
      <c r="S23" s="585"/>
      <c r="T23" s="585"/>
      <c r="U23" s="585"/>
    </row>
    <row r="24" spans="1:21" s="104" customFormat="1" ht="11.25">
      <c r="A24" s="2555" t="s">
        <v>6</v>
      </c>
      <c r="B24" s="2555"/>
      <c r="C24" s="613">
        <f t="shared" ref="C24:N24" si="3">SUM(C25:C35)</f>
        <v>12</v>
      </c>
      <c r="D24" s="613">
        <f t="shared" si="3"/>
        <v>144364750</v>
      </c>
      <c r="E24" s="613">
        <f t="shared" si="3"/>
        <v>41</v>
      </c>
      <c r="F24" s="613">
        <f t="shared" si="3"/>
        <v>77719642</v>
      </c>
      <c r="G24" s="613">
        <f t="shared" si="3"/>
        <v>53</v>
      </c>
      <c r="H24" s="613">
        <f t="shared" si="3"/>
        <v>222084392</v>
      </c>
      <c r="I24" s="613">
        <f t="shared" si="3"/>
        <v>17</v>
      </c>
      <c r="J24" s="613">
        <f t="shared" si="3"/>
        <v>254211858</v>
      </c>
      <c r="K24" s="613">
        <f t="shared" si="3"/>
        <v>72</v>
      </c>
      <c r="L24" s="613">
        <f t="shared" si="3"/>
        <v>93526570</v>
      </c>
      <c r="M24" s="613">
        <f t="shared" si="3"/>
        <v>89</v>
      </c>
      <c r="N24" s="613">
        <f t="shared" si="3"/>
        <v>347738428</v>
      </c>
      <c r="O24" s="194"/>
      <c r="P24" s="194"/>
      <c r="Q24" s="194"/>
      <c r="R24" s="194"/>
      <c r="S24" s="194"/>
      <c r="T24" s="194"/>
      <c r="U24" s="194"/>
    </row>
    <row r="25" spans="1:21" s="104" customFormat="1" ht="11.25">
      <c r="A25" s="614" t="s">
        <v>7</v>
      </c>
      <c r="B25" s="615" t="s">
        <v>33</v>
      </c>
      <c r="C25" s="617">
        <v>1</v>
      </c>
      <c r="D25" s="617">
        <v>15750000</v>
      </c>
      <c r="E25" s="617">
        <v>0</v>
      </c>
      <c r="F25" s="617">
        <v>0</v>
      </c>
      <c r="G25" s="617">
        <f t="shared" ref="G25:H35" si="4">C25+E25</f>
        <v>1</v>
      </c>
      <c r="H25" s="617">
        <f t="shared" si="4"/>
        <v>15750000</v>
      </c>
      <c r="I25" s="617">
        <v>2</v>
      </c>
      <c r="J25" s="617">
        <v>17700000</v>
      </c>
      <c r="K25" s="617">
        <v>0</v>
      </c>
      <c r="L25" s="617">
        <v>0</v>
      </c>
      <c r="M25" s="617">
        <f t="shared" ref="M25:N35" si="5">I25+K25</f>
        <v>2</v>
      </c>
      <c r="N25" s="617">
        <f t="shared" si="5"/>
        <v>17700000</v>
      </c>
      <c r="O25" s="194"/>
      <c r="P25" s="194"/>
      <c r="Q25" s="194"/>
      <c r="R25" s="194"/>
      <c r="S25" s="194"/>
      <c r="T25" s="194"/>
      <c r="U25" s="194"/>
    </row>
    <row r="26" spans="1:21" s="104" customFormat="1" ht="11.25">
      <c r="A26" s="614" t="s">
        <v>2324</v>
      </c>
      <c r="B26" s="615" t="s">
        <v>35</v>
      </c>
      <c r="C26" s="617">
        <v>1</v>
      </c>
      <c r="D26" s="617">
        <v>4677000</v>
      </c>
      <c r="E26" s="617">
        <v>7</v>
      </c>
      <c r="F26" s="617">
        <v>10947642</v>
      </c>
      <c r="G26" s="617">
        <f t="shared" si="4"/>
        <v>8</v>
      </c>
      <c r="H26" s="617">
        <f t="shared" si="4"/>
        <v>15624642</v>
      </c>
      <c r="I26" s="617">
        <v>2</v>
      </c>
      <c r="J26" s="617">
        <v>25400000</v>
      </c>
      <c r="K26" s="617">
        <v>0</v>
      </c>
      <c r="L26" s="617">
        <v>0</v>
      </c>
      <c r="M26" s="617">
        <f t="shared" si="5"/>
        <v>2</v>
      </c>
      <c r="N26" s="617">
        <f t="shared" si="5"/>
        <v>25400000</v>
      </c>
      <c r="O26" s="194"/>
      <c r="P26" s="194"/>
      <c r="Q26" s="194"/>
      <c r="R26" s="194"/>
      <c r="S26" s="194"/>
      <c r="T26" s="194"/>
      <c r="U26" s="194"/>
    </row>
    <row r="27" spans="1:21" s="104" customFormat="1" ht="11.25">
      <c r="A27" s="614" t="s">
        <v>9</v>
      </c>
      <c r="B27" s="615" t="s">
        <v>2325</v>
      </c>
      <c r="C27" s="617">
        <v>1</v>
      </c>
      <c r="D27" s="617">
        <v>12000000</v>
      </c>
      <c r="E27" s="617">
        <v>0</v>
      </c>
      <c r="F27" s="617">
        <v>0</v>
      </c>
      <c r="G27" s="617">
        <f t="shared" si="4"/>
        <v>1</v>
      </c>
      <c r="H27" s="617">
        <f t="shared" si="4"/>
        <v>12000000</v>
      </c>
      <c r="I27" s="617">
        <v>2</v>
      </c>
      <c r="J27" s="617">
        <v>9800000</v>
      </c>
      <c r="K27" s="617">
        <v>0</v>
      </c>
      <c r="L27" s="617">
        <v>0</v>
      </c>
      <c r="M27" s="617">
        <f t="shared" si="5"/>
        <v>2</v>
      </c>
      <c r="N27" s="617">
        <f t="shared" si="5"/>
        <v>9800000</v>
      </c>
      <c r="O27" s="194"/>
      <c r="P27" s="194"/>
      <c r="Q27" s="194"/>
      <c r="R27" s="194"/>
      <c r="S27" s="194"/>
      <c r="T27" s="194"/>
      <c r="U27" s="194"/>
    </row>
    <row r="28" spans="1:21" s="104" customFormat="1" ht="11.25">
      <c r="A28" s="614" t="s">
        <v>12</v>
      </c>
      <c r="B28" s="615" t="s">
        <v>251</v>
      </c>
      <c r="C28" s="617">
        <v>1</v>
      </c>
      <c r="D28" s="617">
        <v>10000000</v>
      </c>
      <c r="E28" s="617">
        <v>0</v>
      </c>
      <c r="F28" s="617">
        <v>0</v>
      </c>
      <c r="G28" s="617">
        <f t="shared" si="4"/>
        <v>1</v>
      </c>
      <c r="H28" s="617">
        <f t="shared" si="4"/>
        <v>10000000</v>
      </c>
      <c r="I28" s="617">
        <v>2</v>
      </c>
      <c r="J28" s="617">
        <v>66000000</v>
      </c>
      <c r="K28" s="617">
        <v>0</v>
      </c>
      <c r="L28" s="617">
        <v>0</v>
      </c>
      <c r="M28" s="617">
        <f t="shared" si="5"/>
        <v>2</v>
      </c>
      <c r="N28" s="617">
        <f t="shared" si="5"/>
        <v>66000000</v>
      </c>
      <c r="O28" s="194"/>
      <c r="P28" s="194"/>
      <c r="Q28" s="194"/>
      <c r="R28" s="194"/>
      <c r="S28" s="194"/>
      <c r="T28" s="194"/>
      <c r="U28" s="194"/>
    </row>
    <row r="29" spans="1:21" s="104" customFormat="1" ht="45">
      <c r="A29" s="614" t="s">
        <v>2326</v>
      </c>
      <c r="B29" s="615" t="s">
        <v>186</v>
      </c>
      <c r="C29" s="617">
        <v>2</v>
      </c>
      <c r="D29" s="617">
        <v>40500000</v>
      </c>
      <c r="E29" s="617">
        <v>17</v>
      </c>
      <c r="F29" s="617">
        <v>20000000</v>
      </c>
      <c r="G29" s="617">
        <f t="shared" si="4"/>
        <v>19</v>
      </c>
      <c r="H29" s="617">
        <f t="shared" si="4"/>
        <v>60500000</v>
      </c>
      <c r="I29" s="617">
        <v>2</v>
      </c>
      <c r="J29" s="617">
        <v>62837290</v>
      </c>
      <c r="K29" s="617">
        <v>0</v>
      </c>
      <c r="L29" s="617">
        <v>0</v>
      </c>
      <c r="M29" s="617">
        <f t="shared" si="5"/>
        <v>2</v>
      </c>
      <c r="N29" s="617">
        <f t="shared" si="5"/>
        <v>62837290</v>
      </c>
      <c r="O29" s="194"/>
      <c r="P29" s="194"/>
      <c r="Q29" s="194"/>
      <c r="R29" s="194"/>
      <c r="S29" s="194"/>
      <c r="T29" s="194"/>
      <c r="U29" s="194"/>
    </row>
    <row r="30" spans="1:21" s="104" customFormat="1" ht="11.25">
      <c r="A30" s="614" t="s">
        <v>2327</v>
      </c>
      <c r="B30" s="615" t="s">
        <v>2328</v>
      </c>
      <c r="C30" s="617">
        <v>1</v>
      </c>
      <c r="D30" s="617">
        <v>16500000</v>
      </c>
      <c r="E30" s="617">
        <v>0</v>
      </c>
      <c r="F30" s="617">
        <v>0</v>
      </c>
      <c r="G30" s="617">
        <f t="shared" si="4"/>
        <v>1</v>
      </c>
      <c r="H30" s="617">
        <f t="shared" si="4"/>
        <v>16500000</v>
      </c>
      <c r="I30" s="617">
        <v>1</v>
      </c>
      <c r="J30" s="617">
        <v>17500000</v>
      </c>
      <c r="K30" s="617">
        <v>0</v>
      </c>
      <c r="L30" s="617">
        <v>0</v>
      </c>
      <c r="M30" s="617">
        <f t="shared" si="5"/>
        <v>1</v>
      </c>
      <c r="N30" s="617">
        <f t="shared" si="5"/>
        <v>17500000</v>
      </c>
      <c r="O30" s="194"/>
      <c r="P30" s="194"/>
      <c r="Q30" s="194"/>
      <c r="R30" s="194"/>
      <c r="S30" s="194"/>
      <c r="T30" s="194"/>
      <c r="U30" s="194"/>
    </row>
    <row r="31" spans="1:21" s="104" customFormat="1" ht="11.25">
      <c r="A31" s="614" t="s">
        <v>379</v>
      </c>
      <c r="B31" s="615" t="s">
        <v>181</v>
      </c>
      <c r="C31" s="617">
        <v>2</v>
      </c>
      <c r="D31" s="617">
        <v>16500000</v>
      </c>
      <c r="E31" s="617">
        <v>16</v>
      </c>
      <c r="F31" s="617">
        <v>14000000</v>
      </c>
      <c r="G31" s="617">
        <f t="shared" si="4"/>
        <v>18</v>
      </c>
      <c r="H31" s="617">
        <f t="shared" si="4"/>
        <v>30500000</v>
      </c>
      <c r="I31" s="617">
        <v>1</v>
      </c>
      <c r="J31" s="617">
        <v>17500000</v>
      </c>
      <c r="K31" s="617">
        <v>0</v>
      </c>
      <c r="L31" s="617">
        <v>0</v>
      </c>
      <c r="M31" s="617">
        <f t="shared" si="5"/>
        <v>1</v>
      </c>
      <c r="N31" s="617">
        <f t="shared" si="5"/>
        <v>17500000</v>
      </c>
      <c r="O31" s="194"/>
      <c r="P31" s="194"/>
      <c r="Q31" s="194"/>
      <c r="R31" s="194"/>
      <c r="S31" s="194"/>
      <c r="T31" s="194"/>
      <c r="U31" s="194"/>
    </row>
    <row r="32" spans="1:21" s="104" customFormat="1" ht="11.25">
      <c r="A32" s="614" t="s">
        <v>276</v>
      </c>
      <c r="B32" s="615" t="s">
        <v>182</v>
      </c>
      <c r="C32" s="617">
        <v>1</v>
      </c>
      <c r="D32" s="617">
        <v>13000000</v>
      </c>
      <c r="E32" s="617">
        <v>0</v>
      </c>
      <c r="F32" s="617">
        <v>0</v>
      </c>
      <c r="G32" s="617">
        <f t="shared" si="4"/>
        <v>1</v>
      </c>
      <c r="H32" s="617">
        <f t="shared" si="4"/>
        <v>13000000</v>
      </c>
      <c r="I32" s="617">
        <v>2</v>
      </c>
      <c r="J32" s="617">
        <v>14000000</v>
      </c>
      <c r="K32" s="617">
        <v>0</v>
      </c>
      <c r="L32" s="617">
        <v>0</v>
      </c>
      <c r="M32" s="617">
        <f t="shared" si="5"/>
        <v>2</v>
      </c>
      <c r="N32" s="617">
        <f t="shared" si="5"/>
        <v>14000000</v>
      </c>
      <c r="O32" s="194"/>
      <c r="P32" s="194"/>
      <c r="Q32" s="194"/>
      <c r="R32" s="194"/>
      <c r="S32" s="194"/>
      <c r="T32" s="194"/>
      <c r="U32" s="194"/>
    </row>
    <row r="33" spans="1:21" s="104" customFormat="1" ht="11.25">
      <c r="A33" s="614" t="s">
        <v>2329</v>
      </c>
      <c r="B33" s="615" t="s">
        <v>47</v>
      </c>
      <c r="C33" s="617">
        <v>1</v>
      </c>
      <c r="D33" s="617">
        <v>7000000</v>
      </c>
      <c r="E33" s="617">
        <v>1</v>
      </c>
      <c r="F33" s="617">
        <v>32772000</v>
      </c>
      <c r="G33" s="617">
        <f t="shared" si="4"/>
        <v>2</v>
      </c>
      <c r="H33" s="617">
        <f t="shared" si="4"/>
        <v>39772000</v>
      </c>
      <c r="I33" s="617">
        <v>2</v>
      </c>
      <c r="J33" s="617">
        <v>16274568</v>
      </c>
      <c r="K33" s="617">
        <v>1</v>
      </c>
      <c r="L33" s="617">
        <v>32858000</v>
      </c>
      <c r="M33" s="617">
        <f t="shared" si="5"/>
        <v>3</v>
      </c>
      <c r="N33" s="617">
        <f t="shared" si="5"/>
        <v>49132568</v>
      </c>
      <c r="O33" s="194"/>
      <c r="P33" s="194"/>
      <c r="Q33" s="194"/>
      <c r="R33" s="194"/>
      <c r="S33" s="194"/>
      <c r="T33" s="194"/>
      <c r="U33" s="194"/>
    </row>
    <row r="34" spans="1:21" s="104" customFormat="1" ht="11.25">
      <c r="A34" s="618" t="s">
        <v>21</v>
      </c>
      <c r="B34" s="615" t="s">
        <v>185</v>
      </c>
      <c r="C34" s="617">
        <v>1</v>
      </c>
      <c r="D34" s="617">
        <v>8437750</v>
      </c>
      <c r="E34" s="617">
        <v>0</v>
      </c>
      <c r="F34" s="617">
        <v>0</v>
      </c>
      <c r="G34" s="617">
        <f t="shared" si="4"/>
        <v>1</v>
      </c>
      <c r="H34" s="617">
        <f t="shared" si="4"/>
        <v>8437750</v>
      </c>
      <c r="I34" s="617">
        <v>1</v>
      </c>
      <c r="J34" s="617">
        <v>7200000</v>
      </c>
      <c r="K34" s="617">
        <v>0</v>
      </c>
      <c r="L34" s="617">
        <v>0</v>
      </c>
      <c r="M34" s="617">
        <f t="shared" si="5"/>
        <v>1</v>
      </c>
      <c r="N34" s="617">
        <f t="shared" si="5"/>
        <v>7200000</v>
      </c>
      <c r="O34" s="194"/>
      <c r="P34" s="194"/>
      <c r="Q34" s="194"/>
      <c r="R34" s="194"/>
      <c r="S34" s="194"/>
      <c r="T34" s="194"/>
      <c r="U34" s="194"/>
    </row>
    <row r="35" spans="1:21" s="104" customFormat="1" ht="11.25">
      <c r="A35" s="615" t="s">
        <v>2330</v>
      </c>
      <c r="B35" s="615" t="s">
        <v>2331</v>
      </c>
      <c r="C35" s="617">
        <v>0</v>
      </c>
      <c r="D35" s="617">
        <v>0</v>
      </c>
      <c r="E35" s="617">
        <v>0</v>
      </c>
      <c r="F35" s="617">
        <v>0</v>
      </c>
      <c r="G35" s="617">
        <f t="shared" si="4"/>
        <v>0</v>
      </c>
      <c r="H35" s="617">
        <f t="shared" si="4"/>
        <v>0</v>
      </c>
      <c r="I35" s="617">
        <v>0</v>
      </c>
      <c r="J35" s="617">
        <v>0</v>
      </c>
      <c r="K35" s="617">
        <v>71</v>
      </c>
      <c r="L35" s="617">
        <v>60668570</v>
      </c>
      <c r="M35" s="617">
        <f t="shared" si="5"/>
        <v>71</v>
      </c>
      <c r="N35" s="617">
        <f t="shared" si="5"/>
        <v>60668570</v>
      </c>
      <c r="O35" s="194"/>
      <c r="P35" s="194"/>
      <c r="Q35" s="194"/>
      <c r="R35" s="194"/>
      <c r="S35" s="194"/>
      <c r="T35" s="194"/>
      <c r="U35" s="194"/>
    </row>
    <row r="36" spans="1:21" s="85" customFormat="1" ht="11.25">
      <c r="A36" s="585"/>
      <c r="B36" s="585"/>
      <c r="C36" s="585"/>
      <c r="D36" s="585"/>
      <c r="E36" s="585"/>
      <c r="F36" s="585"/>
      <c r="G36" s="585"/>
      <c r="H36" s="585"/>
      <c r="I36" s="585"/>
      <c r="J36" s="585"/>
      <c r="K36" s="585"/>
      <c r="L36" s="585"/>
      <c r="M36" s="585"/>
      <c r="N36" s="585"/>
      <c r="O36" s="585"/>
      <c r="P36" s="585"/>
      <c r="Q36" s="585"/>
      <c r="R36" s="585"/>
      <c r="S36" s="585"/>
      <c r="T36" s="585"/>
      <c r="U36" s="585"/>
    </row>
    <row r="37" spans="1:21" s="85" customFormat="1" ht="11.25">
      <c r="A37" s="550" t="s">
        <v>3197</v>
      </c>
      <c r="B37" s="585"/>
      <c r="C37" s="585"/>
      <c r="D37" s="585"/>
      <c r="E37" s="585"/>
      <c r="F37" s="585"/>
      <c r="G37" s="585"/>
      <c r="H37" s="585"/>
      <c r="I37" s="585"/>
      <c r="J37" s="585"/>
      <c r="K37" s="585"/>
      <c r="L37" s="585"/>
      <c r="M37" s="585"/>
      <c r="N37" s="585"/>
      <c r="O37" s="585"/>
      <c r="P37" s="585"/>
      <c r="Q37" s="585"/>
      <c r="R37" s="585"/>
      <c r="S37" s="585"/>
      <c r="T37" s="585"/>
      <c r="U37" s="585"/>
    </row>
    <row r="38" spans="1:21" s="85" customFormat="1" ht="11.25">
      <c r="A38" s="550"/>
      <c r="B38" s="585"/>
      <c r="C38" s="585"/>
      <c r="D38" s="585"/>
      <c r="E38" s="585"/>
      <c r="F38" s="585"/>
      <c r="G38" s="585"/>
      <c r="H38" s="585"/>
      <c r="I38" s="585"/>
      <c r="J38" s="585"/>
      <c r="K38" s="585"/>
      <c r="L38" s="585"/>
      <c r="M38" s="585"/>
      <c r="N38" s="585"/>
      <c r="O38" s="585"/>
      <c r="P38" s="585"/>
      <c r="Q38" s="585"/>
      <c r="R38" s="585"/>
      <c r="S38" s="585"/>
      <c r="T38" s="585"/>
      <c r="U38" s="585"/>
    </row>
    <row r="39" spans="1:21" s="85" customFormat="1" ht="11.25">
      <c r="A39" s="2551" t="s">
        <v>0</v>
      </c>
      <c r="B39" s="2553" t="s">
        <v>2267</v>
      </c>
      <c r="C39" s="2551" t="s">
        <v>2341</v>
      </c>
      <c r="D39" s="2551"/>
      <c r="E39" s="2551"/>
      <c r="F39" s="2551"/>
      <c r="G39" s="2551"/>
      <c r="H39" s="2551"/>
      <c r="I39" s="2551" t="s">
        <v>2342</v>
      </c>
      <c r="J39" s="2551"/>
      <c r="K39" s="2551"/>
      <c r="L39" s="2551"/>
      <c r="M39" s="2551"/>
      <c r="N39" s="2551"/>
      <c r="O39" s="585"/>
      <c r="P39" s="585"/>
      <c r="Q39" s="585"/>
      <c r="R39" s="585"/>
      <c r="S39" s="585"/>
      <c r="T39" s="585"/>
      <c r="U39" s="585"/>
    </row>
    <row r="40" spans="1:21" s="85" customFormat="1" ht="12.75">
      <c r="A40" s="2552"/>
      <c r="B40" s="2554"/>
      <c r="C40" s="609" t="s">
        <v>3491</v>
      </c>
      <c r="D40" s="609" t="s">
        <v>3492</v>
      </c>
      <c r="E40" s="609" t="s">
        <v>3493</v>
      </c>
      <c r="F40" s="609" t="s">
        <v>3494</v>
      </c>
      <c r="G40" s="609" t="s">
        <v>2322</v>
      </c>
      <c r="H40" s="610" t="s">
        <v>2323</v>
      </c>
      <c r="I40" s="609" t="s">
        <v>3491</v>
      </c>
      <c r="J40" s="609" t="s">
        <v>3492</v>
      </c>
      <c r="K40" s="609" t="s">
        <v>3493</v>
      </c>
      <c r="L40" s="609" t="s">
        <v>3494</v>
      </c>
      <c r="M40" s="609" t="s">
        <v>2322</v>
      </c>
      <c r="N40" s="610" t="s">
        <v>2323</v>
      </c>
      <c r="O40" s="585"/>
      <c r="P40" s="585"/>
      <c r="Q40" s="585"/>
      <c r="R40" s="585"/>
      <c r="S40" s="585"/>
      <c r="T40" s="585"/>
      <c r="U40" s="585"/>
    </row>
    <row r="41" spans="1:21" s="104" customFormat="1" ht="11.25">
      <c r="A41" s="2550" t="s">
        <v>6</v>
      </c>
      <c r="B41" s="2550"/>
      <c r="C41" s="625">
        <f>SUM(C42:C52)</f>
        <v>23</v>
      </c>
      <c r="D41" s="626">
        <f>SUM(D42:D52)</f>
        <v>320000000</v>
      </c>
      <c r="E41" s="626">
        <f>SUM(E42:E52)</f>
        <v>71</v>
      </c>
      <c r="F41" s="626">
        <v>61000000</v>
      </c>
      <c r="G41" s="626">
        <f t="shared" ref="G41:H52" si="6">C41+E41</f>
        <v>94</v>
      </c>
      <c r="H41" s="625">
        <f t="shared" si="6"/>
        <v>381000000</v>
      </c>
      <c r="I41" s="626">
        <f>SUM(I42:I52)</f>
        <v>22</v>
      </c>
      <c r="J41" s="626">
        <f>SUM(J42:J52)</f>
        <v>353249000</v>
      </c>
      <c r="K41" s="626">
        <f>SUM(K42:K52)</f>
        <v>161</v>
      </c>
      <c r="L41" s="626">
        <f>SUM(L42:L52)</f>
        <v>151000000</v>
      </c>
      <c r="M41" s="626">
        <f>I41+K41</f>
        <v>183</v>
      </c>
      <c r="N41" s="625">
        <f t="shared" ref="N41:N52" si="7">J41+L41</f>
        <v>504249000</v>
      </c>
      <c r="O41" s="194"/>
      <c r="P41" s="194"/>
      <c r="Q41" s="194"/>
      <c r="R41" s="194"/>
      <c r="S41" s="194"/>
      <c r="T41" s="194"/>
      <c r="U41" s="194"/>
    </row>
    <row r="42" spans="1:21" s="104" customFormat="1" ht="11.25">
      <c r="A42" s="614" t="s">
        <v>7</v>
      </c>
      <c r="B42" s="615" t="s">
        <v>33</v>
      </c>
      <c r="C42" s="627">
        <v>3</v>
      </c>
      <c r="D42" s="627">
        <v>21500000</v>
      </c>
      <c r="E42" s="617">
        <v>2</v>
      </c>
      <c r="F42" s="617">
        <v>1450000</v>
      </c>
      <c r="G42" s="628">
        <f t="shared" si="6"/>
        <v>5</v>
      </c>
      <c r="H42" s="629">
        <f t="shared" si="6"/>
        <v>22950000</v>
      </c>
      <c r="I42" s="627">
        <v>3</v>
      </c>
      <c r="J42" s="627">
        <v>32349000</v>
      </c>
      <c r="K42" s="617">
        <v>4</v>
      </c>
      <c r="L42" s="617">
        <v>6000000</v>
      </c>
      <c r="M42" s="628">
        <f t="shared" ref="M42:M52" si="8">I42+K42</f>
        <v>7</v>
      </c>
      <c r="N42" s="629">
        <f t="shared" si="7"/>
        <v>38349000</v>
      </c>
      <c r="O42" s="194"/>
      <c r="P42" s="194"/>
      <c r="Q42" s="194"/>
      <c r="R42" s="194"/>
      <c r="S42" s="194"/>
      <c r="T42" s="194"/>
      <c r="U42" s="194"/>
    </row>
    <row r="43" spans="1:21" s="104" customFormat="1" ht="11.25">
      <c r="A43" s="614" t="s">
        <v>2324</v>
      </c>
      <c r="B43" s="615" t="s">
        <v>35</v>
      </c>
      <c r="C43" s="627">
        <v>2</v>
      </c>
      <c r="D43" s="627">
        <v>24000000</v>
      </c>
      <c r="E43" s="617">
        <v>4</v>
      </c>
      <c r="F43" s="627">
        <v>3600000</v>
      </c>
      <c r="G43" s="628">
        <f t="shared" si="6"/>
        <v>6</v>
      </c>
      <c r="H43" s="629">
        <f t="shared" si="6"/>
        <v>27600000</v>
      </c>
      <c r="I43" s="627">
        <v>2</v>
      </c>
      <c r="J43" s="627">
        <v>26800000</v>
      </c>
      <c r="K43" s="617"/>
      <c r="L43" s="627"/>
      <c r="M43" s="628">
        <f t="shared" si="8"/>
        <v>2</v>
      </c>
      <c r="N43" s="629">
        <f t="shared" si="7"/>
        <v>26800000</v>
      </c>
      <c r="O43" s="194"/>
      <c r="P43" s="194"/>
      <c r="Q43" s="194"/>
      <c r="R43" s="194"/>
      <c r="S43" s="194"/>
      <c r="T43" s="194"/>
      <c r="U43" s="194"/>
    </row>
    <row r="44" spans="1:21" s="104" customFormat="1" ht="11.25">
      <c r="A44" s="614" t="s">
        <v>9</v>
      </c>
      <c r="B44" s="615" t="s">
        <v>2325</v>
      </c>
      <c r="C44" s="627">
        <v>2</v>
      </c>
      <c r="D44" s="627">
        <v>15000000</v>
      </c>
      <c r="E44" s="617">
        <v>1</v>
      </c>
      <c r="F44" s="617">
        <v>1800000</v>
      </c>
      <c r="G44" s="628">
        <f t="shared" si="6"/>
        <v>3</v>
      </c>
      <c r="H44" s="629">
        <f t="shared" si="6"/>
        <v>16800000</v>
      </c>
      <c r="I44" s="627">
        <v>1</v>
      </c>
      <c r="J44" s="627">
        <v>13300000</v>
      </c>
      <c r="K44" s="617">
        <v>39</v>
      </c>
      <c r="L44" s="617">
        <v>31000000</v>
      </c>
      <c r="M44" s="628">
        <f t="shared" si="8"/>
        <v>40</v>
      </c>
      <c r="N44" s="629">
        <f t="shared" si="7"/>
        <v>44300000</v>
      </c>
      <c r="O44" s="194"/>
      <c r="P44" s="194"/>
      <c r="Q44" s="194"/>
      <c r="R44" s="194"/>
      <c r="S44" s="194"/>
      <c r="T44" s="194"/>
      <c r="U44" s="194"/>
    </row>
    <row r="45" spans="1:21" s="104" customFormat="1" ht="11.25">
      <c r="A45" s="614" t="s">
        <v>12</v>
      </c>
      <c r="B45" s="615" t="s">
        <v>251</v>
      </c>
      <c r="C45" s="627">
        <v>2</v>
      </c>
      <c r="D45" s="627">
        <v>76800000</v>
      </c>
      <c r="E45" s="617">
        <v>2</v>
      </c>
      <c r="F45" s="627">
        <v>1900000</v>
      </c>
      <c r="G45" s="628">
        <f t="shared" si="6"/>
        <v>4</v>
      </c>
      <c r="H45" s="629">
        <f t="shared" si="6"/>
        <v>78700000</v>
      </c>
      <c r="I45" s="627">
        <v>2</v>
      </c>
      <c r="J45" s="627">
        <v>75000000</v>
      </c>
      <c r="K45" s="617"/>
      <c r="L45" s="627"/>
      <c r="M45" s="628">
        <f t="shared" si="8"/>
        <v>2</v>
      </c>
      <c r="N45" s="629">
        <f t="shared" si="7"/>
        <v>75000000</v>
      </c>
      <c r="O45" s="194"/>
      <c r="P45" s="194"/>
      <c r="Q45" s="194"/>
      <c r="R45" s="194"/>
      <c r="S45" s="194"/>
      <c r="T45" s="194"/>
      <c r="U45" s="194"/>
    </row>
    <row r="46" spans="1:21" s="104" customFormat="1" ht="45">
      <c r="A46" s="614" t="s">
        <v>2326</v>
      </c>
      <c r="B46" s="615" t="s">
        <v>186</v>
      </c>
      <c r="C46" s="627">
        <v>2</v>
      </c>
      <c r="D46" s="627">
        <v>50000000</v>
      </c>
      <c r="E46" s="617">
        <v>13</v>
      </c>
      <c r="F46" s="627">
        <v>12050000</v>
      </c>
      <c r="G46" s="628">
        <f t="shared" si="6"/>
        <v>15</v>
      </c>
      <c r="H46" s="629">
        <f t="shared" si="6"/>
        <v>62050000</v>
      </c>
      <c r="I46" s="627">
        <v>2</v>
      </c>
      <c r="J46" s="627">
        <v>60000000</v>
      </c>
      <c r="K46" s="617">
        <v>19</v>
      </c>
      <c r="L46" s="627">
        <v>20000000</v>
      </c>
      <c r="M46" s="628">
        <f t="shared" si="8"/>
        <v>21</v>
      </c>
      <c r="N46" s="629">
        <f t="shared" si="7"/>
        <v>80000000</v>
      </c>
      <c r="O46" s="194"/>
      <c r="P46" s="194"/>
      <c r="Q46" s="194"/>
      <c r="R46" s="194"/>
      <c r="S46" s="194"/>
      <c r="T46" s="194"/>
      <c r="U46" s="194"/>
    </row>
    <row r="47" spans="1:21" s="104" customFormat="1" ht="11.25">
      <c r="A47" s="614" t="s">
        <v>2327</v>
      </c>
      <c r="B47" s="615" t="s">
        <v>2328</v>
      </c>
      <c r="C47" s="627">
        <v>1</v>
      </c>
      <c r="D47" s="627">
        <v>21000000</v>
      </c>
      <c r="E47" s="617">
        <v>5</v>
      </c>
      <c r="F47" s="627">
        <v>4900000</v>
      </c>
      <c r="G47" s="628">
        <f t="shared" si="6"/>
        <v>6</v>
      </c>
      <c r="H47" s="629">
        <f t="shared" si="6"/>
        <v>25900000</v>
      </c>
      <c r="I47" s="627">
        <v>2</v>
      </c>
      <c r="J47" s="627">
        <v>23000000</v>
      </c>
      <c r="K47" s="617">
        <v>5</v>
      </c>
      <c r="L47" s="627">
        <v>5000000</v>
      </c>
      <c r="M47" s="628">
        <f t="shared" si="8"/>
        <v>7</v>
      </c>
      <c r="N47" s="629">
        <f t="shared" si="7"/>
        <v>28000000</v>
      </c>
      <c r="O47" s="194"/>
      <c r="P47" s="194"/>
      <c r="Q47" s="194"/>
      <c r="R47" s="194"/>
      <c r="S47" s="194"/>
      <c r="T47" s="194"/>
      <c r="U47" s="194"/>
    </row>
    <row r="48" spans="1:21" s="104" customFormat="1" ht="11.25">
      <c r="A48" s="614" t="s">
        <v>379</v>
      </c>
      <c r="B48" s="615" t="s">
        <v>181</v>
      </c>
      <c r="C48" s="627">
        <v>2</v>
      </c>
      <c r="D48" s="627">
        <v>22000000</v>
      </c>
      <c r="E48" s="617">
        <v>41</v>
      </c>
      <c r="F48" s="627">
        <v>33500000</v>
      </c>
      <c r="G48" s="628">
        <f t="shared" si="6"/>
        <v>43</v>
      </c>
      <c r="H48" s="629">
        <f t="shared" si="6"/>
        <v>55500000</v>
      </c>
      <c r="I48" s="627">
        <v>2</v>
      </c>
      <c r="J48" s="627">
        <v>38000000</v>
      </c>
      <c r="K48" s="617">
        <v>48</v>
      </c>
      <c r="L48" s="627">
        <v>42000000</v>
      </c>
      <c r="M48" s="628">
        <f t="shared" si="8"/>
        <v>50</v>
      </c>
      <c r="N48" s="629">
        <f t="shared" si="7"/>
        <v>80000000</v>
      </c>
      <c r="O48" s="194"/>
      <c r="P48" s="194"/>
      <c r="Q48" s="194"/>
      <c r="R48" s="194"/>
      <c r="S48" s="194"/>
      <c r="T48" s="194"/>
      <c r="U48" s="194"/>
    </row>
    <row r="49" spans="1:21" s="104" customFormat="1" ht="11.25">
      <c r="A49" s="614" t="s">
        <v>276</v>
      </c>
      <c r="B49" s="615" t="s">
        <v>182</v>
      </c>
      <c r="C49" s="627">
        <v>2</v>
      </c>
      <c r="D49" s="627">
        <v>17000000</v>
      </c>
      <c r="E49" s="617">
        <v>1</v>
      </c>
      <c r="F49" s="627">
        <v>800000</v>
      </c>
      <c r="G49" s="628">
        <f t="shared" si="6"/>
        <v>3</v>
      </c>
      <c r="H49" s="629">
        <f t="shared" si="6"/>
        <v>17800000</v>
      </c>
      <c r="I49" s="627">
        <v>2</v>
      </c>
      <c r="J49" s="627">
        <v>15000000</v>
      </c>
      <c r="K49" s="617">
        <v>3</v>
      </c>
      <c r="L49" s="627">
        <v>3000000</v>
      </c>
      <c r="M49" s="628">
        <f t="shared" si="8"/>
        <v>5</v>
      </c>
      <c r="N49" s="629">
        <f t="shared" si="7"/>
        <v>18000000</v>
      </c>
      <c r="O49" s="194"/>
      <c r="P49" s="194"/>
      <c r="Q49" s="194"/>
      <c r="R49" s="194"/>
      <c r="S49" s="194"/>
      <c r="T49" s="194"/>
      <c r="U49" s="194"/>
    </row>
    <row r="50" spans="1:21" s="104" customFormat="1" ht="11.25">
      <c r="A50" s="614" t="s">
        <v>2329</v>
      </c>
      <c r="B50" s="615" t="s">
        <v>47</v>
      </c>
      <c r="C50" s="627">
        <v>2</v>
      </c>
      <c r="D50" s="627">
        <v>20000000</v>
      </c>
      <c r="E50" s="617">
        <v>2</v>
      </c>
      <c r="F50" s="627">
        <v>1000000</v>
      </c>
      <c r="G50" s="628">
        <f t="shared" si="6"/>
        <v>4</v>
      </c>
      <c r="H50" s="629">
        <f t="shared" si="6"/>
        <v>21000000</v>
      </c>
      <c r="I50" s="627">
        <v>2</v>
      </c>
      <c r="J50" s="627">
        <v>20200000</v>
      </c>
      <c r="K50" s="617">
        <v>43</v>
      </c>
      <c r="L50" s="627">
        <v>44000000</v>
      </c>
      <c r="M50" s="628">
        <f t="shared" si="8"/>
        <v>45</v>
      </c>
      <c r="N50" s="629">
        <f t="shared" si="7"/>
        <v>64200000</v>
      </c>
      <c r="O50" s="194"/>
      <c r="P50" s="194"/>
      <c r="Q50" s="194"/>
      <c r="R50" s="194"/>
      <c r="S50" s="194"/>
      <c r="T50" s="194"/>
      <c r="U50" s="194"/>
    </row>
    <row r="51" spans="1:21" s="104" customFormat="1" ht="11.25">
      <c r="A51" s="618" t="s">
        <v>21</v>
      </c>
      <c r="B51" s="615" t="s">
        <v>185</v>
      </c>
      <c r="C51" s="627">
        <v>3</v>
      </c>
      <c r="D51" s="627">
        <v>33000000</v>
      </c>
      <c r="E51" s="617">
        <v>0</v>
      </c>
      <c r="F51" s="617">
        <v>0</v>
      </c>
      <c r="G51" s="628">
        <f t="shared" si="6"/>
        <v>3</v>
      </c>
      <c r="H51" s="629">
        <f t="shared" si="6"/>
        <v>33000000</v>
      </c>
      <c r="I51" s="627">
        <v>2</v>
      </c>
      <c r="J51" s="627">
        <v>27000000</v>
      </c>
      <c r="K51" s="617"/>
      <c r="L51" s="617">
        <v>0</v>
      </c>
      <c r="M51" s="628">
        <f t="shared" si="8"/>
        <v>2</v>
      </c>
      <c r="N51" s="629">
        <f t="shared" si="7"/>
        <v>27000000</v>
      </c>
      <c r="O51" s="194"/>
      <c r="P51" s="194"/>
      <c r="Q51" s="194"/>
      <c r="R51" s="194"/>
      <c r="S51" s="194"/>
      <c r="T51" s="194"/>
      <c r="U51" s="194"/>
    </row>
    <row r="52" spans="1:21" s="104" customFormat="1" ht="11.25">
      <c r="A52" s="615" t="s">
        <v>2330</v>
      </c>
      <c r="B52" s="615" t="s">
        <v>2331</v>
      </c>
      <c r="C52" s="627">
        <v>2</v>
      </c>
      <c r="D52" s="627">
        <v>19700000</v>
      </c>
      <c r="E52" s="617">
        <v>0</v>
      </c>
      <c r="F52" s="617">
        <v>0</v>
      </c>
      <c r="G52" s="628">
        <f t="shared" si="6"/>
        <v>2</v>
      </c>
      <c r="H52" s="629">
        <f t="shared" si="6"/>
        <v>19700000</v>
      </c>
      <c r="I52" s="627">
        <v>2</v>
      </c>
      <c r="J52" s="627">
        <v>22600000</v>
      </c>
      <c r="K52" s="617"/>
      <c r="L52" s="617">
        <v>0</v>
      </c>
      <c r="M52" s="628">
        <f t="shared" si="8"/>
        <v>2</v>
      </c>
      <c r="N52" s="629">
        <f t="shared" si="7"/>
        <v>22600000</v>
      </c>
      <c r="O52" s="194"/>
      <c r="P52" s="194"/>
      <c r="Q52" s="194"/>
      <c r="R52" s="194"/>
      <c r="S52" s="194"/>
      <c r="T52" s="194"/>
      <c r="U52" s="194"/>
    </row>
    <row r="53" spans="1:21" s="104" customFormat="1" ht="6.75" customHeight="1">
      <c r="A53" s="615"/>
      <c r="B53" s="615"/>
      <c r="C53" s="194"/>
      <c r="D53" s="630"/>
      <c r="E53" s="631"/>
      <c r="F53" s="632"/>
      <c r="G53" s="538"/>
      <c r="H53" s="633"/>
      <c r="I53" s="194"/>
      <c r="J53" s="194"/>
      <c r="K53" s="194"/>
      <c r="L53" s="194"/>
      <c r="M53" s="194"/>
      <c r="N53" s="194"/>
      <c r="O53" s="194"/>
      <c r="P53" s="194"/>
      <c r="Q53" s="194"/>
      <c r="R53" s="194"/>
      <c r="S53" s="194"/>
      <c r="T53" s="194"/>
      <c r="U53" s="194"/>
    </row>
    <row r="54" spans="1:21" s="606" customFormat="1" ht="15.75" customHeight="1">
      <c r="A54" s="624" t="s">
        <v>3495</v>
      </c>
      <c r="B54" s="608"/>
      <c r="C54" s="608"/>
      <c r="D54" s="608"/>
      <c r="E54" s="608"/>
      <c r="F54" s="608"/>
      <c r="G54" s="608"/>
      <c r="H54" s="608"/>
      <c r="I54" s="608"/>
      <c r="J54" s="608"/>
      <c r="K54" s="608"/>
      <c r="L54" s="608"/>
      <c r="M54" s="608"/>
      <c r="N54" s="608"/>
      <c r="O54" s="585"/>
      <c r="P54" s="585"/>
      <c r="Q54" s="585"/>
      <c r="R54" s="585"/>
      <c r="S54" s="585"/>
      <c r="T54" s="585"/>
      <c r="U54" s="585"/>
    </row>
    <row r="55" spans="1:21" s="85" customFormat="1" ht="15" customHeight="1">
      <c r="A55" s="624" t="s">
        <v>3496</v>
      </c>
      <c r="B55" s="608"/>
      <c r="C55" s="608"/>
      <c r="D55" s="608"/>
      <c r="E55" s="608"/>
      <c r="F55" s="608"/>
      <c r="G55" s="608"/>
      <c r="H55" s="608"/>
      <c r="I55" s="608"/>
      <c r="J55" s="608"/>
      <c r="K55" s="608"/>
      <c r="L55" s="608"/>
      <c r="M55" s="608"/>
      <c r="N55" s="608"/>
      <c r="O55" s="585"/>
      <c r="P55" s="585"/>
      <c r="Q55" s="585"/>
      <c r="R55" s="585"/>
      <c r="S55" s="585"/>
      <c r="T55" s="585"/>
      <c r="U55" s="585"/>
    </row>
    <row r="56" spans="1:21" s="85" customFormat="1" ht="11.25">
      <c r="A56" s="545" t="s">
        <v>161</v>
      </c>
      <c r="B56" s="615"/>
      <c r="C56" s="634"/>
      <c r="D56" s="635"/>
      <c r="E56" s="631"/>
      <c r="F56" s="632"/>
      <c r="G56" s="538"/>
      <c r="H56" s="633"/>
      <c r="I56" s="585"/>
      <c r="J56" s="585"/>
      <c r="K56" s="585"/>
      <c r="L56" s="585"/>
      <c r="M56" s="585"/>
      <c r="N56" s="585"/>
      <c r="O56" s="585"/>
      <c r="P56" s="585"/>
      <c r="Q56" s="585"/>
      <c r="R56" s="585"/>
      <c r="S56" s="585"/>
      <c r="T56" s="585"/>
      <c r="U56" s="585"/>
    </row>
    <row r="57" spans="1:21" s="85" customFormat="1" ht="11.25">
      <c r="A57" s="585" t="s">
        <v>2283</v>
      </c>
      <c r="B57" s="585"/>
      <c r="C57" s="585"/>
      <c r="D57" s="585"/>
      <c r="E57" s="585"/>
      <c r="F57" s="585"/>
      <c r="G57" s="585"/>
      <c r="H57" s="585"/>
      <c r="I57" s="585"/>
      <c r="J57" s="585"/>
      <c r="K57" s="585"/>
      <c r="L57" s="585"/>
      <c r="M57" s="585"/>
      <c r="N57" s="585"/>
      <c r="O57" s="585"/>
      <c r="P57" s="585"/>
      <c r="Q57" s="585"/>
      <c r="R57" s="585"/>
      <c r="S57" s="585"/>
      <c r="T57" s="585"/>
      <c r="U57" s="585"/>
    </row>
    <row r="58" spans="1:21">
      <c r="E58" s="82"/>
      <c r="F58" s="82"/>
      <c r="G58" s="82"/>
    </row>
  </sheetData>
  <mergeCells count="14">
    <mergeCell ref="A41:B41"/>
    <mergeCell ref="A4:A5"/>
    <mergeCell ref="B4:B5"/>
    <mergeCell ref="C4:H4"/>
    <mergeCell ref="I4:N4"/>
    <mergeCell ref="A22:A23"/>
    <mergeCell ref="B22:B23"/>
    <mergeCell ref="C22:H22"/>
    <mergeCell ref="I22:N22"/>
    <mergeCell ref="A24:B24"/>
    <mergeCell ref="A39:A40"/>
    <mergeCell ref="B39:B40"/>
    <mergeCell ref="C39:H39"/>
    <mergeCell ref="I39:N39"/>
  </mergeCells>
  <pageMargins left="0.7" right="0.56999999999999995" top="0.75" bottom="0.75" header="0.3" footer="0.3"/>
  <pageSetup paperSize="14" scale="77" orientation="landscape" r:id="rId1"/>
  <rowBreaks count="1" manualBreakCount="1">
    <brk id="36" max="13" man="1"/>
  </rowBreaks>
</worksheet>
</file>

<file path=xl/worksheets/sheet252.xml><?xml version="1.0" encoding="utf-8"?>
<worksheet xmlns="http://schemas.openxmlformats.org/spreadsheetml/2006/main" xmlns:r="http://schemas.openxmlformats.org/officeDocument/2006/relationships">
  <dimension ref="A1:Y26"/>
  <sheetViews>
    <sheetView zoomScaleNormal="100" workbookViewId="0">
      <selection activeCell="E37" sqref="E37"/>
    </sheetView>
  </sheetViews>
  <sheetFormatPr baseColWidth="10" defaultRowHeight="12"/>
  <cols>
    <col min="1" max="1" width="17" style="84" customWidth="1"/>
    <col min="2" max="2" width="7.5703125" style="84" customWidth="1"/>
    <col min="3" max="3" width="10" style="84" customWidth="1"/>
    <col min="4" max="4" width="8.28515625" style="84" customWidth="1"/>
    <col min="5" max="5" width="13.85546875" style="84" bestFit="1" customWidth="1"/>
    <col min="6" max="6" width="7" style="84" customWidth="1"/>
    <col min="7" max="7" width="9.140625" style="84" customWidth="1"/>
    <col min="8" max="8" width="8.28515625" style="84" customWidth="1"/>
    <col min="9" max="9" width="15.140625" style="84" customWidth="1"/>
    <col min="10" max="10" width="9" style="84" customWidth="1"/>
    <col min="11" max="11" width="8.28515625" style="84" bestFit="1" customWidth="1"/>
    <col min="12" max="12" width="8.28515625" style="84" customWidth="1"/>
    <col min="13" max="13" width="13.85546875" style="84" bestFit="1" customWidth="1"/>
    <col min="14" max="14" width="14.140625" style="84" customWidth="1"/>
    <col min="15" max="15" width="14" style="84" customWidth="1"/>
    <col min="16" max="16" width="12" style="84" customWidth="1"/>
    <col min="17" max="18" width="13.85546875" style="84" bestFit="1" customWidth="1"/>
    <col min="19" max="19" width="14.85546875" style="84" bestFit="1" customWidth="1"/>
    <col min="20" max="20" width="6.28515625" style="84" bestFit="1" customWidth="1"/>
    <col min="21" max="21" width="13.85546875" style="84" bestFit="1" customWidth="1"/>
    <col min="22" max="22" width="8.28515625" style="84" customWidth="1"/>
    <col min="23" max="23" width="10.5703125" style="84" customWidth="1"/>
    <col min="24" max="24" width="8" style="84" customWidth="1"/>
    <col min="25" max="25" width="15.140625" style="84" bestFit="1" customWidth="1"/>
    <col min="26" max="16384" width="11.42578125" style="84"/>
  </cols>
  <sheetData>
    <row r="1" spans="1:25" ht="7.5" customHeight="1"/>
    <row r="2" spans="1:25" ht="28.5" customHeight="1">
      <c r="A2" s="2523" t="s">
        <v>2343</v>
      </c>
      <c r="B2" s="2523"/>
      <c r="C2" s="2523"/>
      <c r="D2" s="2523"/>
      <c r="E2" s="2523"/>
      <c r="F2" s="2523"/>
      <c r="G2" s="2523"/>
      <c r="H2" s="2523"/>
      <c r="I2" s="2523"/>
      <c r="J2" s="2523"/>
      <c r="K2" s="2523"/>
      <c r="L2" s="2523"/>
      <c r="M2" s="2523"/>
      <c r="N2" s="2523"/>
      <c r="O2" s="2523"/>
      <c r="P2" s="2523"/>
      <c r="Q2" s="2523"/>
      <c r="R2" s="2523"/>
      <c r="S2" s="2523"/>
      <c r="T2" s="2523"/>
      <c r="U2" s="2523"/>
      <c r="V2" s="2523"/>
      <c r="W2" s="2523"/>
      <c r="X2" s="2523"/>
      <c r="Y2" s="2523"/>
    </row>
    <row r="3" spans="1:25" s="85" customFormat="1" ht="5.25" customHeight="1">
      <c r="A3" s="584"/>
      <c r="B3" s="584"/>
      <c r="C3" s="584"/>
      <c r="D3" s="584"/>
      <c r="E3" s="584"/>
      <c r="F3" s="584"/>
      <c r="G3" s="584"/>
      <c r="H3" s="584"/>
      <c r="I3" s="584"/>
      <c r="J3" s="585"/>
      <c r="K3" s="585"/>
      <c r="L3" s="585"/>
      <c r="M3" s="585"/>
      <c r="N3" s="585"/>
      <c r="O3" s="585"/>
      <c r="P3" s="585"/>
      <c r="Q3" s="585"/>
      <c r="R3" s="585"/>
      <c r="S3" s="585"/>
      <c r="T3" s="585"/>
      <c r="U3" s="585"/>
    </row>
    <row r="4" spans="1:25" s="85" customFormat="1" ht="16.5" customHeight="1">
      <c r="A4" s="2559" t="s">
        <v>0</v>
      </c>
      <c r="B4" s="2556">
        <v>2009</v>
      </c>
      <c r="C4" s="2557"/>
      <c r="D4" s="2557"/>
      <c r="E4" s="2558"/>
      <c r="F4" s="2556">
        <v>2010</v>
      </c>
      <c r="G4" s="2557"/>
      <c r="H4" s="2557"/>
      <c r="I4" s="2558"/>
      <c r="J4" s="2556">
        <v>2011</v>
      </c>
      <c r="K4" s="2557"/>
      <c r="L4" s="2557"/>
      <c r="M4" s="2558"/>
      <c r="N4" s="2556">
        <v>2012</v>
      </c>
      <c r="O4" s="2557"/>
      <c r="P4" s="2557"/>
      <c r="Q4" s="2558"/>
      <c r="R4" s="2556">
        <v>2013</v>
      </c>
      <c r="S4" s="2557"/>
      <c r="T4" s="2557"/>
      <c r="U4" s="2558"/>
      <c r="V4" s="2556">
        <v>2014</v>
      </c>
      <c r="W4" s="2557"/>
      <c r="X4" s="2557"/>
      <c r="Y4" s="2558"/>
    </row>
    <row r="5" spans="1:25" s="85" customFormat="1" ht="16.5" customHeight="1">
      <c r="A5" s="2559"/>
      <c r="B5" s="586" t="s">
        <v>26</v>
      </c>
      <c r="C5" s="586" t="s">
        <v>2344</v>
      </c>
      <c r="D5" s="586" t="s">
        <v>2345</v>
      </c>
      <c r="E5" s="586" t="s">
        <v>2346</v>
      </c>
      <c r="F5" s="586" t="s">
        <v>26</v>
      </c>
      <c r="G5" s="586" t="s">
        <v>2344</v>
      </c>
      <c r="H5" s="586" t="s">
        <v>2345</v>
      </c>
      <c r="I5" s="586" t="s">
        <v>2346</v>
      </c>
      <c r="J5" s="586" t="s">
        <v>26</v>
      </c>
      <c r="K5" s="586" t="s">
        <v>2344</v>
      </c>
      <c r="L5" s="586" t="s">
        <v>2345</v>
      </c>
      <c r="M5" s="586" t="s">
        <v>2346</v>
      </c>
      <c r="N5" s="586" t="s">
        <v>26</v>
      </c>
      <c r="O5" s="586" t="s">
        <v>2344</v>
      </c>
      <c r="P5" s="586" t="s">
        <v>2345</v>
      </c>
      <c r="Q5" s="586" t="s">
        <v>2346</v>
      </c>
      <c r="R5" s="586" t="s">
        <v>26</v>
      </c>
      <c r="S5" s="586" t="s">
        <v>3489</v>
      </c>
      <c r="T5" s="586" t="s">
        <v>2345</v>
      </c>
      <c r="U5" s="586" t="s">
        <v>2346</v>
      </c>
      <c r="V5" s="586" t="s">
        <v>26</v>
      </c>
      <c r="W5" s="586" t="s">
        <v>2344</v>
      </c>
      <c r="X5" s="586" t="s">
        <v>2345</v>
      </c>
      <c r="Y5" s="586" t="s">
        <v>2346</v>
      </c>
    </row>
    <row r="6" spans="1:25" s="85" customFormat="1" ht="11.25">
      <c r="A6" s="587" t="s">
        <v>6</v>
      </c>
      <c r="B6" s="588">
        <f t="shared" ref="B6:B21" si="0">SUM(C6:D6)</f>
        <v>28</v>
      </c>
      <c r="C6" s="589">
        <f>SUM(C7:C21)</f>
        <v>8</v>
      </c>
      <c r="D6" s="589">
        <f>SUM(D7:D21)</f>
        <v>20</v>
      </c>
      <c r="E6" s="589">
        <f>SUM(E7:E21)</f>
        <v>29117000</v>
      </c>
      <c r="F6" s="589">
        <f t="shared" ref="F6:F21" si="1">SUM(G6:H6)</f>
        <v>32</v>
      </c>
      <c r="G6" s="589">
        <f>SUM(G7:G21)</f>
        <v>11</v>
      </c>
      <c r="H6" s="589">
        <f>SUM(H8:H26)</f>
        <v>21</v>
      </c>
      <c r="I6" s="589">
        <f>SUM(I7:I21)</f>
        <v>29597399</v>
      </c>
      <c r="J6" s="589">
        <f>SUM(J7:J21)</f>
        <v>40</v>
      </c>
      <c r="K6" s="589">
        <f>SUM(K7:K21)</f>
        <v>19</v>
      </c>
      <c r="L6" s="589">
        <f>SUM(L7:L21)</f>
        <v>21</v>
      </c>
      <c r="M6" s="589">
        <f>SUM(M7:M21)</f>
        <v>44947642</v>
      </c>
      <c r="N6" s="589">
        <f t="shared" ref="N6:N21" si="2">SUM(O6:P6)</f>
        <v>66</v>
      </c>
      <c r="O6" s="589">
        <f>SUM(O8:O24)</f>
        <v>22</v>
      </c>
      <c r="P6" s="589">
        <f>SUM(P8:P24)</f>
        <v>44</v>
      </c>
      <c r="Q6" s="589">
        <f>SUM(Q7:Q21)</f>
        <v>60557000</v>
      </c>
      <c r="R6" s="589">
        <f t="shared" ref="R6:R21" si="3">SUM(S6:T6)</f>
        <v>56</v>
      </c>
      <c r="S6" s="589">
        <f t="shared" ref="S6:Y6" si="4">SUM(S7:S21)</f>
        <v>0</v>
      </c>
      <c r="T6" s="589">
        <f t="shared" si="4"/>
        <v>56</v>
      </c>
      <c r="U6" s="589">
        <f t="shared" si="4"/>
        <v>49000000</v>
      </c>
      <c r="V6" s="589">
        <f t="shared" si="4"/>
        <v>161</v>
      </c>
      <c r="W6" s="589">
        <f t="shared" si="4"/>
        <v>43</v>
      </c>
      <c r="X6" s="589">
        <f t="shared" si="4"/>
        <v>118</v>
      </c>
      <c r="Y6" s="589">
        <f t="shared" si="4"/>
        <v>151000000</v>
      </c>
    </row>
    <row r="7" spans="1:25" s="85" customFormat="1" ht="11.25">
      <c r="A7" s="590" t="s">
        <v>7</v>
      </c>
      <c r="B7" s="591">
        <f t="shared" si="0"/>
        <v>0</v>
      </c>
      <c r="C7" s="592">
        <v>0</v>
      </c>
      <c r="D7" s="593">
        <v>0</v>
      </c>
      <c r="E7" s="593">
        <v>0</v>
      </c>
      <c r="F7" s="589">
        <f t="shared" si="1"/>
        <v>0</v>
      </c>
      <c r="G7" s="592">
        <v>0</v>
      </c>
      <c r="H7" s="593">
        <v>0</v>
      </c>
      <c r="I7" s="593">
        <v>0</v>
      </c>
      <c r="J7" s="589">
        <f t="shared" ref="J7:J21" si="5">SUM(K7:L7)</f>
        <v>0</v>
      </c>
      <c r="K7" s="594">
        <v>0</v>
      </c>
      <c r="L7" s="594">
        <v>0</v>
      </c>
      <c r="M7" s="594">
        <v>0</v>
      </c>
      <c r="N7" s="589">
        <f t="shared" si="2"/>
        <v>5</v>
      </c>
      <c r="O7" s="595">
        <v>1</v>
      </c>
      <c r="P7" s="595">
        <v>4</v>
      </c>
      <c r="Q7" s="595">
        <v>3889420</v>
      </c>
      <c r="R7" s="589">
        <f t="shared" si="3"/>
        <v>0</v>
      </c>
      <c r="S7" s="595">
        <v>0</v>
      </c>
      <c r="T7" s="595">
        <v>0</v>
      </c>
      <c r="U7" s="595">
        <v>0</v>
      </c>
      <c r="V7" s="589">
        <f t="shared" ref="V7:V21" si="6">SUM(W7:X7)</f>
        <v>4</v>
      </c>
      <c r="W7" s="595">
        <v>1</v>
      </c>
      <c r="X7" s="595">
        <v>3</v>
      </c>
      <c r="Y7" s="595">
        <v>6000000</v>
      </c>
    </row>
    <row r="8" spans="1:25" s="85" customFormat="1" ht="11.25">
      <c r="A8" s="590" t="s">
        <v>8</v>
      </c>
      <c r="B8" s="591">
        <f t="shared" si="0"/>
        <v>0</v>
      </c>
      <c r="C8" s="592">
        <v>0</v>
      </c>
      <c r="D8" s="593">
        <v>0</v>
      </c>
      <c r="E8" s="593">
        <v>0</v>
      </c>
      <c r="F8" s="589">
        <f t="shared" si="1"/>
        <v>0</v>
      </c>
      <c r="G8" s="592">
        <v>0</v>
      </c>
      <c r="H8" s="593">
        <v>0</v>
      </c>
      <c r="I8" s="593">
        <v>0</v>
      </c>
      <c r="J8" s="589">
        <f t="shared" si="5"/>
        <v>7</v>
      </c>
      <c r="K8" s="595">
        <v>4</v>
      </c>
      <c r="L8" s="595">
        <v>3</v>
      </c>
      <c r="M8" s="595">
        <v>10947642</v>
      </c>
      <c r="N8" s="589">
        <f t="shared" si="2"/>
        <v>3</v>
      </c>
      <c r="O8" s="595">
        <v>2</v>
      </c>
      <c r="P8" s="595">
        <v>1</v>
      </c>
      <c r="Q8" s="595">
        <v>2400000</v>
      </c>
      <c r="R8" s="589">
        <f t="shared" si="3"/>
        <v>22</v>
      </c>
      <c r="S8" s="595">
        <v>0</v>
      </c>
      <c r="T8" s="595">
        <v>22</v>
      </c>
      <c r="U8" s="595">
        <v>15000000</v>
      </c>
      <c r="V8" s="589">
        <f t="shared" si="6"/>
        <v>0</v>
      </c>
      <c r="W8" s="595" t="s">
        <v>155</v>
      </c>
      <c r="X8" s="595" t="s">
        <v>155</v>
      </c>
      <c r="Y8" s="595" t="s">
        <v>155</v>
      </c>
    </row>
    <row r="9" spans="1:25" s="85" customFormat="1" ht="11.25">
      <c r="A9" s="590" t="s">
        <v>9</v>
      </c>
      <c r="B9" s="591">
        <f t="shared" si="0"/>
        <v>0</v>
      </c>
      <c r="C9" s="592">
        <v>0</v>
      </c>
      <c r="D9" s="593">
        <v>0</v>
      </c>
      <c r="E9" s="593">
        <v>0</v>
      </c>
      <c r="F9" s="589">
        <f t="shared" si="1"/>
        <v>0</v>
      </c>
      <c r="G9" s="592">
        <v>0</v>
      </c>
      <c r="H9" s="593">
        <v>0</v>
      </c>
      <c r="I9" s="593">
        <v>0</v>
      </c>
      <c r="J9" s="589">
        <f t="shared" si="5"/>
        <v>0</v>
      </c>
      <c r="K9" s="594">
        <v>0</v>
      </c>
      <c r="L9" s="594">
        <v>0</v>
      </c>
      <c r="M9" s="594">
        <v>0</v>
      </c>
      <c r="N9" s="589">
        <f t="shared" si="2"/>
        <v>3</v>
      </c>
      <c r="O9" s="593">
        <v>0</v>
      </c>
      <c r="P9" s="595">
        <v>3</v>
      </c>
      <c r="Q9" s="595">
        <v>2589420</v>
      </c>
      <c r="R9" s="589">
        <f t="shared" si="3"/>
        <v>0</v>
      </c>
      <c r="S9" s="595">
        <v>0</v>
      </c>
      <c r="T9" s="595">
        <v>0</v>
      </c>
      <c r="U9" s="595">
        <v>0</v>
      </c>
      <c r="V9" s="589">
        <f t="shared" si="6"/>
        <v>39</v>
      </c>
      <c r="W9" s="595">
        <v>1</v>
      </c>
      <c r="X9" s="595">
        <v>38</v>
      </c>
      <c r="Y9" s="595">
        <v>31000000</v>
      </c>
    </row>
    <row r="10" spans="1:25" s="85" customFormat="1" ht="11.25">
      <c r="A10" s="590" t="s">
        <v>10</v>
      </c>
      <c r="B10" s="591">
        <f t="shared" si="0"/>
        <v>0</v>
      </c>
      <c r="C10" s="592">
        <v>0</v>
      </c>
      <c r="D10" s="593">
        <v>0</v>
      </c>
      <c r="E10" s="593">
        <v>0</v>
      </c>
      <c r="F10" s="589">
        <f t="shared" si="1"/>
        <v>0</v>
      </c>
      <c r="G10" s="592">
        <v>0</v>
      </c>
      <c r="H10" s="593">
        <v>0</v>
      </c>
      <c r="I10" s="593">
        <v>0</v>
      </c>
      <c r="J10" s="589">
        <f t="shared" si="5"/>
        <v>0</v>
      </c>
      <c r="K10" s="594">
        <v>0</v>
      </c>
      <c r="L10" s="594">
        <v>0</v>
      </c>
      <c r="M10" s="594">
        <v>0</v>
      </c>
      <c r="N10" s="589">
        <f t="shared" si="2"/>
        <v>0</v>
      </c>
      <c r="O10" s="594">
        <v>0</v>
      </c>
      <c r="P10" s="594">
        <v>0</v>
      </c>
      <c r="Q10" s="594">
        <v>0</v>
      </c>
      <c r="R10" s="589">
        <f t="shared" si="3"/>
        <v>0</v>
      </c>
      <c r="S10" s="595">
        <v>0</v>
      </c>
      <c r="T10" s="595">
        <v>0</v>
      </c>
      <c r="U10" s="595">
        <v>0</v>
      </c>
      <c r="V10" s="589">
        <f t="shared" si="6"/>
        <v>0</v>
      </c>
      <c r="W10" s="595" t="s">
        <v>155</v>
      </c>
      <c r="X10" s="595" t="s">
        <v>155</v>
      </c>
      <c r="Y10" s="595" t="s">
        <v>155</v>
      </c>
    </row>
    <row r="11" spans="1:25" s="85" customFormat="1" ht="11.25">
      <c r="A11" s="590" t="s">
        <v>11</v>
      </c>
      <c r="B11" s="591">
        <f t="shared" si="0"/>
        <v>0</v>
      </c>
      <c r="C11" s="592">
        <v>0</v>
      </c>
      <c r="D11" s="593">
        <v>0</v>
      </c>
      <c r="E11" s="593">
        <v>0</v>
      </c>
      <c r="F11" s="589">
        <f t="shared" si="1"/>
        <v>0</v>
      </c>
      <c r="G11" s="592">
        <v>0</v>
      </c>
      <c r="H11" s="593">
        <v>0</v>
      </c>
      <c r="I11" s="593">
        <v>0</v>
      </c>
      <c r="J11" s="589">
        <f t="shared" si="5"/>
        <v>0</v>
      </c>
      <c r="K11" s="594">
        <v>0</v>
      </c>
      <c r="L11" s="594">
        <v>0</v>
      </c>
      <c r="M11" s="594">
        <v>0</v>
      </c>
      <c r="N11" s="589">
        <f t="shared" si="2"/>
        <v>0</v>
      </c>
      <c r="O11" s="594">
        <v>0</v>
      </c>
      <c r="P11" s="594">
        <v>0</v>
      </c>
      <c r="Q11" s="594">
        <v>0</v>
      </c>
      <c r="R11" s="589">
        <f t="shared" si="3"/>
        <v>0</v>
      </c>
      <c r="S11" s="595">
        <v>0</v>
      </c>
      <c r="T11" s="595">
        <v>0</v>
      </c>
      <c r="U11" s="595">
        <v>0</v>
      </c>
      <c r="V11" s="589">
        <f t="shared" si="6"/>
        <v>0</v>
      </c>
      <c r="W11" s="595" t="s">
        <v>155</v>
      </c>
      <c r="X11" s="595" t="s">
        <v>155</v>
      </c>
      <c r="Y11" s="595" t="s">
        <v>155</v>
      </c>
    </row>
    <row r="12" spans="1:25" s="85" customFormat="1" ht="11.25">
      <c r="A12" s="590" t="s">
        <v>12</v>
      </c>
      <c r="B12" s="591">
        <f t="shared" si="0"/>
        <v>0</v>
      </c>
      <c r="C12" s="592">
        <v>0</v>
      </c>
      <c r="D12" s="593">
        <v>0</v>
      </c>
      <c r="E12" s="593">
        <v>0</v>
      </c>
      <c r="F12" s="589">
        <f t="shared" si="1"/>
        <v>0</v>
      </c>
      <c r="G12" s="592">
        <v>0</v>
      </c>
      <c r="H12" s="593">
        <v>0</v>
      </c>
      <c r="I12" s="593">
        <v>0</v>
      </c>
      <c r="J12" s="589">
        <f t="shared" si="5"/>
        <v>0</v>
      </c>
      <c r="K12" s="594">
        <v>0</v>
      </c>
      <c r="L12" s="594">
        <v>0</v>
      </c>
      <c r="M12" s="594">
        <v>0</v>
      </c>
      <c r="N12" s="589">
        <f t="shared" si="2"/>
        <v>1</v>
      </c>
      <c r="O12" s="593">
        <v>0</v>
      </c>
      <c r="P12" s="595">
        <v>1</v>
      </c>
      <c r="Q12" s="595">
        <v>1000000</v>
      </c>
      <c r="R12" s="589">
        <f t="shared" si="3"/>
        <v>0</v>
      </c>
      <c r="S12" s="595">
        <v>0</v>
      </c>
      <c r="T12" s="595">
        <v>0</v>
      </c>
      <c r="U12" s="595">
        <v>0</v>
      </c>
      <c r="V12" s="589">
        <f t="shared" si="6"/>
        <v>0</v>
      </c>
      <c r="W12" s="595" t="s">
        <v>155</v>
      </c>
      <c r="X12" s="595" t="s">
        <v>155</v>
      </c>
      <c r="Y12" s="595" t="s">
        <v>155</v>
      </c>
    </row>
    <row r="13" spans="1:25" s="85" customFormat="1" ht="11.25">
      <c r="A13" s="590" t="s">
        <v>13</v>
      </c>
      <c r="B13" s="591">
        <f t="shared" si="0"/>
        <v>28</v>
      </c>
      <c r="C13" s="592">
        <v>8</v>
      </c>
      <c r="D13" s="595">
        <v>20</v>
      </c>
      <c r="E13" s="595">
        <v>29117000</v>
      </c>
      <c r="F13" s="589">
        <f t="shared" si="1"/>
        <v>32</v>
      </c>
      <c r="G13" s="592">
        <v>11</v>
      </c>
      <c r="H13" s="595">
        <v>21</v>
      </c>
      <c r="I13" s="595">
        <v>29597399</v>
      </c>
      <c r="J13" s="589">
        <f t="shared" si="5"/>
        <v>17</v>
      </c>
      <c r="K13" s="595">
        <v>8</v>
      </c>
      <c r="L13" s="595">
        <v>9</v>
      </c>
      <c r="M13" s="595">
        <v>20000000</v>
      </c>
      <c r="N13" s="589">
        <f t="shared" si="2"/>
        <v>20</v>
      </c>
      <c r="O13" s="595">
        <v>9</v>
      </c>
      <c r="P13" s="595">
        <v>11</v>
      </c>
      <c r="Q13" s="595">
        <v>18857680</v>
      </c>
      <c r="R13" s="589">
        <f t="shared" si="3"/>
        <v>0</v>
      </c>
      <c r="S13" s="595">
        <v>0</v>
      </c>
      <c r="T13" s="595">
        <v>0</v>
      </c>
      <c r="U13" s="595">
        <v>0</v>
      </c>
      <c r="V13" s="589">
        <f t="shared" si="6"/>
        <v>19</v>
      </c>
      <c r="W13" s="595">
        <v>11</v>
      </c>
      <c r="X13" s="595">
        <v>8</v>
      </c>
      <c r="Y13" s="595">
        <v>20000000</v>
      </c>
    </row>
    <row r="14" spans="1:25" s="85" customFormat="1" ht="11.25">
      <c r="A14" s="590" t="s">
        <v>14</v>
      </c>
      <c r="B14" s="591">
        <f t="shared" si="0"/>
        <v>0</v>
      </c>
      <c r="C14" s="592">
        <v>0</v>
      </c>
      <c r="D14" s="593">
        <v>0</v>
      </c>
      <c r="E14" s="593">
        <v>0</v>
      </c>
      <c r="F14" s="589">
        <f t="shared" si="1"/>
        <v>0</v>
      </c>
      <c r="G14" s="592">
        <v>0</v>
      </c>
      <c r="H14" s="593">
        <v>0</v>
      </c>
      <c r="I14" s="593">
        <v>0</v>
      </c>
      <c r="J14" s="589">
        <f t="shared" si="5"/>
        <v>0</v>
      </c>
      <c r="K14" s="594">
        <v>0</v>
      </c>
      <c r="L14" s="594">
        <v>0</v>
      </c>
      <c r="M14" s="594">
        <v>0</v>
      </c>
      <c r="N14" s="589">
        <f t="shared" si="2"/>
        <v>0</v>
      </c>
      <c r="O14" s="594">
        <v>0</v>
      </c>
      <c r="P14" s="594">
        <v>0</v>
      </c>
      <c r="Q14" s="594">
        <v>0</v>
      </c>
      <c r="R14" s="589">
        <f t="shared" si="3"/>
        <v>0</v>
      </c>
      <c r="S14" s="595">
        <v>0</v>
      </c>
      <c r="T14" s="595">
        <v>0</v>
      </c>
      <c r="U14" s="595">
        <v>0</v>
      </c>
      <c r="V14" s="589">
        <f t="shared" si="6"/>
        <v>0</v>
      </c>
      <c r="W14" s="595" t="s">
        <v>155</v>
      </c>
      <c r="X14" s="595" t="s">
        <v>155</v>
      </c>
      <c r="Y14" s="595" t="s">
        <v>155</v>
      </c>
    </row>
    <row r="15" spans="1:25" s="85" customFormat="1" ht="11.25">
      <c r="A15" s="590" t="s">
        <v>15</v>
      </c>
      <c r="B15" s="591">
        <f t="shared" si="0"/>
        <v>0</v>
      </c>
      <c r="C15" s="592">
        <v>0</v>
      </c>
      <c r="D15" s="593">
        <v>0</v>
      </c>
      <c r="E15" s="593">
        <v>0</v>
      </c>
      <c r="F15" s="589">
        <f t="shared" si="1"/>
        <v>0</v>
      </c>
      <c r="G15" s="592">
        <v>0</v>
      </c>
      <c r="H15" s="593">
        <v>0</v>
      </c>
      <c r="I15" s="593">
        <v>0</v>
      </c>
      <c r="J15" s="589">
        <f t="shared" si="5"/>
        <v>0</v>
      </c>
      <c r="K15" s="594">
        <v>0</v>
      </c>
      <c r="L15" s="594">
        <v>0</v>
      </c>
      <c r="M15" s="594">
        <v>0</v>
      </c>
      <c r="N15" s="589">
        <f t="shared" si="2"/>
        <v>0</v>
      </c>
      <c r="O15" s="594">
        <v>0</v>
      </c>
      <c r="P15" s="594">
        <v>0</v>
      </c>
      <c r="Q15" s="594">
        <v>0</v>
      </c>
      <c r="R15" s="589">
        <f t="shared" si="3"/>
        <v>0</v>
      </c>
      <c r="S15" s="595">
        <v>0</v>
      </c>
      <c r="T15" s="595">
        <v>0</v>
      </c>
      <c r="U15" s="595">
        <v>0</v>
      </c>
      <c r="V15" s="589">
        <f t="shared" si="6"/>
        <v>0</v>
      </c>
      <c r="W15" s="595" t="s">
        <v>155</v>
      </c>
      <c r="X15" s="595" t="s">
        <v>155</v>
      </c>
      <c r="Y15" s="595" t="s">
        <v>155</v>
      </c>
    </row>
    <row r="16" spans="1:25" s="85" customFormat="1" ht="11.25">
      <c r="A16" s="590" t="s">
        <v>16</v>
      </c>
      <c r="B16" s="591">
        <f t="shared" si="0"/>
        <v>0</v>
      </c>
      <c r="C16" s="592">
        <v>0</v>
      </c>
      <c r="D16" s="593">
        <v>0</v>
      </c>
      <c r="E16" s="593">
        <v>0</v>
      </c>
      <c r="F16" s="589">
        <f t="shared" si="1"/>
        <v>0</v>
      </c>
      <c r="G16" s="592">
        <v>0</v>
      </c>
      <c r="H16" s="593">
        <v>0</v>
      </c>
      <c r="I16" s="593">
        <v>0</v>
      </c>
      <c r="J16" s="589">
        <f t="shared" si="5"/>
        <v>0</v>
      </c>
      <c r="K16" s="594">
        <v>0</v>
      </c>
      <c r="L16" s="594">
        <v>0</v>
      </c>
      <c r="M16" s="594">
        <v>0</v>
      </c>
      <c r="N16" s="589">
        <f t="shared" si="2"/>
        <v>4</v>
      </c>
      <c r="O16" s="595">
        <v>2</v>
      </c>
      <c r="P16" s="595">
        <v>2</v>
      </c>
      <c r="Q16" s="595">
        <v>3726280</v>
      </c>
      <c r="R16" s="589">
        <f t="shared" si="3"/>
        <v>0</v>
      </c>
      <c r="S16" s="595">
        <v>0</v>
      </c>
      <c r="T16" s="595">
        <v>0</v>
      </c>
      <c r="U16" s="595">
        <v>0</v>
      </c>
      <c r="V16" s="589">
        <f t="shared" si="6"/>
        <v>5</v>
      </c>
      <c r="W16" s="595">
        <v>2</v>
      </c>
      <c r="X16" s="595">
        <v>3</v>
      </c>
      <c r="Y16" s="595">
        <v>5000000</v>
      </c>
    </row>
    <row r="17" spans="1:25" s="85" customFormat="1" ht="11.25">
      <c r="A17" s="590" t="s">
        <v>17</v>
      </c>
      <c r="B17" s="591">
        <f t="shared" si="0"/>
        <v>0</v>
      </c>
      <c r="C17" s="592">
        <v>0</v>
      </c>
      <c r="D17" s="593">
        <v>0</v>
      </c>
      <c r="E17" s="593">
        <v>0</v>
      </c>
      <c r="F17" s="589">
        <f t="shared" si="1"/>
        <v>0</v>
      </c>
      <c r="G17" s="592">
        <v>0</v>
      </c>
      <c r="H17" s="593">
        <v>0</v>
      </c>
      <c r="I17" s="593">
        <v>0</v>
      </c>
      <c r="J17" s="589">
        <f t="shared" si="5"/>
        <v>16</v>
      </c>
      <c r="K17" s="595">
        <v>7</v>
      </c>
      <c r="L17" s="595">
        <v>9</v>
      </c>
      <c r="M17" s="595">
        <v>14000000</v>
      </c>
      <c r="N17" s="589">
        <f t="shared" si="2"/>
        <v>29</v>
      </c>
      <c r="O17" s="595">
        <v>8</v>
      </c>
      <c r="P17" s="595">
        <v>21</v>
      </c>
      <c r="Q17" s="595">
        <v>23378100</v>
      </c>
      <c r="R17" s="589">
        <f t="shared" si="3"/>
        <v>0</v>
      </c>
      <c r="S17" s="595">
        <v>0</v>
      </c>
      <c r="T17" s="595">
        <v>0</v>
      </c>
      <c r="U17" s="595">
        <v>0</v>
      </c>
      <c r="V17" s="589">
        <f t="shared" si="6"/>
        <v>48</v>
      </c>
      <c r="W17" s="595">
        <v>18</v>
      </c>
      <c r="X17" s="595">
        <v>30</v>
      </c>
      <c r="Y17" s="595">
        <v>42000000</v>
      </c>
    </row>
    <row r="18" spans="1:25" s="85" customFormat="1" ht="11.25">
      <c r="A18" s="590" t="s">
        <v>18</v>
      </c>
      <c r="B18" s="591">
        <f t="shared" si="0"/>
        <v>0</v>
      </c>
      <c r="C18" s="592">
        <v>0</v>
      </c>
      <c r="D18" s="593">
        <v>0</v>
      </c>
      <c r="E18" s="593">
        <v>0</v>
      </c>
      <c r="F18" s="589">
        <f t="shared" si="1"/>
        <v>0</v>
      </c>
      <c r="G18" s="592">
        <v>0</v>
      </c>
      <c r="H18" s="593">
        <v>0</v>
      </c>
      <c r="I18" s="593">
        <v>0</v>
      </c>
      <c r="J18" s="589">
        <f t="shared" si="5"/>
        <v>0</v>
      </c>
      <c r="K18" s="594">
        <v>0</v>
      </c>
      <c r="L18" s="594">
        <v>0</v>
      </c>
      <c r="M18" s="594">
        <v>0</v>
      </c>
      <c r="N18" s="589">
        <f t="shared" si="2"/>
        <v>2</v>
      </c>
      <c r="O18" s="593">
        <v>0</v>
      </c>
      <c r="P18" s="595">
        <v>2</v>
      </c>
      <c r="Q18" s="595">
        <v>1726280</v>
      </c>
      <c r="R18" s="589">
        <f t="shared" si="3"/>
        <v>0</v>
      </c>
      <c r="S18" s="595">
        <v>0</v>
      </c>
      <c r="T18" s="595">
        <v>0</v>
      </c>
      <c r="U18" s="595">
        <v>0</v>
      </c>
      <c r="V18" s="589">
        <f t="shared" si="6"/>
        <v>3</v>
      </c>
      <c r="W18" s="595" t="s">
        <v>155</v>
      </c>
      <c r="X18" s="595">
        <v>3</v>
      </c>
      <c r="Y18" s="595">
        <v>3000000</v>
      </c>
    </row>
    <row r="19" spans="1:25" s="85" customFormat="1" ht="11.25">
      <c r="A19" s="590" t="s">
        <v>19</v>
      </c>
      <c r="B19" s="591">
        <f t="shared" si="0"/>
        <v>0</v>
      </c>
      <c r="C19" s="592">
        <v>0</v>
      </c>
      <c r="D19" s="593">
        <v>0</v>
      </c>
      <c r="E19" s="593">
        <v>0</v>
      </c>
      <c r="F19" s="589">
        <f t="shared" si="1"/>
        <v>0</v>
      </c>
      <c r="G19" s="592">
        <v>0</v>
      </c>
      <c r="H19" s="593">
        <v>0</v>
      </c>
      <c r="I19" s="593">
        <v>0</v>
      </c>
      <c r="J19" s="589">
        <f t="shared" si="5"/>
        <v>0</v>
      </c>
      <c r="K19" s="594">
        <v>0</v>
      </c>
      <c r="L19" s="594">
        <v>0</v>
      </c>
      <c r="M19" s="594">
        <v>0</v>
      </c>
      <c r="N19" s="589">
        <f t="shared" si="2"/>
        <v>4</v>
      </c>
      <c r="O19" s="595">
        <v>1</v>
      </c>
      <c r="P19" s="595">
        <v>3</v>
      </c>
      <c r="Q19" s="595">
        <v>2989820</v>
      </c>
      <c r="R19" s="589">
        <f t="shared" si="3"/>
        <v>34</v>
      </c>
      <c r="S19" s="595">
        <v>0</v>
      </c>
      <c r="T19" s="595">
        <v>34</v>
      </c>
      <c r="U19" s="595">
        <v>34000000</v>
      </c>
      <c r="V19" s="589">
        <f t="shared" si="6"/>
        <v>43</v>
      </c>
      <c r="W19" s="595">
        <v>10</v>
      </c>
      <c r="X19" s="595">
        <v>33</v>
      </c>
      <c r="Y19" s="595">
        <v>44000000</v>
      </c>
    </row>
    <row r="20" spans="1:25" s="85" customFormat="1" ht="11.25">
      <c r="A20" s="590" t="s">
        <v>20</v>
      </c>
      <c r="B20" s="591">
        <f t="shared" si="0"/>
        <v>0</v>
      </c>
      <c r="C20" s="592">
        <v>0</v>
      </c>
      <c r="D20" s="593">
        <v>0</v>
      </c>
      <c r="E20" s="593">
        <v>0</v>
      </c>
      <c r="F20" s="589">
        <f t="shared" si="1"/>
        <v>0</v>
      </c>
      <c r="G20" s="592">
        <v>0</v>
      </c>
      <c r="H20" s="593">
        <v>0</v>
      </c>
      <c r="I20" s="593">
        <v>0</v>
      </c>
      <c r="J20" s="589">
        <f t="shared" si="5"/>
        <v>0</v>
      </c>
      <c r="K20" s="594">
        <v>0</v>
      </c>
      <c r="L20" s="594">
        <v>0</v>
      </c>
      <c r="M20" s="594">
        <v>0</v>
      </c>
      <c r="N20" s="589">
        <f t="shared" si="2"/>
        <v>0</v>
      </c>
      <c r="O20" s="594">
        <v>0</v>
      </c>
      <c r="P20" s="594">
        <v>0</v>
      </c>
      <c r="Q20" s="594">
        <v>0</v>
      </c>
      <c r="R20" s="589">
        <f t="shared" si="3"/>
        <v>0</v>
      </c>
      <c r="S20" s="595">
        <v>0</v>
      </c>
      <c r="T20" s="595">
        <v>0</v>
      </c>
      <c r="U20" s="595">
        <v>0</v>
      </c>
      <c r="V20" s="589">
        <f t="shared" si="6"/>
        <v>0</v>
      </c>
      <c r="W20" s="595" t="s">
        <v>155</v>
      </c>
      <c r="X20" s="595" t="s">
        <v>155</v>
      </c>
      <c r="Y20" s="595" t="s">
        <v>155</v>
      </c>
    </row>
    <row r="21" spans="1:25" s="85" customFormat="1" ht="11.25">
      <c r="A21" s="590" t="s">
        <v>21</v>
      </c>
      <c r="B21" s="591">
        <f t="shared" si="0"/>
        <v>0</v>
      </c>
      <c r="C21" s="592">
        <v>0</v>
      </c>
      <c r="D21" s="593">
        <v>0</v>
      </c>
      <c r="E21" s="593">
        <v>0</v>
      </c>
      <c r="F21" s="589">
        <f t="shared" si="1"/>
        <v>0</v>
      </c>
      <c r="G21" s="592">
        <v>0</v>
      </c>
      <c r="H21" s="593">
        <v>0</v>
      </c>
      <c r="I21" s="593">
        <v>0</v>
      </c>
      <c r="J21" s="589">
        <f t="shared" si="5"/>
        <v>0</v>
      </c>
      <c r="K21" s="594">
        <v>0</v>
      </c>
      <c r="L21" s="594">
        <v>0</v>
      </c>
      <c r="M21" s="594">
        <v>0</v>
      </c>
      <c r="N21" s="589">
        <f t="shared" si="2"/>
        <v>0</v>
      </c>
      <c r="O21" s="594">
        <v>0</v>
      </c>
      <c r="P21" s="594">
        <v>0</v>
      </c>
      <c r="Q21" s="594">
        <v>0</v>
      </c>
      <c r="R21" s="589">
        <f t="shared" si="3"/>
        <v>0</v>
      </c>
      <c r="S21" s="595">
        <v>0</v>
      </c>
      <c r="T21" s="595">
        <v>0</v>
      </c>
      <c r="U21" s="595">
        <v>0</v>
      </c>
      <c r="V21" s="589">
        <f t="shared" si="6"/>
        <v>0</v>
      </c>
      <c r="W21" s="595" t="s">
        <v>155</v>
      </c>
      <c r="X21" s="595" t="s">
        <v>155</v>
      </c>
      <c r="Y21" s="595" t="s">
        <v>155</v>
      </c>
    </row>
    <row r="22" spans="1:25" s="85" customFormat="1" ht="11.25">
      <c r="A22" s="590"/>
      <c r="B22" s="591"/>
      <c r="C22" s="592"/>
      <c r="D22" s="593"/>
      <c r="E22" s="593"/>
      <c r="F22" s="589"/>
      <c r="G22" s="592"/>
      <c r="H22" s="593"/>
      <c r="I22" s="593"/>
      <c r="J22" s="589"/>
      <c r="K22" s="594"/>
      <c r="L22" s="594"/>
      <c r="M22" s="594"/>
      <c r="N22" s="589"/>
      <c r="O22" s="594"/>
      <c r="P22" s="594"/>
      <c r="Q22" s="594"/>
      <c r="R22" s="589"/>
      <c r="S22" s="595"/>
      <c r="T22" s="595"/>
      <c r="U22" s="595"/>
    </row>
    <row r="23" spans="1:25" s="606" customFormat="1" ht="11.25">
      <c r="A23" s="596" t="s">
        <v>3490</v>
      </c>
      <c r="B23" s="597"/>
      <c r="C23" s="598"/>
      <c r="D23" s="599"/>
      <c r="E23" s="600"/>
      <c r="F23" s="601"/>
      <c r="G23" s="602"/>
      <c r="H23" s="603"/>
      <c r="I23" s="604"/>
      <c r="J23" s="602"/>
      <c r="K23" s="602"/>
      <c r="L23" s="602"/>
      <c r="M23" s="605"/>
      <c r="N23" s="602"/>
      <c r="O23" s="602"/>
      <c r="P23" s="602"/>
      <c r="Q23" s="605"/>
      <c r="R23" s="602"/>
      <c r="S23" s="602"/>
      <c r="T23" s="602"/>
      <c r="U23" s="604"/>
    </row>
    <row r="24" spans="1:25" s="85" customFormat="1" ht="11.25">
      <c r="A24" s="545" t="s">
        <v>161</v>
      </c>
      <c r="B24" s="601"/>
      <c r="C24" s="602"/>
      <c r="D24" s="603"/>
      <c r="E24" s="604"/>
      <c r="F24" s="601"/>
      <c r="G24" s="602"/>
      <c r="H24" s="603"/>
      <c r="I24" s="604"/>
      <c r="J24" s="602"/>
      <c r="K24" s="602"/>
      <c r="L24" s="602"/>
      <c r="M24" s="605"/>
      <c r="N24" s="602"/>
      <c r="O24" s="602"/>
      <c r="P24" s="602"/>
      <c r="Q24" s="605"/>
      <c r="R24" s="602"/>
      <c r="S24" s="602"/>
      <c r="T24" s="602"/>
      <c r="U24" s="604"/>
    </row>
    <row r="25" spans="1:25" s="85" customFormat="1" ht="11.25">
      <c r="A25" s="585" t="s">
        <v>2283</v>
      </c>
      <c r="B25" s="585"/>
      <c r="C25" s="585"/>
      <c r="D25" s="585"/>
      <c r="E25" s="585"/>
      <c r="F25" s="585"/>
      <c r="G25" s="585"/>
      <c r="H25" s="585"/>
      <c r="I25" s="585"/>
      <c r="J25" s="585"/>
      <c r="K25" s="585"/>
    </row>
    <row r="26" spans="1:25" s="85" customFormat="1" ht="6" customHeight="1">
      <c r="A26" s="607"/>
      <c r="B26" s="607"/>
      <c r="C26" s="607"/>
      <c r="D26" s="607"/>
      <c r="E26" s="607"/>
      <c r="F26" s="607"/>
      <c r="G26" s="607"/>
      <c r="H26" s="607"/>
      <c r="I26" s="607"/>
      <c r="J26" s="607"/>
      <c r="K26" s="607"/>
    </row>
  </sheetData>
  <mergeCells count="8">
    <mergeCell ref="A2:Y2"/>
    <mergeCell ref="R4:U4"/>
    <mergeCell ref="V4:Y4"/>
    <mergeCell ref="A4:A5"/>
    <mergeCell ref="B4:E4"/>
    <mergeCell ref="F4:I4"/>
    <mergeCell ref="J4:M4"/>
    <mergeCell ref="N4:Q4"/>
  </mergeCells>
  <pageMargins left="0.53" right="0.7" top="0.52" bottom="0.75" header="0.3" footer="0.3"/>
  <pageSetup paperSize="14" scale="83" orientation="landscape" r:id="rId1"/>
</worksheet>
</file>

<file path=xl/worksheets/sheet253.xml><?xml version="1.0" encoding="utf-8"?>
<worksheet xmlns="http://schemas.openxmlformats.org/spreadsheetml/2006/main" xmlns:r="http://schemas.openxmlformats.org/officeDocument/2006/relationships">
  <dimension ref="A2:N20"/>
  <sheetViews>
    <sheetView zoomScaleNormal="100" workbookViewId="0">
      <selection activeCell="B31" sqref="B31"/>
    </sheetView>
  </sheetViews>
  <sheetFormatPr baseColWidth="10" defaultRowHeight="11.25"/>
  <cols>
    <col min="1" max="1" width="25" style="83" customWidth="1"/>
    <col min="2" max="2" width="16.140625" style="83" bestFit="1" customWidth="1"/>
    <col min="3" max="3" width="10" style="83" customWidth="1"/>
    <col min="4" max="4" width="15.85546875" style="83" bestFit="1" customWidth="1"/>
    <col min="5" max="5" width="10" style="83" customWidth="1"/>
    <col min="6" max="6" width="15.85546875" style="83" bestFit="1" customWidth="1"/>
    <col min="7" max="7" width="10" style="83" customWidth="1"/>
    <col min="8" max="8" width="15.85546875" style="83" bestFit="1" customWidth="1"/>
    <col min="9" max="9" width="10" style="83" customWidth="1"/>
    <col min="10" max="10" width="15.85546875" style="83" bestFit="1" customWidth="1"/>
    <col min="11" max="11" width="10" style="83" customWidth="1"/>
    <col min="12" max="12" width="15.85546875" style="83" bestFit="1" customWidth="1"/>
    <col min="13" max="13" width="11.42578125" style="83"/>
    <col min="14" max="14" width="15.85546875" style="83" bestFit="1" customWidth="1"/>
    <col min="15" max="256" width="11.42578125" style="83"/>
    <col min="257" max="257" width="26.28515625" style="83" customWidth="1"/>
    <col min="258" max="258" width="16.7109375" style="83" customWidth="1"/>
    <col min="259" max="259" width="13" style="83" bestFit="1" customWidth="1"/>
    <col min="260" max="260" width="14.28515625" style="83" customWidth="1"/>
    <col min="261" max="261" width="13" style="83" bestFit="1" customWidth="1"/>
    <col min="262" max="262" width="14.140625" style="83" bestFit="1" customWidth="1"/>
    <col min="263" max="263" width="13" style="83" bestFit="1" customWidth="1"/>
    <col min="264" max="264" width="14.28515625" style="83" bestFit="1" customWidth="1"/>
    <col min="265" max="265" width="13" style="83" bestFit="1" customWidth="1"/>
    <col min="266" max="266" width="14.140625" style="83" bestFit="1" customWidth="1"/>
    <col min="267" max="267" width="12.7109375" style="83" customWidth="1"/>
    <col min="268" max="268" width="14.28515625" style="83" bestFit="1" customWidth="1"/>
    <col min="269" max="512" width="11.42578125" style="83"/>
    <col min="513" max="513" width="26.28515625" style="83" customWidth="1"/>
    <col min="514" max="514" width="16.7109375" style="83" customWidth="1"/>
    <col min="515" max="515" width="13" style="83" bestFit="1" customWidth="1"/>
    <col min="516" max="516" width="14.28515625" style="83" customWidth="1"/>
    <col min="517" max="517" width="13" style="83" bestFit="1" customWidth="1"/>
    <col min="518" max="518" width="14.140625" style="83" bestFit="1" customWidth="1"/>
    <col min="519" max="519" width="13" style="83" bestFit="1" customWidth="1"/>
    <col min="520" max="520" width="14.28515625" style="83" bestFit="1" customWidth="1"/>
    <col min="521" max="521" width="13" style="83" bestFit="1" customWidth="1"/>
    <col min="522" max="522" width="14.140625" style="83" bestFit="1" customWidth="1"/>
    <col min="523" max="523" width="12.7109375" style="83" customWidth="1"/>
    <col min="524" max="524" width="14.28515625" style="83" bestFit="1" customWidth="1"/>
    <col min="525" max="768" width="11.42578125" style="83"/>
    <col min="769" max="769" width="26.28515625" style="83" customWidth="1"/>
    <col min="770" max="770" width="16.7109375" style="83" customWidth="1"/>
    <col min="771" max="771" width="13" style="83" bestFit="1" customWidth="1"/>
    <col min="772" max="772" width="14.28515625" style="83" customWidth="1"/>
    <col min="773" max="773" width="13" style="83" bestFit="1" customWidth="1"/>
    <col min="774" max="774" width="14.140625" style="83" bestFit="1" customWidth="1"/>
    <col min="775" max="775" width="13" style="83" bestFit="1" customWidth="1"/>
    <col min="776" max="776" width="14.28515625" style="83" bestFit="1" customWidth="1"/>
    <col min="777" max="777" width="13" style="83" bestFit="1" customWidth="1"/>
    <col min="778" max="778" width="14.140625" style="83" bestFit="1" customWidth="1"/>
    <col min="779" max="779" width="12.7109375" style="83" customWidth="1"/>
    <col min="780" max="780" width="14.28515625" style="83" bestFit="1" customWidth="1"/>
    <col min="781" max="1024" width="11.42578125" style="83"/>
    <col min="1025" max="1025" width="26.28515625" style="83" customWidth="1"/>
    <col min="1026" max="1026" width="16.7109375" style="83" customWidth="1"/>
    <col min="1027" max="1027" width="13" style="83" bestFit="1" customWidth="1"/>
    <col min="1028" max="1028" width="14.28515625" style="83" customWidth="1"/>
    <col min="1029" max="1029" width="13" style="83" bestFit="1" customWidth="1"/>
    <col min="1030" max="1030" width="14.140625" style="83" bestFit="1" customWidth="1"/>
    <col min="1031" max="1031" width="13" style="83" bestFit="1" customWidth="1"/>
    <col min="1032" max="1032" width="14.28515625" style="83" bestFit="1" customWidth="1"/>
    <col min="1033" max="1033" width="13" style="83" bestFit="1" customWidth="1"/>
    <col min="1034" max="1034" width="14.140625" style="83" bestFit="1" customWidth="1"/>
    <col min="1035" max="1035" width="12.7109375" style="83" customWidth="1"/>
    <col min="1036" max="1036" width="14.28515625" style="83" bestFit="1" customWidth="1"/>
    <col min="1037" max="1280" width="11.42578125" style="83"/>
    <col min="1281" max="1281" width="26.28515625" style="83" customWidth="1"/>
    <col min="1282" max="1282" width="16.7109375" style="83" customWidth="1"/>
    <col min="1283" max="1283" width="13" style="83" bestFit="1" customWidth="1"/>
    <col min="1284" max="1284" width="14.28515625" style="83" customWidth="1"/>
    <col min="1285" max="1285" width="13" style="83" bestFit="1" customWidth="1"/>
    <col min="1286" max="1286" width="14.140625" style="83" bestFit="1" customWidth="1"/>
    <col min="1287" max="1287" width="13" style="83" bestFit="1" customWidth="1"/>
    <col min="1288" max="1288" width="14.28515625" style="83" bestFit="1" customWidth="1"/>
    <col min="1289" max="1289" width="13" style="83" bestFit="1" customWidth="1"/>
    <col min="1290" max="1290" width="14.140625" style="83" bestFit="1" customWidth="1"/>
    <col min="1291" max="1291" width="12.7109375" style="83" customWidth="1"/>
    <col min="1292" max="1292" width="14.28515625" style="83" bestFit="1" customWidth="1"/>
    <col min="1293" max="1536" width="11.42578125" style="83"/>
    <col min="1537" max="1537" width="26.28515625" style="83" customWidth="1"/>
    <col min="1538" max="1538" width="16.7109375" style="83" customWidth="1"/>
    <col min="1539" max="1539" width="13" style="83" bestFit="1" customWidth="1"/>
    <col min="1540" max="1540" width="14.28515625" style="83" customWidth="1"/>
    <col min="1541" max="1541" width="13" style="83" bestFit="1" customWidth="1"/>
    <col min="1542" max="1542" width="14.140625" style="83" bestFit="1" customWidth="1"/>
    <col min="1543" max="1543" width="13" style="83" bestFit="1" customWidth="1"/>
    <col min="1544" max="1544" width="14.28515625" style="83" bestFit="1" customWidth="1"/>
    <col min="1545" max="1545" width="13" style="83" bestFit="1" customWidth="1"/>
    <col min="1546" max="1546" width="14.140625" style="83" bestFit="1" customWidth="1"/>
    <col min="1547" max="1547" width="12.7109375" style="83" customWidth="1"/>
    <col min="1548" max="1548" width="14.28515625" style="83" bestFit="1" customWidth="1"/>
    <col min="1549" max="1792" width="11.42578125" style="83"/>
    <col min="1793" max="1793" width="26.28515625" style="83" customWidth="1"/>
    <col min="1794" max="1794" width="16.7109375" style="83" customWidth="1"/>
    <col min="1795" max="1795" width="13" style="83" bestFit="1" customWidth="1"/>
    <col min="1796" max="1796" width="14.28515625" style="83" customWidth="1"/>
    <col min="1797" max="1797" width="13" style="83" bestFit="1" customWidth="1"/>
    <col min="1798" max="1798" width="14.140625" style="83" bestFit="1" customWidth="1"/>
    <col min="1799" max="1799" width="13" style="83" bestFit="1" customWidth="1"/>
    <col min="1800" max="1800" width="14.28515625" style="83" bestFit="1" customWidth="1"/>
    <col min="1801" max="1801" width="13" style="83" bestFit="1" customWidth="1"/>
    <col min="1802" max="1802" width="14.140625" style="83" bestFit="1" customWidth="1"/>
    <col min="1803" max="1803" width="12.7109375" style="83" customWidth="1"/>
    <col min="1804" max="1804" width="14.28515625" style="83" bestFit="1" customWidth="1"/>
    <col min="1805" max="2048" width="11.42578125" style="83"/>
    <col min="2049" max="2049" width="26.28515625" style="83" customWidth="1"/>
    <col min="2050" max="2050" width="16.7109375" style="83" customWidth="1"/>
    <col min="2051" max="2051" width="13" style="83" bestFit="1" customWidth="1"/>
    <col min="2052" max="2052" width="14.28515625" style="83" customWidth="1"/>
    <col min="2053" max="2053" width="13" style="83" bestFit="1" customWidth="1"/>
    <col min="2054" max="2054" width="14.140625" style="83" bestFit="1" customWidth="1"/>
    <col min="2055" max="2055" width="13" style="83" bestFit="1" customWidth="1"/>
    <col min="2056" max="2056" width="14.28515625" style="83" bestFit="1" customWidth="1"/>
    <col min="2057" max="2057" width="13" style="83" bestFit="1" customWidth="1"/>
    <col min="2058" max="2058" width="14.140625" style="83" bestFit="1" customWidth="1"/>
    <col min="2059" max="2059" width="12.7109375" style="83" customWidth="1"/>
    <col min="2060" max="2060" width="14.28515625" style="83" bestFit="1" customWidth="1"/>
    <col min="2061" max="2304" width="11.42578125" style="83"/>
    <col min="2305" max="2305" width="26.28515625" style="83" customWidth="1"/>
    <col min="2306" max="2306" width="16.7109375" style="83" customWidth="1"/>
    <col min="2307" max="2307" width="13" style="83" bestFit="1" customWidth="1"/>
    <col min="2308" max="2308" width="14.28515625" style="83" customWidth="1"/>
    <col min="2309" max="2309" width="13" style="83" bestFit="1" customWidth="1"/>
    <col min="2310" max="2310" width="14.140625" style="83" bestFit="1" customWidth="1"/>
    <col min="2311" max="2311" width="13" style="83" bestFit="1" customWidth="1"/>
    <col min="2312" max="2312" width="14.28515625" style="83" bestFit="1" customWidth="1"/>
    <col min="2313" max="2313" width="13" style="83" bestFit="1" customWidth="1"/>
    <col min="2314" max="2314" width="14.140625" style="83" bestFit="1" customWidth="1"/>
    <col min="2315" max="2315" width="12.7109375" style="83" customWidth="1"/>
    <col min="2316" max="2316" width="14.28515625" style="83" bestFit="1" customWidth="1"/>
    <col min="2317" max="2560" width="11.42578125" style="83"/>
    <col min="2561" max="2561" width="26.28515625" style="83" customWidth="1"/>
    <col min="2562" max="2562" width="16.7109375" style="83" customWidth="1"/>
    <col min="2563" max="2563" width="13" style="83" bestFit="1" customWidth="1"/>
    <col min="2564" max="2564" width="14.28515625" style="83" customWidth="1"/>
    <col min="2565" max="2565" width="13" style="83" bestFit="1" customWidth="1"/>
    <col min="2566" max="2566" width="14.140625" style="83" bestFit="1" customWidth="1"/>
    <col min="2567" max="2567" width="13" style="83" bestFit="1" customWidth="1"/>
    <col min="2568" max="2568" width="14.28515625" style="83" bestFit="1" customWidth="1"/>
    <col min="2569" max="2569" width="13" style="83" bestFit="1" customWidth="1"/>
    <col min="2570" max="2570" width="14.140625" style="83" bestFit="1" customWidth="1"/>
    <col min="2571" max="2571" width="12.7109375" style="83" customWidth="1"/>
    <col min="2572" max="2572" width="14.28515625" style="83" bestFit="1" customWidth="1"/>
    <col min="2573" max="2816" width="11.42578125" style="83"/>
    <col min="2817" max="2817" width="26.28515625" style="83" customWidth="1"/>
    <col min="2818" max="2818" width="16.7109375" style="83" customWidth="1"/>
    <col min="2819" max="2819" width="13" style="83" bestFit="1" customWidth="1"/>
    <col min="2820" max="2820" width="14.28515625" style="83" customWidth="1"/>
    <col min="2821" max="2821" width="13" style="83" bestFit="1" customWidth="1"/>
    <col min="2822" max="2822" width="14.140625" style="83" bestFit="1" customWidth="1"/>
    <col min="2823" max="2823" width="13" style="83" bestFit="1" customWidth="1"/>
    <col min="2824" max="2824" width="14.28515625" style="83" bestFit="1" customWidth="1"/>
    <col min="2825" max="2825" width="13" style="83" bestFit="1" customWidth="1"/>
    <col min="2826" max="2826" width="14.140625" style="83" bestFit="1" customWidth="1"/>
    <col min="2827" max="2827" width="12.7109375" style="83" customWidth="1"/>
    <col min="2828" max="2828" width="14.28515625" style="83" bestFit="1" customWidth="1"/>
    <col min="2829" max="3072" width="11.42578125" style="83"/>
    <col min="3073" max="3073" width="26.28515625" style="83" customWidth="1"/>
    <col min="3074" max="3074" width="16.7109375" style="83" customWidth="1"/>
    <col min="3075" max="3075" width="13" style="83" bestFit="1" customWidth="1"/>
    <col min="3076" max="3076" width="14.28515625" style="83" customWidth="1"/>
    <col min="3077" max="3077" width="13" style="83" bestFit="1" customWidth="1"/>
    <col min="3078" max="3078" width="14.140625" style="83" bestFit="1" customWidth="1"/>
    <col min="3079" max="3079" width="13" style="83" bestFit="1" customWidth="1"/>
    <col min="3080" max="3080" width="14.28515625" style="83" bestFit="1" customWidth="1"/>
    <col min="3081" max="3081" width="13" style="83" bestFit="1" customWidth="1"/>
    <col min="3082" max="3082" width="14.140625" style="83" bestFit="1" customWidth="1"/>
    <col min="3083" max="3083" width="12.7109375" style="83" customWidth="1"/>
    <col min="3084" max="3084" width="14.28515625" style="83" bestFit="1" customWidth="1"/>
    <col min="3085" max="3328" width="11.42578125" style="83"/>
    <col min="3329" max="3329" width="26.28515625" style="83" customWidth="1"/>
    <col min="3330" max="3330" width="16.7109375" style="83" customWidth="1"/>
    <col min="3331" max="3331" width="13" style="83" bestFit="1" customWidth="1"/>
    <col min="3332" max="3332" width="14.28515625" style="83" customWidth="1"/>
    <col min="3333" max="3333" width="13" style="83" bestFit="1" customWidth="1"/>
    <col min="3334" max="3334" width="14.140625" style="83" bestFit="1" customWidth="1"/>
    <col min="3335" max="3335" width="13" style="83" bestFit="1" customWidth="1"/>
    <col min="3336" max="3336" width="14.28515625" style="83" bestFit="1" customWidth="1"/>
    <col min="3337" max="3337" width="13" style="83" bestFit="1" customWidth="1"/>
    <col min="3338" max="3338" width="14.140625" style="83" bestFit="1" customWidth="1"/>
    <col min="3339" max="3339" width="12.7109375" style="83" customWidth="1"/>
    <col min="3340" max="3340" width="14.28515625" style="83" bestFit="1" customWidth="1"/>
    <col min="3341" max="3584" width="11.42578125" style="83"/>
    <col min="3585" max="3585" width="26.28515625" style="83" customWidth="1"/>
    <col min="3586" max="3586" width="16.7109375" style="83" customWidth="1"/>
    <col min="3587" max="3587" width="13" style="83" bestFit="1" customWidth="1"/>
    <col min="3588" max="3588" width="14.28515625" style="83" customWidth="1"/>
    <col min="3589" max="3589" width="13" style="83" bestFit="1" customWidth="1"/>
    <col min="3590" max="3590" width="14.140625" style="83" bestFit="1" customWidth="1"/>
    <col min="3591" max="3591" width="13" style="83" bestFit="1" customWidth="1"/>
    <col min="3592" max="3592" width="14.28515625" style="83" bestFit="1" customWidth="1"/>
    <col min="3593" max="3593" width="13" style="83" bestFit="1" customWidth="1"/>
    <col min="3594" max="3594" width="14.140625" style="83" bestFit="1" customWidth="1"/>
    <col min="3595" max="3595" width="12.7109375" style="83" customWidth="1"/>
    <col min="3596" max="3596" width="14.28515625" style="83" bestFit="1" customWidth="1"/>
    <col min="3597" max="3840" width="11.42578125" style="83"/>
    <col min="3841" max="3841" width="26.28515625" style="83" customWidth="1"/>
    <col min="3842" max="3842" width="16.7109375" style="83" customWidth="1"/>
    <col min="3843" max="3843" width="13" style="83" bestFit="1" customWidth="1"/>
    <col min="3844" max="3844" width="14.28515625" style="83" customWidth="1"/>
    <col min="3845" max="3845" width="13" style="83" bestFit="1" customWidth="1"/>
    <col min="3846" max="3846" width="14.140625" style="83" bestFit="1" customWidth="1"/>
    <col min="3847" max="3847" width="13" style="83" bestFit="1" customWidth="1"/>
    <col min="3848" max="3848" width="14.28515625" style="83" bestFit="1" customWidth="1"/>
    <col min="3849" max="3849" width="13" style="83" bestFit="1" customWidth="1"/>
    <col min="3850" max="3850" width="14.140625" style="83" bestFit="1" customWidth="1"/>
    <col min="3851" max="3851" width="12.7109375" style="83" customWidth="1"/>
    <col min="3852" max="3852" width="14.28515625" style="83" bestFit="1" customWidth="1"/>
    <col min="3853" max="4096" width="11.42578125" style="83"/>
    <col min="4097" max="4097" width="26.28515625" style="83" customWidth="1"/>
    <col min="4098" max="4098" width="16.7109375" style="83" customWidth="1"/>
    <col min="4099" max="4099" width="13" style="83" bestFit="1" customWidth="1"/>
    <col min="4100" max="4100" width="14.28515625" style="83" customWidth="1"/>
    <col min="4101" max="4101" width="13" style="83" bestFit="1" customWidth="1"/>
    <col min="4102" max="4102" width="14.140625" style="83" bestFit="1" customWidth="1"/>
    <col min="4103" max="4103" width="13" style="83" bestFit="1" customWidth="1"/>
    <col min="4104" max="4104" width="14.28515625" style="83" bestFit="1" customWidth="1"/>
    <col min="4105" max="4105" width="13" style="83" bestFit="1" customWidth="1"/>
    <col min="4106" max="4106" width="14.140625" style="83" bestFit="1" customWidth="1"/>
    <col min="4107" max="4107" width="12.7109375" style="83" customWidth="1"/>
    <col min="4108" max="4108" width="14.28515625" style="83" bestFit="1" customWidth="1"/>
    <col min="4109" max="4352" width="11.42578125" style="83"/>
    <col min="4353" max="4353" width="26.28515625" style="83" customWidth="1"/>
    <col min="4354" max="4354" width="16.7109375" style="83" customWidth="1"/>
    <col min="4355" max="4355" width="13" style="83" bestFit="1" customWidth="1"/>
    <col min="4356" max="4356" width="14.28515625" style="83" customWidth="1"/>
    <col min="4357" max="4357" width="13" style="83" bestFit="1" customWidth="1"/>
    <col min="4358" max="4358" width="14.140625" style="83" bestFit="1" customWidth="1"/>
    <col min="4359" max="4359" width="13" style="83" bestFit="1" customWidth="1"/>
    <col min="4360" max="4360" width="14.28515625" style="83" bestFit="1" customWidth="1"/>
    <col min="4361" max="4361" width="13" style="83" bestFit="1" customWidth="1"/>
    <col min="4362" max="4362" width="14.140625" style="83" bestFit="1" customWidth="1"/>
    <col min="4363" max="4363" width="12.7109375" style="83" customWidth="1"/>
    <col min="4364" max="4364" width="14.28515625" style="83" bestFit="1" customWidth="1"/>
    <col min="4365" max="4608" width="11.42578125" style="83"/>
    <col min="4609" max="4609" width="26.28515625" style="83" customWidth="1"/>
    <col min="4610" max="4610" width="16.7109375" style="83" customWidth="1"/>
    <col min="4611" max="4611" width="13" style="83" bestFit="1" customWidth="1"/>
    <col min="4612" max="4612" width="14.28515625" style="83" customWidth="1"/>
    <col min="4613" max="4613" width="13" style="83" bestFit="1" customWidth="1"/>
    <col min="4614" max="4614" width="14.140625" style="83" bestFit="1" customWidth="1"/>
    <col min="4615" max="4615" width="13" style="83" bestFit="1" customWidth="1"/>
    <col min="4616" max="4616" width="14.28515625" style="83" bestFit="1" customWidth="1"/>
    <col min="4617" max="4617" width="13" style="83" bestFit="1" customWidth="1"/>
    <col min="4618" max="4618" width="14.140625" style="83" bestFit="1" customWidth="1"/>
    <col min="4619" max="4619" width="12.7109375" style="83" customWidth="1"/>
    <col min="4620" max="4620" width="14.28515625" style="83" bestFit="1" customWidth="1"/>
    <col min="4621" max="4864" width="11.42578125" style="83"/>
    <col min="4865" max="4865" width="26.28515625" style="83" customWidth="1"/>
    <col min="4866" max="4866" width="16.7109375" style="83" customWidth="1"/>
    <col min="4867" max="4867" width="13" style="83" bestFit="1" customWidth="1"/>
    <col min="4868" max="4868" width="14.28515625" style="83" customWidth="1"/>
    <col min="4869" max="4869" width="13" style="83" bestFit="1" customWidth="1"/>
    <col min="4870" max="4870" width="14.140625" style="83" bestFit="1" customWidth="1"/>
    <col min="4871" max="4871" width="13" style="83" bestFit="1" customWidth="1"/>
    <col min="4872" max="4872" width="14.28515625" style="83" bestFit="1" customWidth="1"/>
    <col min="4873" max="4873" width="13" style="83" bestFit="1" customWidth="1"/>
    <col min="4874" max="4874" width="14.140625" style="83" bestFit="1" customWidth="1"/>
    <col min="4875" max="4875" width="12.7109375" style="83" customWidth="1"/>
    <col min="4876" max="4876" width="14.28515625" style="83" bestFit="1" customWidth="1"/>
    <col min="4877" max="5120" width="11.42578125" style="83"/>
    <col min="5121" max="5121" width="26.28515625" style="83" customWidth="1"/>
    <col min="5122" max="5122" width="16.7109375" style="83" customWidth="1"/>
    <col min="5123" max="5123" width="13" style="83" bestFit="1" customWidth="1"/>
    <col min="5124" max="5124" width="14.28515625" style="83" customWidth="1"/>
    <col min="5125" max="5125" width="13" style="83" bestFit="1" customWidth="1"/>
    <col min="5126" max="5126" width="14.140625" style="83" bestFit="1" customWidth="1"/>
    <col min="5127" max="5127" width="13" style="83" bestFit="1" customWidth="1"/>
    <col min="5128" max="5128" width="14.28515625" style="83" bestFit="1" customWidth="1"/>
    <col min="5129" max="5129" width="13" style="83" bestFit="1" customWidth="1"/>
    <col min="5130" max="5130" width="14.140625" style="83" bestFit="1" customWidth="1"/>
    <col min="5131" max="5131" width="12.7109375" style="83" customWidth="1"/>
    <col min="5132" max="5132" width="14.28515625" style="83" bestFit="1" customWidth="1"/>
    <col min="5133" max="5376" width="11.42578125" style="83"/>
    <col min="5377" max="5377" width="26.28515625" style="83" customWidth="1"/>
    <col min="5378" max="5378" width="16.7109375" style="83" customWidth="1"/>
    <col min="5379" max="5379" width="13" style="83" bestFit="1" customWidth="1"/>
    <col min="5380" max="5380" width="14.28515625" style="83" customWidth="1"/>
    <col min="5381" max="5381" width="13" style="83" bestFit="1" customWidth="1"/>
    <col min="5382" max="5382" width="14.140625" style="83" bestFit="1" customWidth="1"/>
    <col min="5383" max="5383" width="13" style="83" bestFit="1" customWidth="1"/>
    <col min="5384" max="5384" width="14.28515625" style="83" bestFit="1" customWidth="1"/>
    <col min="5385" max="5385" width="13" style="83" bestFit="1" customWidth="1"/>
    <col min="5386" max="5386" width="14.140625" style="83" bestFit="1" customWidth="1"/>
    <col min="5387" max="5387" width="12.7109375" style="83" customWidth="1"/>
    <col min="5388" max="5388" width="14.28515625" style="83" bestFit="1" customWidth="1"/>
    <col min="5389" max="5632" width="11.42578125" style="83"/>
    <col min="5633" max="5633" width="26.28515625" style="83" customWidth="1"/>
    <col min="5634" max="5634" width="16.7109375" style="83" customWidth="1"/>
    <col min="5635" max="5635" width="13" style="83" bestFit="1" customWidth="1"/>
    <col min="5636" max="5636" width="14.28515625" style="83" customWidth="1"/>
    <col min="5637" max="5637" width="13" style="83" bestFit="1" customWidth="1"/>
    <col min="5638" max="5638" width="14.140625" style="83" bestFit="1" customWidth="1"/>
    <col min="5639" max="5639" width="13" style="83" bestFit="1" customWidth="1"/>
    <col min="5640" max="5640" width="14.28515625" style="83" bestFit="1" customWidth="1"/>
    <col min="5641" max="5641" width="13" style="83" bestFit="1" customWidth="1"/>
    <col min="5642" max="5642" width="14.140625" style="83" bestFit="1" customWidth="1"/>
    <col min="5643" max="5643" width="12.7109375" style="83" customWidth="1"/>
    <col min="5644" max="5644" width="14.28515625" style="83" bestFit="1" customWidth="1"/>
    <col min="5645" max="5888" width="11.42578125" style="83"/>
    <col min="5889" max="5889" width="26.28515625" style="83" customWidth="1"/>
    <col min="5890" max="5890" width="16.7109375" style="83" customWidth="1"/>
    <col min="5891" max="5891" width="13" style="83" bestFit="1" customWidth="1"/>
    <col min="5892" max="5892" width="14.28515625" style="83" customWidth="1"/>
    <col min="5893" max="5893" width="13" style="83" bestFit="1" customWidth="1"/>
    <col min="5894" max="5894" width="14.140625" style="83" bestFit="1" customWidth="1"/>
    <col min="5895" max="5895" width="13" style="83" bestFit="1" customWidth="1"/>
    <col min="5896" max="5896" width="14.28515625" style="83" bestFit="1" customWidth="1"/>
    <col min="5897" max="5897" width="13" style="83" bestFit="1" customWidth="1"/>
    <col min="5898" max="5898" width="14.140625" style="83" bestFit="1" customWidth="1"/>
    <col min="5899" max="5899" width="12.7109375" style="83" customWidth="1"/>
    <col min="5900" max="5900" width="14.28515625" style="83" bestFit="1" customWidth="1"/>
    <col min="5901" max="6144" width="11.42578125" style="83"/>
    <col min="6145" max="6145" width="26.28515625" style="83" customWidth="1"/>
    <col min="6146" max="6146" width="16.7109375" style="83" customWidth="1"/>
    <col min="6147" max="6147" width="13" style="83" bestFit="1" customWidth="1"/>
    <col min="6148" max="6148" width="14.28515625" style="83" customWidth="1"/>
    <col min="6149" max="6149" width="13" style="83" bestFit="1" customWidth="1"/>
    <col min="6150" max="6150" width="14.140625" style="83" bestFit="1" customWidth="1"/>
    <col min="6151" max="6151" width="13" style="83" bestFit="1" customWidth="1"/>
    <col min="6152" max="6152" width="14.28515625" style="83" bestFit="1" customWidth="1"/>
    <col min="6153" max="6153" width="13" style="83" bestFit="1" customWidth="1"/>
    <col min="6154" max="6154" width="14.140625" style="83" bestFit="1" customWidth="1"/>
    <col min="6155" max="6155" width="12.7109375" style="83" customWidth="1"/>
    <col min="6156" max="6156" width="14.28515625" style="83" bestFit="1" customWidth="1"/>
    <col min="6157" max="6400" width="11.42578125" style="83"/>
    <col min="6401" max="6401" width="26.28515625" style="83" customWidth="1"/>
    <col min="6402" max="6402" width="16.7109375" style="83" customWidth="1"/>
    <col min="6403" max="6403" width="13" style="83" bestFit="1" customWidth="1"/>
    <col min="6404" max="6404" width="14.28515625" style="83" customWidth="1"/>
    <col min="6405" max="6405" width="13" style="83" bestFit="1" customWidth="1"/>
    <col min="6406" max="6406" width="14.140625" style="83" bestFit="1" customWidth="1"/>
    <col min="6407" max="6407" width="13" style="83" bestFit="1" customWidth="1"/>
    <col min="6408" max="6408" width="14.28515625" style="83" bestFit="1" customWidth="1"/>
    <col min="6409" max="6409" width="13" style="83" bestFit="1" customWidth="1"/>
    <col min="6410" max="6410" width="14.140625" style="83" bestFit="1" customWidth="1"/>
    <col min="6411" max="6411" width="12.7109375" style="83" customWidth="1"/>
    <col min="6412" max="6412" width="14.28515625" style="83" bestFit="1" customWidth="1"/>
    <col min="6413" max="6656" width="11.42578125" style="83"/>
    <col min="6657" max="6657" width="26.28515625" style="83" customWidth="1"/>
    <col min="6658" max="6658" width="16.7109375" style="83" customWidth="1"/>
    <col min="6659" max="6659" width="13" style="83" bestFit="1" customWidth="1"/>
    <col min="6660" max="6660" width="14.28515625" style="83" customWidth="1"/>
    <col min="6661" max="6661" width="13" style="83" bestFit="1" customWidth="1"/>
    <col min="6662" max="6662" width="14.140625" style="83" bestFit="1" customWidth="1"/>
    <col min="6663" max="6663" width="13" style="83" bestFit="1" customWidth="1"/>
    <col min="6664" max="6664" width="14.28515625" style="83" bestFit="1" customWidth="1"/>
    <col min="6665" max="6665" width="13" style="83" bestFit="1" customWidth="1"/>
    <col min="6666" max="6666" width="14.140625" style="83" bestFit="1" customWidth="1"/>
    <col min="6667" max="6667" width="12.7109375" style="83" customWidth="1"/>
    <col min="6668" max="6668" width="14.28515625" style="83" bestFit="1" customWidth="1"/>
    <col min="6669" max="6912" width="11.42578125" style="83"/>
    <col min="6913" max="6913" width="26.28515625" style="83" customWidth="1"/>
    <col min="6914" max="6914" width="16.7109375" style="83" customWidth="1"/>
    <col min="6915" max="6915" width="13" style="83" bestFit="1" customWidth="1"/>
    <col min="6916" max="6916" width="14.28515625" style="83" customWidth="1"/>
    <col min="6917" max="6917" width="13" style="83" bestFit="1" customWidth="1"/>
    <col min="6918" max="6918" width="14.140625" style="83" bestFit="1" customWidth="1"/>
    <col min="6919" max="6919" width="13" style="83" bestFit="1" customWidth="1"/>
    <col min="6920" max="6920" width="14.28515625" style="83" bestFit="1" customWidth="1"/>
    <col min="6921" max="6921" width="13" style="83" bestFit="1" customWidth="1"/>
    <col min="6922" max="6922" width="14.140625" style="83" bestFit="1" customWidth="1"/>
    <col min="6923" max="6923" width="12.7109375" style="83" customWidth="1"/>
    <col min="6924" max="6924" width="14.28515625" style="83" bestFit="1" customWidth="1"/>
    <col min="6925" max="7168" width="11.42578125" style="83"/>
    <col min="7169" max="7169" width="26.28515625" style="83" customWidth="1"/>
    <col min="7170" max="7170" width="16.7109375" style="83" customWidth="1"/>
    <col min="7171" max="7171" width="13" style="83" bestFit="1" customWidth="1"/>
    <col min="7172" max="7172" width="14.28515625" style="83" customWidth="1"/>
    <col min="7173" max="7173" width="13" style="83" bestFit="1" customWidth="1"/>
    <col min="7174" max="7174" width="14.140625" style="83" bestFit="1" customWidth="1"/>
    <col min="7175" max="7175" width="13" style="83" bestFit="1" customWidth="1"/>
    <col min="7176" max="7176" width="14.28515625" style="83" bestFit="1" customWidth="1"/>
    <col min="7177" max="7177" width="13" style="83" bestFit="1" customWidth="1"/>
    <col min="7178" max="7178" width="14.140625" style="83" bestFit="1" customWidth="1"/>
    <col min="7179" max="7179" width="12.7109375" style="83" customWidth="1"/>
    <col min="7180" max="7180" width="14.28515625" style="83" bestFit="1" customWidth="1"/>
    <col min="7181" max="7424" width="11.42578125" style="83"/>
    <col min="7425" max="7425" width="26.28515625" style="83" customWidth="1"/>
    <col min="7426" max="7426" width="16.7109375" style="83" customWidth="1"/>
    <col min="7427" max="7427" width="13" style="83" bestFit="1" customWidth="1"/>
    <col min="7428" max="7428" width="14.28515625" style="83" customWidth="1"/>
    <col min="7429" max="7429" width="13" style="83" bestFit="1" customWidth="1"/>
    <col min="7430" max="7430" width="14.140625" style="83" bestFit="1" customWidth="1"/>
    <col min="7431" max="7431" width="13" style="83" bestFit="1" customWidth="1"/>
    <col min="7432" max="7432" width="14.28515625" style="83" bestFit="1" customWidth="1"/>
    <col min="7433" max="7433" width="13" style="83" bestFit="1" customWidth="1"/>
    <col min="7434" max="7434" width="14.140625" style="83" bestFit="1" customWidth="1"/>
    <col min="7435" max="7435" width="12.7109375" style="83" customWidth="1"/>
    <col min="7436" max="7436" width="14.28515625" style="83" bestFit="1" customWidth="1"/>
    <col min="7437" max="7680" width="11.42578125" style="83"/>
    <col min="7681" max="7681" width="26.28515625" style="83" customWidth="1"/>
    <col min="7682" max="7682" width="16.7109375" style="83" customWidth="1"/>
    <col min="7683" max="7683" width="13" style="83" bestFit="1" customWidth="1"/>
    <col min="7684" max="7684" width="14.28515625" style="83" customWidth="1"/>
    <col min="7685" max="7685" width="13" style="83" bestFit="1" customWidth="1"/>
    <col min="7686" max="7686" width="14.140625" style="83" bestFit="1" customWidth="1"/>
    <col min="7687" max="7687" width="13" style="83" bestFit="1" customWidth="1"/>
    <col min="7688" max="7688" width="14.28515625" style="83" bestFit="1" customWidth="1"/>
    <col min="7689" max="7689" width="13" style="83" bestFit="1" customWidth="1"/>
    <col min="7690" max="7690" width="14.140625" style="83" bestFit="1" customWidth="1"/>
    <col min="7691" max="7691" width="12.7109375" style="83" customWidth="1"/>
    <col min="7692" max="7692" width="14.28515625" style="83" bestFit="1" customWidth="1"/>
    <col min="7693" max="7936" width="11.42578125" style="83"/>
    <col min="7937" max="7937" width="26.28515625" style="83" customWidth="1"/>
    <col min="7938" max="7938" width="16.7109375" style="83" customWidth="1"/>
    <col min="7939" max="7939" width="13" style="83" bestFit="1" customWidth="1"/>
    <col min="7940" max="7940" width="14.28515625" style="83" customWidth="1"/>
    <col min="7941" max="7941" width="13" style="83" bestFit="1" customWidth="1"/>
    <col min="7942" max="7942" width="14.140625" style="83" bestFit="1" customWidth="1"/>
    <col min="7943" max="7943" width="13" style="83" bestFit="1" customWidth="1"/>
    <col min="7944" max="7944" width="14.28515625" style="83" bestFit="1" customWidth="1"/>
    <col min="7945" max="7945" width="13" style="83" bestFit="1" customWidth="1"/>
    <col min="7946" max="7946" width="14.140625" style="83" bestFit="1" customWidth="1"/>
    <col min="7947" max="7947" width="12.7109375" style="83" customWidth="1"/>
    <col min="7948" max="7948" width="14.28515625" style="83" bestFit="1" customWidth="1"/>
    <col min="7949" max="8192" width="11.42578125" style="83"/>
    <col min="8193" max="8193" width="26.28515625" style="83" customWidth="1"/>
    <col min="8194" max="8194" width="16.7109375" style="83" customWidth="1"/>
    <col min="8195" max="8195" width="13" style="83" bestFit="1" customWidth="1"/>
    <col min="8196" max="8196" width="14.28515625" style="83" customWidth="1"/>
    <col min="8197" max="8197" width="13" style="83" bestFit="1" customWidth="1"/>
    <col min="8198" max="8198" width="14.140625" style="83" bestFit="1" customWidth="1"/>
    <col min="8199" max="8199" width="13" style="83" bestFit="1" customWidth="1"/>
    <col min="8200" max="8200" width="14.28515625" style="83" bestFit="1" customWidth="1"/>
    <col min="8201" max="8201" width="13" style="83" bestFit="1" customWidth="1"/>
    <col min="8202" max="8202" width="14.140625" style="83" bestFit="1" customWidth="1"/>
    <col min="8203" max="8203" width="12.7109375" style="83" customWidth="1"/>
    <col min="8204" max="8204" width="14.28515625" style="83" bestFit="1" customWidth="1"/>
    <col min="8205" max="8448" width="11.42578125" style="83"/>
    <col min="8449" max="8449" width="26.28515625" style="83" customWidth="1"/>
    <col min="8450" max="8450" width="16.7109375" style="83" customWidth="1"/>
    <col min="8451" max="8451" width="13" style="83" bestFit="1" customWidth="1"/>
    <col min="8452" max="8452" width="14.28515625" style="83" customWidth="1"/>
    <col min="8453" max="8453" width="13" style="83" bestFit="1" customWidth="1"/>
    <col min="8454" max="8454" width="14.140625" style="83" bestFit="1" customWidth="1"/>
    <col min="8455" max="8455" width="13" style="83" bestFit="1" customWidth="1"/>
    <col min="8456" max="8456" width="14.28515625" style="83" bestFit="1" customWidth="1"/>
    <col min="8457" max="8457" width="13" style="83" bestFit="1" customWidth="1"/>
    <col min="8458" max="8458" width="14.140625" style="83" bestFit="1" customWidth="1"/>
    <col min="8459" max="8459" width="12.7109375" style="83" customWidth="1"/>
    <col min="8460" max="8460" width="14.28515625" style="83" bestFit="1" customWidth="1"/>
    <col min="8461" max="8704" width="11.42578125" style="83"/>
    <col min="8705" max="8705" width="26.28515625" style="83" customWidth="1"/>
    <col min="8706" max="8706" width="16.7109375" style="83" customWidth="1"/>
    <col min="8707" max="8707" width="13" style="83" bestFit="1" customWidth="1"/>
    <col min="8708" max="8708" width="14.28515625" style="83" customWidth="1"/>
    <col min="8709" max="8709" width="13" style="83" bestFit="1" customWidth="1"/>
    <col min="8710" max="8710" width="14.140625" style="83" bestFit="1" customWidth="1"/>
    <col min="8711" max="8711" width="13" style="83" bestFit="1" customWidth="1"/>
    <col min="8712" max="8712" width="14.28515625" style="83" bestFit="1" customWidth="1"/>
    <col min="8713" max="8713" width="13" style="83" bestFit="1" customWidth="1"/>
    <col min="8714" max="8714" width="14.140625" style="83" bestFit="1" customWidth="1"/>
    <col min="8715" max="8715" width="12.7109375" style="83" customWidth="1"/>
    <col min="8716" max="8716" width="14.28515625" style="83" bestFit="1" customWidth="1"/>
    <col min="8717" max="8960" width="11.42578125" style="83"/>
    <col min="8961" max="8961" width="26.28515625" style="83" customWidth="1"/>
    <col min="8962" max="8962" width="16.7109375" style="83" customWidth="1"/>
    <col min="8963" max="8963" width="13" style="83" bestFit="1" customWidth="1"/>
    <col min="8964" max="8964" width="14.28515625" style="83" customWidth="1"/>
    <col min="8965" max="8965" width="13" style="83" bestFit="1" customWidth="1"/>
    <col min="8966" max="8966" width="14.140625" style="83" bestFit="1" customWidth="1"/>
    <col min="8967" max="8967" width="13" style="83" bestFit="1" customWidth="1"/>
    <col min="8968" max="8968" width="14.28515625" style="83" bestFit="1" customWidth="1"/>
    <col min="8969" max="8969" width="13" style="83" bestFit="1" customWidth="1"/>
    <col min="8970" max="8970" width="14.140625" style="83" bestFit="1" customWidth="1"/>
    <col min="8971" max="8971" width="12.7109375" style="83" customWidth="1"/>
    <col min="8972" max="8972" width="14.28515625" style="83" bestFit="1" customWidth="1"/>
    <col min="8973" max="9216" width="11.42578125" style="83"/>
    <col min="9217" max="9217" width="26.28515625" style="83" customWidth="1"/>
    <col min="9218" max="9218" width="16.7109375" style="83" customWidth="1"/>
    <col min="9219" max="9219" width="13" style="83" bestFit="1" customWidth="1"/>
    <col min="9220" max="9220" width="14.28515625" style="83" customWidth="1"/>
    <col min="9221" max="9221" width="13" style="83" bestFit="1" customWidth="1"/>
    <col min="9222" max="9222" width="14.140625" style="83" bestFit="1" customWidth="1"/>
    <col min="9223" max="9223" width="13" style="83" bestFit="1" customWidth="1"/>
    <col min="9224" max="9224" width="14.28515625" style="83" bestFit="1" customWidth="1"/>
    <col min="9225" max="9225" width="13" style="83" bestFit="1" customWidth="1"/>
    <col min="9226" max="9226" width="14.140625" style="83" bestFit="1" customWidth="1"/>
    <col min="9227" max="9227" width="12.7109375" style="83" customWidth="1"/>
    <col min="9228" max="9228" width="14.28515625" style="83" bestFit="1" customWidth="1"/>
    <col min="9229" max="9472" width="11.42578125" style="83"/>
    <col min="9473" max="9473" width="26.28515625" style="83" customWidth="1"/>
    <col min="9474" max="9474" width="16.7109375" style="83" customWidth="1"/>
    <col min="9475" max="9475" width="13" style="83" bestFit="1" customWidth="1"/>
    <col min="9476" max="9476" width="14.28515625" style="83" customWidth="1"/>
    <col min="9477" max="9477" width="13" style="83" bestFit="1" customWidth="1"/>
    <col min="9478" max="9478" width="14.140625" style="83" bestFit="1" customWidth="1"/>
    <col min="9479" max="9479" width="13" style="83" bestFit="1" customWidth="1"/>
    <col min="9480" max="9480" width="14.28515625" style="83" bestFit="1" customWidth="1"/>
    <col min="9481" max="9481" width="13" style="83" bestFit="1" customWidth="1"/>
    <col min="9482" max="9482" width="14.140625" style="83" bestFit="1" customWidth="1"/>
    <col min="9483" max="9483" width="12.7109375" style="83" customWidth="1"/>
    <col min="9484" max="9484" width="14.28515625" style="83" bestFit="1" customWidth="1"/>
    <col min="9485" max="9728" width="11.42578125" style="83"/>
    <col min="9729" max="9729" width="26.28515625" style="83" customWidth="1"/>
    <col min="9730" max="9730" width="16.7109375" style="83" customWidth="1"/>
    <col min="9731" max="9731" width="13" style="83" bestFit="1" customWidth="1"/>
    <col min="9732" max="9732" width="14.28515625" style="83" customWidth="1"/>
    <col min="9733" max="9733" width="13" style="83" bestFit="1" customWidth="1"/>
    <col min="9734" max="9734" width="14.140625" style="83" bestFit="1" customWidth="1"/>
    <col min="9735" max="9735" width="13" style="83" bestFit="1" customWidth="1"/>
    <col min="9736" max="9736" width="14.28515625" style="83" bestFit="1" customWidth="1"/>
    <col min="9737" max="9737" width="13" style="83" bestFit="1" customWidth="1"/>
    <col min="9738" max="9738" width="14.140625" style="83" bestFit="1" customWidth="1"/>
    <col min="9739" max="9739" width="12.7109375" style="83" customWidth="1"/>
    <col min="9740" max="9740" width="14.28515625" style="83" bestFit="1" customWidth="1"/>
    <col min="9741" max="9984" width="11.42578125" style="83"/>
    <col min="9985" max="9985" width="26.28515625" style="83" customWidth="1"/>
    <col min="9986" max="9986" width="16.7109375" style="83" customWidth="1"/>
    <col min="9987" max="9987" width="13" style="83" bestFit="1" customWidth="1"/>
    <col min="9988" max="9988" width="14.28515625" style="83" customWidth="1"/>
    <col min="9989" max="9989" width="13" style="83" bestFit="1" customWidth="1"/>
    <col min="9990" max="9990" width="14.140625" style="83" bestFit="1" customWidth="1"/>
    <col min="9991" max="9991" width="13" style="83" bestFit="1" customWidth="1"/>
    <col min="9992" max="9992" width="14.28515625" style="83" bestFit="1" customWidth="1"/>
    <col min="9993" max="9993" width="13" style="83" bestFit="1" customWidth="1"/>
    <col min="9994" max="9994" width="14.140625" style="83" bestFit="1" customWidth="1"/>
    <col min="9995" max="9995" width="12.7109375" style="83" customWidth="1"/>
    <col min="9996" max="9996" width="14.28515625" style="83" bestFit="1" customWidth="1"/>
    <col min="9997" max="10240" width="11.42578125" style="83"/>
    <col min="10241" max="10241" width="26.28515625" style="83" customWidth="1"/>
    <col min="10242" max="10242" width="16.7109375" style="83" customWidth="1"/>
    <col min="10243" max="10243" width="13" style="83" bestFit="1" customWidth="1"/>
    <col min="10244" max="10244" width="14.28515625" style="83" customWidth="1"/>
    <col min="10245" max="10245" width="13" style="83" bestFit="1" customWidth="1"/>
    <col min="10246" max="10246" width="14.140625" style="83" bestFit="1" customWidth="1"/>
    <col min="10247" max="10247" width="13" style="83" bestFit="1" customWidth="1"/>
    <col min="10248" max="10248" width="14.28515625" style="83" bestFit="1" customWidth="1"/>
    <col min="10249" max="10249" width="13" style="83" bestFit="1" customWidth="1"/>
    <col min="10250" max="10250" width="14.140625" style="83" bestFit="1" customWidth="1"/>
    <col min="10251" max="10251" width="12.7109375" style="83" customWidth="1"/>
    <col min="10252" max="10252" width="14.28515625" style="83" bestFit="1" customWidth="1"/>
    <col min="10253" max="10496" width="11.42578125" style="83"/>
    <col min="10497" max="10497" width="26.28515625" style="83" customWidth="1"/>
    <col min="10498" max="10498" width="16.7109375" style="83" customWidth="1"/>
    <col min="10499" max="10499" width="13" style="83" bestFit="1" customWidth="1"/>
    <col min="10500" max="10500" width="14.28515625" style="83" customWidth="1"/>
    <col min="10501" max="10501" width="13" style="83" bestFit="1" customWidth="1"/>
    <col min="10502" max="10502" width="14.140625" style="83" bestFit="1" customWidth="1"/>
    <col min="10503" max="10503" width="13" style="83" bestFit="1" customWidth="1"/>
    <col min="10504" max="10504" width="14.28515625" style="83" bestFit="1" customWidth="1"/>
    <col min="10505" max="10505" width="13" style="83" bestFit="1" customWidth="1"/>
    <col min="10506" max="10506" width="14.140625" style="83" bestFit="1" customWidth="1"/>
    <col min="10507" max="10507" width="12.7109375" style="83" customWidth="1"/>
    <col min="10508" max="10508" width="14.28515625" style="83" bestFit="1" customWidth="1"/>
    <col min="10509" max="10752" width="11.42578125" style="83"/>
    <col min="10753" max="10753" width="26.28515625" style="83" customWidth="1"/>
    <col min="10754" max="10754" width="16.7109375" style="83" customWidth="1"/>
    <col min="10755" max="10755" width="13" style="83" bestFit="1" customWidth="1"/>
    <col min="10756" max="10756" width="14.28515625" style="83" customWidth="1"/>
    <col min="10757" max="10757" width="13" style="83" bestFit="1" customWidth="1"/>
    <col min="10758" max="10758" width="14.140625" style="83" bestFit="1" customWidth="1"/>
    <col min="10759" max="10759" width="13" style="83" bestFit="1" customWidth="1"/>
    <col min="10760" max="10760" width="14.28515625" style="83" bestFit="1" customWidth="1"/>
    <col min="10761" max="10761" width="13" style="83" bestFit="1" customWidth="1"/>
    <col min="10762" max="10762" width="14.140625" style="83" bestFit="1" customWidth="1"/>
    <col min="10763" max="10763" width="12.7109375" style="83" customWidth="1"/>
    <col min="10764" max="10764" width="14.28515625" style="83" bestFit="1" customWidth="1"/>
    <col min="10765" max="11008" width="11.42578125" style="83"/>
    <col min="11009" max="11009" width="26.28515625" style="83" customWidth="1"/>
    <col min="11010" max="11010" width="16.7109375" style="83" customWidth="1"/>
    <col min="11011" max="11011" width="13" style="83" bestFit="1" customWidth="1"/>
    <col min="11012" max="11012" width="14.28515625" style="83" customWidth="1"/>
    <col min="11013" max="11013" width="13" style="83" bestFit="1" customWidth="1"/>
    <col min="11014" max="11014" width="14.140625" style="83" bestFit="1" customWidth="1"/>
    <col min="11015" max="11015" width="13" style="83" bestFit="1" customWidth="1"/>
    <col min="11016" max="11016" width="14.28515625" style="83" bestFit="1" customWidth="1"/>
    <col min="11017" max="11017" width="13" style="83" bestFit="1" customWidth="1"/>
    <col min="11018" max="11018" width="14.140625" style="83" bestFit="1" customWidth="1"/>
    <col min="11019" max="11019" width="12.7109375" style="83" customWidth="1"/>
    <col min="11020" max="11020" width="14.28515625" style="83" bestFit="1" customWidth="1"/>
    <col min="11021" max="11264" width="11.42578125" style="83"/>
    <col min="11265" max="11265" width="26.28515625" style="83" customWidth="1"/>
    <col min="11266" max="11266" width="16.7109375" style="83" customWidth="1"/>
    <col min="11267" max="11267" width="13" style="83" bestFit="1" customWidth="1"/>
    <col min="11268" max="11268" width="14.28515625" style="83" customWidth="1"/>
    <col min="11269" max="11269" width="13" style="83" bestFit="1" customWidth="1"/>
    <col min="11270" max="11270" width="14.140625" style="83" bestFit="1" customWidth="1"/>
    <col min="11271" max="11271" width="13" style="83" bestFit="1" customWidth="1"/>
    <col min="11272" max="11272" width="14.28515625" style="83" bestFit="1" customWidth="1"/>
    <col min="11273" max="11273" width="13" style="83" bestFit="1" customWidth="1"/>
    <col min="11274" max="11274" width="14.140625" style="83" bestFit="1" customWidth="1"/>
    <col min="11275" max="11275" width="12.7109375" style="83" customWidth="1"/>
    <col min="11276" max="11276" width="14.28515625" style="83" bestFit="1" customWidth="1"/>
    <col min="11277" max="11520" width="11.42578125" style="83"/>
    <col min="11521" max="11521" width="26.28515625" style="83" customWidth="1"/>
    <col min="11522" max="11522" width="16.7109375" style="83" customWidth="1"/>
    <col min="11523" max="11523" width="13" style="83" bestFit="1" customWidth="1"/>
    <col min="11524" max="11524" width="14.28515625" style="83" customWidth="1"/>
    <col min="11525" max="11525" width="13" style="83" bestFit="1" customWidth="1"/>
    <col min="11526" max="11526" width="14.140625" style="83" bestFit="1" customWidth="1"/>
    <col min="11527" max="11527" width="13" style="83" bestFit="1" customWidth="1"/>
    <col min="11528" max="11528" width="14.28515625" style="83" bestFit="1" customWidth="1"/>
    <col min="11529" max="11529" width="13" style="83" bestFit="1" customWidth="1"/>
    <col min="11530" max="11530" width="14.140625" style="83" bestFit="1" customWidth="1"/>
    <col min="11531" max="11531" width="12.7109375" style="83" customWidth="1"/>
    <col min="11532" max="11532" width="14.28515625" style="83" bestFit="1" customWidth="1"/>
    <col min="11533" max="11776" width="11.42578125" style="83"/>
    <col min="11777" max="11777" width="26.28515625" style="83" customWidth="1"/>
    <col min="11778" max="11778" width="16.7109375" style="83" customWidth="1"/>
    <col min="11779" max="11779" width="13" style="83" bestFit="1" customWidth="1"/>
    <col min="11780" max="11780" width="14.28515625" style="83" customWidth="1"/>
    <col min="11781" max="11781" width="13" style="83" bestFit="1" customWidth="1"/>
    <col min="11782" max="11782" width="14.140625" style="83" bestFit="1" customWidth="1"/>
    <col min="11783" max="11783" width="13" style="83" bestFit="1" customWidth="1"/>
    <col min="11784" max="11784" width="14.28515625" style="83" bestFit="1" customWidth="1"/>
    <col min="11785" max="11785" width="13" style="83" bestFit="1" customWidth="1"/>
    <col min="11786" max="11786" width="14.140625" style="83" bestFit="1" customWidth="1"/>
    <col min="11787" max="11787" width="12.7109375" style="83" customWidth="1"/>
    <col min="11788" max="11788" width="14.28515625" style="83" bestFit="1" customWidth="1"/>
    <col min="11789" max="12032" width="11.42578125" style="83"/>
    <col min="12033" max="12033" width="26.28515625" style="83" customWidth="1"/>
    <col min="12034" max="12034" width="16.7109375" style="83" customWidth="1"/>
    <col min="12035" max="12035" width="13" style="83" bestFit="1" customWidth="1"/>
    <col min="12036" max="12036" width="14.28515625" style="83" customWidth="1"/>
    <col min="12037" max="12037" width="13" style="83" bestFit="1" customWidth="1"/>
    <col min="12038" max="12038" width="14.140625" style="83" bestFit="1" customWidth="1"/>
    <col min="12039" max="12039" width="13" style="83" bestFit="1" customWidth="1"/>
    <col min="12040" max="12040" width="14.28515625" style="83" bestFit="1" customWidth="1"/>
    <col min="12041" max="12041" width="13" style="83" bestFit="1" customWidth="1"/>
    <col min="12042" max="12042" width="14.140625" style="83" bestFit="1" customWidth="1"/>
    <col min="12043" max="12043" width="12.7109375" style="83" customWidth="1"/>
    <col min="12044" max="12044" width="14.28515625" style="83" bestFit="1" customWidth="1"/>
    <col min="12045" max="12288" width="11.42578125" style="83"/>
    <col min="12289" max="12289" width="26.28515625" style="83" customWidth="1"/>
    <col min="12290" max="12290" width="16.7109375" style="83" customWidth="1"/>
    <col min="12291" max="12291" width="13" style="83" bestFit="1" customWidth="1"/>
    <col min="12292" max="12292" width="14.28515625" style="83" customWidth="1"/>
    <col min="12293" max="12293" width="13" style="83" bestFit="1" customWidth="1"/>
    <col min="12294" max="12294" width="14.140625" style="83" bestFit="1" customWidth="1"/>
    <col min="12295" max="12295" width="13" style="83" bestFit="1" customWidth="1"/>
    <col min="12296" max="12296" width="14.28515625" style="83" bestFit="1" customWidth="1"/>
    <col min="12297" max="12297" width="13" style="83" bestFit="1" customWidth="1"/>
    <col min="12298" max="12298" width="14.140625" style="83" bestFit="1" customWidth="1"/>
    <col min="12299" max="12299" width="12.7109375" style="83" customWidth="1"/>
    <col min="12300" max="12300" width="14.28515625" style="83" bestFit="1" customWidth="1"/>
    <col min="12301" max="12544" width="11.42578125" style="83"/>
    <col min="12545" max="12545" width="26.28515625" style="83" customWidth="1"/>
    <col min="12546" max="12546" width="16.7109375" style="83" customWidth="1"/>
    <col min="12547" max="12547" width="13" style="83" bestFit="1" customWidth="1"/>
    <col min="12548" max="12548" width="14.28515625" style="83" customWidth="1"/>
    <col min="12549" max="12549" width="13" style="83" bestFit="1" customWidth="1"/>
    <col min="12550" max="12550" width="14.140625" style="83" bestFit="1" customWidth="1"/>
    <col min="12551" max="12551" width="13" style="83" bestFit="1" customWidth="1"/>
    <col min="12552" max="12552" width="14.28515625" style="83" bestFit="1" customWidth="1"/>
    <col min="12553" max="12553" width="13" style="83" bestFit="1" customWidth="1"/>
    <col min="12554" max="12554" width="14.140625" style="83" bestFit="1" customWidth="1"/>
    <col min="12555" max="12555" width="12.7109375" style="83" customWidth="1"/>
    <col min="12556" max="12556" width="14.28515625" style="83" bestFit="1" customWidth="1"/>
    <col min="12557" max="12800" width="11.42578125" style="83"/>
    <col min="12801" max="12801" width="26.28515625" style="83" customWidth="1"/>
    <col min="12802" max="12802" width="16.7109375" style="83" customWidth="1"/>
    <col min="12803" max="12803" width="13" style="83" bestFit="1" customWidth="1"/>
    <col min="12804" max="12804" width="14.28515625" style="83" customWidth="1"/>
    <col min="12805" max="12805" width="13" style="83" bestFit="1" customWidth="1"/>
    <col min="12806" max="12806" width="14.140625" style="83" bestFit="1" customWidth="1"/>
    <col min="12807" max="12807" width="13" style="83" bestFit="1" customWidth="1"/>
    <col min="12808" max="12808" width="14.28515625" style="83" bestFit="1" customWidth="1"/>
    <col min="12809" max="12809" width="13" style="83" bestFit="1" customWidth="1"/>
    <col min="12810" max="12810" width="14.140625" style="83" bestFit="1" customWidth="1"/>
    <col min="12811" max="12811" width="12.7109375" style="83" customWidth="1"/>
    <col min="12812" max="12812" width="14.28515625" style="83" bestFit="1" customWidth="1"/>
    <col min="12813" max="13056" width="11.42578125" style="83"/>
    <col min="13057" max="13057" width="26.28515625" style="83" customWidth="1"/>
    <col min="13058" max="13058" width="16.7109375" style="83" customWidth="1"/>
    <col min="13059" max="13059" width="13" style="83" bestFit="1" customWidth="1"/>
    <col min="13060" max="13060" width="14.28515625" style="83" customWidth="1"/>
    <col min="13061" max="13061" width="13" style="83" bestFit="1" customWidth="1"/>
    <col min="13062" max="13062" width="14.140625" style="83" bestFit="1" customWidth="1"/>
    <col min="13063" max="13063" width="13" style="83" bestFit="1" customWidth="1"/>
    <col min="13064" max="13064" width="14.28515625" style="83" bestFit="1" customWidth="1"/>
    <col min="13065" max="13065" width="13" style="83" bestFit="1" customWidth="1"/>
    <col min="13066" max="13066" width="14.140625" style="83" bestFit="1" customWidth="1"/>
    <col min="13067" max="13067" width="12.7109375" style="83" customWidth="1"/>
    <col min="13068" max="13068" width="14.28515625" style="83" bestFit="1" customWidth="1"/>
    <col min="13069" max="13312" width="11.42578125" style="83"/>
    <col min="13313" max="13313" width="26.28515625" style="83" customWidth="1"/>
    <col min="13314" max="13314" width="16.7109375" style="83" customWidth="1"/>
    <col min="13315" max="13315" width="13" style="83" bestFit="1" customWidth="1"/>
    <col min="13316" max="13316" width="14.28515625" style="83" customWidth="1"/>
    <col min="13317" max="13317" width="13" style="83" bestFit="1" customWidth="1"/>
    <col min="13318" max="13318" width="14.140625" style="83" bestFit="1" customWidth="1"/>
    <col min="13319" max="13319" width="13" style="83" bestFit="1" customWidth="1"/>
    <col min="13320" max="13320" width="14.28515625" style="83" bestFit="1" customWidth="1"/>
    <col min="13321" max="13321" width="13" style="83" bestFit="1" customWidth="1"/>
    <col min="13322" max="13322" width="14.140625" style="83" bestFit="1" customWidth="1"/>
    <col min="13323" max="13323" width="12.7109375" style="83" customWidth="1"/>
    <col min="13324" max="13324" width="14.28515625" style="83" bestFit="1" customWidth="1"/>
    <col min="13325" max="13568" width="11.42578125" style="83"/>
    <col min="13569" max="13569" width="26.28515625" style="83" customWidth="1"/>
    <col min="13570" max="13570" width="16.7109375" style="83" customWidth="1"/>
    <col min="13571" max="13571" width="13" style="83" bestFit="1" customWidth="1"/>
    <col min="13572" max="13572" width="14.28515625" style="83" customWidth="1"/>
    <col min="13573" max="13573" width="13" style="83" bestFit="1" customWidth="1"/>
    <col min="13574" max="13574" width="14.140625" style="83" bestFit="1" customWidth="1"/>
    <col min="13575" max="13575" width="13" style="83" bestFit="1" customWidth="1"/>
    <col min="13576" max="13576" width="14.28515625" style="83" bestFit="1" customWidth="1"/>
    <col min="13577" max="13577" width="13" style="83" bestFit="1" customWidth="1"/>
    <col min="13578" max="13578" width="14.140625" style="83" bestFit="1" customWidth="1"/>
    <col min="13579" max="13579" width="12.7109375" style="83" customWidth="1"/>
    <col min="13580" max="13580" width="14.28515625" style="83" bestFit="1" customWidth="1"/>
    <col min="13581" max="13824" width="11.42578125" style="83"/>
    <col min="13825" max="13825" width="26.28515625" style="83" customWidth="1"/>
    <col min="13826" max="13826" width="16.7109375" style="83" customWidth="1"/>
    <col min="13827" max="13827" width="13" style="83" bestFit="1" customWidth="1"/>
    <col min="13828" max="13828" width="14.28515625" style="83" customWidth="1"/>
    <col min="13829" max="13829" width="13" style="83" bestFit="1" customWidth="1"/>
    <col min="13830" max="13830" width="14.140625" style="83" bestFit="1" customWidth="1"/>
    <col min="13831" max="13831" width="13" style="83" bestFit="1" customWidth="1"/>
    <col min="13832" max="13832" width="14.28515625" style="83" bestFit="1" customWidth="1"/>
    <col min="13833" max="13833" width="13" style="83" bestFit="1" customWidth="1"/>
    <col min="13834" max="13834" width="14.140625" style="83" bestFit="1" customWidth="1"/>
    <col min="13835" max="13835" width="12.7109375" style="83" customWidth="1"/>
    <col min="13836" max="13836" width="14.28515625" style="83" bestFit="1" customWidth="1"/>
    <col min="13837" max="14080" width="11.42578125" style="83"/>
    <col min="14081" max="14081" width="26.28515625" style="83" customWidth="1"/>
    <col min="14082" max="14082" width="16.7109375" style="83" customWidth="1"/>
    <col min="14083" max="14083" width="13" style="83" bestFit="1" customWidth="1"/>
    <col min="14084" max="14084" width="14.28515625" style="83" customWidth="1"/>
    <col min="14085" max="14085" width="13" style="83" bestFit="1" customWidth="1"/>
    <col min="14086" max="14086" width="14.140625" style="83" bestFit="1" customWidth="1"/>
    <col min="14087" max="14087" width="13" style="83" bestFit="1" customWidth="1"/>
    <col min="14088" max="14088" width="14.28515625" style="83" bestFit="1" customWidth="1"/>
    <col min="14089" max="14089" width="13" style="83" bestFit="1" customWidth="1"/>
    <col min="14090" max="14090" width="14.140625" style="83" bestFit="1" customWidth="1"/>
    <col min="14091" max="14091" width="12.7109375" style="83" customWidth="1"/>
    <col min="14092" max="14092" width="14.28515625" style="83" bestFit="1" customWidth="1"/>
    <col min="14093" max="14336" width="11.42578125" style="83"/>
    <col min="14337" max="14337" width="26.28515625" style="83" customWidth="1"/>
    <col min="14338" max="14338" width="16.7109375" style="83" customWidth="1"/>
    <col min="14339" max="14339" width="13" style="83" bestFit="1" customWidth="1"/>
    <col min="14340" max="14340" width="14.28515625" style="83" customWidth="1"/>
    <col min="14341" max="14341" width="13" style="83" bestFit="1" customWidth="1"/>
    <col min="14342" max="14342" width="14.140625" style="83" bestFit="1" customWidth="1"/>
    <col min="14343" max="14343" width="13" style="83" bestFit="1" customWidth="1"/>
    <col min="14344" max="14344" width="14.28515625" style="83" bestFit="1" customWidth="1"/>
    <col min="14345" max="14345" width="13" style="83" bestFit="1" customWidth="1"/>
    <col min="14346" max="14346" width="14.140625" style="83" bestFit="1" customWidth="1"/>
    <col min="14347" max="14347" width="12.7109375" style="83" customWidth="1"/>
    <col min="14348" max="14348" width="14.28515625" style="83" bestFit="1" customWidth="1"/>
    <col min="14349" max="14592" width="11.42578125" style="83"/>
    <col min="14593" max="14593" width="26.28515625" style="83" customWidth="1"/>
    <col min="14594" max="14594" width="16.7109375" style="83" customWidth="1"/>
    <col min="14595" max="14595" width="13" style="83" bestFit="1" customWidth="1"/>
    <col min="14596" max="14596" width="14.28515625" style="83" customWidth="1"/>
    <col min="14597" max="14597" width="13" style="83" bestFit="1" customWidth="1"/>
    <col min="14598" max="14598" width="14.140625" style="83" bestFit="1" customWidth="1"/>
    <col min="14599" max="14599" width="13" style="83" bestFit="1" customWidth="1"/>
    <col min="14600" max="14600" width="14.28515625" style="83" bestFit="1" customWidth="1"/>
    <col min="14601" max="14601" width="13" style="83" bestFit="1" customWidth="1"/>
    <col min="14602" max="14602" width="14.140625" style="83" bestFit="1" customWidth="1"/>
    <col min="14603" max="14603" width="12.7109375" style="83" customWidth="1"/>
    <col min="14604" max="14604" width="14.28515625" style="83" bestFit="1" customWidth="1"/>
    <col min="14605" max="14848" width="11.42578125" style="83"/>
    <col min="14849" max="14849" width="26.28515625" style="83" customWidth="1"/>
    <col min="14850" max="14850" width="16.7109375" style="83" customWidth="1"/>
    <col min="14851" max="14851" width="13" style="83" bestFit="1" customWidth="1"/>
    <col min="14852" max="14852" width="14.28515625" style="83" customWidth="1"/>
    <col min="14853" max="14853" width="13" style="83" bestFit="1" customWidth="1"/>
    <col min="14854" max="14854" width="14.140625" style="83" bestFit="1" customWidth="1"/>
    <col min="14855" max="14855" width="13" style="83" bestFit="1" customWidth="1"/>
    <col min="14856" max="14856" width="14.28515625" style="83" bestFit="1" customWidth="1"/>
    <col min="14857" max="14857" width="13" style="83" bestFit="1" customWidth="1"/>
    <col min="14858" max="14858" width="14.140625" style="83" bestFit="1" customWidth="1"/>
    <col min="14859" max="14859" width="12.7109375" style="83" customWidth="1"/>
    <col min="14860" max="14860" width="14.28515625" style="83" bestFit="1" customWidth="1"/>
    <col min="14861" max="15104" width="11.42578125" style="83"/>
    <col min="15105" max="15105" width="26.28515625" style="83" customWidth="1"/>
    <col min="15106" max="15106" width="16.7109375" style="83" customWidth="1"/>
    <col min="15107" max="15107" width="13" style="83" bestFit="1" customWidth="1"/>
    <col min="15108" max="15108" width="14.28515625" style="83" customWidth="1"/>
    <col min="15109" max="15109" width="13" style="83" bestFit="1" customWidth="1"/>
    <col min="15110" max="15110" width="14.140625" style="83" bestFit="1" customWidth="1"/>
    <col min="15111" max="15111" width="13" style="83" bestFit="1" customWidth="1"/>
    <col min="15112" max="15112" width="14.28515625" style="83" bestFit="1" customWidth="1"/>
    <col min="15113" max="15113" width="13" style="83" bestFit="1" customWidth="1"/>
    <col min="15114" max="15114" width="14.140625" style="83" bestFit="1" customWidth="1"/>
    <col min="15115" max="15115" width="12.7109375" style="83" customWidth="1"/>
    <col min="15116" max="15116" width="14.28515625" style="83" bestFit="1" customWidth="1"/>
    <col min="15117" max="15360" width="11.42578125" style="83"/>
    <col min="15361" max="15361" width="26.28515625" style="83" customWidth="1"/>
    <col min="15362" max="15362" width="16.7109375" style="83" customWidth="1"/>
    <col min="15363" max="15363" width="13" style="83" bestFit="1" customWidth="1"/>
    <col min="15364" max="15364" width="14.28515625" style="83" customWidth="1"/>
    <col min="15365" max="15365" width="13" style="83" bestFit="1" customWidth="1"/>
    <col min="15366" max="15366" width="14.140625" style="83" bestFit="1" customWidth="1"/>
    <col min="15367" max="15367" width="13" style="83" bestFit="1" customWidth="1"/>
    <col min="15368" max="15368" width="14.28515625" style="83" bestFit="1" customWidth="1"/>
    <col min="15369" max="15369" width="13" style="83" bestFit="1" customWidth="1"/>
    <col min="15370" max="15370" width="14.140625" style="83" bestFit="1" customWidth="1"/>
    <col min="15371" max="15371" width="12.7109375" style="83" customWidth="1"/>
    <col min="15372" max="15372" width="14.28515625" style="83" bestFit="1" customWidth="1"/>
    <col min="15373" max="15616" width="11.42578125" style="83"/>
    <col min="15617" max="15617" width="26.28515625" style="83" customWidth="1"/>
    <col min="15618" max="15618" width="16.7109375" style="83" customWidth="1"/>
    <col min="15619" max="15619" width="13" style="83" bestFit="1" customWidth="1"/>
    <col min="15620" max="15620" width="14.28515625" style="83" customWidth="1"/>
    <col min="15621" max="15621" width="13" style="83" bestFit="1" customWidth="1"/>
    <col min="15622" max="15622" width="14.140625" style="83" bestFit="1" customWidth="1"/>
    <col min="15623" max="15623" width="13" style="83" bestFit="1" customWidth="1"/>
    <col min="15624" max="15624" width="14.28515625" style="83" bestFit="1" customWidth="1"/>
    <col min="15625" max="15625" width="13" style="83" bestFit="1" customWidth="1"/>
    <col min="15626" max="15626" width="14.140625" style="83" bestFit="1" customWidth="1"/>
    <col min="15627" max="15627" width="12.7109375" style="83" customWidth="1"/>
    <col min="15628" max="15628" width="14.28515625" style="83" bestFit="1" customWidth="1"/>
    <col min="15629" max="15872" width="11.42578125" style="83"/>
    <col min="15873" max="15873" width="26.28515625" style="83" customWidth="1"/>
    <col min="15874" max="15874" width="16.7109375" style="83" customWidth="1"/>
    <col min="15875" max="15875" width="13" style="83" bestFit="1" customWidth="1"/>
    <col min="15876" max="15876" width="14.28515625" style="83" customWidth="1"/>
    <col min="15877" max="15877" width="13" style="83" bestFit="1" customWidth="1"/>
    <col min="15878" max="15878" width="14.140625" style="83" bestFit="1" customWidth="1"/>
    <col min="15879" max="15879" width="13" style="83" bestFit="1" customWidth="1"/>
    <col min="15880" max="15880" width="14.28515625" style="83" bestFit="1" customWidth="1"/>
    <col min="15881" max="15881" width="13" style="83" bestFit="1" customWidth="1"/>
    <col min="15882" max="15882" width="14.140625" style="83" bestFit="1" customWidth="1"/>
    <col min="15883" max="15883" width="12.7109375" style="83" customWidth="1"/>
    <col min="15884" max="15884" width="14.28515625" style="83" bestFit="1" customWidth="1"/>
    <col min="15885" max="16128" width="11.42578125" style="83"/>
    <col min="16129" max="16129" width="26.28515625" style="83" customWidth="1"/>
    <col min="16130" max="16130" width="16.7109375" style="83" customWidth="1"/>
    <col min="16131" max="16131" width="13" style="83" bestFit="1" customWidth="1"/>
    <col min="16132" max="16132" width="14.28515625" style="83" customWidth="1"/>
    <col min="16133" max="16133" width="13" style="83" bestFit="1" customWidth="1"/>
    <col min="16134" max="16134" width="14.140625" style="83" bestFit="1" customWidth="1"/>
    <col min="16135" max="16135" width="13" style="83" bestFit="1" customWidth="1"/>
    <col min="16136" max="16136" width="14.28515625" style="83" bestFit="1" customWidth="1"/>
    <col min="16137" max="16137" width="13" style="83" bestFit="1" customWidth="1"/>
    <col min="16138" max="16138" width="14.140625" style="83" bestFit="1" customWidth="1"/>
    <col min="16139" max="16139" width="12.7109375" style="83" customWidth="1"/>
    <col min="16140" max="16140" width="14.28515625" style="83" bestFit="1" customWidth="1"/>
    <col min="16141" max="16384" width="11.42578125" style="83"/>
  </cols>
  <sheetData>
    <row r="2" spans="1:14">
      <c r="A2" s="81" t="s">
        <v>2347</v>
      </c>
    </row>
    <row r="3" spans="1:14">
      <c r="B3" s="575"/>
      <c r="C3" s="575"/>
      <c r="D3" s="575"/>
      <c r="E3" s="575"/>
      <c r="F3" s="575"/>
      <c r="G3" s="500"/>
      <c r="H3" s="500"/>
      <c r="I3" s="500"/>
      <c r="J3" s="500"/>
      <c r="K3" s="500"/>
      <c r="L3" s="500"/>
    </row>
    <row r="4" spans="1:14" ht="24.95" customHeight="1">
      <c r="A4" s="2560" t="s">
        <v>0</v>
      </c>
      <c r="B4" s="2560" t="s">
        <v>2267</v>
      </c>
      <c r="C4" s="2561" t="s">
        <v>671</v>
      </c>
      <c r="D4" s="2561"/>
      <c r="E4" s="2561"/>
      <c r="F4" s="2561"/>
      <c r="G4" s="2561"/>
      <c r="H4" s="2561"/>
      <c r="I4" s="2561"/>
      <c r="J4" s="2561"/>
      <c r="K4" s="2561"/>
      <c r="L4" s="2561"/>
      <c r="M4" s="2561"/>
      <c r="N4" s="2561"/>
    </row>
    <row r="5" spans="1:14" ht="24.95" customHeight="1">
      <c r="A5" s="2560"/>
      <c r="B5" s="2560"/>
      <c r="C5" s="2560">
        <v>2009</v>
      </c>
      <c r="D5" s="2560"/>
      <c r="E5" s="2560">
        <v>2010</v>
      </c>
      <c r="F5" s="2560"/>
      <c r="G5" s="2560">
        <v>2011</v>
      </c>
      <c r="H5" s="2560"/>
      <c r="I5" s="2560">
        <v>2012</v>
      </c>
      <c r="J5" s="2560"/>
      <c r="K5" s="2560">
        <v>2013</v>
      </c>
      <c r="L5" s="2560"/>
      <c r="M5" s="2560">
        <v>2014</v>
      </c>
      <c r="N5" s="2560"/>
    </row>
    <row r="6" spans="1:14" ht="24.95" customHeight="1">
      <c r="A6" s="2560"/>
      <c r="B6" s="2560"/>
      <c r="C6" s="576" t="s">
        <v>2348</v>
      </c>
      <c r="D6" s="577" t="s">
        <v>2346</v>
      </c>
      <c r="E6" s="576" t="s">
        <v>2348</v>
      </c>
      <c r="F6" s="577" t="s">
        <v>2346</v>
      </c>
      <c r="G6" s="576" t="s">
        <v>2348</v>
      </c>
      <c r="H6" s="577" t="s">
        <v>2346</v>
      </c>
      <c r="I6" s="576" t="s">
        <v>2348</v>
      </c>
      <c r="J6" s="577" t="s">
        <v>2346</v>
      </c>
      <c r="K6" s="576" t="s">
        <v>2348</v>
      </c>
      <c r="L6" s="577" t="s">
        <v>2346</v>
      </c>
      <c r="M6" s="576" t="s">
        <v>2348</v>
      </c>
      <c r="N6" s="577" t="s">
        <v>2346</v>
      </c>
    </row>
    <row r="7" spans="1:14" s="87" customFormat="1" ht="12.75" customHeight="1">
      <c r="A7" s="578" t="s">
        <v>6</v>
      </c>
      <c r="B7" s="579"/>
      <c r="C7" s="580">
        <f t="shared" ref="C7:L7" si="0">SUM(C8:C18)</f>
        <v>1387</v>
      </c>
      <c r="D7" s="580">
        <f t="shared" si="0"/>
        <v>2664058381</v>
      </c>
      <c r="E7" s="580">
        <f t="shared" si="0"/>
        <v>975</v>
      </c>
      <c r="F7" s="580">
        <f t="shared" si="0"/>
        <v>2097713072</v>
      </c>
      <c r="G7" s="580">
        <f t="shared" si="0"/>
        <v>2473</v>
      </c>
      <c r="H7" s="580">
        <f t="shared" si="0"/>
        <v>4811071235</v>
      </c>
      <c r="I7" s="580">
        <f t="shared" si="0"/>
        <v>2034</v>
      </c>
      <c r="J7" s="580">
        <f t="shared" si="0"/>
        <v>4520394489</v>
      </c>
      <c r="K7" s="580">
        <f t="shared" si="0"/>
        <v>1934</v>
      </c>
      <c r="L7" s="580">
        <f t="shared" si="0"/>
        <v>6498143933</v>
      </c>
      <c r="M7" s="580">
        <f>SUM(M8:M18)</f>
        <v>1285</v>
      </c>
      <c r="N7" s="580">
        <f>SUM(N8:N18)</f>
        <v>4553790249</v>
      </c>
    </row>
    <row r="8" spans="1:14" s="87" customFormat="1" ht="12.75" customHeight="1">
      <c r="A8" s="581" t="s">
        <v>7</v>
      </c>
      <c r="B8" s="581" t="s">
        <v>33</v>
      </c>
      <c r="C8" s="582">
        <v>19</v>
      </c>
      <c r="D8" s="583">
        <v>147000000</v>
      </c>
      <c r="E8" s="582">
        <v>26</v>
      </c>
      <c r="F8" s="583">
        <v>98427837</v>
      </c>
      <c r="G8" s="582">
        <v>74</v>
      </c>
      <c r="H8" s="583">
        <v>243726741</v>
      </c>
      <c r="I8" s="582">
        <v>90</v>
      </c>
      <c r="J8" s="583">
        <v>308220625</v>
      </c>
      <c r="K8" s="582">
        <v>98</v>
      </c>
      <c r="L8" s="583">
        <v>329925000</v>
      </c>
      <c r="M8" s="582">
        <v>43</v>
      </c>
      <c r="N8" s="583">
        <v>212417721</v>
      </c>
    </row>
    <row r="9" spans="1:14" s="87" customFormat="1" ht="12.75" customHeight="1">
      <c r="A9" s="581" t="s">
        <v>2349</v>
      </c>
      <c r="B9" s="581" t="s">
        <v>35</v>
      </c>
      <c r="C9" s="582">
        <v>84</v>
      </c>
      <c r="D9" s="583">
        <v>204105000</v>
      </c>
      <c r="E9" s="582">
        <v>75</v>
      </c>
      <c r="F9" s="583">
        <v>172000003</v>
      </c>
      <c r="G9" s="582">
        <v>81</v>
      </c>
      <c r="H9" s="583">
        <v>338948773</v>
      </c>
      <c r="I9" s="582">
        <v>104</v>
      </c>
      <c r="J9" s="583">
        <v>505458220</v>
      </c>
      <c r="K9" s="582">
        <v>86</v>
      </c>
      <c r="L9" s="583">
        <v>450728300</v>
      </c>
      <c r="M9" s="582">
        <v>59</v>
      </c>
      <c r="N9" s="583">
        <v>272404374</v>
      </c>
    </row>
    <row r="10" spans="1:14" s="87" customFormat="1" ht="12.75" customHeight="1">
      <c r="A10" s="581" t="s">
        <v>9</v>
      </c>
      <c r="B10" s="581" t="s">
        <v>2325</v>
      </c>
      <c r="C10" s="582">
        <v>55</v>
      </c>
      <c r="D10" s="583">
        <v>94000000</v>
      </c>
      <c r="E10" s="582">
        <v>61</v>
      </c>
      <c r="F10" s="583">
        <v>85933793</v>
      </c>
      <c r="G10" s="582">
        <v>76</v>
      </c>
      <c r="H10" s="583">
        <v>151460987</v>
      </c>
      <c r="I10" s="582">
        <v>95</v>
      </c>
      <c r="J10" s="583">
        <v>192108819</v>
      </c>
      <c r="K10" s="582">
        <v>66</v>
      </c>
      <c r="L10" s="583">
        <v>177542118</v>
      </c>
      <c r="M10" s="582">
        <v>55</v>
      </c>
      <c r="N10" s="583">
        <v>210942118</v>
      </c>
    </row>
    <row r="11" spans="1:14" s="87" customFormat="1" ht="12.75" customHeight="1">
      <c r="A11" s="581" t="s">
        <v>12</v>
      </c>
      <c r="B11" s="581" t="s">
        <v>251</v>
      </c>
      <c r="C11" s="582">
        <v>22</v>
      </c>
      <c r="D11" s="583">
        <v>69970000</v>
      </c>
      <c r="E11" s="582">
        <v>20</v>
      </c>
      <c r="F11" s="583">
        <v>57999460</v>
      </c>
      <c r="G11" s="582">
        <v>44</v>
      </c>
      <c r="H11" s="583">
        <v>330216507</v>
      </c>
      <c r="I11" s="582">
        <v>54</v>
      </c>
      <c r="J11" s="583">
        <v>285357752</v>
      </c>
      <c r="K11" s="582">
        <v>33</v>
      </c>
      <c r="L11" s="583">
        <v>202000000</v>
      </c>
      <c r="M11" s="582">
        <v>26</v>
      </c>
      <c r="N11" s="583">
        <v>159609400</v>
      </c>
    </row>
    <row r="12" spans="1:14" s="87" customFormat="1" ht="33.75">
      <c r="A12" s="581" t="s">
        <v>2350</v>
      </c>
      <c r="B12" s="581" t="s">
        <v>186</v>
      </c>
      <c r="C12" s="582">
        <v>187</v>
      </c>
      <c r="D12" s="583">
        <v>245000000</v>
      </c>
      <c r="E12" s="582">
        <v>65</v>
      </c>
      <c r="F12" s="583">
        <v>250000000</v>
      </c>
      <c r="G12" s="582">
        <v>542</v>
      </c>
      <c r="H12" s="583">
        <v>670454863</v>
      </c>
      <c r="I12" s="582">
        <v>294</v>
      </c>
      <c r="J12" s="583">
        <v>614575979</v>
      </c>
      <c r="K12" s="582">
        <v>170</v>
      </c>
      <c r="L12" s="583">
        <v>483073802</v>
      </c>
      <c r="M12" s="582">
        <v>96</v>
      </c>
      <c r="N12" s="583">
        <v>465959920</v>
      </c>
    </row>
    <row r="13" spans="1:14" s="87" customFormat="1" ht="12.75" customHeight="1">
      <c r="A13" s="581" t="s">
        <v>2327</v>
      </c>
      <c r="B13" s="581" t="s">
        <v>2328</v>
      </c>
      <c r="C13" s="582">
        <v>178</v>
      </c>
      <c r="D13" s="583">
        <v>289381000</v>
      </c>
      <c r="E13" s="582">
        <v>171</v>
      </c>
      <c r="F13" s="583">
        <v>233357830</v>
      </c>
      <c r="G13" s="582">
        <v>451</v>
      </c>
      <c r="H13" s="583">
        <v>627785774</v>
      </c>
      <c r="I13" s="582">
        <v>457</v>
      </c>
      <c r="J13" s="583">
        <v>594951167</v>
      </c>
      <c r="K13" s="582">
        <v>430</v>
      </c>
      <c r="L13" s="583">
        <v>669000000</v>
      </c>
      <c r="M13" s="582">
        <v>267</v>
      </c>
      <c r="N13" s="583">
        <v>664199038</v>
      </c>
    </row>
    <row r="14" spans="1:14" s="87" customFormat="1" ht="12.75" customHeight="1">
      <c r="A14" s="581" t="s">
        <v>379</v>
      </c>
      <c r="B14" s="581" t="s">
        <v>181</v>
      </c>
      <c r="C14" s="582">
        <v>412</v>
      </c>
      <c r="D14" s="583">
        <v>714967692</v>
      </c>
      <c r="E14" s="582">
        <v>429</v>
      </c>
      <c r="F14" s="583">
        <v>515374985</v>
      </c>
      <c r="G14" s="582">
        <v>660</v>
      </c>
      <c r="H14" s="583">
        <v>1146218611</v>
      </c>
      <c r="I14" s="582">
        <v>381</v>
      </c>
      <c r="J14" s="583">
        <v>877908311</v>
      </c>
      <c r="K14" s="582">
        <v>494</v>
      </c>
      <c r="L14" s="583">
        <v>2246792000</v>
      </c>
      <c r="M14" s="582">
        <v>362</v>
      </c>
      <c r="N14" s="583">
        <v>1065764918</v>
      </c>
    </row>
    <row r="15" spans="1:14" s="87" customFormat="1" ht="12.75" customHeight="1">
      <c r="A15" s="581" t="s">
        <v>276</v>
      </c>
      <c r="B15" s="581" t="s">
        <v>182</v>
      </c>
      <c r="C15" s="582">
        <v>217</v>
      </c>
      <c r="D15" s="583">
        <v>248000000</v>
      </c>
      <c r="E15" s="582">
        <v>94</v>
      </c>
      <c r="F15" s="583">
        <v>168966364</v>
      </c>
      <c r="G15" s="582">
        <v>230</v>
      </c>
      <c r="H15" s="583">
        <v>488193433</v>
      </c>
      <c r="I15" s="582">
        <v>170</v>
      </c>
      <c r="J15" s="583">
        <v>456983000</v>
      </c>
      <c r="K15" s="582">
        <v>165</v>
      </c>
      <c r="L15" s="583">
        <v>475743958</v>
      </c>
      <c r="M15" s="582">
        <v>163</v>
      </c>
      <c r="N15" s="583">
        <v>442630545</v>
      </c>
    </row>
    <row r="16" spans="1:14" s="87" customFormat="1" ht="12.75" customHeight="1">
      <c r="A16" s="581" t="s">
        <v>2351</v>
      </c>
      <c r="B16" s="581" t="s">
        <v>47</v>
      </c>
      <c r="C16" s="582">
        <v>191</v>
      </c>
      <c r="D16" s="583">
        <v>371272212</v>
      </c>
      <c r="E16" s="582">
        <v>20</v>
      </c>
      <c r="F16" s="583">
        <v>207250000</v>
      </c>
      <c r="G16" s="582">
        <v>275</v>
      </c>
      <c r="H16" s="583">
        <v>539718840</v>
      </c>
      <c r="I16" s="582">
        <v>350</v>
      </c>
      <c r="J16" s="583">
        <v>312358678</v>
      </c>
      <c r="K16" s="582">
        <v>347</v>
      </c>
      <c r="L16" s="583">
        <v>408875000</v>
      </c>
      <c r="M16" s="582">
        <v>180</v>
      </c>
      <c r="N16" s="583">
        <v>399649908</v>
      </c>
    </row>
    <row r="17" spans="1:14" s="87" customFormat="1" ht="12.75" customHeight="1">
      <c r="A17" s="581" t="s">
        <v>21</v>
      </c>
      <c r="B17" s="581" t="s">
        <v>185</v>
      </c>
      <c r="C17" s="582">
        <v>10</v>
      </c>
      <c r="D17" s="583">
        <v>83327477</v>
      </c>
      <c r="E17" s="582">
        <v>6</v>
      </c>
      <c r="F17" s="583">
        <v>69500000</v>
      </c>
      <c r="G17" s="582">
        <v>30</v>
      </c>
      <c r="H17" s="583">
        <v>140191406</v>
      </c>
      <c r="I17" s="582">
        <v>23</v>
      </c>
      <c r="J17" s="583">
        <v>145880937</v>
      </c>
      <c r="K17" s="582">
        <v>24</v>
      </c>
      <c r="L17" s="583">
        <v>264099610</v>
      </c>
      <c r="M17" s="582">
        <v>17</v>
      </c>
      <c r="N17" s="583">
        <v>134512654</v>
      </c>
    </row>
    <row r="18" spans="1:14" s="87" customFormat="1" ht="12.75" customHeight="1">
      <c r="A18" s="582" t="s">
        <v>2330</v>
      </c>
      <c r="B18" s="581" t="s">
        <v>2331</v>
      </c>
      <c r="C18" s="582">
        <v>12</v>
      </c>
      <c r="D18" s="583">
        <v>197035000</v>
      </c>
      <c r="E18" s="582">
        <v>8</v>
      </c>
      <c r="F18" s="583">
        <v>238902800</v>
      </c>
      <c r="G18" s="582">
        <v>10</v>
      </c>
      <c r="H18" s="583">
        <v>134155300</v>
      </c>
      <c r="I18" s="582">
        <v>16</v>
      </c>
      <c r="J18" s="583">
        <v>226591001</v>
      </c>
      <c r="K18" s="582">
        <v>21</v>
      </c>
      <c r="L18" s="583">
        <v>790364145</v>
      </c>
      <c r="M18" s="582">
        <v>17</v>
      </c>
      <c r="N18" s="583">
        <v>525699653</v>
      </c>
    </row>
    <row r="19" spans="1:14" ht="6" customHeight="1">
      <c r="A19" s="582"/>
      <c r="B19" s="581"/>
      <c r="C19" s="582"/>
      <c r="D19" s="583"/>
      <c r="E19" s="582"/>
      <c r="F19" s="583"/>
      <c r="G19" s="582"/>
      <c r="H19" s="583"/>
      <c r="I19" s="582"/>
      <c r="J19" s="583"/>
      <c r="K19" s="582"/>
      <c r="L19" s="583"/>
    </row>
    <row r="20" spans="1:14" ht="16.5" customHeight="1">
      <c r="A20" s="500" t="s">
        <v>2283</v>
      </c>
      <c r="B20" s="500"/>
      <c r="C20" s="500"/>
      <c r="D20" s="500"/>
      <c r="E20" s="500"/>
      <c r="F20" s="500"/>
      <c r="G20" s="500"/>
      <c r="H20" s="500"/>
      <c r="I20" s="500"/>
      <c r="J20" s="500"/>
      <c r="K20" s="500"/>
      <c r="L20" s="500"/>
    </row>
  </sheetData>
  <mergeCells count="9">
    <mergeCell ref="A4:A6"/>
    <mergeCell ref="B4:B6"/>
    <mergeCell ref="C4:N4"/>
    <mergeCell ref="C5:D5"/>
    <mergeCell ref="E5:F5"/>
    <mergeCell ref="G5:H5"/>
    <mergeCell ref="I5:J5"/>
    <mergeCell ref="K5:L5"/>
    <mergeCell ref="M5:N5"/>
  </mergeCells>
  <pageMargins left="0.48" right="0.32" top="0.74803149606299213" bottom="0.74803149606299213" header="0.31496062992125984" footer="0.31496062992125984"/>
  <pageSetup paperSize="14" scale="80" orientation="landscape" r:id="rId1"/>
</worksheet>
</file>

<file path=xl/worksheets/sheet254.xml><?xml version="1.0" encoding="utf-8"?>
<worksheet xmlns="http://schemas.openxmlformats.org/spreadsheetml/2006/main" xmlns:r="http://schemas.openxmlformats.org/officeDocument/2006/relationships">
  <dimension ref="A2:S25"/>
  <sheetViews>
    <sheetView zoomScaleNormal="100" workbookViewId="0"/>
  </sheetViews>
  <sheetFormatPr baseColWidth="10" defaultRowHeight="12"/>
  <cols>
    <col min="1" max="1" width="23.5703125" style="82" customWidth="1"/>
    <col min="2" max="2" width="9.28515625" style="82" customWidth="1"/>
    <col min="3" max="4" width="8.42578125" style="82" bestFit="1" customWidth="1"/>
    <col min="5" max="5" width="8.7109375" style="82" bestFit="1" customWidth="1"/>
    <col min="6" max="7" width="8.42578125" style="82" bestFit="1" customWidth="1"/>
    <col min="8" max="8" width="8.7109375" style="82" bestFit="1" customWidth="1"/>
    <col min="9" max="10" width="8.42578125" style="82" bestFit="1" customWidth="1"/>
    <col min="11" max="11" width="8.7109375" style="82" bestFit="1" customWidth="1"/>
    <col min="12" max="13" width="8.42578125" style="82" bestFit="1" customWidth="1"/>
    <col min="14" max="14" width="8.7109375" style="82" bestFit="1" customWidth="1"/>
    <col min="15" max="16" width="8.42578125" style="82" bestFit="1" customWidth="1"/>
    <col min="17" max="17" width="8.7109375" style="82" bestFit="1" customWidth="1"/>
    <col min="18" max="257" width="11.42578125" style="82"/>
    <col min="258" max="258" width="17" style="82" customWidth="1"/>
    <col min="259" max="513" width="11.42578125" style="82"/>
    <col min="514" max="514" width="17" style="82" customWidth="1"/>
    <col min="515" max="769" width="11.42578125" style="82"/>
    <col min="770" max="770" width="17" style="82" customWidth="1"/>
    <col min="771" max="1025" width="11.42578125" style="82"/>
    <col min="1026" max="1026" width="17" style="82" customWidth="1"/>
    <col min="1027" max="1281" width="11.42578125" style="82"/>
    <col min="1282" max="1282" width="17" style="82" customWidth="1"/>
    <col min="1283" max="1537" width="11.42578125" style="82"/>
    <col min="1538" max="1538" width="17" style="82" customWidth="1"/>
    <col min="1539" max="1793" width="11.42578125" style="82"/>
    <col min="1794" max="1794" width="17" style="82" customWidth="1"/>
    <col min="1795" max="2049" width="11.42578125" style="82"/>
    <col min="2050" max="2050" width="17" style="82" customWidth="1"/>
    <col min="2051" max="2305" width="11.42578125" style="82"/>
    <col min="2306" max="2306" width="17" style="82" customWidth="1"/>
    <col min="2307" max="2561" width="11.42578125" style="82"/>
    <col min="2562" max="2562" width="17" style="82" customWidth="1"/>
    <col min="2563" max="2817" width="11.42578125" style="82"/>
    <col min="2818" max="2818" width="17" style="82" customWidth="1"/>
    <col min="2819" max="3073" width="11.42578125" style="82"/>
    <col min="3074" max="3074" width="17" style="82" customWidth="1"/>
    <col min="3075" max="3329" width="11.42578125" style="82"/>
    <col min="3330" max="3330" width="17" style="82" customWidth="1"/>
    <col min="3331" max="3585" width="11.42578125" style="82"/>
    <col min="3586" max="3586" width="17" style="82" customWidth="1"/>
    <col min="3587" max="3841" width="11.42578125" style="82"/>
    <col min="3842" max="3842" width="17" style="82" customWidth="1"/>
    <col min="3843" max="4097" width="11.42578125" style="82"/>
    <col min="4098" max="4098" width="17" style="82" customWidth="1"/>
    <col min="4099" max="4353" width="11.42578125" style="82"/>
    <col min="4354" max="4354" width="17" style="82" customWidth="1"/>
    <col min="4355" max="4609" width="11.42578125" style="82"/>
    <col min="4610" max="4610" width="17" style="82" customWidth="1"/>
    <col min="4611" max="4865" width="11.42578125" style="82"/>
    <col min="4866" max="4866" width="17" style="82" customWidth="1"/>
    <col min="4867" max="5121" width="11.42578125" style="82"/>
    <col min="5122" max="5122" width="17" style="82" customWidth="1"/>
    <col min="5123" max="5377" width="11.42578125" style="82"/>
    <col min="5378" max="5378" width="17" style="82" customWidth="1"/>
    <col min="5379" max="5633" width="11.42578125" style="82"/>
    <col min="5634" max="5634" width="17" style="82" customWidth="1"/>
    <col min="5635" max="5889" width="11.42578125" style="82"/>
    <col min="5890" max="5890" width="17" style="82" customWidth="1"/>
    <col min="5891" max="6145" width="11.42578125" style="82"/>
    <col min="6146" max="6146" width="17" style="82" customWidth="1"/>
    <col min="6147" max="6401" width="11.42578125" style="82"/>
    <col min="6402" max="6402" width="17" style="82" customWidth="1"/>
    <col min="6403" max="6657" width="11.42578125" style="82"/>
    <col min="6658" max="6658" width="17" style="82" customWidth="1"/>
    <col min="6659" max="6913" width="11.42578125" style="82"/>
    <col min="6914" max="6914" width="17" style="82" customWidth="1"/>
    <col min="6915" max="7169" width="11.42578125" style="82"/>
    <col min="7170" max="7170" width="17" style="82" customWidth="1"/>
    <col min="7171" max="7425" width="11.42578125" style="82"/>
    <col min="7426" max="7426" width="17" style="82" customWidth="1"/>
    <col min="7427" max="7681" width="11.42578125" style="82"/>
    <col min="7682" max="7682" width="17" style="82" customWidth="1"/>
    <col min="7683" max="7937" width="11.42578125" style="82"/>
    <col min="7938" max="7938" width="17" style="82" customWidth="1"/>
    <col min="7939" max="8193" width="11.42578125" style="82"/>
    <col min="8194" max="8194" width="17" style="82" customWidth="1"/>
    <col min="8195" max="8449" width="11.42578125" style="82"/>
    <col min="8450" max="8450" width="17" style="82" customWidth="1"/>
    <col min="8451" max="8705" width="11.42578125" style="82"/>
    <col min="8706" max="8706" width="17" style="82" customWidth="1"/>
    <col min="8707" max="8961" width="11.42578125" style="82"/>
    <col min="8962" max="8962" width="17" style="82" customWidth="1"/>
    <col min="8963" max="9217" width="11.42578125" style="82"/>
    <col min="9218" max="9218" width="17" style="82" customWidth="1"/>
    <col min="9219" max="9473" width="11.42578125" style="82"/>
    <col min="9474" max="9474" width="17" style="82" customWidth="1"/>
    <col min="9475" max="9729" width="11.42578125" style="82"/>
    <col min="9730" max="9730" width="17" style="82" customWidth="1"/>
    <col min="9731" max="9985" width="11.42578125" style="82"/>
    <col min="9986" max="9986" width="17" style="82" customWidth="1"/>
    <col min="9987" max="10241" width="11.42578125" style="82"/>
    <col min="10242" max="10242" width="17" style="82" customWidth="1"/>
    <col min="10243" max="10497" width="11.42578125" style="82"/>
    <col min="10498" max="10498" width="17" style="82" customWidth="1"/>
    <col min="10499" max="10753" width="11.42578125" style="82"/>
    <col min="10754" max="10754" width="17" style="82" customWidth="1"/>
    <col min="10755" max="11009" width="11.42578125" style="82"/>
    <col min="11010" max="11010" width="17" style="82" customWidth="1"/>
    <col min="11011" max="11265" width="11.42578125" style="82"/>
    <col min="11266" max="11266" width="17" style="82" customWidth="1"/>
    <col min="11267" max="11521" width="11.42578125" style="82"/>
    <col min="11522" max="11522" width="17" style="82" customWidth="1"/>
    <col min="11523" max="11777" width="11.42578125" style="82"/>
    <col min="11778" max="11778" width="17" style="82" customWidth="1"/>
    <col min="11779" max="12033" width="11.42578125" style="82"/>
    <col min="12034" max="12034" width="17" style="82" customWidth="1"/>
    <col min="12035" max="12289" width="11.42578125" style="82"/>
    <col min="12290" max="12290" width="17" style="82" customWidth="1"/>
    <col min="12291" max="12545" width="11.42578125" style="82"/>
    <col min="12546" max="12546" width="17" style="82" customWidth="1"/>
    <col min="12547" max="12801" width="11.42578125" style="82"/>
    <col min="12802" max="12802" width="17" style="82" customWidth="1"/>
    <col min="12803" max="13057" width="11.42578125" style="82"/>
    <col min="13058" max="13058" width="17" style="82" customWidth="1"/>
    <col min="13059" max="13313" width="11.42578125" style="82"/>
    <col min="13314" max="13314" width="17" style="82" customWidth="1"/>
    <col min="13315" max="13569" width="11.42578125" style="82"/>
    <col min="13570" max="13570" width="17" style="82" customWidth="1"/>
    <col min="13571" max="13825" width="11.42578125" style="82"/>
    <col min="13826" max="13826" width="17" style="82" customWidth="1"/>
    <col min="13827" max="14081" width="11.42578125" style="82"/>
    <col min="14082" max="14082" width="17" style="82" customWidth="1"/>
    <col min="14083" max="14337" width="11.42578125" style="82"/>
    <col min="14338" max="14338" width="17" style="82" customWidth="1"/>
    <col min="14339" max="14593" width="11.42578125" style="82"/>
    <col min="14594" max="14594" width="17" style="82" customWidth="1"/>
    <col min="14595" max="14849" width="11.42578125" style="82"/>
    <col min="14850" max="14850" width="17" style="82" customWidth="1"/>
    <col min="14851" max="15105" width="11.42578125" style="82"/>
    <col min="15106" max="15106" width="17" style="82" customWidth="1"/>
    <col min="15107" max="15361" width="11.42578125" style="82"/>
    <col min="15362" max="15362" width="17" style="82" customWidth="1"/>
    <col min="15363" max="15617" width="11.42578125" style="82"/>
    <col min="15618" max="15618" width="17" style="82" customWidth="1"/>
    <col min="15619" max="15873" width="11.42578125" style="82"/>
    <col min="15874" max="15874" width="17" style="82" customWidth="1"/>
    <col min="15875" max="16129" width="11.42578125" style="82"/>
    <col min="16130" max="16130" width="17" style="82" customWidth="1"/>
    <col min="16131" max="16384" width="11.42578125" style="82"/>
  </cols>
  <sheetData>
    <row r="2" spans="1:19" ht="17.25" customHeight="1">
      <c r="A2" s="81" t="s">
        <v>3240</v>
      </c>
    </row>
    <row r="3" spans="1:19" ht="5.25" customHeight="1">
      <c r="B3" s="74"/>
      <c r="C3" s="74"/>
      <c r="D3" s="74"/>
      <c r="E3" s="74"/>
      <c r="F3" s="74"/>
      <c r="G3" s="74"/>
      <c r="H3" s="74"/>
      <c r="I3" s="74"/>
      <c r="J3" s="74"/>
      <c r="K3" s="74"/>
      <c r="L3" s="74"/>
      <c r="M3" s="74"/>
      <c r="N3" s="74"/>
      <c r="O3" s="74"/>
      <c r="P3" s="74"/>
      <c r="Q3" s="74"/>
    </row>
    <row r="4" spans="1:19" ht="20.100000000000001" customHeight="1">
      <c r="A4" s="2562" t="s">
        <v>2352</v>
      </c>
      <c r="B4" s="2562">
        <v>2009</v>
      </c>
      <c r="C4" s="2562"/>
      <c r="D4" s="2562"/>
      <c r="E4" s="2562">
        <v>2010</v>
      </c>
      <c r="F4" s="2562"/>
      <c r="G4" s="2562"/>
      <c r="H4" s="2562">
        <v>2011</v>
      </c>
      <c r="I4" s="2562"/>
      <c r="J4" s="2562"/>
      <c r="K4" s="2562">
        <v>2012</v>
      </c>
      <c r="L4" s="2562"/>
      <c r="M4" s="2562"/>
      <c r="N4" s="2562">
        <v>2013</v>
      </c>
      <c r="O4" s="2562"/>
      <c r="P4" s="2562"/>
      <c r="Q4" s="2562">
        <v>2014</v>
      </c>
      <c r="R4" s="2562"/>
      <c r="S4" s="2562"/>
    </row>
    <row r="5" spans="1:19" ht="20.100000000000001" customHeight="1">
      <c r="A5" s="2562"/>
      <c r="B5" s="564" t="s">
        <v>26</v>
      </c>
      <c r="C5" s="564" t="s">
        <v>2344</v>
      </c>
      <c r="D5" s="564" t="s">
        <v>2345</v>
      </c>
      <c r="E5" s="564" t="s">
        <v>26</v>
      </c>
      <c r="F5" s="564" t="s">
        <v>2344</v>
      </c>
      <c r="G5" s="564" t="s">
        <v>2345</v>
      </c>
      <c r="H5" s="564" t="s">
        <v>26</v>
      </c>
      <c r="I5" s="564" t="s">
        <v>2344</v>
      </c>
      <c r="J5" s="564" t="s">
        <v>2345</v>
      </c>
      <c r="K5" s="564" t="s">
        <v>26</v>
      </c>
      <c r="L5" s="564" t="s">
        <v>2344</v>
      </c>
      <c r="M5" s="564" t="s">
        <v>2345</v>
      </c>
      <c r="N5" s="564" t="s">
        <v>26</v>
      </c>
      <c r="O5" s="564" t="s">
        <v>2344</v>
      </c>
      <c r="P5" s="564" t="s">
        <v>2345</v>
      </c>
      <c r="Q5" s="564" t="s">
        <v>26</v>
      </c>
      <c r="R5" s="564" t="s">
        <v>2344</v>
      </c>
      <c r="S5" s="564" t="s">
        <v>2345</v>
      </c>
    </row>
    <row r="6" spans="1:19">
      <c r="A6" s="565" t="s">
        <v>6</v>
      </c>
      <c r="B6" s="566">
        <f>SUM(B7,B12,B17,B19)</f>
        <v>2817</v>
      </c>
      <c r="C6" s="566"/>
      <c r="D6" s="566"/>
      <c r="E6" s="566">
        <f>SUM(E7,E12,E17,E19)</f>
        <v>3293</v>
      </c>
      <c r="F6" s="566"/>
      <c r="G6" s="566"/>
      <c r="H6" s="566">
        <f>SUM(H7,H12,H17,H19)</f>
        <v>3513</v>
      </c>
      <c r="I6" s="566"/>
      <c r="J6" s="566"/>
      <c r="K6" s="566">
        <f>SUM(K7,K12,K17,K19)</f>
        <v>2373</v>
      </c>
      <c r="L6" s="566"/>
      <c r="M6" s="566"/>
      <c r="N6" s="566">
        <f>SUM(N7,N12,N17,N19)</f>
        <v>2263</v>
      </c>
      <c r="O6" s="566"/>
      <c r="P6" s="566"/>
      <c r="Q6" s="566">
        <f>SUM(Q7,Q12,Q17,Q19)</f>
        <v>2123</v>
      </c>
      <c r="R6" s="566"/>
      <c r="S6" s="566"/>
    </row>
    <row r="7" spans="1:19">
      <c r="A7" s="565" t="s">
        <v>2353</v>
      </c>
      <c r="B7" s="566">
        <f t="shared" ref="B7:P7" si="0">SUM(B8:B11)</f>
        <v>14</v>
      </c>
      <c r="C7" s="566">
        <f t="shared" si="0"/>
        <v>8</v>
      </c>
      <c r="D7" s="566">
        <f t="shared" si="0"/>
        <v>6</v>
      </c>
      <c r="E7" s="566">
        <f t="shared" si="0"/>
        <v>75</v>
      </c>
      <c r="F7" s="566">
        <f t="shared" si="0"/>
        <v>33</v>
      </c>
      <c r="G7" s="566">
        <f t="shared" si="0"/>
        <v>42</v>
      </c>
      <c r="H7" s="566">
        <f t="shared" si="0"/>
        <v>1198</v>
      </c>
      <c r="I7" s="566">
        <f t="shared" si="0"/>
        <v>525</v>
      </c>
      <c r="J7" s="566">
        <f t="shared" si="0"/>
        <v>673</v>
      </c>
      <c r="K7" s="566">
        <f t="shared" si="0"/>
        <v>243</v>
      </c>
      <c r="L7" s="566">
        <f t="shared" si="0"/>
        <v>104</v>
      </c>
      <c r="M7" s="566">
        <f t="shared" si="0"/>
        <v>139</v>
      </c>
      <c r="N7" s="566">
        <f t="shared" si="0"/>
        <v>86</v>
      </c>
      <c r="O7" s="566">
        <f t="shared" si="0"/>
        <v>52</v>
      </c>
      <c r="P7" s="566">
        <f t="shared" si="0"/>
        <v>34</v>
      </c>
      <c r="Q7" s="566">
        <f>SUM(R7:S7)</f>
        <v>47</v>
      </c>
      <c r="R7" s="566">
        <f>SUM(R8:R11)</f>
        <v>27</v>
      </c>
      <c r="S7" s="566">
        <f>SUM(S8:S11)</f>
        <v>20</v>
      </c>
    </row>
    <row r="8" spans="1:19">
      <c r="A8" s="567" t="s">
        <v>7</v>
      </c>
      <c r="B8" s="568">
        <f>C8+D8</f>
        <v>0</v>
      </c>
      <c r="C8" s="568">
        <v>0</v>
      </c>
      <c r="D8" s="568">
        <v>0</v>
      </c>
      <c r="E8" s="568">
        <f>F8+G8</f>
        <v>40</v>
      </c>
      <c r="F8" s="568">
        <v>16</v>
      </c>
      <c r="G8" s="568">
        <v>24</v>
      </c>
      <c r="H8" s="568">
        <f>I8+J8</f>
        <v>0</v>
      </c>
      <c r="I8" s="568">
        <v>0</v>
      </c>
      <c r="J8" s="568">
        <v>0</v>
      </c>
      <c r="K8" s="568">
        <f>L8+M8</f>
        <v>0</v>
      </c>
      <c r="L8" s="568">
        <v>0</v>
      </c>
      <c r="M8" s="568">
        <v>0</v>
      </c>
      <c r="N8" s="568">
        <f>O8+P8</f>
        <v>0</v>
      </c>
      <c r="O8" s="568">
        <v>0</v>
      </c>
      <c r="P8" s="568">
        <v>0</v>
      </c>
      <c r="Q8" s="568">
        <f>SUM(R8:S8)</f>
        <v>31</v>
      </c>
      <c r="R8" s="568">
        <v>16</v>
      </c>
      <c r="S8" s="568">
        <v>15</v>
      </c>
    </row>
    <row r="9" spans="1:19">
      <c r="A9" s="567" t="s">
        <v>8</v>
      </c>
      <c r="B9" s="568">
        <f>C9+D9</f>
        <v>13</v>
      </c>
      <c r="C9" s="568">
        <v>7</v>
      </c>
      <c r="D9" s="568">
        <v>6</v>
      </c>
      <c r="E9" s="568">
        <f>F9+G9</f>
        <v>3</v>
      </c>
      <c r="F9" s="568">
        <v>2</v>
      </c>
      <c r="G9" s="568">
        <v>1</v>
      </c>
      <c r="H9" s="568">
        <f>I9+J9</f>
        <v>35</v>
      </c>
      <c r="I9" s="568">
        <v>17</v>
      </c>
      <c r="J9" s="568">
        <v>18</v>
      </c>
      <c r="K9" s="568">
        <f>L9+M9</f>
        <v>86</v>
      </c>
      <c r="L9" s="568">
        <v>44</v>
      </c>
      <c r="M9" s="568">
        <v>42</v>
      </c>
      <c r="N9" s="568">
        <f>O9+P9</f>
        <v>86</v>
      </c>
      <c r="O9" s="568">
        <v>52</v>
      </c>
      <c r="P9" s="568">
        <v>34</v>
      </c>
      <c r="Q9" s="568">
        <f>SUM(R9:S9)</f>
        <v>16</v>
      </c>
      <c r="R9" s="568">
        <v>11</v>
      </c>
      <c r="S9" s="568">
        <v>5</v>
      </c>
    </row>
    <row r="10" spans="1:19">
      <c r="A10" s="567" t="s">
        <v>9</v>
      </c>
      <c r="B10" s="568">
        <f>C10+D10</f>
        <v>1</v>
      </c>
      <c r="C10" s="568">
        <v>1</v>
      </c>
      <c r="D10" s="568">
        <v>0</v>
      </c>
      <c r="E10" s="568">
        <f>F10+G10</f>
        <v>0</v>
      </c>
      <c r="F10" s="568">
        <v>0</v>
      </c>
      <c r="G10" s="568">
        <v>0</v>
      </c>
      <c r="H10" s="568">
        <f>I10+J10</f>
        <v>1163</v>
      </c>
      <c r="I10" s="568">
        <v>508</v>
      </c>
      <c r="J10" s="568">
        <v>655</v>
      </c>
      <c r="K10" s="568">
        <f>L10+M10</f>
        <v>155</v>
      </c>
      <c r="L10" s="568">
        <v>60</v>
      </c>
      <c r="M10" s="568">
        <v>95</v>
      </c>
      <c r="N10" s="568">
        <f>O10+P10</f>
        <v>0</v>
      </c>
      <c r="O10" s="568">
        <v>0</v>
      </c>
      <c r="P10" s="568">
        <v>0</v>
      </c>
      <c r="Q10" s="568">
        <f>SUM(R10:S10)</f>
        <v>0</v>
      </c>
      <c r="R10" s="569" t="s">
        <v>155</v>
      </c>
      <c r="S10" s="569" t="s">
        <v>155</v>
      </c>
    </row>
    <row r="11" spans="1:19">
      <c r="A11" s="567" t="s">
        <v>10</v>
      </c>
      <c r="B11" s="568">
        <f>C11+D11</f>
        <v>0</v>
      </c>
      <c r="C11" s="568">
        <v>0</v>
      </c>
      <c r="D11" s="568">
        <v>0</v>
      </c>
      <c r="E11" s="568">
        <f>F11+G11</f>
        <v>32</v>
      </c>
      <c r="F11" s="568">
        <v>15</v>
      </c>
      <c r="G11" s="568">
        <v>17</v>
      </c>
      <c r="H11" s="568">
        <f>I11+J11</f>
        <v>0</v>
      </c>
      <c r="I11" s="568">
        <v>0</v>
      </c>
      <c r="J11" s="568">
        <v>0</v>
      </c>
      <c r="K11" s="568">
        <f>L11+M11</f>
        <v>2</v>
      </c>
      <c r="L11" s="568">
        <v>0</v>
      </c>
      <c r="M11" s="568">
        <v>2</v>
      </c>
      <c r="N11" s="568">
        <f>O11+P11</f>
        <v>0</v>
      </c>
      <c r="O11" s="568">
        <v>0</v>
      </c>
      <c r="P11" s="568">
        <v>0</v>
      </c>
      <c r="Q11" s="568">
        <f>SUM(R11:S11)</f>
        <v>0</v>
      </c>
      <c r="R11" s="569" t="s">
        <v>155</v>
      </c>
      <c r="S11" s="569" t="s">
        <v>155</v>
      </c>
    </row>
    <row r="12" spans="1:19" s="571" customFormat="1" ht="12.75">
      <c r="A12" s="570" t="s">
        <v>3485</v>
      </c>
      <c r="B12" s="566">
        <v>2681</v>
      </c>
      <c r="C12" s="566">
        <f>SUM(C13:C16)</f>
        <v>0</v>
      </c>
      <c r="D12" s="566">
        <f>SUM(D13:D16)</f>
        <v>0</v>
      </c>
      <c r="E12" s="566">
        <v>3117</v>
      </c>
      <c r="F12" s="566">
        <f>SUM(F13:F16)</f>
        <v>0</v>
      </c>
      <c r="G12" s="566">
        <f>SUM(G13:G16)</f>
        <v>0</v>
      </c>
      <c r="H12" s="566">
        <v>2117</v>
      </c>
      <c r="I12" s="566">
        <f>SUM(I13:I16)</f>
        <v>0</v>
      </c>
      <c r="J12" s="566">
        <f>SUM(J13:J16)</f>
        <v>0</v>
      </c>
      <c r="K12" s="566">
        <v>2004</v>
      </c>
      <c r="L12" s="566">
        <f>SUM(L13:L16)</f>
        <v>0</v>
      </c>
      <c r="M12" s="566">
        <f>SUM(M13:M16)</f>
        <v>0</v>
      </c>
      <c r="N12" s="566">
        <v>1925</v>
      </c>
      <c r="O12" s="566">
        <f>SUM(O13:O16)</f>
        <v>0</v>
      </c>
      <c r="P12" s="566">
        <f>SUM(P13:P16)</f>
        <v>0</v>
      </c>
      <c r="Q12" s="566">
        <f>SUM(Q13:Q16)</f>
        <v>1764</v>
      </c>
      <c r="R12" s="566">
        <f>SUM(R13:R16)</f>
        <v>0</v>
      </c>
      <c r="S12" s="566">
        <f>SUM(S13:S16)</f>
        <v>0</v>
      </c>
    </row>
    <row r="13" spans="1:19">
      <c r="A13" s="567" t="s">
        <v>2327</v>
      </c>
      <c r="B13" s="568">
        <v>110</v>
      </c>
      <c r="C13" s="568">
        <v>0</v>
      </c>
      <c r="D13" s="568">
        <v>0</v>
      </c>
      <c r="E13" s="568">
        <v>302</v>
      </c>
      <c r="F13" s="568">
        <v>0</v>
      </c>
      <c r="G13" s="568">
        <v>0</v>
      </c>
      <c r="H13" s="568">
        <v>311</v>
      </c>
      <c r="I13" s="568">
        <v>0</v>
      </c>
      <c r="J13" s="568">
        <v>0</v>
      </c>
      <c r="K13" s="568">
        <v>329</v>
      </c>
      <c r="L13" s="568">
        <v>0</v>
      </c>
      <c r="M13" s="568">
        <v>0</v>
      </c>
      <c r="N13" s="568">
        <v>312</v>
      </c>
      <c r="O13" s="568">
        <v>0</v>
      </c>
      <c r="P13" s="568">
        <v>0</v>
      </c>
      <c r="Q13" s="568">
        <v>320</v>
      </c>
      <c r="R13" s="568">
        <v>0</v>
      </c>
      <c r="S13" s="568">
        <v>0</v>
      </c>
    </row>
    <row r="14" spans="1:19">
      <c r="A14" s="567" t="s">
        <v>17</v>
      </c>
      <c r="B14" s="568">
        <v>2239</v>
      </c>
      <c r="C14" s="568">
        <v>0</v>
      </c>
      <c r="D14" s="568">
        <v>0</v>
      </c>
      <c r="E14" s="568">
        <v>2585</v>
      </c>
      <c r="F14" s="568">
        <v>0</v>
      </c>
      <c r="G14" s="568">
        <v>0</v>
      </c>
      <c r="H14" s="568">
        <v>1704</v>
      </c>
      <c r="I14" s="568">
        <v>0</v>
      </c>
      <c r="J14" s="568">
        <v>0</v>
      </c>
      <c r="K14" s="568">
        <v>1398</v>
      </c>
      <c r="L14" s="568">
        <v>0</v>
      </c>
      <c r="M14" s="568">
        <v>0</v>
      </c>
      <c r="N14" s="568">
        <v>1333</v>
      </c>
      <c r="O14" s="568">
        <v>0</v>
      </c>
      <c r="P14" s="568">
        <v>0</v>
      </c>
      <c r="Q14" s="568">
        <v>1308</v>
      </c>
      <c r="R14" s="568">
        <v>0</v>
      </c>
      <c r="S14" s="568">
        <v>0</v>
      </c>
    </row>
    <row r="15" spans="1:19">
      <c r="A15" s="567" t="s">
        <v>276</v>
      </c>
      <c r="B15" s="568">
        <v>310</v>
      </c>
      <c r="C15" s="568">
        <v>0</v>
      </c>
      <c r="D15" s="568">
        <v>0</v>
      </c>
      <c r="E15" s="568">
        <v>187</v>
      </c>
      <c r="F15" s="568">
        <v>0</v>
      </c>
      <c r="G15" s="568">
        <v>0</v>
      </c>
      <c r="H15" s="568">
        <v>82</v>
      </c>
      <c r="I15" s="568">
        <v>0</v>
      </c>
      <c r="J15" s="568">
        <v>0</v>
      </c>
      <c r="K15" s="568">
        <v>153</v>
      </c>
      <c r="L15" s="568">
        <v>0</v>
      </c>
      <c r="M15" s="568">
        <v>0</v>
      </c>
      <c r="N15" s="568">
        <v>177</v>
      </c>
      <c r="O15" s="568">
        <v>0</v>
      </c>
      <c r="P15" s="568">
        <v>0</v>
      </c>
      <c r="Q15" s="568">
        <v>59</v>
      </c>
      <c r="R15" s="568">
        <v>0</v>
      </c>
      <c r="S15" s="568">
        <v>0</v>
      </c>
    </row>
    <row r="16" spans="1:19">
      <c r="A16" s="567" t="s">
        <v>280</v>
      </c>
      <c r="B16" s="568">
        <v>22</v>
      </c>
      <c r="C16" s="568">
        <v>0</v>
      </c>
      <c r="D16" s="568">
        <v>0</v>
      </c>
      <c r="E16" s="568">
        <v>43</v>
      </c>
      <c r="F16" s="568">
        <v>0</v>
      </c>
      <c r="G16" s="568">
        <v>0</v>
      </c>
      <c r="H16" s="568">
        <v>20</v>
      </c>
      <c r="I16" s="568">
        <v>0</v>
      </c>
      <c r="J16" s="568">
        <v>0</v>
      </c>
      <c r="K16" s="568">
        <v>124</v>
      </c>
      <c r="L16" s="568">
        <v>0</v>
      </c>
      <c r="M16" s="568">
        <v>0</v>
      </c>
      <c r="N16" s="568">
        <v>103</v>
      </c>
      <c r="O16" s="568">
        <v>0</v>
      </c>
      <c r="P16" s="568">
        <v>0</v>
      </c>
      <c r="Q16" s="568">
        <v>77</v>
      </c>
      <c r="R16" s="568">
        <v>0</v>
      </c>
      <c r="S16" s="568">
        <v>0</v>
      </c>
    </row>
    <row r="17" spans="1:19" s="571" customFormat="1">
      <c r="A17" s="570" t="s">
        <v>2354</v>
      </c>
      <c r="B17" s="566">
        <v>9</v>
      </c>
      <c r="C17" s="568">
        <v>0</v>
      </c>
      <c r="D17" s="568">
        <v>0</v>
      </c>
      <c r="E17" s="566">
        <f>SUM(E18)</f>
        <v>0</v>
      </c>
      <c r="F17" s="568">
        <v>0</v>
      </c>
      <c r="G17" s="568">
        <v>0</v>
      </c>
      <c r="H17" s="566">
        <v>69</v>
      </c>
      <c r="I17" s="568">
        <v>0</v>
      </c>
      <c r="J17" s="568">
        <v>0</v>
      </c>
      <c r="K17" s="566">
        <v>43</v>
      </c>
      <c r="L17" s="568">
        <v>0</v>
      </c>
      <c r="M17" s="568">
        <v>0</v>
      </c>
      <c r="N17" s="566">
        <v>65</v>
      </c>
      <c r="O17" s="568">
        <v>0</v>
      </c>
      <c r="P17" s="568">
        <v>0</v>
      </c>
      <c r="Q17" s="566">
        <v>100</v>
      </c>
      <c r="R17" s="568">
        <v>0</v>
      </c>
      <c r="S17" s="568">
        <v>0</v>
      </c>
    </row>
    <row r="18" spans="1:19">
      <c r="A18" s="567" t="s">
        <v>2355</v>
      </c>
      <c r="B18" s="568">
        <v>9</v>
      </c>
      <c r="C18" s="568">
        <v>0</v>
      </c>
      <c r="D18" s="568">
        <v>0</v>
      </c>
      <c r="E18" s="568">
        <f>F18+G18</f>
        <v>0</v>
      </c>
      <c r="F18" s="569">
        <v>0</v>
      </c>
      <c r="G18" s="569">
        <v>0</v>
      </c>
      <c r="H18" s="568">
        <v>69</v>
      </c>
      <c r="I18" s="568">
        <v>0</v>
      </c>
      <c r="J18" s="568">
        <v>0</v>
      </c>
      <c r="K18" s="568">
        <v>43</v>
      </c>
      <c r="L18" s="568">
        <v>0</v>
      </c>
      <c r="M18" s="568">
        <v>0</v>
      </c>
      <c r="N18" s="568">
        <v>65</v>
      </c>
      <c r="O18" s="568">
        <v>0</v>
      </c>
      <c r="P18" s="568">
        <v>0</v>
      </c>
      <c r="Q18" s="568">
        <v>100</v>
      </c>
      <c r="R18" s="568">
        <v>0</v>
      </c>
      <c r="S18" s="568">
        <v>0</v>
      </c>
    </row>
    <row r="19" spans="1:19" s="571" customFormat="1" ht="12.75">
      <c r="A19" s="565" t="s">
        <v>3486</v>
      </c>
      <c r="B19" s="566">
        <f t="shared" ref="B19:P19" si="1">SUM(B20)</f>
        <v>113</v>
      </c>
      <c r="C19" s="566">
        <f t="shared" si="1"/>
        <v>59</v>
      </c>
      <c r="D19" s="566">
        <f t="shared" si="1"/>
        <v>54</v>
      </c>
      <c r="E19" s="566">
        <f t="shared" si="1"/>
        <v>101</v>
      </c>
      <c r="F19" s="566">
        <f t="shared" si="1"/>
        <v>46</v>
      </c>
      <c r="G19" s="566">
        <f t="shared" si="1"/>
        <v>55</v>
      </c>
      <c r="H19" s="566">
        <f t="shared" si="1"/>
        <v>129</v>
      </c>
      <c r="I19" s="566">
        <f t="shared" si="1"/>
        <v>67</v>
      </c>
      <c r="J19" s="566">
        <f t="shared" si="1"/>
        <v>62</v>
      </c>
      <c r="K19" s="566">
        <f t="shared" si="1"/>
        <v>83</v>
      </c>
      <c r="L19" s="566">
        <f t="shared" si="1"/>
        <v>36</v>
      </c>
      <c r="M19" s="566">
        <f t="shared" si="1"/>
        <v>47</v>
      </c>
      <c r="N19" s="566">
        <f t="shared" si="1"/>
        <v>187</v>
      </c>
      <c r="O19" s="566">
        <f t="shared" si="1"/>
        <v>103</v>
      </c>
      <c r="P19" s="566">
        <f t="shared" si="1"/>
        <v>84</v>
      </c>
      <c r="Q19" s="566">
        <f>SUM(R19:S19)</f>
        <v>212</v>
      </c>
      <c r="R19" s="566">
        <f>R20</f>
        <v>98</v>
      </c>
      <c r="S19" s="566">
        <f>S20</f>
        <v>114</v>
      </c>
    </row>
    <row r="20" spans="1:19">
      <c r="A20" s="567" t="s">
        <v>12</v>
      </c>
      <c r="B20" s="568">
        <f>C20+D20</f>
        <v>113</v>
      </c>
      <c r="C20" s="568">
        <v>59</v>
      </c>
      <c r="D20" s="568">
        <v>54</v>
      </c>
      <c r="E20" s="568">
        <f>F20+G20</f>
        <v>101</v>
      </c>
      <c r="F20" s="568">
        <v>46</v>
      </c>
      <c r="G20" s="568">
        <v>55</v>
      </c>
      <c r="H20" s="568">
        <f>I20+J20</f>
        <v>129</v>
      </c>
      <c r="I20" s="568">
        <v>67</v>
      </c>
      <c r="J20" s="568">
        <v>62</v>
      </c>
      <c r="K20" s="568">
        <f>L20+M20</f>
        <v>83</v>
      </c>
      <c r="L20" s="568">
        <v>36</v>
      </c>
      <c r="M20" s="568">
        <v>47</v>
      </c>
      <c r="N20" s="568">
        <f>O20+P20</f>
        <v>187</v>
      </c>
      <c r="O20" s="568">
        <v>103</v>
      </c>
      <c r="P20" s="568">
        <v>84</v>
      </c>
      <c r="Q20" s="568">
        <f>SUM(R20:S20)</f>
        <v>212</v>
      </c>
      <c r="R20" s="568">
        <v>98</v>
      </c>
      <c r="S20" s="568">
        <v>114</v>
      </c>
    </row>
    <row r="21" spans="1:19">
      <c r="A21" s="572"/>
      <c r="B21" s="573"/>
      <c r="C21" s="573"/>
      <c r="D21" s="573"/>
      <c r="E21" s="573"/>
      <c r="F21" s="573"/>
      <c r="G21" s="573"/>
      <c r="H21" s="573"/>
      <c r="I21" s="573"/>
      <c r="J21" s="573"/>
      <c r="K21" s="573"/>
      <c r="L21" s="573"/>
      <c r="M21" s="573"/>
      <c r="N21" s="573"/>
      <c r="O21" s="573"/>
      <c r="P21" s="573"/>
      <c r="Q21" s="573"/>
      <c r="R21" s="572"/>
    </row>
    <row r="22" spans="1:19" ht="12.75" customHeight="1">
      <c r="A22" s="555" t="s">
        <v>3487</v>
      </c>
    </row>
    <row r="23" spans="1:19">
      <c r="A23" s="2563" t="s">
        <v>3488</v>
      </c>
      <c r="B23" s="2563"/>
      <c r="C23" s="2563"/>
      <c r="D23" s="2563"/>
      <c r="E23" s="2563"/>
      <c r="F23" s="2563"/>
      <c r="G23" s="2563"/>
      <c r="H23" s="2563"/>
      <c r="I23" s="2563"/>
      <c r="J23" s="2563"/>
      <c r="K23" s="2563"/>
      <c r="L23" s="2563"/>
      <c r="M23" s="2563"/>
      <c r="N23" s="2563"/>
      <c r="O23" s="2563"/>
      <c r="P23" s="2563"/>
      <c r="Q23" s="2563"/>
    </row>
    <row r="24" spans="1:19">
      <c r="A24" s="545" t="s">
        <v>161</v>
      </c>
      <c r="B24" s="545"/>
      <c r="C24" s="545"/>
      <c r="D24" s="545"/>
      <c r="E24" s="545"/>
      <c r="F24" s="545"/>
      <c r="G24" s="545"/>
      <c r="H24" s="545"/>
      <c r="I24" s="545"/>
      <c r="J24" s="574"/>
      <c r="K24" s="574"/>
      <c r="L24" s="574"/>
      <c r="M24" s="574"/>
      <c r="N24" s="574"/>
      <c r="O24" s="574"/>
      <c r="P24" s="574"/>
      <c r="Q24" s="574"/>
    </row>
    <row r="25" spans="1:19">
      <c r="A25" s="500" t="s">
        <v>2283</v>
      </c>
    </row>
  </sheetData>
  <mergeCells count="8">
    <mergeCell ref="Q4:S4"/>
    <mergeCell ref="A23:Q23"/>
    <mergeCell ref="A4:A5"/>
    <mergeCell ref="B4:D4"/>
    <mergeCell ref="E4:G4"/>
    <mergeCell ref="H4:J4"/>
    <mergeCell ref="K4:M4"/>
    <mergeCell ref="N4:P4"/>
  </mergeCells>
  <pageMargins left="0.45" right="0.36" top="0.74803149606299213" bottom="0.74803149606299213" header="0.31496062992125984" footer="0.31496062992125984"/>
  <pageSetup paperSize="14" scale="85" orientation="landscape" r:id="rId1"/>
</worksheet>
</file>

<file path=xl/worksheets/sheet255.xml><?xml version="1.0" encoding="utf-8"?>
<worksheet xmlns="http://schemas.openxmlformats.org/spreadsheetml/2006/main" xmlns:r="http://schemas.openxmlformats.org/officeDocument/2006/relationships">
  <dimension ref="A1:F24"/>
  <sheetViews>
    <sheetView zoomScaleNormal="100" workbookViewId="0">
      <selection activeCell="A47" sqref="A47"/>
    </sheetView>
  </sheetViews>
  <sheetFormatPr baseColWidth="10" defaultRowHeight="12"/>
  <cols>
    <col min="1" max="1" width="28" style="84" customWidth="1"/>
    <col min="2" max="16384" width="11.42578125" style="84"/>
  </cols>
  <sheetData>
    <row r="1" spans="1:6">
      <c r="A1" s="511"/>
    </row>
    <row r="2" spans="1:6" s="72" customFormat="1" ht="30" customHeight="1">
      <c r="A2" s="2519" t="s">
        <v>2356</v>
      </c>
      <c r="B2" s="2519"/>
      <c r="C2" s="2519"/>
      <c r="D2" s="2519"/>
      <c r="E2" s="80"/>
      <c r="F2" s="80"/>
    </row>
    <row r="3" spans="1:6" s="72" customFormat="1" ht="11.25">
      <c r="A3" s="80"/>
      <c r="B3" s="80"/>
      <c r="C3" s="80"/>
      <c r="D3" s="80"/>
      <c r="E3" s="80"/>
      <c r="F3" s="80"/>
    </row>
    <row r="4" spans="1:6" s="562" customFormat="1" ht="21.75" customHeight="1">
      <c r="A4" s="2753" t="s">
        <v>0</v>
      </c>
      <c r="B4" s="2754">
        <v>2012</v>
      </c>
      <c r="C4" s="2753">
        <v>2013</v>
      </c>
      <c r="D4" s="2754">
        <v>2014</v>
      </c>
      <c r="E4" s="560"/>
      <c r="F4" s="561"/>
    </row>
    <row r="5" spans="1:6" s="72" customFormat="1" ht="11.25">
      <c r="A5" s="2749" t="s">
        <v>6</v>
      </c>
      <c r="B5" s="2750">
        <f>SUM(B6:B20)</f>
        <v>162</v>
      </c>
      <c r="C5" s="2750">
        <f>SUM(C6:C20)</f>
        <v>150</v>
      </c>
      <c r="D5" s="2750">
        <f>SUM(D6:D20)</f>
        <v>4</v>
      </c>
      <c r="E5" s="563"/>
      <c r="F5" s="563"/>
    </row>
    <row r="6" spans="1:6" s="72" customFormat="1" ht="11.25">
      <c r="A6" s="2751" t="s">
        <v>7</v>
      </c>
      <c r="B6" s="2752">
        <v>0</v>
      </c>
      <c r="C6" s="2752">
        <v>0</v>
      </c>
      <c r="D6" s="2752">
        <v>0</v>
      </c>
      <c r="E6" s="563"/>
      <c r="F6" s="563"/>
    </row>
    <row r="7" spans="1:6" s="72" customFormat="1" ht="11.25">
      <c r="A7" s="2751" t="s">
        <v>8</v>
      </c>
      <c r="B7" s="2752">
        <v>3</v>
      </c>
      <c r="C7" s="2752">
        <v>3</v>
      </c>
      <c r="D7" s="2752">
        <v>0</v>
      </c>
      <c r="E7" s="563"/>
      <c r="F7" s="563"/>
    </row>
    <row r="8" spans="1:6" s="72" customFormat="1" ht="11.25">
      <c r="A8" s="2751" t="s">
        <v>9</v>
      </c>
      <c r="B8" s="2752">
        <v>11</v>
      </c>
      <c r="C8" s="2752">
        <v>10</v>
      </c>
      <c r="D8" s="2752">
        <v>0</v>
      </c>
      <c r="E8" s="563"/>
      <c r="F8" s="563"/>
    </row>
    <row r="9" spans="1:6" s="72" customFormat="1" ht="11.25">
      <c r="A9" s="2751" t="s">
        <v>10</v>
      </c>
      <c r="B9" s="2752">
        <v>9</v>
      </c>
      <c r="C9" s="2752">
        <v>7</v>
      </c>
      <c r="D9" s="2752">
        <v>0</v>
      </c>
      <c r="E9" s="563"/>
      <c r="F9" s="563"/>
    </row>
    <row r="10" spans="1:6" s="72" customFormat="1" ht="11.25">
      <c r="A10" s="2751" t="s">
        <v>11</v>
      </c>
      <c r="B10" s="2752">
        <v>5</v>
      </c>
      <c r="C10" s="2752">
        <v>5</v>
      </c>
      <c r="D10" s="2752">
        <v>0</v>
      </c>
      <c r="E10" s="563"/>
      <c r="F10" s="563"/>
    </row>
    <row r="11" spans="1:6" s="72" customFormat="1" ht="11.25">
      <c r="A11" s="2751" t="s">
        <v>12</v>
      </c>
      <c r="B11" s="2752">
        <v>7</v>
      </c>
      <c r="C11" s="2752">
        <v>12</v>
      </c>
      <c r="D11" s="80">
        <v>3</v>
      </c>
      <c r="E11" s="563"/>
      <c r="F11" s="563"/>
    </row>
    <row r="12" spans="1:6" s="72" customFormat="1" ht="11.25">
      <c r="A12" s="2751" t="s">
        <v>13</v>
      </c>
      <c r="B12" s="2752">
        <v>38</v>
      </c>
      <c r="C12" s="2752">
        <v>39</v>
      </c>
      <c r="D12" s="2752">
        <v>0</v>
      </c>
      <c r="E12" s="563"/>
      <c r="F12" s="563"/>
    </row>
    <row r="13" spans="1:6" s="72" customFormat="1" ht="11.25">
      <c r="A13" s="2751" t="s">
        <v>14</v>
      </c>
      <c r="B13" s="2752">
        <v>1</v>
      </c>
      <c r="C13" s="2752">
        <v>1</v>
      </c>
      <c r="D13" s="2752">
        <v>0</v>
      </c>
      <c r="E13" s="563"/>
      <c r="F13" s="563"/>
    </row>
    <row r="14" spans="1:6" s="72" customFormat="1" ht="11.25">
      <c r="A14" s="2751" t="s">
        <v>15</v>
      </c>
      <c r="B14" s="2752">
        <v>14</v>
      </c>
      <c r="C14" s="2752">
        <v>15</v>
      </c>
      <c r="D14" s="2752">
        <v>0</v>
      </c>
      <c r="E14" s="563"/>
      <c r="F14" s="563"/>
    </row>
    <row r="15" spans="1:6" s="72" customFormat="1" ht="10.5" customHeight="1">
      <c r="A15" s="2751" t="s">
        <v>16</v>
      </c>
      <c r="B15" s="2752">
        <v>11</v>
      </c>
      <c r="C15" s="2752">
        <v>12</v>
      </c>
      <c r="D15" s="2752">
        <v>0</v>
      </c>
      <c r="E15" s="563"/>
      <c r="F15" s="563"/>
    </row>
    <row r="16" spans="1:6" s="72" customFormat="1" ht="11.25">
      <c r="A16" s="2751" t="s">
        <v>17</v>
      </c>
      <c r="B16" s="2752">
        <v>11</v>
      </c>
      <c r="C16" s="2752">
        <v>13</v>
      </c>
      <c r="D16" s="2752">
        <v>0</v>
      </c>
      <c r="E16" s="563"/>
      <c r="F16" s="563"/>
    </row>
    <row r="17" spans="1:6" s="72" customFormat="1" ht="11.25">
      <c r="A17" s="2751" t="s">
        <v>18</v>
      </c>
      <c r="B17" s="2752">
        <v>8</v>
      </c>
      <c r="C17" s="2752">
        <v>8</v>
      </c>
      <c r="D17" s="80">
        <v>1</v>
      </c>
      <c r="E17" s="563"/>
      <c r="F17" s="563"/>
    </row>
    <row r="18" spans="1:6" s="72" customFormat="1" ht="11.25">
      <c r="A18" s="2751" t="s">
        <v>19</v>
      </c>
      <c r="B18" s="2752">
        <v>20</v>
      </c>
      <c r="C18" s="2752">
        <v>15</v>
      </c>
      <c r="D18" s="2752">
        <v>0</v>
      </c>
      <c r="E18" s="563"/>
      <c r="F18" s="563"/>
    </row>
    <row r="19" spans="1:6" s="72" customFormat="1" ht="11.25">
      <c r="A19" s="2751" t="s">
        <v>20</v>
      </c>
      <c r="B19" s="2752">
        <v>15</v>
      </c>
      <c r="C19" s="2752">
        <v>6</v>
      </c>
      <c r="D19" s="2752">
        <v>0</v>
      </c>
      <c r="E19" s="563"/>
      <c r="F19" s="563"/>
    </row>
    <row r="20" spans="1:6" s="72" customFormat="1" ht="11.25">
      <c r="A20" s="2751" t="s">
        <v>21</v>
      </c>
      <c r="B20" s="2752">
        <v>9</v>
      </c>
      <c r="C20" s="2752">
        <v>4</v>
      </c>
      <c r="D20" s="2752">
        <v>0</v>
      </c>
      <c r="E20" s="563"/>
      <c r="F20" s="563"/>
    </row>
    <row r="21" spans="1:6" s="72" customFormat="1" ht="5.25" customHeight="1">
      <c r="A21" s="80"/>
      <c r="B21" s="80"/>
      <c r="C21" s="80"/>
      <c r="D21" s="80"/>
      <c r="E21" s="80"/>
      <c r="F21" s="80"/>
    </row>
    <row r="22" spans="1:6" s="72" customFormat="1" ht="21" customHeight="1">
      <c r="A22" s="2564" t="s">
        <v>2357</v>
      </c>
      <c r="B22" s="2564"/>
      <c r="C22" s="2564"/>
      <c r="D22" s="2564"/>
      <c r="E22" s="80"/>
      <c r="F22" s="80"/>
    </row>
    <row r="23" spans="1:6" s="72" customFormat="1" ht="11.25"/>
    <row r="24" spans="1:6" s="72" customFormat="1" ht="11.25"/>
  </sheetData>
  <mergeCells count="2">
    <mergeCell ref="A2:D2"/>
    <mergeCell ref="A22:D22"/>
  </mergeCells>
  <pageMargins left="0.7" right="0.7" top="0.75" bottom="0.75" header="0.3" footer="0.3"/>
  <pageSetup paperSize="14" orientation="landscape" r:id="rId1"/>
</worksheet>
</file>

<file path=xl/worksheets/sheet256.xml><?xml version="1.0" encoding="utf-8"?>
<worksheet xmlns="http://schemas.openxmlformats.org/spreadsheetml/2006/main" xmlns:r="http://schemas.openxmlformats.org/officeDocument/2006/relationships">
  <dimension ref="A2:H11"/>
  <sheetViews>
    <sheetView zoomScaleNormal="100" workbookViewId="0">
      <selection activeCell="B22" sqref="B22"/>
    </sheetView>
  </sheetViews>
  <sheetFormatPr baseColWidth="10" defaultRowHeight="12"/>
  <cols>
    <col min="1" max="1" width="31.42578125" style="84" customWidth="1"/>
    <col min="2" max="3" width="21" style="84" customWidth="1"/>
    <col min="4" max="16384" width="11.42578125" style="84"/>
  </cols>
  <sheetData>
    <row r="2" spans="1:8" s="72" customFormat="1" ht="33.75" customHeight="1">
      <c r="A2" s="2565" t="s">
        <v>2358</v>
      </c>
      <c r="B2" s="2565"/>
      <c r="C2" s="2565"/>
      <c r="D2" s="73"/>
      <c r="E2" s="79"/>
      <c r="F2" s="79"/>
      <c r="G2" s="79"/>
      <c r="H2" s="87"/>
    </row>
    <row r="3" spans="1:8" s="72" customFormat="1" ht="12" customHeight="1">
      <c r="A3" s="74"/>
      <c r="B3" s="74"/>
      <c r="C3" s="74"/>
      <c r="D3" s="73"/>
      <c r="E3" s="79"/>
      <c r="F3" s="79"/>
      <c r="G3" s="79"/>
      <c r="H3" s="87"/>
    </row>
    <row r="4" spans="1:8" s="72" customFormat="1" ht="16.5" customHeight="1">
      <c r="A4" s="2756" t="s">
        <v>2359</v>
      </c>
      <c r="B4" s="2757" t="s">
        <v>2360</v>
      </c>
      <c r="C4" s="2757"/>
      <c r="E4" s="87"/>
      <c r="F4" s="87"/>
      <c r="G4" s="87"/>
      <c r="H4" s="87"/>
    </row>
    <row r="5" spans="1:8" s="72" customFormat="1" ht="16.5" customHeight="1">
      <c r="A5" s="2756"/>
      <c r="B5" s="2758" t="s">
        <v>2361</v>
      </c>
      <c r="C5" s="2758" t="s">
        <v>2362</v>
      </c>
      <c r="E5" s="87"/>
      <c r="F5" s="87"/>
      <c r="G5" s="87"/>
      <c r="H5" s="87"/>
    </row>
    <row r="6" spans="1:8" s="555" customFormat="1" ht="10.5" customHeight="1">
      <c r="A6" s="2755" t="s">
        <v>679</v>
      </c>
      <c r="B6" s="1227">
        <f>SUM(B7:B9)</f>
        <v>654</v>
      </c>
      <c r="C6" s="1227">
        <f>SUM(C7:C9)</f>
        <v>3248235</v>
      </c>
      <c r="E6" s="79"/>
      <c r="F6" s="559"/>
      <c r="G6" s="559"/>
      <c r="H6" s="87"/>
    </row>
    <row r="7" spans="1:8" s="72" customFormat="1" ht="11.25">
      <c r="A7" s="87" t="s">
        <v>1922</v>
      </c>
      <c r="B7" s="546">
        <v>598</v>
      </c>
      <c r="C7" s="512">
        <v>2451096</v>
      </c>
      <c r="E7" s="87"/>
      <c r="F7" s="546"/>
      <c r="G7" s="512"/>
      <c r="H7" s="87"/>
    </row>
    <row r="8" spans="1:8" s="72" customFormat="1" ht="11.25">
      <c r="A8" s="87" t="s">
        <v>2363</v>
      </c>
      <c r="B8" s="546">
        <v>39</v>
      </c>
      <c r="C8" s="512">
        <v>500413</v>
      </c>
      <c r="E8" s="87"/>
      <c r="F8" s="546"/>
      <c r="G8" s="512"/>
      <c r="H8" s="87"/>
    </row>
    <row r="9" spans="1:8" s="72" customFormat="1" ht="11.25">
      <c r="A9" s="87" t="s">
        <v>2364</v>
      </c>
      <c r="B9" s="546">
        <v>17</v>
      </c>
      <c r="C9" s="512">
        <v>296726</v>
      </c>
      <c r="E9" s="87"/>
      <c r="F9" s="546"/>
      <c r="G9" s="512"/>
      <c r="H9" s="87"/>
    </row>
    <row r="10" spans="1:8" s="72" customFormat="1" ht="7.5" customHeight="1">
      <c r="B10" s="546"/>
      <c r="C10" s="512"/>
      <c r="E10" s="87"/>
      <c r="F10" s="546"/>
      <c r="G10" s="512"/>
      <c r="H10" s="87"/>
    </row>
    <row r="11" spans="1:8" s="72" customFormat="1" ht="22.5" customHeight="1">
      <c r="A11" s="2566" t="s">
        <v>2365</v>
      </c>
      <c r="B11" s="2566"/>
      <c r="C11" s="2566"/>
      <c r="D11" s="78"/>
      <c r="E11" s="79"/>
      <c r="F11" s="79"/>
      <c r="G11" s="79"/>
      <c r="H11" s="87"/>
    </row>
  </sheetData>
  <mergeCells count="4">
    <mergeCell ref="A2:C2"/>
    <mergeCell ref="A4:A5"/>
    <mergeCell ref="B4:C4"/>
    <mergeCell ref="A11:C11"/>
  </mergeCells>
  <pageMargins left="0.7" right="0.7" top="0.75" bottom="0.75" header="0.3" footer="0.3"/>
  <pageSetup paperSize="14" orientation="landscape" r:id="rId1"/>
</worksheet>
</file>

<file path=xl/worksheets/sheet257.xml><?xml version="1.0" encoding="utf-8"?>
<worksheet xmlns="http://schemas.openxmlformats.org/spreadsheetml/2006/main" xmlns:r="http://schemas.openxmlformats.org/officeDocument/2006/relationships">
  <dimension ref="A1:F14"/>
  <sheetViews>
    <sheetView zoomScaleNormal="100" workbookViewId="0">
      <selection activeCell="A22" sqref="A22"/>
    </sheetView>
  </sheetViews>
  <sheetFormatPr baseColWidth="10" defaultRowHeight="12"/>
  <cols>
    <col min="1" max="1" width="35.7109375" style="84" customWidth="1"/>
    <col min="2" max="2" width="14.7109375" style="84" customWidth="1"/>
    <col min="3" max="3" width="12.85546875" style="84" bestFit="1" customWidth="1"/>
    <col min="4" max="4" width="22.5703125" style="84" customWidth="1"/>
    <col min="5" max="5" width="11.5703125" style="84" bestFit="1" customWidth="1"/>
    <col min="6" max="16384" width="11.42578125" style="84"/>
  </cols>
  <sheetData>
    <row r="1" spans="1:6">
      <c r="A1" s="511"/>
    </row>
    <row r="2" spans="1:6" s="72" customFormat="1" ht="21.75" customHeight="1">
      <c r="A2" s="2565" t="s">
        <v>2366</v>
      </c>
      <c r="B2" s="2565"/>
      <c r="C2" s="2565"/>
      <c r="D2" s="73"/>
      <c r="E2" s="77"/>
      <c r="F2" s="77"/>
    </row>
    <row r="3" spans="1:6" s="72" customFormat="1" ht="11.25">
      <c r="E3" s="77"/>
      <c r="F3" s="77"/>
    </row>
    <row r="4" spans="1:6" s="500" customFormat="1" ht="20.25" customHeight="1">
      <c r="A4" s="2758" t="s">
        <v>2367</v>
      </c>
      <c r="B4" s="2758" t="s">
        <v>2361</v>
      </c>
      <c r="C4" s="2758" t="s">
        <v>2362</v>
      </c>
    </row>
    <row r="5" spans="1:6" s="72" customFormat="1" ht="11.25">
      <c r="A5" s="2755" t="s">
        <v>679</v>
      </c>
      <c r="B5" s="2759">
        <f>SUM(B6:B11)</f>
        <v>654</v>
      </c>
      <c r="C5" s="2759">
        <f>SUM(C6:C11)</f>
        <v>3248235</v>
      </c>
      <c r="D5" s="530"/>
      <c r="E5" s="530"/>
    </row>
    <row r="6" spans="1:6" s="72" customFormat="1" ht="11.25">
      <c r="A6" s="87" t="s">
        <v>2368</v>
      </c>
      <c r="B6" s="2760">
        <v>222</v>
      </c>
      <c r="C6" s="2760">
        <v>895523</v>
      </c>
      <c r="D6" s="546"/>
      <c r="E6" s="512"/>
    </row>
    <row r="7" spans="1:6" s="72" customFormat="1" ht="11.25">
      <c r="A7" s="87" t="s">
        <v>2369</v>
      </c>
      <c r="B7" s="2760">
        <v>151</v>
      </c>
      <c r="C7" s="2760">
        <v>614290</v>
      </c>
      <c r="D7" s="546"/>
      <c r="E7" s="512"/>
    </row>
    <row r="8" spans="1:6" s="72" customFormat="1" ht="11.25">
      <c r="A8" s="87" t="s">
        <v>2370</v>
      </c>
      <c r="B8" s="2760">
        <v>237</v>
      </c>
      <c r="C8" s="2760">
        <v>1081110</v>
      </c>
      <c r="D8" s="546"/>
      <c r="E8" s="512"/>
    </row>
    <row r="9" spans="1:6" s="72" customFormat="1" ht="11.25">
      <c r="A9" s="79" t="s">
        <v>2371</v>
      </c>
      <c r="B9" s="2760">
        <v>16</v>
      </c>
      <c r="C9" s="2760">
        <v>151487</v>
      </c>
      <c r="D9" s="546"/>
      <c r="E9" s="512"/>
    </row>
    <row r="10" spans="1:6" s="72" customFormat="1" ht="11.25">
      <c r="A10" s="87" t="s">
        <v>2372</v>
      </c>
      <c r="B10" s="2760">
        <v>0</v>
      </c>
      <c r="C10" s="2760">
        <v>0</v>
      </c>
      <c r="D10" s="546"/>
      <c r="E10" s="512"/>
    </row>
    <row r="11" spans="1:6" s="72" customFormat="1" ht="11.25">
      <c r="A11" s="87" t="s">
        <v>2373</v>
      </c>
      <c r="B11" s="2760">
        <v>28</v>
      </c>
      <c r="C11" s="2760">
        <v>505825</v>
      </c>
      <c r="D11" s="546"/>
      <c r="E11" s="512"/>
    </row>
    <row r="12" spans="1:6" s="72" customFormat="1" ht="6.75" customHeight="1">
      <c r="B12" s="546"/>
      <c r="C12" s="546"/>
      <c r="D12" s="512"/>
      <c r="E12" s="546"/>
      <c r="F12" s="512"/>
    </row>
    <row r="13" spans="1:6" s="72" customFormat="1" ht="14.25" customHeight="1">
      <c r="A13" s="545" t="s">
        <v>161</v>
      </c>
      <c r="E13" s="77"/>
      <c r="F13" s="77"/>
    </row>
    <row r="14" spans="1:6" ht="24.75" customHeight="1">
      <c r="A14" s="2761" t="s">
        <v>2374</v>
      </c>
      <c r="B14" s="2761"/>
      <c r="C14" s="2761"/>
      <c r="D14" s="502"/>
    </row>
  </sheetData>
  <mergeCells count="2">
    <mergeCell ref="A2:C2"/>
    <mergeCell ref="A14:C14"/>
  </mergeCells>
  <pageMargins left="0.7" right="0.7" top="0.75" bottom="0.75" header="0.3" footer="0.3"/>
  <pageSetup paperSize="14" orientation="landscape" r:id="rId1"/>
</worksheet>
</file>

<file path=xl/worksheets/sheet258.xml><?xml version="1.0" encoding="utf-8"?>
<worksheet xmlns="http://schemas.openxmlformats.org/spreadsheetml/2006/main" xmlns:r="http://schemas.openxmlformats.org/officeDocument/2006/relationships">
  <dimension ref="A1:M9"/>
  <sheetViews>
    <sheetView zoomScaleNormal="100" workbookViewId="0">
      <selection activeCell="C20" sqref="C20"/>
    </sheetView>
  </sheetViews>
  <sheetFormatPr baseColWidth="10" defaultRowHeight="12"/>
  <cols>
    <col min="1" max="1" width="23.7109375" style="84" customWidth="1"/>
    <col min="2" max="16384" width="11.42578125" style="84"/>
  </cols>
  <sheetData>
    <row r="1" spans="1:13">
      <c r="A1" s="511"/>
    </row>
    <row r="2" spans="1:13" s="72" customFormat="1" ht="36" customHeight="1">
      <c r="A2" s="2567" t="s">
        <v>2375</v>
      </c>
      <c r="B2" s="2567"/>
      <c r="C2" s="2567"/>
      <c r="D2" s="2567"/>
      <c r="E2" s="2567"/>
      <c r="F2" s="2567"/>
      <c r="G2" s="2567"/>
      <c r="H2" s="77"/>
      <c r="I2" s="77"/>
      <c r="J2" s="77"/>
      <c r="K2" s="77"/>
      <c r="L2" s="77"/>
      <c r="M2" s="551"/>
    </row>
    <row r="3" spans="1:13" s="72" customFormat="1" ht="11.25">
      <c r="H3" s="77"/>
      <c r="I3" s="77"/>
      <c r="J3" s="77"/>
      <c r="K3" s="77"/>
      <c r="L3" s="77"/>
      <c r="M3" s="77"/>
    </row>
    <row r="4" spans="1:13" s="72" customFormat="1" ht="16.5" customHeight="1">
      <c r="A4" s="2762" t="s">
        <v>2376</v>
      </c>
      <c r="B4" s="2757" t="s">
        <v>2377</v>
      </c>
      <c r="C4" s="2757"/>
      <c r="D4" s="2757"/>
      <c r="E4" s="2757"/>
      <c r="F4" s="2757"/>
      <c r="G4" s="2757"/>
      <c r="H4" s="77"/>
      <c r="I4" s="77"/>
      <c r="J4" s="77"/>
      <c r="K4" s="77"/>
      <c r="L4" s="77"/>
      <c r="M4" s="77"/>
    </row>
    <row r="5" spans="1:13" s="72" customFormat="1" ht="16.5" customHeight="1">
      <c r="A5" s="2762"/>
      <c r="B5" s="2758">
        <v>2009</v>
      </c>
      <c r="C5" s="2758">
        <v>2010</v>
      </c>
      <c r="D5" s="2758">
        <v>2011</v>
      </c>
      <c r="E5" s="2758">
        <v>2012</v>
      </c>
      <c r="F5" s="2758">
        <v>2013</v>
      </c>
      <c r="G5" s="2758">
        <v>2014</v>
      </c>
      <c r="H5" s="500"/>
      <c r="I5" s="500"/>
      <c r="J5" s="500"/>
      <c r="K5" s="500"/>
      <c r="L5" s="500"/>
      <c r="M5" s="500"/>
    </row>
    <row r="6" spans="1:13" s="72" customFormat="1" ht="22.5">
      <c r="A6" s="699" t="s">
        <v>2378</v>
      </c>
      <c r="B6" s="558">
        <v>717</v>
      </c>
      <c r="C6" s="558">
        <v>1078</v>
      </c>
      <c r="D6" s="558">
        <v>838</v>
      </c>
      <c r="E6" s="558">
        <v>840</v>
      </c>
      <c r="F6" s="662">
        <v>851</v>
      </c>
      <c r="G6" s="539">
        <v>965</v>
      </c>
      <c r="H6" s="500"/>
      <c r="I6" s="558"/>
      <c r="J6" s="558"/>
      <c r="K6" s="558"/>
      <c r="L6" s="558"/>
      <c r="M6" s="530"/>
    </row>
    <row r="7" spans="1:13" s="72" customFormat="1" ht="20.25" customHeight="1">
      <c r="A7" s="539" t="s">
        <v>2379</v>
      </c>
      <c r="B7" s="558">
        <v>6</v>
      </c>
      <c r="C7" s="558">
        <v>11893</v>
      </c>
      <c r="D7" s="558">
        <v>12404.7</v>
      </c>
      <c r="E7" s="558">
        <v>15822</v>
      </c>
      <c r="F7" s="662">
        <v>14606</v>
      </c>
      <c r="G7" s="662">
        <v>17587</v>
      </c>
      <c r="H7" s="500"/>
      <c r="I7" s="558"/>
      <c r="J7" s="558"/>
      <c r="K7" s="558"/>
      <c r="L7" s="558"/>
      <c r="M7" s="530"/>
    </row>
    <row r="8" spans="1:13" s="72" customFormat="1" ht="6" customHeight="1">
      <c r="A8" s="500"/>
      <c r="B8" s="558"/>
      <c r="C8" s="558"/>
      <c r="D8" s="558"/>
      <c r="E8" s="558"/>
      <c r="F8" s="504"/>
      <c r="H8" s="500"/>
      <c r="I8" s="558"/>
      <c r="J8" s="558"/>
      <c r="K8" s="558"/>
      <c r="L8" s="558"/>
      <c r="M8" s="530"/>
    </row>
    <row r="9" spans="1:13" s="72" customFormat="1" ht="11.25">
      <c r="A9" s="72" t="s">
        <v>2380</v>
      </c>
      <c r="H9" s="77"/>
      <c r="I9" s="77"/>
      <c r="J9" s="77"/>
      <c r="K9" s="77"/>
      <c r="L9" s="77"/>
      <c r="M9" s="77"/>
    </row>
  </sheetData>
  <mergeCells count="3">
    <mergeCell ref="A2:G2"/>
    <mergeCell ref="A4:A5"/>
    <mergeCell ref="B4:G4"/>
  </mergeCells>
  <pageMargins left="0.7" right="0.7" top="0.75" bottom="0.75" header="0.3" footer="0.3"/>
  <pageSetup paperSize="14" orientation="landscape" r:id="rId1"/>
</worksheet>
</file>

<file path=xl/worksheets/sheet259.xml><?xml version="1.0" encoding="utf-8"?>
<worksheet xmlns="http://schemas.openxmlformats.org/spreadsheetml/2006/main" xmlns:r="http://schemas.openxmlformats.org/officeDocument/2006/relationships">
  <dimension ref="A2:O29"/>
  <sheetViews>
    <sheetView zoomScaleNormal="100" workbookViewId="0">
      <selection activeCell="C35" sqref="C35"/>
    </sheetView>
  </sheetViews>
  <sheetFormatPr baseColWidth="10" defaultRowHeight="12"/>
  <cols>
    <col min="1" max="1" width="23.7109375" style="84" customWidth="1"/>
    <col min="2" max="16384" width="11.42578125" style="84"/>
  </cols>
  <sheetData>
    <row r="2" spans="1:15" s="72" customFormat="1" ht="24.75" customHeight="1">
      <c r="A2" s="2567" t="s">
        <v>2381</v>
      </c>
      <c r="B2" s="2567"/>
      <c r="C2" s="2567"/>
      <c r="D2" s="2567"/>
      <c r="E2" s="2567"/>
      <c r="F2" s="2567"/>
      <c r="G2" s="2567"/>
      <c r="H2" s="550"/>
      <c r="J2" s="502"/>
      <c r="K2" s="502"/>
      <c r="L2" s="502"/>
      <c r="M2" s="502"/>
      <c r="N2" s="502"/>
      <c r="O2" s="502"/>
    </row>
    <row r="3" spans="1:15" s="72" customFormat="1" ht="11.25">
      <c r="H3" s="550"/>
    </row>
    <row r="4" spans="1:15" s="72" customFormat="1" ht="12.75" customHeight="1">
      <c r="A4" s="2756" t="s">
        <v>0</v>
      </c>
      <c r="B4" s="2756" t="s">
        <v>2382</v>
      </c>
      <c r="C4" s="2756"/>
      <c r="D4" s="2756"/>
      <c r="E4" s="2756"/>
      <c r="F4" s="2756"/>
      <c r="G4" s="2756"/>
      <c r="J4" s="77"/>
      <c r="K4" s="551"/>
      <c r="L4" s="552"/>
      <c r="M4" s="552"/>
      <c r="N4" s="77"/>
      <c r="O4" s="553"/>
    </row>
    <row r="5" spans="1:15" s="72" customFormat="1" ht="17.25" customHeight="1">
      <c r="A5" s="2756"/>
      <c r="B5" s="2758">
        <v>2009</v>
      </c>
      <c r="C5" s="2758">
        <v>2010</v>
      </c>
      <c r="D5" s="2767" t="s">
        <v>3481</v>
      </c>
      <c r="E5" s="2767" t="s">
        <v>3482</v>
      </c>
      <c r="F5" s="2767">
        <v>2013</v>
      </c>
      <c r="G5" s="2767">
        <v>2014</v>
      </c>
      <c r="K5" s="547"/>
      <c r="L5" s="547"/>
      <c r="M5" s="554"/>
      <c r="N5" s="554"/>
      <c r="O5" s="554"/>
    </row>
    <row r="6" spans="1:15" s="555" customFormat="1" ht="11.25">
      <c r="A6" s="520" t="s">
        <v>6</v>
      </c>
      <c r="B6" s="2763">
        <f t="shared" ref="B6:G6" si="0">SUM(B7:B21)</f>
        <v>1413</v>
      </c>
      <c r="C6" s="2763">
        <f t="shared" si="0"/>
        <v>1237</v>
      </c>
      <c r="D6" s="2763">
        <f t="shared" si="0"/>
        <v>4665</v>
      </c>
      <c r="E6" s="1040">
        <f t="shared" si="0"/>
        <v>4103</v>
      </c>
      <c r="F6" s="1040">
        <f t="shared" si="0"/>
        <v>4002</v>
      </c>
      <c r="G6" s="1040">
        <f t="shared" si="0"/>
        <v>4251</v>
      </c>
      <c r="J6" s="556"/>
      <c r="K6" s="504"/>
      <c r="L6" s="504"/>
      <c r="M6" s="504"/>
      <c r="N6" s="546"/>
      <c r="O6" s="504"/>
    </row>
    <row r="7" spans="1:15" s="72" customFormat="1" ht="11.25">
      <c r="A7" s="2764" t="s">
        <v>7</v>
      </c>
      <c r="B7" s="2765">
        <v>51</v>
      </c>
      <c r="C7" s="2765">
        <v>35</v>
      </c>
      <c r="D7" s="2765">
        <v>149</v>
      </c>
      <c r="E7" s="546">
        <v>146</v>
      </c>
      <c r="F7" s="2765">
        <v>152</v>
      </c>
      <c r="G7" s="2766">
        <v>157</v>
      </c>
      <c r="J7" s="556"/>
      <c r="K7" s="504"/>
      <c r="L7" s="504"/>
      <c r="M7" s="504"/>
      <c r="N7" s="546"/>
      <c r="O7" s="504"/>
    </row>
    <row r="8" spans="1:15" s="72" customFormat="1" ht="11.25">
      <c r="A8" s="2764" t="s">
        <v>8</v>
      </c>
      <c r="B8" s="2765">
        <v>39</v>
      </c>
      <c r="C8" s="2765">
        <v>36</v>
      </c>
      <c r="D8" s="2765">
        <v>129</v>
      </c>
      <c r="E8" s="546">
        <v>122</v>
      </c>
      <c r="F8" s="2765">
        <v>98</v>
      </c>
      <c r="G8" s="2766">
        <v>99</v>
      </c>
      <c r="J8" s="556"/>
      <c r="K8" s="504"/>
      <c r="L8" s="504"/>
      <c r="M8" s="504"/>
      <c r="N8" s="546"/>
      <c r="O8" s="504"/>
    </row>
    <row r="9" spans="1:15" s="72" customFormat="1" ht="11.25">
      <c r="A9" s="2764" t="s">
        <v>9</v>
      </c>
      <c r="B9" s="2765">
        <v>64</v>
      </c>
      <c r="C9" s="2765">
        <v>53</v>
      </c>
      <c r="D9" s="2765">
        <v>199</v>
      </c>
      <c r="E9" s="546">
        <v>212</v>
      </c>
      <c r="F9" s="2765">
        <v>214</v>
      </c>
      <c r="G9" s="2766">
        <v>218</v>
      </c>
      <c r="J9" s="556"/>
      <c r="K9" s="504"/>
      <c r="L9" s="504"/>
      <c r="M9" s="504"/>
      <c r="N9" s="546"/>
      <c r="O9" s="504"/>
    </row>
    <row r="10" spans="1:15" s="72" customFormat="1" ht="11.25">
      <c r="A10" s="2764" t="s">
        <v>10</v>
      </c>
      <c r="B10" s="2765">
        <v>58</v>
      </c>
      <c r="C10" s="2765">
        <v>42</v>
      </c>
      <c r="D10" s="2765">
        <v>147</v>
      </c>
      <c r="E10" s="546">
        <v>120</v>
      </c>
      <c r="F10" s="2765">
        <v>133</v>
      </c>
      <c r="G10" s="2766">
        <v>133</v>
      </c>
      <c r="J10" s="556"/>
      <c r="K10" s="504"/>
      <c r="L10" s="504"/>
      <c r="M10" s="504"/>
      <c r="N10" s="546"/>
      <c r="O10" s="504"/>
    </row>
    <row r="11" spans="1:15" s="72" customFormat="1" ht="11.25">
      <c r="A11" s="2764" t="s">
        <v>11</v>
      </c>
      <c r="B11" s="2765">
        <v>80</v>
      </c>
      <c r="C11" s="2765">
        <v>76</v>
      </c>
      <c r="D11" s="2765">
        <v>342</v>
      </c>
      <c r="E11" s="546">
        <v>316</v>
      </c>
      <c r="F11" s="2765">
        <v>370</v>
      </c>
      <c r="G11" s="2766">
        <v>395</v>
      </c>
      <c r="J11" s="556"/>
      <c r="K11" s="504"/>
      <c r="L11" s="504"/>
      <c r="M11" s="504"/>
      <c r="N11" s="546"/>
      <c r="O11" s="504"/>
    </row>
    <row r="12" spans="1:15" s="72" customFormat="1" ht="11.25">
      <c r="A12" s="2764" t="s">
        <v>12</v>
      </c>
      <c r="B12" s="2765">
        <v>90</v>
      </c>
      <c r="C12" s="2765">
        <v>102</v>
      </c>
      <c r="D12" s="2765">
        <v>448</v>
      </c>
      <c r="E12" s="546">
        <v>408</v>
      </c>
      <c r="F12" s="2765">
        <v>362</v>
      </c>
      <c r="G12" s="2766">
        <v>293</v>
      </c>
      <c r="J12" s="556"/>
      <c r="K12" s="504"/>
      <c r="L12" s="504"/>
      <c r="M12" s="504"/>
      <c r="N12" s="546"/>
      <c r="O12" s="504"/>
    </row>
    <row r="13" spans="1:15" s="72" customFormat="1" ht="11.25">
      <c r="A13" s="2764" t="s">
        <v>13</v>
      </c>
      <c r="B13" s="2765">
        <v>379</v>
      </c>
      <c r="C13" s="2765">
        <v>379</v>
      </c>
      <c r="D13" s="2765">
        <v>156</v>
      </c>
      <c r="E13" s="546">
        <v>142</v>
      </c>
      <c r="F13" s="2765">
        <v>809</v>
      </c>
      <c r="G13" s="2766">
        <v>946</v>
      </c>
      <c r="J13" s="77"/>
      <c r="K13" s="77"/>
      <c r="L13" s="77"/>
      <c r="N13" s="77"/>
    </row>
    <row r="14" spans="1:15" s="72" customFormat="1" ht="11.25">
      <c r="A14" s="2764" t="s">
        <v>14</v>
      </c>
      <c r="B14" s="2765">
        <v>60</v>
      </c>
      <c r="C14" s="2765">
        <v>48</v>
      </c>
      <c r="D14" s="2765">
        <v>971</v>
      </c>
      <c r="E14" s="546">
        <v>857</v>
      </c>
      <c r="F14" s="2765">
        <v>186</v>
      </c>
      <c r="G14" s="2766">
        <v>184</v>
      </c>
      <c r="J14" s="556"/>
      <c r="K14" s="504"/>
      <c r="L14" s="504"/>
      <c r="M14" s="504"/>
      <c r="N14" s="546"/>
      <c r="O14" s="504"/>
    </row>
    <row r="15" spans="1:15" s="72" customFormat="1" ht="11.25">
      <c r="A15" s="2764" t="s">
        <v>15</v>
      </c>
      <c r="B15" s="2765">
        <v>55</v>
      </c>
      <c r="C15" s="2765">
        <v>66</v>
      </c>
      <c r="D15" s="2765">
        <v>264</v>
      </c>
      <c r="E15" s="546">
        <v>219</v>
      </c>
      <c r="F15" s="2765">
        <v>233</v>
      </c>
      <c r="G15" s="2766">
        <v>248</v>
      </c>
      <c r="J15" s="556"/>
      <c r="K15" s="504"/>
      <c r="L15" s="504"/>
      <c r="M15" s="504"/>
      <c r="N15" s="546"/>
      <c r="O15" s="504"/>
    </row>
    <row r="16" spans="1:15" s="72" customFormat="1" ht="11.25">
      <c r="A16" s="2764" t="s">
        <v>16</v>
      </c>
      <c r="B16" s="2765">
        <v>194</v>
      </c>
      <c r="C16" s="2765">
        <v>71</v>
      </c>
      <c r="D16" s="2765">
        <v>316</v>
      </c>
      <c r="E16" s="546">
        <v>205</v>
      </c>
      <c r="F16" s="2765">
        <v>412</v>
      </c>
      <c r="G16" s="2766">
        <v>409</v>
      </c>
      <c r="J16" s="556"/>
      <c r="K16" s="504"/>
      <c r="L16" s="504"/>
      <c r="M16" s="504"/>
      <c r="N16" s="546"/>
      <c r="O16" s="504"/>
    </row>
    <row r="17" spans="1:15" s="72" customFormat="1" ht="11.25">
      <c r="A17" s="2764" t="s">
        <v>17</v>
      </c>
      <c r="B17" s="2765">
        <v>83</v>
      </c>
      <c r="C17" s="2765">
        <v>110</v>
      </c>
      <c r="D17" s="2765">
        <v>410</v>
      </c>
      <c r="E17" s="546">
        <v>408</v>
      </c>
      <c r="F17" s="2765">
        <v>366</v>
      </c>
      <c r="G17" s="2766">
        <v>426</v>
      </c>
      <c r="J17" s="556"/>
      <c r="K17" s="504"/>
      <c r="L17" s="504"/>
      <c r="M17" s="504"/>
      <c r="N17" s="546"/>
      <c r="O17" s="504"/>
    </row>
    <row r="18" spans="1:15" s="72" customFormat="1" ht="11.25">
      <c r="A18" s="2764" t="s">
        <v>18</v>
      </c>
      <c r="B18" s="2765">
        <v>52</v>
      </c>
      <c r="C18" s="2765">
        <v>45</v>
      </c>
      <c r="D18" s="2765">
        <v>419</v>
      </c>
      <c r="E18" s="546">
        <v>389</v>
      </c>
      <c r="F18" s="2765">
        <v>146</v>
      </c>
      <c r="G18" s="2766">
        <v>184</v>
      </c>
      <c r="J18" s="556"/>
      <c r="K18" s="504"/>
      <c r="L18" s="504"/>
      <c r="M18" s="504"/>
      <c r="N18" s="546"/>
      <c r="O18" s="504"/>
    </row>
    <row r="19" spans="1:15" s="72" customFormat="1" ht="10.5" customHeight="1">
      <c r="A19" s="2764" t="s">
        <v>19</v>
      </c>
      <c r="B19" s="2765">
        <v>138</v>
      </c>
      <c r="C19" s="2765">
        <v>114</v>
      </c>
      <c r="D19" s="2765">
        <v>194</v>
      </c>
      <c r="E19" s="546">
        <v>144</v>
      </c>
      <c r="F19" s="2765">
        <v>284</v>
      </c>
      <c r="G19" s="2766">
        <v>307</v>
      </c>
      <c r="J19" s="556"/>
      <c r="K19" s="504"/>
      <c r="L19" s="504"/>
      <c r="M19" s="504"/>
      <c r="N19" s="546"/>
      <c r="O19" s="504"/>
    </row>
    <row r="20" spans="1:15" s="72" customFormat="1" ht="10.5" customHeight="1">
      <c r="A20" s="2764" t="s">
        <v>20</v>
      </c>
      <c r="B20" s="2765">
        <v>31</v>
      </c>
      <c r="C20" s="2765">
        <v>14</v>
      </c>
      <c r="D20" s="2765">
        <v>423</v>
      </c>
      <c r="E20" s="546">
        <v>331</v>
      </c>
      <c r="F20" s="2765">
        <v>92</v>
      </c>
      <c r="G20" s="2766">
        <v>83</v>
      </c>
      <c r="J20" s="556"/>
      <c r="K20" s="504"/>
      <c r="L20" s="504"/>
      <c r="M20" s="504"/>
      <c r="N20" s="546"/>
      <c r="O20" s="504"/>
    </row>
    <row r="21" spans="1:15" s="72" customFormat="1" ht="11.25">
      <c r="A21" s="2764" t="s">
        <v>21</v>
      </c>
      <c r="B21" s="2765">
        <v>39</v>
      </c>
      <c r="C21" s="2765">
        <v>46</v>
      </c>
      <c r="D21" s="2765">
        <v>98</v>
      </c>
      <c r="E21" s="546">
        <v>84</v>
      </c>
      <c r="F21" s="2765">
        <v>145</v>
      </c>
      <c r="G21" s="2766">
        <v>169</v>
      </c>
      <c r="J21" s="556"/>
      <c r="K21" s="504"/>
      <c r="L21" s="504"/>
      <c r="M21" s="504"/>
      <c r="N21" s="546"/>
      <c r="O21" s="504"/>
    </row>
    <row r="22" spans="1:15" s="72" customFormat="1" ht="6.75" customHeight="1">
      <c r="A22" s="556"/>
      <c r="B22" s="504"/>
      <c r="C22" s="504"/>
      <c r="D22" s="504"/>
      <c r="E22" s="546"/>
      <c r="F22" s="504"/>
      <c r="J22" s="77"/>
      <c r="K22" s="77"/>
      <c r="L22" s="77"/>
      <c r="N22" s="77"/>
    </row>
    <row r="23" spans="1:15" s="72" customFormat="1" ht="10.5" customHeight="1">
      <c r="A23" s="557" t="s">
        <v>3483</v>
      </c>
      <c r="B23" s="557"/>
      <c r="C23" s="557"/>
      <c r="D23" s="557"/>
      <c r="E23" s="557"/>
      <c r="F23" s="557"/>
      <c r="J23" s="77"/>
      <c r="K23" s="77"/>
      <c r="L23" s="77"/>
      <c r="N23" s="77"/>
    </row>
    <row r="24" spans="1:15" s="72" customFormat="1" ht="10.5" customHeight="1">
      <c r="A24" s="557" t="s">
        <v>3484</v>
      </c>
      <c r="B24" s="557"/>
      <c r="C24" s="557"/>
      <c r="D24" s="557"/>
      <c r="E24" s="557"/>
      <c r="F24" s="557"/>
      <c r="J24" s="77"/>
      <c r="K24" s="77"/>
      <c r="L24" s="77"/>
      <c r="N24" s="77"/>
    </row>
    <row r="25" spans="1:15" s="72" customFormat="1" ht="11.25">
      <c r="A25" s="77" t="s">
        <v>2383</v>
      </c>
      <c r="B25" s="77"/>
      <c r="C25" s="77"/>
      <c r="E25" s="77"/>
    </row>
    <row r="26" spans="1:15" s="72" customFormat="1" ht="11.25">
      <c r="D26" s="77"/>
      <c r="E26" s="77"/>
      <c r="F26" s="77"/>
    </row>
    <row r="28" spans="1:15">
      <c r="G28" s="518"/>
    </row>
    <row r="29" spans="1:15">
      <c r="G29" s="518"/>
    </row>
  </sheetData>
  <mergeCells count="3">
    <mergeCell ref="A2:G2"/>
    <mergeCell ref="A4:A5"/>
    <mergeCell ref="B4:G4"/>
  </mergeCells>
  <pageMargins left="0.7" right="0.7" top="0.75" bottom="0.75" header="0.3" footer="0.3"/>
  <pageSetup paperSize="14" orientation="landscape" r:id="rId1"/>
</worksheet>
</file>

<file path=xl/worksheets/sheet26.xml><?xml version="1.0" encoding="utf-8"?>
<worksheet xmlns="http://schemas.openxmlformats.org/spreadsheetml/2006/main" xmlns:r="http://schemas.openxmlformats.org/officeDocument/2006/relationships">
  <dimension ref="A2:E53"/>
  <sheetViews>
    <sheetView topLeftCell="A31" zoomScaleNormal="100" workbookViewId="0">
      <selection activeCell="B56" sqref="B56"/>
    </sheetView>
  </sheetViews>
  <sheetFormatPr baseColWidth="10" defaultRowHeight="11.25"/>
  <cols>
    <col min="1" max="1" width="22" style="53" customWidth="1"/>
    <col min="2" max="2" width="58.5703125" style="1217" customWidth="1"/>
    <col min="3" max="3" width="28.42578125" style="298" customWidth="1"/>
    <col min="4" max="4" width="20" style="298" customWidth="1"/>
    <col min="5" max="5" width="10.140625" style="53" customWidth="1"/>
    <col min="6" max="16384" width="11.42578125" style="53"/>
  </cols>
  <sheetData>
    <row r="2" spans="1:5" s="148" customFormat="1">
      <c r="A2" s="2063" t="s">
        <v>955</v>
      </c>
      <c r="B2" s="2063"/>
      <c r="C2" s="2063"/>
      <c r="D2" s="2063"/>
      <c r="E2" s="2063"/>
    </row>
    <row r="4" spans="1:5" ht="30" customHeight="1">
      <c r="A4" s="818" t="s">
        <v>0</v>
      </c>
      <c r="B4" s="818" t="s">
        <v>874</v>
      </c>
      <c r="C4" s="818" t="s">
        <v>3876</v>
      </c>
      <c r="D4" s="818" t="s">
        <v>875</v>
      </c>
      <c r="E4" s="818" t="s">
        <v>876</v>
      </c>
    </row>
    <row r="5" spans="1:5" s="150" customFormat="1" ht="22.5">
      <c r="A5" s="1897" t="s">
        <v>11</v>
      </c>
      <c r="B5" s="1897" t="s">
        <v>877</v>
      </c>
      <c r="C5" s="1897" t="s">
        <v>55</v>
      </c>
      <c r="D5" s="1897" t="s">
        <v>878</v>
      </c>
      <c r="E5" s="1898" t="s">
        <v>879</v>
      </c>
    </row>
    <row r="6" spans="1:5" ht="22.5">
      <c r="A6" s="2071" t="s">
        <v>12</v>
      </c>
      <c r="B6" s="1897" t="s">
        <v>880</v>
      </c>
      <c r="C6" s="1897" t="s">
        <v>55</v>
      </c>
      <c r="D6" s="1897" t="s">
        <v>878</v>
      </c>
      <c r="E6" s="1898" t="s">
        <v>879</v>
      </c>
    </row>
    <row r="7" spans="1:5" ht="22.5">
      <c r="A7" s="2072"/>
      <c r="B7" s="1897" t="s">
        <v>881</v>
      </c>
      <c r="C7" s="1897" t="s">
        <v>55</v>
      </c>
      <c r="D7" s="1897" t="s">
        <v>878</v>
      </c>
      <c r="E7" s="1898" t="s">
        <v>879</v>
      </c>
    </row>
    <row r="8" spans="1:5">
      <c r="A8" s="2073"/>
      <c r="B8" s="1897" t="s">
        <v>882</v>
      </c>
      <c r="C8" s="1897" t="s">
        <v>55</v>
      </c>
      <c r="D8" s="1897" t="s">
        <v>883</v>
      </c>
      <c r="E8" s="1898" t="s">
        <v>879</v>
      </c>
    </row>
    <row r="9" spans="1:5" ht="12" customHeight="1">
      <c r="A9" s="2071" t="s">
        <v>884</v>
      </c>
      <c r="B9" s="1897" t="s">
        <v>885</v>
      </c>
      <c r="C9" s="1897" t="s">
        <v>55</v>
      </c>
      <c r="D9" s="1897" t="s">
        <v>878</v>
      </c>
      <c r="E9" s="1898" t="s">
        <v>879</v>
      </c>
    </row>
    <row r="10" spans="1:5" ht="22.5">
      <c r="A10" s="2072"/>
      <c r="B10" s="1897" t="s">
        <v>886</v>
      </c>
      <c r="C10" s="1897" t="s">
        <v>55</v>
      </c>
      <c r="D10" s="1897" t="s">
        <v>878</v>
      </c>
      <c r="E10" s="1898" t="s">
        <v>879</v>
      </c>
    </row>
    <row r="11" spans="1:5" ht="22.5">
      <c r="A11" s="2072"/>
      <c r="B11" s="1897" t="s">
        <v>887</v>
      </c>
      <c r="C11" s="1897" t="s">
        <v>55</v>
      </c>
      <c r="D11" s="1897" t="s">
        <v>878</v>
      </c>
      <c r="E11" s="1898" t="s">
        <v>888</v>
      </c>
    </row>
    <row r="12" spans="1:5" ht="22.5">
      <c r="A12" s="2072"/>
      <c r="B12" s="1897" t="s">
        <v>889</v>
      </c>
      <c r="C12" s="1897" t="s">
        <v>55</v>
      </c>
      <c r="D12" s="1897" t="s">
        <v>878</v>
      </c>
      <c r="E12" s="1898" t="s">
        <v>879</v>
      </c>
    </row>
    <row r="13" spans="1:5" ht="22.5">
      <c r="A13" s="2072"/>
      <c r="B13" s="1897" t="s">
        <v>890</v>
      </c>
      <c r="C13" s="1897" t="s">
        <v>55</v>
      </c>
      <c r="D13" s="1897" t="s">
        <v>878</v>
      </c>
      <c r="E13" s="1898" t="s">
        <v>879</v>
      </c>
    </row>
    <row r="14" spans="1:5" ht="22.5">
      <c r="A14" s="2072"/>
      <c r="B14" s="1897" t="s">
        <v>891</v>
      </c>
      <c r="C14" s="1897" t="s">
        <v>55</v>
      </c>
      <c r="D14" s="1897" t="s">
        <v>878</v>
      </c>
      <c r="E14" s="1898" t="s">
        <v>879</v>
      </c>
    </row>
    <row r="15" spans="1:5" ht="22.5">
      <c r="A15" s="2073"/>
      <c r="B15" s="1897" t="s">
        <v>892</v>
      </c>
      <c r="C15" s="1897" t="s">
        <v>55</v>
      </c>
      <c r="D15" s="1897" t="s">
        <v>878</v>
      </c>
      <c r="E15" s="1898" t="s">
        <v>879</v>
      </c>
    </row>
    <row r="16" spans="1:5" ht="12" customHeight="1">
      <c r="A16" s="2071" t="s">
        <v>893</v>
      </c>
      <c r="B16" s="1897" t="s">
        <v>894</v>
      </c>
      <c r="C16" s="1897" t="s">
        <v>55</v>
      </c>
      <c r="D16" s="1897" t="s">
        <v>878</v>
      </c>
      <c r="E16" s="1898" t="s">
        <v>879</v>
      </c>
    </row>
    <row r="17" spans="1:5" ht="22.5">
      <c r="A17" s="2073"/>
      <c r="B17" s="1897" t="s">
        <v>895</v>
      </c>
      <c r="C17" s="1897" t="s">
        <v>55</v>
      </c>
      <c r="D17" s="1897" t="s">
        <v>878</v>
      </c>
      <c r="E17" s="1898" t="s">
        <v>879</v>
      </c>
    </row>
    <row r="18" spans="1:5">
      <c r="A18" s="2071" t="s">
        <v>16</v>
      </c>
      <c r="B18" s="1897" t="s">
        <v>896</v>
      </c>
      <c r="C18" s="1897" t="s">
        <v>55</v>
      </c>
      <c r="D18" s="1897" t="s">
        <v>883</v>
      </c>
      <c r="E18" s="1898" t="s">
        <v>879</v>
      </c>
    </row>
    <row r="19" spans="1:5" ht="22.5">
      <c r="A19" s="2072"/>
      <c r="B19" s="1897" t="s">
        <v>897</v>
      </c>
      <c r="C19" s="1897" t="s">
        <v>898</v>
      </c>
      <c r="D19" s="1897" t="s">
        <v>878</v>
      </c>
      <c r="E19" s="1898" t="s">
        <v>879</v>
      </c>
    </row>
    <row r="20" spans="1:5" ht="22.5">
      <c r="A20" s="2072"/>
      <c r="B20" s="1897" t="s">
        <v>897</v>
      </c>
      <c r="C20" s="1897" t="s">
        <v>899</v>
      </c>
      <c r="D20" s="1897" t="s">
        <v>878</v>
      </c>
      <c r="E20" s="1898" t="s">
        <v>879</v>
      </c>
    </row>
    <row r="21" spans="1:5" ht="22.5">
      <c r="A21" s="2072"/>
      <c r="B21" s="1897" t="s">
        <v>897</v>
      </c>
      <c r="C21" s="1897" t="s">
        <v>900</v>
      </c>
      <c r="D21" s="1897" t="s">
        <v>878</v>
      </c>
      <c r="E21" s="1898" t="s">
        <v>879</v>
      </c>
    </row>
    <row r="22" spans="1:5" ht="22.5">
      <c r="A22" s="2072"/>
      <c r="B22" s="1897" t="s">
        <v>897</v>
      </c>
      <c r="C22" s="1897" t="s">
        <v>901</v>
      </c>
      <c r="D22" s="1897" t="s">
        <v>878</v>
      </c>
      <c r="E22" s="1898" t="s">
        <v>879</v>
      </c>
    </row>
    <row r="23" spans="1:5" s="150" customFormat="1" ht="22.5">
      <c r="A23" s="2072"/>
      <c r="B23" s="1897" t="s">
        <v>897</v>
      </c>
      <c r="C23" s="1897" t="s">
        <v>902</v>
      </c>
      <c r="D23" s="1897" t="s">
        <v>878</v>
      </c>
      <c r="E23" s="1898" t="s">
        <v>879</v>
      </c>
    </row>
    <row r="24" spans="1:5" ht="22.5">
      <c r="A24" s="2072"/>
      <c r="B24" s="1897" t="s">
        <v>897</v>
      </c>
      <c r="C24" s="1897" t="s">
        <v>903</v>
      </c>
      <c r="D24" s="1897" t="s">
        <v>878</v>
      </c>
      <c r="E24" s="1898" t="s">
        <v>879</v>
      </c>
    </row>
    <row r="25" spans="1:5" ht="22.5">
      <c r="A25" s="2072"/>
      <c r="B25" s="1897" t="s">
        <v>897</v>
      </c>
      <c r="C25" s="1897" t="s">
        <v>904</v>
      </c>
      <c r="D25" s="1897" t="s">
        <v>878</v>
      </c>
      <c r="E25" s="1898" t="s">
        <v>879</v>
      </c>
    </row>
    <row r="26" spans="1:5" ht="22.5">
      <c r="A26" s="2072"/>
      <c r="B26" s="1897" t="s">
        <v>897</v>
      </c>
      <c r="C26" s="1897" t="s">
        <v>905</v>
      </c>
      <c r="D26" s="1897" t="s">
        <v>878</v>
      </c>
      <c r="E26" s="1898" t="s">
        <v>879</v>
      </c>
    </row>
    <row r="27" spans="1:5" ht="22.5">
      <c r="A27" s="2072"/>
      <c r="B27" s="1897" t="s">
        <v>897</v>
      </c>
      <c r="C27" s="1897" t="s">
        <v>906</v>
      </c>
      <c r="D27" s="1897" t="s">
        <v>878</v>
      </c>
      <c r="E27" s="1898" t="s">
        <v>879</v>
      </c>
    </row>
    <row r="28" spans="1:5" ht="22.5">
      <c r="A28" s="2072"/>
      <c r="B28" s="1897" t="s">
        <v>897</v>
      </c>
      <c r="C28" s="1897" t="s">
        <v>907</v>
      </c>
      <c r="D28" s="1897" t="s">
        <v>878</v>
      </c>
      <c r="E28" s="1898" t="s">
        <v>879</v>
      </c>
    </row>
    <row r="29" spans="1:5" ht="22.5">
      <c r="A29" s="2072"/>
      <c r="B29" s="1897" t="s">
        <v>897</v>
      </c>
      <c r="C29" s="1897" t="s">
        <v>908</v>
      </c>
      <c r="D29" s="1897" t="s">
        <v>878</v>
      </c>
      <c r="E29" s="1898" t="s">
        <v>879</v>
      </c>
    </row>
    <row r="30" spans="1:5" s="150" customFormat="1" ht="22.5">
      <c r="A30" s="2072"/>
      <c r="B30" s="1897" t="s">
        <v>897</v>
      </c>
      <c r="C30" s="1897" t="s">
        <v>909</v>
      </c>
      <c r="D30" s="1897" t="s">
        <v>878</v>
      </c>
      <c r="E30" s="1898" t="s">
        <v>879</v>
      </c>
    </row>
    <row r="31" spans="1:5" ht="22.5">
      <c r="A31" s="2072"/>
      <c r="B31" s="1897" t="s">
        <v>897</v>
      </c>
      <c r="C31" s="1897" t="s">
        <v>910</v>
      </c>
      <c r="D31" s="1897" t="s">
        <v>878</v>
      </c>
      <c r="E31" s="1898" t="s">
        <v>879</v>
      </c>
    </row>
    <row r="32" spans="1:5" s="150" customFormat="1" ht="22.5">
      <c r="A32" s="2072"/>
      <c r="B32" s="1897" t="s">
        <v>897</v>
      </c>
      <c r="C32" s="1897" t="s">
        <v>911</v>
      </c>
      <c r="D32" s="1897" t="s">
        <v>878</v>
      </c>
      <c r="E32" s="1898" t="s">
        <v>879</v>
      </c>
    </row>
    <row r="33" spans="1:5">
      <c r="A33" s="2072"/>
      <c r="B33" s="1897" t="s">
        <v>912</v>
      </c>
      <c r="C33" s="1897" t="s">
        <v>55</v>
      </c>
      <c r="D33" s="1897" t="s">
        <v>883</v>
      </c>
      <c r="E33" s="1898" t="s">
        <v>879</v>
      </c>
    </row>
    <row r="34" spans="1:5" ht="22.5">
      <c r="A34" s="2073"/>
      <c r="B34" s="1897" t="s">
        <v>913</v>
      </c>
      <c r="C34" s="1897" t="s">
        <v>55</v>
      </c>
      <c r="D34" s="1897" t="s">
        <v>878</v>
      </c>
      <c r="E34" s="1898" t="s">
        <v>879</v>
      </c>
    </row>
    <row r="35" spans="1:5" ht="22.5">
      <c r="A35" s="1897" t="s">
        <v>914</v>
      </c>
      <c r="B35" s="1897" t="s">
        <v>915</v>
      </c>
      <c r="C35" s="1897" t="s">
        <v>55</v>
      </c>
      <c r="D35" s="1897" t="s">
        <v>878</v>
      </c>
      <c r="E35" s="1898" t="s">
        <v>879</v>
      </c>
    </row>
    <row r="36" spans="1:5" s="150" customFormat="1">
      <c r="A36" s="2071" t="s">
        <v>280</v>
      </c>
      <c r="B36" s="1897" t="s">
        <v>916</v>
      </c>
      <c r="C36" s="1897" t="s">
        <v>55</v>
      </c>
      <c r="D36" s="1897" t="s">
        <v>883</v>
      </c>
      <c r="E36" s="1898" t="s">
        <v>879</v>
      </c>
    </row>
    <row r="37" spans="1:5">
      <c r="A37" s="2072"/>
      <c r="B37" s="1897" t="s">
        <v>917</v>
      </c>
      <c r="C37" s="1897" t="s">
        <v>55</v>
      </c>
      <c r="D37" s="1897" t="s">
        <v>883</v>
      </c>
      <c r="E37" s="1898" t="s">
        <v>879</v>
      </c>
    </row>
    <row r="38" spans="1:5">
      <c r="A38" s="2072"/>
      <c r="B38" s="1897" t="s">
        <v>918</v>
      </c>
      <c r="C38" s="1897" t="s">
        <v>55</v>
      </c>
      <c r="D38" s="1897" t="s">
        <v>883</v>
      </c>
      <c r="E38" s="1898" t="s">
        <v>879</v>
      </c>
    </row>
    <row r="39" spans="1:5" ht="22.5">
      <c r="A39" s="2073"/>
      <c r="B39" s="1897" t="s">
        <v>919</v>
      </c>
      <c r="C39" s="1897" t="s">
        <v>55</v>
      </c>
      <c r="D39" s="1897" t="s">
        <v>878</v>
      </c>
      <c r="E39" s="1898" t="s">
        <v>879</v>
      </c>
    </row>
    <row r="40" spans="1:5" ht="22.5">
      <c r="A40" s="1897" t="s">
        <v>920</v>
      </c>
      <c r="B40" s="1897" t="s">
        <v>921</v>
      </c>
      <c r="C40" s="1897" t="s">
        <v>55</v>
      </c>
      <c r="D40" s="1897" t="s">
        <v>878</v>
      </c>
      <c r="E40" s="1898" t="s">
        <v>879</v>
      </c>
    </row>
    <row r="41" spans="1:5" ht="12" customHeight="1">
      <c r="A41" s="2071" t="s">
        <v>922</v>
      </c>
      <c r="B41" s="1897" t="s">
        <v>923</v>
      </c>
      <c r="C41" s="1897" t="s">
        <v>55</v>
      </c>
      <c r="D41" s="1897" t="s">
        <v>883</v>
      </c>
      <c r="E41" s="1898" t="s">
        <v>879</v>
      </c>
    </row>
    <row r="42" spans="1:5" ht="22.5">
      <c r="A42" s="2072"/>
      <c r="B42" s="1897" t="s">
        <v>924</v>
      </c>
      <c r="C42" s="1897" t="s">
        <v>925</v>
      </c>
      <c r="D42" s="1897" t="s">
        <v>878</v>
      </c>
      <c r="E42" s="1898" t="s">
        <v>879</v>
      </c>
    </row>
    <row r="43" spans="1:5" ht="22.5">
      <c r="A43" s="2072"/>
      <c r="B43" s="1897" t="s">
        <v>924</v>
      </c>
      <c r="C43" s="1897" t="s">
        <v>926</v>
      </c>
      <c r="D43" s="1897" t="s">
        <v>878</v>
      </c>
      <c r="E43" s="1898" t="s">
        <v>879</v>
      </c>
    </row>
    <row r="44" spans="1:5" ht="22.5">
      <c r="A44" s="2072"/>
      <c r="B44" s="1897" t="s">
        <v>924</v>
      </c>
      <c r="C44" s="1897" t="s">
        <v>927</v>
      </c>
      <c r="D44" s="1897" t="s">
        <v>878</v>
      </c>
      <c r="E44" s="1898" t="s">
        <v>879</v>
      </c>
    </row>
    <row r="45" spans="1:5" ht="22.5">
      <c r="A45" s="2072"/>
      <c r="B45" s="1897" t="s">
        <v>924</v>
      </c>
      <c r="C45" s="1897" t="s">
        <v>928</v>
      </c>
      <c r="D45" s="1897" t="s">
        <v>878</v>
      </c>
      <c r="E45" s="1898" t="s">
        <v>879</v>
      </c>
    </row>
    <row r="46" spans="1:5" s="150" customFormat="1" ht="22.5">
      <c r="A46" s="2072"/>
      <c r="B46" s="1897" t="s">
        <v>924</v>
      </c>
      <c r="C46" s="1897" t="s">
        <v>929</v>
      </c>
      <c r="D46" s="1897" t="s">
        <v>878</v>
      </c>
      <c r="E46" s="1898" t="s">
        <v>879</v>
      </c>
    </row>
    <row r="47" spans="1:5" ht="22.5">
      <c r="A47" s="2072"/>
      <c r="B47" s="1897" t="s">
        <v>924</v>
      </c>
      <c r="C47" s="1897" t="s">
        <v>930</v>
      </c>
      <c r="D47" s="1897" t="s">
        <v>878</v>
      </c>
      <c r="E47" s="1898" t="s">
        <v>879</v>
      </c>
    </row>
    <row r="48" spans="1:5" s="150" customFormat="1" ht="22.5">
      <c r="A48" s="2072"/>
      <c r="B48" s="1897" t="s">
        <v>924</v>
      </c>
      <c r="C48" s="1897" t="s">
        <v>931</v>
      </c>
      <c r="D48" s="1897" t="s">
        <v>878</v>
      </c>
      <c r="E48" s="1898" t="s">
        <v>879</v>
      </c>
    </row>
    <row r="49" spans="1:5" ht="22.5">
      <c r="A49" s="2073"/>
      <c r="B49" s="1897" t="s">
        <v>932</v>
      </c>
      <c r="C49" s="1897" t="s">
        <v>55</v>
      </c>
      <c r="D49" s="1897" t="s">
        <v>878</v>
      </c>
      <c r="E49" s="1898" t="s">
        <v>879</v>
      </c>
    </row>
    <row r="50" spans="1:5" ht="7.5" customHeight="1"/>
    <row r="51" spans="1:5" ht="23.25" customHeight="1">
      <c r="A51" s="2069" t="s">
        <v>3877</v>
      </c>
      <c r="B51" s="2069"/>
      <c r="C51" s="2069"/>
      <c r="D51" s="2069"/>
      <c r="E51" s="2069"/>
    </row>
    <row r="52" spans="1:5">
      <c r="A52" s="2069" t="s">
        <v>149</v>
      </c>
      <c r="B52" s="2069"/>
      <c r="C52" s="2069"/>
      <c r="D52" s="2069"/>
      <c r="E52" s="2069"/>
    </row>
    <row r="53" spans="1:5" ht="12">
      <c r="A53" s="2056" t="s">
        <v>4641</v>
      </c>
      <c r="B53" s="2070"/>
      <c r="C53" s="2070"/>
      <c r="D53" s="2070"/>
      <c r="E53" s="2070"/>
    </row>
  </sheetData>
  <mergeCells count="10">
    <mergeCell ref="A2:E2"/>
    <mergeCell ref="A51:E51"/>
    <mergeCell ref="A52:E52"/>
    <mergeCell ref="A53:E53"/>
    <mergeCell ref="A6:A8"/>
    <mergeCell ref="A9:A15"/>
    <mergeCell ref="A16:A17"/>
    <mergeCell ref="A18:A34"/>
    <mergeCell ref="A36:A39"/>
    <mergeCell ref="A41:A49"/>
  </mergeCells>
  <pageMargins left="0.7" right="0.7" top="0.75" bottom="0.75" header="0.3" footer="0.3"/>
</worksheet>
</file>

<file path=xl/worksheets/sheet260.xml><?xml version="1.0" encoding="utf-8"?>
<worksheet xmlns="http://schemas.openxmlformats.org/spreadsheetml/2006/main" xmlns:r="http://schemas.openxmlformats.org/officeDocument/2006/relationships">
  <dimension ref="A1:I12"/>
  <sheetViews>
    <sheetView zoomScaleNormal="100" workbookViewId="0">
      <selection activeCell="A21" sqref="A21"/>
    </sheetView>
  </sheetViews>
  <sheetFormatPr baseColWidth="10" defaultRowHeight="12"/>
  <cols>
    <col min="1" max="1" width="34.7109375" style="84" customWidth="1"/>
    <col min="2" max="4" width="16.5703125" style="84" customWidth="1"/>
    <col min="5" max="16384" width="11.42578125" style="84"/>
  </cols>
  <sheetData>
    <row r="1" spans="1:9">
      <c r="A1" s="511"/>
    </row>
    <row r="2" spans="1:9" s="72" customFormat="1" ht="28.5" customHeight="1">
      <c r="A2" s="2567" t="s">
        <v>4627</v>
      </c>
      <c r="B2" s="2567"/>
      <c r="C2" s="2567"/>
      <c r="D2" s="2567"/>
      <c r="E2" s="78"/>
      <c r="F2" s="77"/>
      <c r="G2" s="77"/>
      <c r="H2" s="77"/>
      <c r="I2" s="77"/>
    </row>
    <row r="3" spans="1:9" s="72" customFormat="1" ht="11.25">
      <c r="E3" s="77"/>
      <c r="F3" s="77"/>
      <c r="G3" s="77"/>
      <c r="H3" s="77"/>
      <c r="I3" s="77"/>
    </row>
    <row r="4" spans="1:9" s="500" customFormat="1" ht="18" customHeight="1">
      <c r="A4" s="2756" t="s">
        <v>2359</v>
      </c>
      <c r="B4" s="2756" t="s">
        <v>2384</v>
      </c>
      <c r="C4" s="2756"/>
      <c r="D4" s="2756"/>
    </row>
    <row r="5" spans="1:9" s="500" customFormat="1" ht="18" customHeight="1">
      <c r="A5" s="2756"/>
      <c r="B5" s="2758" t="s">
        <v>26</v>
      </c>
      <c r="C5" s="2758" t="s">
        <v>163</v>
      </c>
      <c r="D5" s="2758" t="s">
        <v>164</v>
      </c>
    </row>
    <row r="6" spans="1:9" s="72" customFormat="1" ht="11.25">
      <c r="A6" s="2755" t="s">
        <v>679</v>
      </c>
      <c r="B6" s="1227">
        <f>SUM(B7:B9)</f>
        <v>176255</v>
      </c>
      <c r="C6" s="1227">
        <f>SUM(C7:C9)</f>
        <v>90034</v>
      </c>
      <c r="D6" s="1227">
        <f>SUM(D7:D9)</f>
        <v>86221</v>
      </c>
      <c r="E6" s="77"/>
      <c r="F6" s="545"/>
      <c r="H6" s="549"/>
      <c r="I6" s="549"/>
    </row>
    <row r="7" spans="1:9" s="72" customFormat="1" ht="11.25">
      <c r="A7" s="87" t="s">
        <v>1922</v>
      </c>
      <c r="B7" s="507">
        <f>SUM(C7:D7)</f>
        <v>159630</v>
      </c>
      <c r="C7" s="512">
        <v>80567</v>
      </c>
      <c r="D7" s="512">
        <v>79063</v>
      </c>
      <c r="E7" s="77"/>
      <c r="F7" s="77"/>
      <c r="H7" s="512"/>
      <c r="I7" s="512"/>
    </row>
    <row r="8" spans="1:9" s="72" customFormat="1" ht="11.25">
      <c r="A8" s="87" t="s">
        <v>2363</v>
      </c>
      <c r="B8" s="507">
        <f>SUM(C8:D8)</f>
        <v>12601</v>
      </c>
      <c r="C8" s="512">
        <v>6965</v>
      </c>
      <c r="D8" s="512">
        <v>5636</v>
      </c>
      <c r="E8" s="77"/>
      <c r="F8" s="77"/>
      <c r="H8" s="512"/>
      <c r="I8" s="512"/>
    </row>
    <row r="9" spans="1:9" s="72" customFormat="1" ht="11.25">
      <c r="A9" s="87" t="s">
        <v>2385</v>
      </c>
      <c r="B9" s="507">
        <f>SUM(C9:D9)</f>
        <v>4024</v>
      </c>
      <c r="C9" s="512">
        <v>2502</v>
      </c>
      <c r="D9" s="512">
        <v>1522</v>
      </c>
      <c r="E9" s="77"/>
      <c r="F9" s="77"/>
      <c r="H9" s="512"/>
      <c r="I9" s="512"/>
    </row>
    <row r="10" spans="1:9" s="72" customFormat="1" ht="6.75" customHeight="1"/>
    <row r="11" spans="1:9" s="72" customFormat="1" ht="10.5" customHeight="1">
      <c r="A11" s="2566" t="s">
        <v>2374</v>
      </c>
      <c r="B11" s="2566"/>
      <c r="C11" s="2566"/>
      <c r="D11" s="2566"/>
      <c r="E11" s="77"/>
    </row>
    <row r="12" spans="1:9" s="72" customFormat="1" ht="11.25">
      <c r="E12" s="77"/>
      <c r="F12" s="77"/>
    </row>
  </sheetData>
  <mergeCells count="4">
    <mergeCell ref="A2:D2"/>
    <mergeCell ref="A4:A5"/>
    <mergeCell ref="B4:D4"/>
    <mergeCell ref="A11:D11"/>
  </mergeCells>
  <pageMargins left="0.7" right="0.7" top="0.75" bottom="0.75" header="0.3" footer="0.3"/>
  <pageSetup paperSize="14" orientation="landscape" r:id="rId1"/>
</worksheet>
</file>

<file path=xl/worksheets/sheet261.xml><?xml version="1.0" encoding="utf-8"?>
<worksheet xmlns="http://schemas.openxmlformats.org/spreadsheetml/2006/main" xmlns:r="http://schemas.openxmlformats.org/officeDocument/2006/relationships">
  <dimension ref="A1:K13"/>
  <sheetViews>
    <sheetView zoomScaleNormal="100" workbookViewId="0">
      <selection activeCell="B24" sqref="B24"/>
    </sheetView>
  </sheetViews>
  <sheetFormatPr baseColWidth="10" defaultRowHeight="12"/>
  <cols>
    <col min="1" max="1" width="30.7109375" style="84" customWidth="1"/>
    <col min="2" max="16384" width="11.42578125" style="84"/>
  </cols>
  <sheetData>
    <row r="1" spans="1:11">
      <c r="A1" s="511"/>
    </row>
    <row r="2" spans="1:11" s="72" customFormat="1" ht="23.25" customHeight="1">
      <c r="A2" s="2567" t="s">
        <v>2386</v>
      </c>
      <c r="B2" s="2567"/>
      <c r="C2" s="2567"/>
      <c r="D2" s="2567"/>
      <c r="E2" s="2567"/>
      <c r="F2" s="2567"/>
      <c r="G2" s="77"/>
      <c r="H2" s="77"/>
      <c r="I2" s="77"/>
      <c r="J2" s="77"/>
      <c r="K2" s="543"/>
    </row>
    <row r="3" spans="1:11" s="72" customFormat="1">
      <c r="A3" s="73"/>
      <c r="B3" s="78"/>
      <c r="C3" s="78"/>
      <c r="D3" s="78"/>
      <c r="E3" s="78"/>
      <c r="F3" s="78"/>
      <c r="G3" s="77"/>
      <c r="H3" s="543"/>
      <c r="I3" s="543"/>
      <c r="J3" s="543"/>
      <c r="K3" s="543"/>
    </row>
    <row r="4" spans="1:11" s="500" customFormat="1" ht="15" customHeight="1">
      <c r="A4" s="2762" t="s">
        <v>2359</v>
      </c>
      <c r="B4" s="2762" t="s">
        <v>2387</v>
      </c>
      <c r="C4" s="2762"/>
      <c r="D4" s="2762"/>
      <c r="E4" s="2762"/>
      <c r="F4" s="2762"/>
    </row>
    <row r="5" spans="1:11" s="500" customFormat="1" ht="15" customHeight="1">
      <c r="A5" s="2762"/>
      <c r="B5" s="2767">
        <v>2010</v>
      </c>
      <c r="C5" s="2767">
        <v>2011</v>
      </c>
      <c r="D5" s="2767">
        <v>2012</v>
      </c>
      <c r="E5" s="2758">
        <v>2013</v>
      </c>
      <c r="F5" s="2767">
        <v>2014</v>
      </c>
      <c r="H5" s="544"/>
      <c r="I5" s="544"/>
      <c r="J5" s="544"/>
    </row>
    <row r="6" spans="1:11" s="72" customFormat="1" ht="11.25">
      <c r="A6" s="2755" t="s">
        <v>679</v>
      </c>
      <c r="B6" s="2768">
        <f>SUM(B7:B9)</f>
        <v>287</v>
      </c>
      <c r="C6" s="2768">
        <f>SUM(C7:C9)</f>
        <v>184</v>
      </c>
      <c r="D6" s="2768">
        <f>SUM(D7:D9)</f>
        <v>215</v>
      </c>
      <c r="E6" s="2768">
        <f>SUM(E7:E9)</f>
        <v>173</v>
      </c>
      <c r="F6" s="2768">
        <f>SUM(F7:F9)</f>
        <v>213</v>
      </c>
      <c r="G6" s="545"/>
      <c r="H6" s="77"/>
      <c r="I6" s="77"/>
      <c r="J6" s="77"/>
      <c r="K6" s="77"/>
    </row>
    <row r="7" spans="1:11" s="72" customFormat="1" ht="11.25">
      <c r="A7" s="87" t="s">
        <v>1922</v>
      </c>
      <c r="B7" s="87">
        <v>274</v>
      </c>
      <c r="C7" s="87">
        <v>174</v>
      </c>
      <c r="D7" s="546">
        <v>192</v>
      </c>
      <c r="E7" s="87">
        <v>157</v>
      </c>
      <c r="F7" s="87">
        <v>182</v>
      </c>
      <c r="G7" s="77"/>
      <c r="H7" s="77"/>
      <c r="I7" s="77"/>
      <c r="J7" s="546"/>
      <c r="K7" s="77"/>
    </row>
    <row r="8" spans="1:11" s="72" customFormat="1" ht="10.5" customHeight="1">
      <c r="A8" s="87" t="s">
        <v>2363</v>
      </c>
      <c r="B8" s="87">
        <v>12</v>
      </c>
      <c r="C8" s="87">
        <v>1</v>
      </c>
      <c r="D8" s="546">
        <v>19</v>
      </c>
      <c r="E8" s="87">
        <v>16</v>
      </c>
      <c r="F8" s="87">
        <v>19</v>
      </c>
      <c r="G8" s="77"/>
      <c r="H8" s="77"/>
      <c r="I8" s="77"/>
      <c r="J8" s="546"/>
      <c r="K8" s="77"/>
    </row>
    <row r="9" spans="1:11" s="72" customFormat="1" ht="11.25">
      <c r="A9" s="87" t="s">
        <v>2385</v>
      </c>
      <c r="B9" s="87">
        <v>1</v>
      </c>
      <c r="C9" s="87">
        <v>9</v>
      </c>
      <c r="D9" s="546">
        <v>4</v>
      </c>
      <c r="E9" s="546" t="s">
        <v>55</v>
      </c>
      <c r="F9" s="87">
        <v>12</v>
      </c>
      <c r="G9" s="77"/>
      <c r="H9" s="77"/>
      <c r="I9" s="77"/>
      <c r="J9" s="546"/>
      <c r="K9" s="547"/>
    </row>
    <row r="10" spans="1:11" s="72" customFormat="1" ht="7.5" customHeight="1">
      <c r="D10" s="546"/>
      <c r="E10" s="547"/>
      <c r="G10" s="77"/>
      <c r="H10" s="77"/>
      <c r="I10" s="77"/>
      <c r="J10" s="546"/>
      <c r="K10" s="547"/>
    </row>
    <row r="11" spans="1:11" s="72" customFormat="1" ht="11.25" customHeight="1">
      <c r="A11" s="548" t="s">
        <v>149</v>
      </c>
      <c r="D11" s="546"/>
      <c r="E11" s="547"/>
      <c r="G11" s="77"/>
      <c r="H11" s="77"/>
      <c r="I11" s="77"/>
      <c r="J11" s="546"/>
      <c r="K11" s="547"/>
    </row>
    <row r="12" spans="1:11" s="72" customFormat="1" ht="23.25" customHeight="1">
      <c r="A12" s="2566" t="s">
        <v>2374</v>
      </c>
      <c r="B12" s="2566"/>
      <c r="C12" s="2566"/>
      <c r="D12" s="2566"/>
      <c r="E12" s="2566"/>
      <c r="G12" s="77"/>
      <c r="H12" s="77"/>
      <c r="I12" s="77"/>
      <c r="J12" s="77"/>
      <c r="K12" s="77"/>
    </row>
    <row r="13" spans="1:11" s="72" customFormat="1" ht="11.25"/>
  </sheetData>
  <mergeCells count="4">
    <mergeCell ref="A2:F2"/>
    <mergeCell ref="A4:A5"/>
    <mergeCell ref="B4:F4"/>
    <mergeCell ref="A12:E12"/>
  </mergeCells>
  <pageMargins left="0.7" right="0.7" top="0.75" bottom="0.75" header="0.3" footer="0.3"/>
  <pageSetup paperSize="14" orientation="landscape" r:id="rId1"/>
</worksheet>
</file>

<file path=xl/worksheets/sheet262.xml><?xml version="1.0" encoding="utf-8"?>
<worksheet xmlns="http://schemas.openxmlformats.org/spreadsheetml/2006/main" xmlns:r="http://schemas.openxmlformats.org/officeDocument/2006/relationships">
  <dimension ref="A1:K17"/>
  <sheetViews>
    <sheetView zoomScaleNormal="100" workbookViewId="0">
      <selection activeCell="E31" sqref="E31"/>
    </sheetView>
  </sheetViews>
  <sheetFormatPr baseColWidth="10" defaultRowHeight="12"/>
  <cols>
    <col min="1" max="1" width="36.140625" style="84" customWidth="1"/>
    <col min="2" max="3" width="15.28515625" style="84" customWidth="1"/>
    <col min="4" max="16384" width="11.42578125" style="84"/>
  </cols>
  <sheetData>
    <row r="1" spans="1:11">
      <c r="A1" s="511"/>
    </row>
    <row r="2" spans="1:11" s="72" customFormat="1" ht="24.75" customHeight="1">
      <c r="A2" s="2568" t="s">
        <v>3257</v>
      </c>
      <c r="B2" s="2568"/>
      <c r="C2" s="2568"/>
      <c r="D2" s="2568"/>
      <c r="E2" s="75"/>
      <c r="F2" s="75"/>
      <c r="G2" s="76"/>
      <c r="H2" s="71"/>
      <c r="I2" s="71"/>
      <c r="J2" s="71"/>
      <c r="K2" s="71"/>
    </row>
    <row r="3" spans="1:11" s="72" customFormat="1" ht="11.25" customHeight="1">
      <c r="A3" s="534"/>
      <c r="B3" s="534"/>
      <c r="C3" s="534"/>
      <c r="D3" s="75"/>
      <c r="E3" s="75"/>
      <c r="F3" s="75"/>
      <c r="G3" s="76"/>
      <c r="H3" s="71"/>
      <c r="I3" s="71"/>
      <c r="J3" s="71"/>
      <c r="K3" s="71"/>
    </row>
    <row r="4" spans="1:11" s="500" customFormat="1" ht="19.5" customHeight="1">
      <c r="A4" s="2762" t="s">
        <v>2388</v>
      </c>
      <c r="B4" s="2772" t="s">
        <v>2389</v>
      </c>
      <c r="C4" s="2772"/>
      <c r="D4" s="2772"/>
      <c r="E4" s="535"/>
      <c r="F4" s="535"/>
    </row>
    <row r="5" spans="1:11" s="500" customFormat="1" ht="19.5" customHeight="1">
      <c r="A5" s="2762"/>
      <c r="B5" s="2773">
        <v>2012</v>
      </c>
      <c r="C5" s="2758">
        <v>2013</v>
      </c>
      <c r="D5" s="2773">
        <v>2014</v>
      </c>
      <c r="E5" s="536"/>
      <c r="J5" s="536"/>
    </row>
    <row r="6" spans="1:11" s="72" customFormat="1" ht="11.25">
      <c r="A6" s="675" t="s">
        <v>6</v>
      </c>
      <c r="B6" s="2769">
        <f>SUM(B7:B12)</f>
        <v>1374</v>
      </c>
      <c r="C6" s="2769">
        <f>SUM(C7:C12)</f>
        <v>9876</v>
      </c>
      <c r="D6" s="2769">
        <f>SUM(D7:D12)</f>
        <v>9826</v>
      </c>
      <c r="E6" s="537"/>
      <c r="F6" s="537"/>
      <c r="G6" s="537"/>
      <c r="H6" s="531"/>
      <c r="J6" s="537"/>
      <c r="K6" s="537"/>
    </row>
    <row r="7" spans="1:11" s="72" customFormat="1" ht="11.25">
      <c r="A7" s="539" t="s">
        <v>2390</v>
      </c>
      <c r="B7" s="2770">
        <v>83</v>
      </c>
      <c r="C7" s="2771">
        <v>738</v>
      </c>
      <c r="D7" s="87">
        <f>38*15</f>
        <v>570</v>
      </c>
      <c r="E7" s="538"/>
      <c r="F7" s="77"/>
      <c r="G7" s="538"/>
      <c r="H7" s="531"/>
      <c r="J7" s="538"/>
      <c r="K7" s="77"/>
    </row>
    <row r="8" spans="1:11" s="72" customFormat="1" ht="11.25">
      <c r="A8" s="539" t="s">
        <v>2391</v>
      </c>
      <c r="B8" s="2770">
        <v>348</v>
      </c>
      <c r="C8" s="2771">
        <v>7180</v>
      </c>
      <c r="D8" s="2765">
        <v>7920</v>
      </c>
      <c r="E8" s="538"/>
      <c r="F8" s="77"/>
      <c r="G8" s="538"/>
      <c r="H8" s="531"/>
      <c r="J8" s="538"/>
      <c r="K8" s="77"/>
    </row>
    <row r="9" spans="1:11" s="72" customFormat="1" ht="11.25">
      <c r="A9" s="539" t="s">
        <v>2392</v>
      </c>
      <c r="B9" s="2770">
        <v>192</v>
      </c>
      <c r="C9" s="2771">
        <v>360</v>
      </c>
      <c r="D9" s="87">
        <v>384</v>
      </c>
      <c r="E9" s="538"/>
      <c r="F9" s="77"/>
      <c r="G9" s="538"/>
      <c r="H9" s="531"/>
      <c r="J9" s="538"/>
      <c r="K9" s="77"/>
    </row>
    <row r="10" spans="1:11" s="72" customFormat="1" ht="12.75">
      <c r="A10" s="539" t="s">
        <v>3478</v>
      </c>
      <c r="B10" s="2770" t="s">
        <v>55</v>
      </c>
      <c r="C10" s="2771">
        <v>455</v>
      </c>
      <c r="D10" s="546" t="s">
        <v>55</v>
      </c>
      <c r="E10" s="538"/>
      <c r="F10" s="77"/>
      <c r="G10" s="538"/>
      <c r="H10" s="531"/>
      <c r="J10" s="538"/>
      <c r="K10" s="77"/>
    </row>
    <row r="11" spans="1:11" s="72" customFormat="1" ht="11.25">
      <c r="A11" s="539" t="s">
        <v>2393</v>
      </c>
      <c r="B11" s="2770">
        <v>142</v>
      </c>
      <c r="C11" s="2771">
        <v>142</v>
      </c>
      <c r="D11" s="545">
        <v>142</v>
      </c>
      <c r="E11" s="538"/>
      <c r="F11" s="77"/>
      <c r="G11" s="538"/>
      <c r="H11" s="77"/>
      <c r="I11" s="77"/>
      <c r="J11" s="538"/>
      <c r="K11" s="77"/>
    </row>
    <row r="12" spans="1:11" s="72" customFormat="1" ht="11.25">
      <c r="A12" s="539" t="s">
        <v>2394</v>
      </c>
      <c r="B12" s="2770">
        <v>609</v>
      </c>
      <c r="C12" s="2771">
        <v>1001</v>
      </c>
      <c r="D12" s="545">
        <v>810</v>
      </c>
      <c r="E12" s="538"/>
      <c r="F12" s="77"/>
      <c r="G12" s="538"/>
      <c r="H12" s="77"/>
      <c r="I12" s="77"/>
      <c r="J12" s="538"/>
      <c r="K12" s="77"/>
    </row>
    <row r="13" spans="1:11" s="72" customFormat="1" ht="9" customHeight="1">
      <c r="A13" s="539"/>
      <c r="B13" s="540"/>
      <c r="C13" s="541"/>
      <c r="D13" s="77"/>
      <c r="E13" s="538"/>
      <c r="F13" s="77"/>
      <c r="G13" s="538"/>
      <c r="H13" s="77"/>
      <c r="I13" s="77"/>
      <c r="J13" s="538"/>
      <c r="K13" s="77"/>
    </row>
    <row r="14" spans="1:11" s="72" customFormat="1" ht="21.75" customHeight="1">
      <c r="A14" s="2566" t="s">
        <v>3479</v>
      </c>
      <c r="B14" s="2566"/>
      <c r="C14" s="2566"/>
      <c r="D14" s="2566"/>
      <c r="E14" s="77"/>
      <c r="F14" s="502"/>
      <c r="G14" s="502"/>
      <c r="H14" s="77"/>
      <c r="I14" s="77"/>
      <c r="J14" s="77"/>
      <c r="K14" s="77"/>
    </row>
    <row r="15" spans="1:11" s="72" customFormat="1" ht="21.75" customHeight="1">
      <c r="A15" s="2566" t="s">
        <v>3480</v>
      </c>
      <c r="B15" s="2566"/>
      <c r="C15" s="2566"/>
      <c r="D15" s="2566"/>
      <c r="E15" s="77"/>
      <c r="F15" s="502"/>
      <c r="H15" s="77"/>
      <c r="I15" s="77"/>
      <c r="J15" s="77"/>
      <c r="K15" s="77"/>
    </row>
    <row r="16" spans="1:11" s="72" customFormat="1" ht="11.25">
      <c r="A16" s="2566" t="s">
        <v>149</v>
      </c>
      <c r="B16" s="2566"/>
      <c r="C16" s="2566"/>
      <c r="D16" s="502"/>
      <c r="E16" s="77"/>
      <c r="F16" s="502"/>
      <c r="H16" s="77"/>
      <c r="I16" s="77"/>
      <c r="J16" s="77"/>
      <c r="K16" s="77"/>
    </row>
    <row r="17" spans="1:6" s="72" customFormat="1" ht="11.25">
      <c r="A17" s="72" t="s">
        <v>2380</v>
      </c>
      <c r="B17" s="542"/>
      <c r="C17" s="77"/>
      <c r="D17" s="77"/>
      <c r="E17" s="77"/>
      <c r="F17" s="77"/>
    </row>
  </sheetData>
  <mergeCells count="6">
    <mergeCell ref="A16:C16"/>
    <mergeCell ref="A2:D2"/>
    <mergeCell ref="A4:A5"/>
    <mergeCell ref="B4:D4"/>
    <mergeCell ref="A14:D14"/>
    <mergeCell ref="A15:D15"/>
  </mergeCells>
  <pageMargins left="0.7" right="0.7" top="0.75" bottom="0.75" header="0.3" footer="0.3"/>
  <pageSetup paperSize="14" orientation="landscape" r:id="rId1"/>
</worksheet>
</file>

<file path=xl/worksheets/sheet263.xml><?xml version="1.0" encoding="utf-8"?>
<worksheet xmlns="http://schemas.openxmlformats.org/spreadsheetml/2006/main" xmlns:r="http://schemas.openxmlformats.org/officeDocument/2006/relationships">
  <dimension ref="A1:I34"/>
  <sheetViews>
    <sheetView zoomScaleNormal="100" workbookViewId="0">
      <selection activeCell="B37" sqref="B37"/>
    </sheetView>
  </sheetViews>
  <sheetFormatPr baseColWidth="10" defaultRowHeight="12"/>
  <cols>
    <col min="1" max="1" width="49.85546875" style="84" customWidth="1"/>
    <col min="2" max="4" width="11.42578125" style="84"/>
    <col min="5" max="5" width="13.42578125" style="84" customWidth="1"/>
    <col min="6" max="16384" width="11.42578125" style="84"/>
  </cols>
  <sheetData>
    <row r="1" spans="1:9">
      <c r="A1" s="511"/>
    </row>
    <row r="2" spans="1:9" s="72" customFormat="1" ht="27" customHeight="1">
      <c r="A2" s="2565" t="s">
        <v>3256</v>
      </c>
      <c r="B2" s="2565"/>
      <c r="C2" s="2565"/>
      <c r="D2" s="2565"/>
      <c r="E2" s="2565"/>
      <c r="F2" s="73"/>
      <c r="G2" s="74"/>
      <c r="H2" s="76"/>
      <c r="I2" s="74"/>
    </row>
    <row r="3" spans="1:9" s="72" customFormat="1" ht="11.25">
      <c r="E3" s="77"/>
      <c r="F3" s="77"/>
      <c r="G3" s="77"/>
      <c r="H3" s="77"/>
      <c r="I3" s="77"/>
    </row>
    <row r="4" spans="1:9" s="72" customFormat="1" ht="16.5" customHeight="1">
      <c r="A4" s="2756" t="s">
        <v>3475</v>
      </c>
      <c r="B4" s="2756" t="s">
        <v>2395</v>
      </c>
      <c r="C4" s="2756"/>
      <c r="D4" s="2756"/>
      <c r="E4" s="2756"/>
      <c r="F4" s="77"/>
      <c r="H4" s="525"/>
    </row>
    <row r="5" spans="1:9" s="72" customFormat="1" ht="16.5" customHeight="1">
      <c r="A5" s="2756"/>
      <c r="B5" s="2758">
        <v>2011</v>
      </c>
      <c r="C5" s="2006">
        <v>2012</v>
      </c>
      <c r="D5" s="2758">
        <v>2013</v>
      </c>
      <c r="E5" s="2758">
        <v>2014</v>
      </c>
      <c r="G5" s="527"/>
      <c r="I5" s="527"/>
    </row>
    <row r="6" spans="1:9" s="72" customFormat="1" ht="11.25">
      <c r="A6" s="2755" t="s">
        <v>679</v>
      </c>
      <c r="B6" s="755">
        <f>SUM(B7:B29)</f>
        <v>267920</v>
      </c>
      <c r="C6" s="755">
        <f>SUM(C7:C29)</f>
        <v>768870</v>
      </c>
      <c r="D6" s="755">
        <f>SUM(D7:D29)</f>
        <v>902015</v>
      </c>
      <c r="E6" s="755">
        <f>SUM(E7:E29)</f>
        <v>1019810</v>
      </c>
      <c r="F6" s="527"/>
      <c r="G6" s="528"/>
      <c r="I6" s="504"/>
    </row>
    <row r="7" spans="1:9" s="72" customFormat="1" ht="11.25">
      <c r="A7" s="79" t="s">
        <v>2396</v>
      </c>
      <c r="B7" s="2774">
        <v>3455</v>
      </c>
      <c r="C7" s="529">
        <v>3992</v>
      </c>
      <c r="D7" s="2765">
        <v>5813</v>
      </c>
      <c r="E7" s="529">
        <v>6187</v>
      </c>
      <c r="F7" s="504"/>
      <c r="G7" s="528"/>
      <c r="I7" s="504"/>
    </row>
    <row r="8" spans="1:9" s="72" customFormat="1" ht="11.25">
      <c r="A8" s="545" t="s">
        <v>2391</v>
      </c>
      <c r="B8" s="2774">
        <v>180378</v>
      </c>
      <c r="C8" s="529">
        <v>181267</v>
      </c>
      <c r="D8" s="2765">
        <v>203062</v>
      </c>
      <c r="E8" s="529">
        <v>237446</v>
      </c>
      <c r="F8" s="504"/>
      <c r="G8" s="528"/>
      <c r="I8" s="504"/>
    </row>
    <row r="9" spans="1:9" s="72" customFormat="1" ht="11.25">
      <c r="A9" s="79" t="s">
        <v>2397</v>
      </c>
      <c r="B9" s="2774">
        <v>176</v>
      </c>
      <c r="C9" s="529">
        <v>128</v>
      </c>
      <c r="D9" s="2765">
        <v>126</v>
      </c>
      <c r="E9" s="529">
        <v>128</v>
      </c>
      <c r="F9" s="504"/>
      <c r="G9" s="528"/>
      <c r="I9" s="504"/>
    </row>
    <row r="10" spans="1:9" s="72" customFormat="1" ht="11.25">
      <c r="A10" s="79" t="s">
        <v>2392</v>
      </c>
      <c r="B10" s="2774">
        <v>3706</v>
      </c>
      <c r="C10" s="529">
        <v>5438</v>
      </c>
      <c r="D10" s="2765">
        <v>8008</v>
      </c>
      <c r="E10" s="529">
        <v>7033</v>
      </c>
      <c r="F10" s="504"/>
      <c r="G10" s="528"/>
      <c r="I10" s="504"/>
    </row>
    <row r="11" spans="1:9" s="72" customFormat="1" ht="11.25">
      <c r="A11" s="545" t="s">
        <v>2390</v>
      </c>
      <c r="B11" s="2774">
        <v>11910</v>
      </c>
      <c r="C11" s="529">
        <v>13185</v>
      </c>
      <c r="D11" s="2765">
        <v>24699</v>
      </c>
      <c r="E11" s="529">
        <v>25801</v>
      </c>
      <c r="F11" s="504"/>
      <c r="G11" s="528"/>
      <c r="I11" s="504"/>
    </row>
    <row r="12" spans="1:9" s="72" customFormat="1" ht="11.25">
      <c r="A12" s="545" t="s">
        <v>2398</v>
      </c>
      <c r="B12" s="2775" t="s">
        <v>55</v>
      </c>
      <c r="C12" s="529" t="s">
        <v>55</v>
      </c>
      <c r="D12" s="2765">
        <v>1360</v>
      </c>
      <c r="E12" s="529" t="s">
        <v>55</v>
      </c>
      <c r="F12" s="504"/>
      <c r="G12" s="528"/>
      <c r="I12" s="504"/>
    </row>
    <row r="13" spans="1:9" s="72" customFormat="1" ht="11.25">
      <c r="A13" s="545" t="s">
        <v>2399</v>
      </c>
      <c r="B13" s="2774">
        <v>48695</v>
      </c>
      <c r="C13" s="529">
        <v>131406</v>
      </c>
      <c r="D13" s="2765">
        <v>110016</v>
      </c>
      <c r="E13" s="529">
        <v>19719</v>
      </c>
      <c r="F13" s="504"/>
      <c r="I13" s="504"/>
    </row>
    <row r="14" spans="1:9" s="72" customFormat="1" ht="11.25">
      <c r="A14" s="79" t="s">
        <v>2400</v>
      </c>
      <c r="B14" s="2775" t="s">
        <v>55</v>
      </c>
      <c r="C14" s="529">
        <v>11566</v>
      </c>
      <c r="D14" s="2765">
        <v>10484</v>
      </c>
      <c r="E14" s="529">
        <v>10707</v>
      </c>
      <c r="F14" s="504"/>
      <c r="H14" s="529"/>
      <c r="I14" s="504"/>
    </row>
    <row r="15" spans="1:9" s="72" customFormat="1" ht="11.25">
      <c r="A15" s="545" t="s">
        <v>2401</v>
      </c>
      <c r="B15" s="2775" t="s">
        <v>55</v>
      </c>
      <c r="C15" s="529">
        <v>24302</v>
      </c>
      <c r="D15" s="2765">
        <v>28351</v>
      </c>
      <c r="E15" s="529">
        <v>29430</v>
      </c>
      <c r="F15" s="504"/>
      <c r="H15" s="529"/>
      <c r="I15" s="530"/>
    </row>
    <row r="16" spans="1:9" s="72" customFormat="1" ht="11.25">
      <c r="A16" s="545" t="s">
        <v>2402</v>
      </c>
      <c r="B16" s="2775" t="s">
        <v>55</v>
      </c>
      <c r="C16" s="529">
        <v>37055</v>
      </c>
      <c r="D16" s="2771">
        <v>41178</v>
      </c>
      <c r="E16" s="529">
        <v>53194</v>
      </c>
      <c r="F16" s="530"/>
      <c r="H16" s="529"/>
      <c r="I16" s="530"/>
    </row>
    <row r="17" spans="1:9" s="72" customFormat="1" ht="11.25">
      <c r="A17" s="545" t="s">
        <v>2403</v>
      </c>
      <c r="B17" s="2775" t="s">
        <v>55</v>
      </c>
      <c r="C17" s="529">
        <v>8151</v>
      </c>
      <c r="D17" s="2771">
        <v>8920</v>
      </c>
      <c r="E17" s="529">
        <v>11969</v>
      </c>
      <c r="F17" s="530"/>
      <c r="H17" s="529"/>
      <c r="I17" s="530"/>
    </row>
    <row r="18" spans="1:9" s="72" customFormat="1" ht="11.25">
      <c r="A18" s="545" t="s">
        <v>2404</v>
      </c>
      <c r="B18" s="2775" t="s">
        <v>55</v>
      </c>
      <c r="C18" s="529">
        <v>15729</v>
      </c>
      <c r="D18" s="2771">
        <v>22231</v>
      </c>
      <c r="E18" s="529">
        <v>24523</v>
      </c>
      <c r="F18" s="530"/>
      <c r="H18" s="529"/>
      <c r="I18" s="530"/>
    </row>
    <row r="19" spans="1:9" s="72" customFormat="1" ht="11.25">
      <c r="A19" s="545" t="s">
        <v>2405</v>
      </c>
      <c r="B19" s="2775" t="s">
        <v>55</v>
      </c>
      <c r="C19" s="529">
        <v>82948</v>
      </c>
      <c r="D19" s="2771">
        <v>102418</v>
      </c>
      <c r="E19" s="529">
        <v>101431</v>
      </c>
      <c r="F19" s="530"/>
      <c r="H19" s="529"/>
      <c r="I19" s="530"/>
    </row>
    <row r="20" spans="1:9" s="72" customFormat="1" ht="11.25">
      <c r="A20" s="545" t="s">
        <v>2406</v>
      </c>
      <c r="B20" s="2775" t="s">
        <v>55</v>
      </c>
      <c r="C20" s="529">
        <v>11903</v>
      </c>
      <c r="D20" s="2771">
        <v>26680</v>
      </c>
      <c r="E20" s="529">
        <v>332</v>
      </c>
      <c r="F20" s="530"/>
      <c r="H20" s="529"/>
      <c r="I20" s="530"/>
    </row>
    <row r="21" spans="1:9" s="72" customFormat="1" ht="11.25">
      <c r="A21" s="545" t="s">
        <v>2407</v>
      </c>
      <c r="B21" s="2775" t="s">
        <v>55</v>
      </c>
      <c r="C21" s="529">
        <v>2204</v>
      </c>
      <c r="D21" s="2771">
        <v>3466</v>
      </c>
      <c r="E21" s="529">
        <v>3082</v>
      </c>
      <c r="F21" s="530"/>
      <c r="H21" s="529"/>
      <c r="I21" s="530"/>
    </row>
    <row r="22" spans="1:9" s="72" customFormat="1" ht="11.25">
      <c r="A22" s="545" t="s">
        <v>2408</v>
      </c>
      <c r="B22" s="2775" t="s">
        <v>55</v>
      </c>
      <c r="C22" s="529">
        <v>79764</v>
      </c>
      <c r="D22" s="2771">
        <v>116595</v>
      </c>
      <c r="E22" s="529">
        <v>131162</v>
      </c>
      <c r="F22" s="530"/>
      <c r="H22" s="529"/>
      <c r="I22" s="530"/>
    </row>
    <row r="23" spans="1:9" s="72" customFormat="1" ht="11.25">
      <c r="A23" s="545" t="s">
        <v>2409</v>
      </c>
      <c r="B23" s="2775" t="s">
        <v>55</v>
      </c>
      <c r="C23" s="529">
        <v>47613</v>
      </c>
      <c r="D23" s="2771">
        <v>24860</v>
      </c>
      <c r="E23" s="529">
        <v>32092</v>
      </c>
      <c r="F23" s="530"/>
      <c r="H23" s="529"/>
      <c r="I23" s="530"/>
    </row>
    <row r="24" spans="1:9" s="72" customFormat="1" ht="11.25">
      <c r="A24" s="545" t="s">
        <v>2410</v>
      </c>
      <c r="B24" s="2775" t="s">
        <v>55</v>
      </c>
      <c r="C24" s="529">
        <v>20386</v>
      </c>
      <c r="D24" s="2771">
        <v>23466</v>
      </c>
      <c r="E24" s="529">
        <v>27709</v>
      </c>
      <c r="F24" s="530"/>
      <c r="H24" s="529"/>
      <c r="I24" s="530"/>
    </row>
    <row r="25" spans="1:9" s="72" customFormat="1" ht="11.25">
      <c r="A25" s="545" t="s">
        <v>2411</v>
      </c>
      <c r="B25" s="2775" t="s">
        <v>55</v>
      </c>
      <c r="C25" s="529">
        <v>91833</v>
      </c>
      <c r="D25" s="2771">
        <v>113641</v>
      </c>
      <c r="E25" s="529">
        <v>256094</v>
      </c>
      <c r="F25" s="530"/>
      <c r="H25" s="529"/>
      <c r="I25" s="530"/>
    </row>
    <row r="26" spans="1:9" s="72" customFormat="1" ht="11.25">
      <c r="A26" s="545" t="s">
        <v>2412</v>
      </c>
      <c r="B26" s="546" t="s">
        <v>55</v>
      </c>
      <c r="C26" s="529" t="s">
        <v>55</v>
      </c>
      <c r="D26" s="2771">
        <v>26641</v>
      </c>
      <c r="E26" s="529">
        <v>41771</v>
      </c>
      <c r="F26" s="530"/>
      <c r="G26" s="528"/>
      <c r="H26" s="529"/>
      <c r="I26" s="77"/>
    </row>
    <row r="27" spans="1:9" s="72" customFormat="1" ht="11.25">
      <c r="A27" s="80" t="s">
        <v>2413</v>
      </c>
      <c r="B27" s="2774">
        <v>1504</v>
      </c>
      <c r="C27" s="529" t="s">
        <v>55</v>
      </c>
      <c r="D27" s="529" t="s">
        <v>55</v>
      </c>
      <c r="E27" s="529" t="s">
        <v>55</v>
      </c>
      <c r="F27" s="77"/>
      <c r="G27" s="528"/>
      <c r="H27" s="529"/>
      <c r="I27" s="77"/>
    </row>
    <row r="28" spans="1:9" s="72" customFormat="1" ht="11.25">
      <c r="A28" s="80" t="s">
        <v>2414</v>
      </c>
      <c r="B28" s="2774">
        <v>17988</v>
      </c>
      <c r="C28" s="529" t="s">
        <v>55</v>
      </c>
      <c r="D28" s="529" t="s">
        <v>55</v>
      </c>
      <c r="E28" s="529" t="s">
        <v>55</v>
      </c>
      <c r="F28" s="77"/>
      <c r="G28" s="528"/>
      <c r="H28" s="529"/>
      <c r="I28" s="77"/>
    </row>
    <row r="29" spans="1:9" s="72" customFormat="1" ht="11.25">
      <c r="A29" s="80" t="s">
        <v>2415</v>
      </c>
      <c r="B29" s="2774">
        <v>108</v>
      </c>
      <c r="C29" s="529" t="s">
        <v>55</v>
      </c>
      <c r="D29" s="529" t="s">
        <v>55</v>
      </c>
      <c r="E29" s="529" t="s">
        <v>55</v>
      </c>
      <c r="F29" s="77"/>
      <c r="H29" s="529"/>
      <c r="I29" s="77"/>
    </row>
    <row r="30" spans="1:9" s="72" customFormat="1" ht="11.25">
      <c r="B30" s="512"/>
      <c r="C30" s="531"/>
      <c r="E30" s="529"/>
      <c r="F30" s="77"/>
      <c r="H30" s="529"/>
      <c r="I30" s="77"/>
    </row>
    <row r="31" spans="1:9" s="77" customFormat="1" ht="22.5" customHeight="1">
      <c r="A31" s="2566" t="s">
        <v>3476</v>
      </c>
      <c r="B31" s="2566"/>
      <c r="C31" s="2566"/>
      <c r="D31" s="2566"/>
      <c r="E31" s="2566"/>
      <c r="H31" s="529"/>
    </row>
    <row r="32" spans="1:9" s="77" customFormat="1" ht="24" customHeight="1">
      <c r="A32" s="2566" t="s">
        <v>3477</v>
      </c>
      <c r="B32" s="2566"/>
      <c r="C32" s="2566"/>
      <c r="D32" s="2566"/>
      <c r="E32" s="2566"/>
      <c r="F32" s="502"/>
      <c r="H32" s="532"/>
    </row>
    <row r="33" spans="1:9" s="77" customFormat="1" ht="11.25">
      <c r="A33" s="2566" t="s">
        <v>149</v>
      </c>
      <c r="B33" s="2566"/>
      <c r="C33" s="2566"/>
      <c r="D33" s="76"/>
      <c r="E33" s="76"/>
      <c r="F33" s="502"/>
      <c r="H33" s="532"/>
    </row>
    <row r="34" spans="1:9" s="72" customFormat="1" ht="11.25">
      <c r="A34" s="2569" t="s">
        <v>2380</v>
      </c>
      <c r="B34" s="2569"/>
      <c r="C34" s="2569"/>
      <c r="D34" s="2569"/>
      <c r="E34" s="533"/>
      <c r="F34" s="77"/>
      <c r="G34" s="528"/>
      <c r="H34" s="529"/>
      <c r="I34" s="77"/>
    </row>
  </sheetData>
  <mergeCells count="7">
    <mergeCell ref="A34:D34"/>
    <mergeCell ref="A2:E2"/>
    <mergeCell ref="A4:A5"/>
    <mergeCell ref="B4:E4"/>
    <mergeCell ref="A31:E31"/>
    <mergeCell ref="A32:E32"/>
    <mergeCell ref="A33:C33"/>
  </mergeCells>
  <pageMargins left="0.7" right="0.7" top="0.75" bottom="0.75" header="0.3" footer="0.3"/>
  <pageSetup paperSize="14" orientation="landscape" r:id="rId1"/>
</worksheet>
</file>

<file path=xl/worksheets/sheet264.xml><?xml version="1.0" encoding="utf-8"?>
<worksheet xmlns="http://schemas.openxmlformats.org/spreadsheetml/2006/main" xmlns:r="http://schemas.openxmlformats.org/officeDocument/2006/relationships">
  <dimension ref="A1:F94"/>
  <sheetViews>
    <sheetView zoomScaleNormal="100" workbookViewId="0">
      <selection activeCell="F11" sqref="F11"/>
    </sheetView>
  </sheetViews>
  <sheetFormatPr baseColWidth="10" defaultRowHeight="12"/>
  <cols>
    <col min="1" max="1" width="32.7109375" style="82" customWidth="1"/>
    <col min="2" max="3" width="14.5703125" style="82" customWidth="1"/>
    <col min="4" max="4" width="15.85546875" style="82" customWidth="1"/>
    <col min="5" max="5" width="15.140625" style="82" customWidth="1"/>
    <col min="6" max="16384" width="11.42578125" style="82"/>
  </cols>
  <sheetData>
    <row r="1" spans="1:6">
      <c r="A1" s="505"/>
    </row>
    <row r="2" spans="1:6" s="72" customFormat="1" ht="31.5" customHeight="1">
      <c r="A2" s="2571" t="s">
        <v>2416</v>
      </c>
      <c r="B2" s="2571"/>
      <c r="C2" s="2571"/>
      <c r="D2" s="2571"/>
      <c r="E2" s="71"/>
    </row>
    <row r="3" spans="1:6" s="72" customFormat="1" ht="11.25">
      <c r="A3" s="519"/>
      <c r="B3" s="519"/>
      <c r="C3" s="519"/>
      <c r="D3" s="519"/>
      <c r="E3" s="519"/>
    </row>
    <row r="4" spans="1:6" s="72" customFormat="1" ht="15.75" customHeight="1">
      <c r="A4" s="2756" t="s">
        <v>2417</v>
      </c>
      <c r="B4" s="2756" t="s">
        <v>2418</v>
      </c>
      <c r="C4" s="2756"/>
      <c r="D4" s="2756"/>
      <c r="E4" s="520"/>
    </row>
    <row r="5" spans="1:6" s="72" customFormat="1" ht="27" customHeight="1">
      <c r="A5" s="2756"/>
      <c r="B5" s="2773" t="s">
        <v>26</v>
      </c>
      <c r="C5" s="2773" t="s">
        <v>163</v>
      </c>
      <c r="D5" s="2773" t="s">
        <v>164</v>
      </c>
    </row>
    <row r="6" spans="1:6" s="72" customFormat="1" ht="11.25">
      <c r="A6" s="1226" t="s">
        <v>679</v>
      </c>
      <c r="B6" s="1671">
        <f>+B7+B9+B12+B14+B16+B21+B27+B60+B65+B71+B77+B81+B83+B86+B88</f>
        <v>386</v>
      </c>
      <c r="C6" s="1671">
        <f>+C7+C9+C12+C14+C16+C21+C27+C60+C65+C71+C77+C81+C83+C86+C88</f>
        <v>242</v>
      </c>
      <c r="D6" s="1671">
        <f>+D7+D9+D12+D14+D16+D21+D27+D60+D65+D71+D77+D81+D83+D86+D88</f>
        <v>144</v>
      </c>
      <c r="E6" s="522"/>
      <c r="F6" s="522"/>
    </row>
    <row r="7" spans="1:6" s="72" customFormat="1" ht="11.25">
      <c r="A7" s="2776" t="s">
        <v>7</v>
      </c>
      <c r="B7" s="1671">
        <f t="shared" ref="B7:B71" si="0">SUM(C7:D7)</f>
        <v>1</v>
      </c>
      <c r="C7" s="1671">
        <f>SUM(C8)</f>
        <v>1</v>
      </c>
      <c r="D7" s="1671">
        <f>SUM(D8)</f>
        <v>0</v>
      </c>
    </row>
    <row r="8" spans="1:6" s="72" customFormat="1" ht="11.25">
      <c r="A8" s="104" t="s">
        <v>2419</v>
      </c>
      <c r="B8" s="1671">
        <f t="shared" si="0"/>
        <v>1</v>
      </c>
      <c r="C8" s="2777">
        <v>1</v>
      </c>
      <c r="D8" s="2778">
        <v>0</v>
      </c>
    </row>
    <row r="9" spans="1:6" s="72" customFormat="1" ht="11.25">
      <c r="A9" s="2779" t="s">
        <v>8</v>
      </c>
      <c r="B9" s="1671">
        <f t="shared" si="0"/>
        <v>0</v>
      </c>
      <c r="C9" s="1671">
        <f>SUM(C10:C11)</f>
        <v>0</v>
      </c>
      <c r="D9" s="1671">
        <f>SUM(D10:D11)</f>
        <v>0</v>
      </c>
    </row>
    <row r="10" spans="1:6" s="72" customFormat="1" ht="11.25">
      <c r="A10" s="104" t="s">
        <v>2420</v>
      </c>
      <c r="B10" s="1671">
        <f t="shared" si="0"/>
        <v>0</v>
      </c>
      <c r="C10" s="1671">
        <v>0</v>
      </c>
      <c r="D10" s="2778">
        <v>0</v>
      </c>
    </row>
    <row r="11" spans="1:6" s="72" customFormat="1" ht="11.25">
      <c r="A11" s="104" t="s">
        <v>2421</v>
      </c>
      <c r="B11" s="1671">
        <f t="shared" si="0"/>
        <v>0</v>
      </c>
      <c r="C11" s="1671">
        <v>0</v>
      </c>
      <c r="D11" s="2778">
        <v>0</v>
      </c>
    </row>
    <row r="12" spans="1:6" s="72" customFormat="1" ht="11.25">
      <c r="A12" s="2776" t="s">
        <v>9</v>
      </c>
      <c r="B12" s="1671">
        <f t="shared" si="0"/>
        <v>0</v>
      </c>
      <c r="C12" s="1671">
        <f>SUM(C13)</f>
        <v>0</v>
      </c>
      <c r="D12" s="1671">
        <f>SUM(D13)</f>
        <v>0</v>
      </c>
    </row>
    <row r="13" spans="1:6" s="72" customFormat="1" ht="11.25">
      <c r="A13" s="104" t="s">
        <v>2421</v>
      </c>
      <c r="B13" s="1671">
        <f t="shared" si="0"/>
        <v>0</v>
      </c>
      <c r="C13" s="1671">
        <v>0</v>
      </c>
      <c r="D13" s="2778">
        <v>0</v>
      </c>
    </row>
    <row r="14" spans="1:6" s="72" customFormat="1" ht="11.25">
      <c r="A14" s="2776" t="s">
        <v>10</v>
      </c>
      <c r="B14" s="1671">
        <f t="shared" si="0"/>
        <v>1</v>
      </c>
      <c r="C14" s="1671">
        <f>SUM(C15)</f>
        <v>0</v>
      </c>
      <c r="D14" s="1671">
        <f>SUM(D15)</f>
        <v>1</v>
      </c>
    </row>
    <row r="15" spans="1:6" s="72" customFormat="1" ht="11.25">
      <c r="A15" s="104" t="s">
        <v>2419</v>
      </c>
      <c r="B15" s="1671">
        <f t="shared" si="0"/>
        <v>1</v>
      </c>
      <c r="C15" s="1672">
        <v>0</v>
      </c>
      <c r="D15" s="627">
        <v>1</v>
      </c>
    </row>
    <row r="16" spans="1:6" s="72" customFormat="1" ht="11.25">
      <c r="A16" s="2779" t="s">
        <v>11</v>
      </c>
      <c r="B16" s="1671">
        <f t="shared" si="0"/>
        <v>2</v>
      </c>
      <c r="C16" s="1671">
        <f>SUM(C17:C20)</f>
        <v>1</v>
      </c>
      <c r="D16" s="1671">
        <f>SUM(D17:D20)</f>
        <v>1</v>
      </c>
    </row>
    <row r="17" spans="1:4" s="72" customFormat="1" ht="11.25">
      <c r="A17" s="104" t="s">
        <v>2419</v>
      </c>
      <c r="B17" s="1671">
        <f t="shared" si="0"/>
        <v>0</v>
      </c>
      <c r="C17" s="2777">
        <v>0</v>
      </c>
      <c r="D17" s="627">
        <v>0</v>
      </c>
    </row>
    <row r="18" spans="1:4" s="72" customFormat="1" ht="11.25">
      <c r="A18" s="104" t="s">
        <v>2422</v>
      </c>
      <c r="B18" s="1671">
        <f t="shared" si="0"/>
        <v>0</v>
      </c>
      <c r="C18" s="2777">
        <v>0</v>
      </c>
      <c r="D18" s="627">
        <v>0</v>
      </c>
    </row>
    <row r="19" spans="1:4" s="72" customFormat="1" ht="11.25">
      <c r="A19" s="104" t="s">
        <v>2420</v>
      </c>
      <c r="B19" s="1671">
        <f t="shared" si="0"/>
        <v>1</v>
      </c>
      <c r="C19" s="2777">
        <v>0</v>
      </c>
      <c r="D19" s="627">
        <v>1</v>
      </c>
    </row>
    <row r="20" spans="1:4" s="72" customFormat="1" ht="11.25">
      <c r="A20" s="104" t="s">
        <v>2423</v>
      </c>
      <c r="B20" s="1671">
        <f t="shared" si="0"/>
        <v>1</v>
      </c>
      <c r="C20" s="2777">
        <v>1</v>
      </c>
      <c r="D20" s="627">
        <v>0</v>
      </c>
    </row>
    <row r="21" spans="1:4" s="72" customFormat="1" ht="11.25">
      <c r="A21" s="276" t="s">
        <v>12</v>
      </c>
      <c r="B21" s="1671">
        <f t="shared" si="0"/>
        <v>8</v>
      </c>
      <c r="C21" s="1671">
        <f>SUM(C22:C26)</f>
        <v>7</v>
      </c>
      <c r="D21" s="1671">
        <f>SUM(D22:D26)</f>
        <v>1</v>
      </c>
    </row>
    <row r="22" spans="1:4" s="72" customFormat="1" ht="11.25">
      <c r="A22" s="104" t="s">
        <v>2424</v>
      </c>
      <c r="B22" s="1671">
        <f t="shared" si="0"/>
        <v>4</v>
      </c>
      <c r="C22" s="2777">
        <v>4</v>
      </c>
      <c r="D22" s="627">
        <v>0</v>
      </c>
    </row>
    <row r="23" spans="1:4" s="72" customFormat="1" ht="11.25">
      <c r="A23" s="104" t="s">
        <v>2425</v>
      </c>
      <c r="B23" s="1671">
        <f t="shared" si="0"/>
        <v>0</v>
      </c>
      <c r="C23" s="2777">
        <v>0</v>
      </c>
      <c r="D23" s="627">
        <v>0</v>
      </c>
    </row>
    <row r="24" spans="1:4" s="72" customFormat="1" ht="11.25">
      <c r="A24" s="104" t="s">
        <v>2426</v>
      </c>
      <c r="B24" s="1671">
        <f t="shared" si="0"/>
        <v>1</v>
      </c>
      <c r="C24" s="2777">
        <v>1</v>
      </c>
      <c r="D24" s="627">
        <v>0</v>
      </c>
    </row>
    <row r="25" spans="1:4" s="72" customFormat="1" ht="11.25">
      <c r="A25" s="104" t="s">
        <v>2427</v>
      </c>
      <c r="B25" s="1671">
        <f t="shared" si="0"/>
        <v>2</v>
      </c>
      <c r="C25" s="2777">
        <v>2</v>
      </c>
      <c r="D25" s="627">
        <v>0</v>
      </c>
    </row>
    <row r="26" spans="1:4" s="72" customFormat="1" ht="11.25">
      <c r="A26" s="104" t="s">
        <v>2428</v>
      </c>
      <c r="B26" s="1671">
        <f t="shared" si="0"/>
        <v>1</v>
      </c>
      <c r="C26" s="2777">
        <v>0</v>
      </c>
      <c r="D26" s="627">
        <v>1</v>
      </c>
    </row>
    <row r="27" spans="1:4" s="72" customFormat="1" ht="11.25">
      <c r="A27" s="2780" t="s">
        <v>13</v>
      </c>
      <c r="B27" s="1671">
        <f t="shared" si="0"/>
        <v>312</v>
      </c>
      <c r="C27" s="1671">
        <f>SUM(C29:C59)</f>
        <v>185</v>
      </c>
      <c r="D27" s="1671">
        <f>SUM(D29:D59)</f>
        <v>127</v>
      </c>
    </row>
    <row r="28" spans="1:4" s="72" customFormat="1" ht="11.25">
      <c r="A28" s="2780"/>
      <c r="B28" s="1671"/>
      <c r="C28" s="1671"/>
      <c r="D28" s="1671"/>
    </row>
    <row r="29" spans="1:4" s="72" customFormat="1" ht="11.25">
      <c r="A29" s="104" t="s">
        <v>2419</v>
      </c>
      <c r="B29" s="1671">
        <f t="shared" si="0"/>
        <v>23</v>
      </c>
      <c r="C29" s="2777">
        <v>14</v>
      </c>
      <c r="D29" s="2777">
        <v>9</v>
      </c>
    </row>
    <row r="30" spans="1:4" s="72" customFormat="1" ht="11.25">
      <c r="A30" s="104" t="s">
        <v>2424</v>
      </c>
      <c r="B30" s="1671">
        <f t="shared" si="0"/>
        <v>7</v>
      </c>
      <c r="C30" s="2777">
        <v>7</v>
      </c>
      <c r="D30" s="2777">
        <v>0</v>
      </c>
    </row>
    <row r="31" spans="1:4" s="72" customFormat="1" ht="11.25">
      <c r="A31" s="104" t="s">
        <v>2429</v>
      </c>
      <c r="B31" s="1671">
        <f t="shared" si="0"/>
        <v>24</v>
      </c>
      <c r="C31" s="2777">
        <v>12</v>
      </c>
      <c r="D31" s="2777">
        <v>12</v>
      </c>
    </row>
    <row r="32" spans="1:4" s="72" customFormat="1" ht="11.25">
      <c r="A32" s="104" t="s">
        <v>2430</v>
      </c>
      <c r="B32" s="1671">
        <f t="shared" si="0"/>
        <v>1</v>
      </c>
      <c r="C32" s="2777">
        <v>1</v>
      </c>
      <c r="D32" s="2777">
        <v>0</v>
      </c>
    </row>
    <row r="33" spans="1:4" s="72" customFormat="1" ht="11.25">
      <c r="A33" s="104" t="s">
        <v>2431</v>
      </c>
      <c r="B33" s="1671">
        <f t="shared" si="0"/>
        <v>3</v>
      </c>
      <c r="C33" s="2777">
        <v>0</v>
      </c>
      <c r="D33" s="2777">
        <v>3</v>
      </c>
    </row>
    <row r="34" spans="1:4" s="72" customFormat="1" ht="11.25">
      <c r="A34" s="104" t="s">
        <v>2422</v>
      </c>
      <c r="B34" s="1671">
        <f t="shared" si="0"/>
        <v>17</v>
      </c>
      <c r="C34" s="2777">
        <v>10</v>
      </c>
      <c r="D34" s="2777">
        <v>7</v>
      </c>
    </row>
    <row r="35" spans="1:4" s="72" customFormat="1" ht="11.25">
      <c r="A35" s="104" t="s">
        <v>2432</v>
      </c>
      <c r="B35" s="1671">
        <f t="shared" si="0"/>
        <v>7</v>
      </c>
      <c r="C35" s="2777">
        <v>7</v>
      </c>
      <c r="D35" s="2777">
        <v>0</v>
      </c>
    </row>
    <row r="36" spans="1:4" s="72" customFormat="1" ht="11.25">
      <c r="A36" s="104" t="s">
        <v>2433</v>
      </c>
      <c r="B36" s="1671">
        <f t="shared" si="0"/>
        <v>13</v>
      </c>
      <c r="C36" s="2777">
        <v>7</v>
      </c>
      <c r="D36" s="2777">
        <v>6</v>
      </c>
    </row>
    <row r="37" spans="1:4" s="72" customFormat="1" ht="11.25">
      <c r="A37" s="104" t="s">
        <v>2434</v>
      </c>
      <c r="B37" s="1671">
        <f t="shared" si="0"/>
        <v>6</v>
      </c>
      <c r="C37" s="2777">
        <v>3</v>
      </c>
      <c r="D37" s="2777">
        <v>3</v>
      </c>
    </row>
    <row r="38" spans="1:4" s="72" customFormat="1" ht="11.25">
      <c r="A38" s="104" t="s">
        <v>2425</v>
      </c>
      <c r="B38" s="1671">
        <f t="shared" si="0"/>
        <v>7</v>
      </c>
      <c r="C38" s="2777">
        <v>2</v>
      </c>
      <c r="D38" s="2777">
        <v>5</v>
      </c>
    </row>
    <row r="39" spans="1:4" s="72" customFormat="1" ht="11.25">
      <c r="A39" s="104" t="s">
        <v>2435</v>
      </c>
      <c r="B39" s="1671">
        <f t="shared" si="0"/>
        <v>1</v>
      </c>
      <c r="C39" s="2777">
        <v>1</v>
      </c>
      <c r="D39" s="2777">
        <v>0</v>
      </c>
    </row>
    <row r="40" spans="1:4" s="72" customFormat="1" ht="11.25">
      <c r="A40" s="104" t="s">
        <v>2436</v>
      </c>
      <c r="B40" s="1671">
        <f t="shared" si="0"/>
        <v>35</v>
      </c>
      <c r="C40" s="2777">
        <v>16</v>
      </c>
      <c r="D40" s="2777">
        <v>19</v>
      </c>
    </row>
    <row r="41" spans="1:4" s="72" customFormat="1" ht="11.25">
      <c r="A41" s="104" t="s">
        <v>2437</v>
      </c>
      <c r="B41" s="1671">
        <f t="shared" si="0"/>
        <v>10</v>
      </c>
      <c r="C41" s="2777">
        <v>6</v>
      </c>
      <c r="D41" s="2777">
        <v>4</v>
      </c>
    </row>
    <row r="42" spans="1:4" s="72" customFormat="1" ht="11.25">
      <c r="A42" s="104" t="s">
        <v>2421</v>
      </c>
      <c r="B42" s="1671">
        <f t="shared" si="0"/>
        <v>10</v>
      </c>
      <c r="C42" s="2777">
        <v>8</v>
      </c>
      <c r="D42" s="2777">
        <v>2</v>
      </c>
    </row>
    <row r="43" spans="1:4" s="72" customFormat="1" ht="11.25">
      <c r="A43" s="104" t="s">
        <v>2438</v>
      </c>
      <c r="B43" s="1671">
        <f t="shared" si="0"/>
        <v>14</v>
      </c>
      <c r="C43" s="2777">
        <v>8</v>
      </c>
      <c r="D43" s="2777">
        <v>6</v>
      </c>
    </row>
    <row r="44" spans="1:4" s="72" customFormat="1" ht="11.25">
      <c r="A44" s="104" t="s">
        <v>2439</v>
      </c>
      <c r="B44" s="1671">
        <f t="shared" si="0"/>
        <v>3</v>
      </c>
      <c r="C44" s="2777">
        <v>3</v>
      </c>
      <c r="D44" s="2777">
        <v>0</v>
      </c>
    </row>
    <row r="45" spans="1:4" s="72" customFormat="1" ht="11.25">
      <c r="A45" s="104" t="s">
        <v>2420</v>
      </c>
      <c r="B45" s="1671">
        <f t="shared" si="0"/>
        <v>2</v>
      </c>
      <c r="C45" s="2777">
        <v>1</v>
      </c>
      <c r="D45" s="2777">
        <v>1</v>
      </c>
    </row>
    <row r="46" spans="1:4" s="72" customFormat="1" ht="11.25">
      <c r="A46" s="104" t="s">
        <v>2440</v>
      </c>
      <c r="B46" s="1671">
        <f t="shared" si="0"/>
        <v>5</v>
      </c>
      <c r="C46" s="2777">
        <v>2</v>
      </c>
      <c r="D46" s="2777">
        <v>3</v>
      </c>
    </row>
    <row r="47" spans="1:4" s="72" customFormat="1" ht="11.25">
      <c r="A47" s="104" t="s">
        <v>2426</v>
      </c>
      <c r="B47" s="1671">
        <f t="shared" si="0"/>
        <v>18</v>
      </c>
      <c r="C47" s="2777">
        <v>13</v>
      </c>
      <c r="D47" s="2777">
        <v>5</v>
      </c>
    </row>
    <row r="48" spans="1:4" s="72" customFormat="1" ht="11.25">
      <c r="A48" s="104" t="s">
        <v>2441</v>
      </c>
      <c r="B48" s="1671">
        <f t="shared" si="0"/>
        <v>2</v>
      </c>
      <c r="C48" s="2777">
        <v>1</v>
      </c>
      <c r="D48" s="2777">
        <v>1</v>
      </c>
    </row>
    <row r="49" spans="1:4" s="72" customFormat="1" ht="11.25">
      <c r="A49" s="104" t="s">
        <v>2442</v>
      </c>
      <c r="B49" s="1671">
        <f t="shared" si="0"/>
        <v>36</v>
      </c>
      <c r="C49" s="2777">
        <v>28</v>
      </c>
      <c r="D49" s="2777">
        <v>8</v>
      </c>
    </row>
    <row r="50" spans="1:4" s="72" customFormat="1" ht="11.25">
      <c r="A50" s="104" t="s">
        <v>2443</v>
      </c>
      <c r="B50" s="1671">
        <f t="shared" si="0"/>
        <v>2</v>
      </c>
      <c r="C50" s="2777">
        <v>0</v>
      </c>
      <c r="D50" s="2777">
        <v>2</v>
      </c>
    </row>
    <row r="51" spans="1:4" s="72" customFormat="1" ht="11.25">
      <c r="A51" s="104" t="s">
        <v>2444</v>
      </c>
      <c r="B51" s="1671">
        <f t="shared" si="0"/>
        <v>7</v>
      </c>
      <c r="C51" s="2777">
        <v>4</v>
      </c>
      <c r="D51" s="2777">
        <v>3</v>
      </c>
    </row>
    <row r="52" spans="1:4" s="72" customFormat="1" ht="11.25">
      <c r="A52" s="104" t="s">
        <v>2445</v>
      </c>
      <c r="B52" s="1671">
        <f t="shared" si="0"/>
        <v>4</v>
      </c>
      <c r="C52" s="2777">
        <v>3</v>
      </c>
      <c r="D52" s="2777">
        <v>1</v>
      </c>
    </row>
    <row r="53" spans="1:4" s="72" customFormat="1" ht="11.25">
      <c r="A53" s="104" t="s">
        <v>2446</v>
      </c>
      <c r="B53" s="1671">
        <f t="shared" si="0"/>
        <v>10</v>
      </c>
      <c r="C53" s="2777">
        <v>4</v>
      </c>
      <c r="D53" s="2777">
        <v>6</v>
      </c>
    </row>
    <row r="54" spans="1:4" s="72" customFormat="1" ht="11.25">
      <c r="A54" s="104" t="s">
        <v>2447</v>
      </c>
      <c r="B54" s="1671">
        <f t="shared" si="0"/>
        <v>5</v>
      </c>
      <c r="C54" s="2777">
        <v>2</v>
      </c>
      <c r="D54" s="2777">
        <v>3</v>
      </c>
    </row>
    <row r="55" spans="1:4" s="72" customFormat="1" ht="11.25">
      <c r="A55" s="104" t="s">
        <v>2423</v>
      </c>
      <c r="B55" s="1671">
        <f t="shared" si="0"/>
        <v>1</v>
      </c>
      <c r="C55" s="2777">
        <v>1</v>
      </c>
      <c r="D55" s="2777">
        <v>0</v>
      </c>
    </row>
    <row r="56" spans="1:4" s="72" customFormat="1" ht="11.25">
      <c r="A56" s="104" t="s">
        <v>2448</v>
      </c>
      <c r="B56" s="1671">
        <f t="shared" si="0"/>
        <v>4</v>
      </c>
      <c r="C56" s="2777">
        <v>2</v>
      </c>
      <c r="D56" s="2777">
        <v>2</v>
      </c>
    </row>
    <row r="57" spans="1:4" s="72" customFormat="1" ht="11.25">
      <c r="A57" s="104" t="s">
        <v>2449</v>
      </c>
      <c r="B57" s="1671">
        <f t="shared" si="0"/>
        <v>2</v>
      </c>
      <c r="C57" s="2777">
        <v>2</v>
      </c>
      <c r="D57" s="2777">
        <v>0</v>
      </c>
    </row>
    <row r="58" spans="1:4" s="72" customFormat="1" ht="11.25">
      <c r="A58" s="104" t="s">
        <v>2450</v>
      </c>
      <c r="B58" s="1671">
        <f t="shared" si="0"/>
        <v>9</v>
      </c>
      <c r="C58" s="2777">
        <v>4</v>
      </c>
      <c r="D58" s="2777">
        <v>5</v>
      </c>
    </row>
    <row r="59" spans="1:4" s="72" customFormat="1" ht="11.25">
      <c r="A59" s="104" t="s">
        <v>2451</v>
      </c>
      <c r="B59" s="1671">
        <f t="shared" si="0"/>
        <v>24</v>
      </c>
      <c r="C59" s="2777">
        <v>13</v>
      </c>
      <c r="D59" s="2777">
        <v>11</v>
      </c>
    </row>
    <row r="60" spans="1:4" s="72" customFormat="1" ht="11.25">
      <c r="A60" s="2779" t="s">
        <v>488</v>
      </c>
      <c r="B60" s="1671">
        <f t="shared" si="0"/>
        <v>3</v>
      </c>
      <c r="C60" s="1671">
        <f>SUM(C61:C64)</f>
        <v>1</v>
      </c>
      <c r="D60" s="1671">
        <f>SUM(D61:D64)</f>
        <v>2</v>
      </c>
    </row>
    <row r="61" spans="1:4" s="72" customFormat="1" ht="11.25">
      <c r="A61" s="104" t="s">
        <v>2419</v>
      </c>
      <c r="B61" s="1671">
        <f t="shared" si="0"/>
        <v>0</v>
      </c>
      <c r="C61" s="2777">
        <v>0</v>
      </c>
      <c r="D61" s="2777">
        <v>0</v>
      </c>
    </row>
    <row r="62" spans="1:4" s="72" customFormat="1" ht="11.25">
      <c r="A62" s="104" t="s">
        <v>2445</v>
      </c>
      <c r="B62" s="1671">
        <f t="shared" si="0"/>
        <v>2</v>
      </c>
      <c r="C62" s="2777">
        <v>0</v>
      </c>
      <c r="D62" s="2777">
        <v>2</v>
      </c>
    </row>
    <row r="63" spans="1:4" s="72" customFormat="1" ht="11.25">
      <c r="A63" s="104" t="s">
        <v>2423</v>
      </c>
      <c r="B63" s="1671">
        <f t="shared" si="0"/>
        <v>1</v>
      </c>
      <c r="C63" s="2777">
        <v>1</v>
      </c>
      <c r="D63" s="2777">
        <v>0</v>
      </c>
    </row>
    <row r="64" spans="1:4" s="72" customFormat="1" ht="11.25">
      <c r="A64" s="104" t="s">
        <v>2422</v>
      </c>
      <c r="B64" s="1671">
        <f t="shared" si="0"/>
        <v>0</v>
      </c>
      <c r="C64" s="2777">
        <v>0</v>
      </c>
      <c r="D64" s="2777">
        <v>0</v>
      </c>
    </row>
    <row r="65" spans="1:4" s="72" customFormat="1" ht="11.25">
      <c r="A65" s="2779" t="s">
        <v>15</v>
      </c>
      <c r="B65" s="1671">
        <f t="shared" si="0"/>
        <v>16</v>
      </c>
      <c r="C65" s="1671">
        <f>SUM(C66:C70)</f>
        <v>12</v>
      </c>
      <c r="D65" s="1671">
        <f>SUM(D66:D70)</f>
        <v>4</v>
      </c>
    </row>
    <row r="66" spans="1:4" s="72" customFormat="1" ht="11.25">
      <c r="A66" s="104" t="s">
        <v>2452</v>
      </c>
      <c r="B66" s="1671">
        <f t="shared" si="0"/>
        <v>1</v>
      </c>
      <c r="C66" s="2777">
        <v>1</v>
      </c>
      <c r="D66" s="2777">
        <v>0</v>
      </c>
    </row>
    <row r="67" spans="1:4" s="72" customFormat="1" ht="11.25">
      <c r="A67" s="104" t="s">
        <v>2431</v>
      </c>
      <c r="B67" s="1671">
        <f t="shared" si="0"/>
        <v>6</v>
      </c>
      <c r="C67" s="2777">
        <v>6</v>
      </c>
      <c r="D67" s="2777">
        <v>0</v>
      </c>
    </row>
    <row r="68" spans="1:4" s="72" customFormat="1" ht="11.25">
      <c r="A68" s="104" t="s">
        <v>2422</v>
      </c>
      <c r="B68" s="1671">
        <f t="shared" si="0"/>
        <v>6</v>
      </c>
      <c r="C68" s="2777">
        <v>3</v>
      </c>
      <c r="D68" s="2777">
        <v>3</v>
      </c>
    </row>
    <row r="69" spans="1:4" s="72" customFormat="1" ht="11.25">
      <c r="A69" s="104" t="s">
        <v>2425</v>
      </c>
      <c r="B69" s="1671">
        <f t="shared" si="0"/>
        <v>2</v>
      </c>
      <c r="C69" s="2777">
        <v>1</v>
      </c>
      <c r="D69" s="2777">
        <v>1</v>
      </c>
    </row>
    <row r="70" spans="1:4" s="72" customFormat="1" ht="11.25">
      <c r="A70" s="104" t="s">
        <v>2446</v>
      </c>
      <c r="B70" s="1671">
        <f t="shared" si="0"/>
        <v>1</v>
      </c>
      <c r="C70" s="2777">
        <v>1</v>
      </c>
      <c r="D70" s="2777">
        <v>0</v>
      </c>
    </row>
    <row r="71" spans="1:4" s="72" customFormat="1" ht="11.25">
      <c r="A71" s="2779" t="s">
        <v>16</v>
      </c>
      <c r="B71" s="1671">
        <f t="shared" si="0"/>
        <v>11</v>
      </c>
      <c r="C71" s="1671">
        <f>SUM(C72:C76)</f>
        <v>8</v>
      </c>
      <c r="D71" s="1671">
        <f>SUM(D72:D76)</f>
        <v>3</v>
      </c>
    </row>
    <row r="72" spans="1:4" s="72" customFormat="1" ht="11.25">
      <c r="A72" s="2781" t="s">
        <v>2419</v>
      </c>
      <c r="B72" s="1671">
        <f t="shared" ref="B72:B90" si="1">SUM(C72:D72)</f>
        <v>1</v>
      </c>
      <c r="C72" s="1672">
        <v>0</v>
      </c>
      <c r="D72" s="1672">
        <v>1</v>
      </c>
    </row>
    <row r="73" spans="1:4" s="72" customFormat="1" ht="11.25">
      <c r="A73" s="104" t="s">
        <v>2431</v>
      </c>
      <c r="B73" s="1671">
        <f t="shared" si="1"/>
        <v>2</v>
      </c>
      <c r="C73" s="2777">
        <v>2</v>
      </c>
      <c r="D73" s="2777">
        <v>0</v>
      </c>
    </row>
    <row r="74" spans="1:4" s="72" customFormat="1" ht="11.25">
      <c r="A74" s="104" t="s">
        <v>2422</v>
      </c>
      <c r="B74" s="1671">
        <f t="shared" si="1"/>
        <v>0</v>
      </c>
      <c r="C74" s="2777">
        <v>0</v>
      </c>
      <c r="D74" s="2777">
        <v>0</v>
      </c>
    </row>
    <row r="75" spans="1:4" s="72" customFormat="1" ht="11.25">
      <c r="A75" s="104" t="s">
        <v>2420</v>
      </c>
      <c r="B75" s="1671">
        <f t="shared" si="1"/>
        <v>2</v>
      </c>
      <c r="C75" s="2777">
        <v>2</v>
      </c>
      <c r="D75" s="2777">
        <v>0</v>
      </c>
    </row>
    <row r="76" spans="1:4" s="72" customFormat="1" ht="11.25">
      <c r="A76" s="104" t="s">
        <v>2427</v>
      </c>
      <c r="B76" s="1671">
        <f t="shared" si="1"/>
        <v>6</v>
      </c>
      <c r="C76" s="2777">
        <v>4</v>
      </c>
      <c r="D76" s="2777">
        <v>2</v>
      </c>
    </row>
    <row r="77" spans="1:4" s="72" customFormat="1" ht="11.25">
      <c r="A77" s="2779" t="s">
        <v>17</v>
      </c>
      <c r="B77" s="1671">
        <f t="shared" si="1"/>
        <v>6</v>
      </c>
      <c r="C77" s="1671">
        <f>SUM(C78:C80)</f>
        <v>4</v>
      </c>
      <c r="D77" s="1671">
        <f>SUM(D78:D80)</f>
        <v>2</v>
      </c>
    </row>
    <row r="78" spans="1:4" s="72" customFormat="1" ht="11.25">
      <c r="A78" s="104" t="s">
        <v>2419</v>
      </c>
      <c r="B78" s="1671">
        <f t="shared" si="1"/>
        <v>2</v>
      </c>
      <c r="C78" s="2777">
        <v>1</v>
      </c>
      <c r="D78" s="2777">
        <v>1</v>
      </c>
    </row>
    <row r="79" spans="1:4" s="72" customFormat="1" ht="11.25">
      <c r="A79" s="104" t="s">
        <v>2422</v>
      </c>
      <c r="B79" s="1671">
        <f t="shared" si="1"/>
        <v>0</v>
      </c>
      <c r="C79" s="2777">
        <v>0</v>
      </c>
      <c r="D79" s="2777">
        <v>0</v>
      </c>
    </row>
    <row r="80" spans="1:4" s="72" customFormat="1" ht="11.25">
      <c r="A80" s="104" t="s">
        <v>2431</v>
      </c>
      <c r="B80" s="1671">
        <f t="shared" si="1"/>
        <v>4</v>
      </c>
      <c r="C80" s="2777">
        <v>3</v>
      </c>
      <c r="D80" s="2777">
        <v>1</v>
      </c>
    </row>
    <row r="81" spans="1:5" s="72" customFormat="1" ht="11.25">
      <c r="A81" s="2776" t="s">
        <v>276</v>
      </c>
      <c r="B81" s="1671">
        <f t="shared" si="1"/>
        <v>21</v>
      </c>
      <c r="C81" s="1671">
        <f>SUM(C82)</f>
        <v>19</v>
      </c>
      <c r="D81" s="1671">
        <f>SUM(D82)</f>
        <v>2</v>
      </c>
    </row>
    <row r="82" spans="1:5" s="72" customFormat="1" ht="11.25">
      <c r="A82" s="104" t="s">
        <v>2427</v>
      </c>
      <c r="B82" s="1671">
        <f t="shared" si="1"/>
        <v>21</v>
      </c>
      <c r="C82" s="2777">
        <v>19</v>
      </c>
      <c r="D82" s="2777">
        <v>2</v>
      </c>
    </row>
    <row r="83" spans="1:5" s="72" customFormat="1" ht="11.25">
      <c r="A83" s="2779" t="s">
        <v>280</v>
      </c>
      <c r="B83" s="1671">
        <f t="shared" si="1"/>
        <v>3</v>
      </c>
      <c r="C83" s="1671">
        <f>SUM(C84:C85)</f>
        <v>3</v>
      </c>
      <c r="D83" s="1671">
        <f>SUM(D84:D85)</f>
        <v>0</v>
      </c>
    </row>
    <row r="84" spans="1:5" s="72" customFormat="1" ht="11.25">
      <c r="A84" s="104" t="s">
        <v>2422</v>
      </c>
      <c r="B84" s="1671">
        <f t="shared" si="1"/>
        <v>3</v>
      </c>
      <c r="C84" s="2777">
        <v>3</v>
      </c>
      <c r="D84" s="1671">
        <v>0</v>
      </c>
    </row>
    <row r="85" spans="1:5" s="72" customFormat="1" ht="9.75" customHeight="1">
      <c r="A85" s="104" t="s">
        <v>2420</v>
      </c>
      <c r="B85" s="1671">
        <f t="shared" si="1"/>
        <v>0</v>
      </c>
      <c r="C85" s="2777">
        <v>0</v>
      </c>
      <c r="D85" s="1671">
        <v>0</v>
      </c>
    </row>
    <row r="86" spans="1:5" s="72" customFormat="1" ht="11.25">
      <c r="A86" s="2776" t="s">
        <v>20</v>
      </c>
      <c r="B86" s="1671">
        <f t="shared" si="1"/>
        <v>1</v>
      </c>
      <c r="C86" s="1671">
        <f>SUM(C87)</f>
        <v>1</v>
      </c>
      <c r="D86" s="1671">
        <f>SUM(D87)</f>
        <v>0</v>
      </c>
    </row>
    <row r="87" spans="1:5" s="72" customFormat="1" ht="11.25">
      <c r="A87" s="104" t="s">
        <v>2422</v>
      </c>
      <c r="B87" s="1671">
        <f t="shared" si="1"/>
        <v>1</v>
      </c>
      <c r="C87" s="2777">
        <v>1</v>
      </c>
      <c r="D87" s="1671">
        <v>0</v>
      </c>
    </row>
    <row r="88" spans="1:5" s="72" customFormat="1" ht="11.25">
      <c r="A88" s="2780" t="s">
        <v>21</v>
      </c>
      <c r="B88" s="1671">
        <f t="shared" si="1"/>
        <v>1</v>
      </c>
      <c r="C88" s="1671">
        <f>SUM(C89:C90)</f>
        <v>0</v>
      </c>
      <c r="D88" s="1671">
        <f>SUM(D89:D90)</f>
        <v>1</v>
      </c>
    </row>
    <row r="89" spans="1:5">
      <c r="A89" s="2782" t="s">
        <v>2440</v>
      </c>
      <c r="B89" s="1671">
        <f t="shared" si="1"/>
        <v>1</v>
      </c>
      <c r="C89" s="1671">
        <v>0</v>
      </c>
      <c r="D89" s="1672">
        <v>1</v>
      </c>
    </row>
    <row r="90" spans="1:5">
      <c r="A90" s="104" t="s">
        <v>2421</v>
      </c>
      <c r="B90" s="1671">
        <f t="shared" si="1"/>
        <v>0</v>
      </c>
      <c r="C90" s="1671">
        <v>0</v>
      </c>
      <c r="D90" s="2777">
        <v>0</v>
      </c>
    </row>
    <row r="91" spans="1:5">
      <c r="A91" s="104"/>
      <c r="B91" s="523"/>
      <c r="C91" s="523"/>
      <c r="D91" s="104"/>
      <c r="E91" s="104"/>
    </row>
    <row r="92" spans="1:5">
      <c r="A92" s="2570" t="s">
        <v>22</v>
      </c>
      <c r="B92" s="2570"/>
      <c r="C92" s="2570"/>
      <c r="D92" s="2570"/>
      <c r="E92" s="2570"/>
    </row>
    <row r="93" spans="1:5">
      <c r="A93" s="2569" t="s">
        <v>2380</v>
      </c>
      <c r="B93" s="2569"/>
      <c r="C93" s="2569"/>
      <c r="D93" s="2569"/>
      <c r="E93" s="2569"/>
    </row>
    <row r="94" spans="1:5">
      <c r="A94" s="87"/>
      <c r="B94" s="524"/>
      <c r="C94" s="524"/>
      <c r="D94" s="87"/>
      <c r="E94" s="87"/>
    </row>
  </sheetData>
  <mergeCells count="5">
    <mergeCell ref="A4:A5"/>
    <mergeCell ref="A92:E92"/>
    <mergeCell ref="A93:E93"/>
    <mergeCell ref="B4:D4"/>
    <mergeCell ref="A2:D2"/>
  </mergeCells>
  <pageMargins left="0.7" right="0.7" top="0.75" bottom="0.75" header="0.3" footer="0.3"/>
  <pageSetup paperSize="14" orientation="landscape" r:id="rId1"/>
</worksheet>
</file>

<file path=xl/worksheets/sheet265.xml><?xml version="1.0" encoding="utf-8"?>
<worksheet xmlns="http://schemas.openxmlformats.org/spreadsheetml/2006/main" xmlns:r="http://schemas.openxmlformats.org/officeDocument/2006/relationships">
  <dimension ref="A2:L20"/>
  <sheetViews>
    <sheetView zoomScaleNormal="100" workbookViewId="0">
      <selection activeCell="D25" sqref="D25"/>
    </sheetView>
  </sheetViews>
  <sheetFormatPr baseColWidth="10" defaultRowHeight="12"/>
  <cols>
    <col min="1" max="3" width="11.42578125" style="84"/>
    <col min="4" max="4" width="12.140625" style="84" customWidth="1"/>
    <col min="5" max="16384" width="11.42578125" style="84"/>
  </cols>
  <sheetData>
    <row r="2" spans="1:12">
      <c r="A2" s="2573" t="s">
        <v>2453</v>
      </c>
      <c r="B2" s="2573"/>
      <c r="C2" s="2573"/>
      <c r="D2" s="2573"/>
      <c r="E2" s="2573"/>
      <c r="F2" s="2573"/>
      <c r="G2" s="2573"/>
      <c r="H2" s="2573"/>
      <c r="I2" s="2573"/>
      <c r="J2" s="2573"/>
      <c r="K2" s="2573"/>
      <c r="L2" s="2573"/>
    </row>
    <row r="4" spans="1:12" ht="13.5">
      <c r="A4" s="2762" t="s">
        <v>1092</v>
      </c>
      <c r="B4" s="2757" t="s">
        <v>3474</v>
      </c>
      <c r="C4" s="2757"/>
      <c r="D4" s="2757"/>
      <c r="E4" s="2757"/>
      <c r="F4" s="2757"/>
      <c r="G4" s="2757"/>
      <c r="H4" s="2757"/>
      <c r="I4" s="2757"/>
      <c r="J4" s="2757"/>
      <c r="K4" s="2757"/>
      <c r="L4" s="2757"/>
    </row>
    <row r="5" spans="1:12">
      <c r="A5" s="2762"/>
      <c r="B5" s="2762" t="s">
        <v>6</v>
      </c>
      <c r="C5" s="2757" t="s">
        <v>1113</v>
      </c>
      <c r="D5" s="2757"/>
      <c r="E5" s="2757"/>
      <c r="F5" s="2757"/>
      <c r="G5" s="2757"/>
      <c r="H5" s="2757"/>
      <c r="I5" s="2757"/>
      <c r="J5" s="2757"/>
      <c r="K5" s="2757"/>
      <c r="L5" s="2757"/>
    </row>
    <row r="6" spans="1:12" ht="33.75">
      <c r="A6" s="2762"/>
      <c r="B6" s="2762"/>
      <c r="C6" s="2767" t="s">
        <v>2454</v>
      </c>
      <c r="D6" s="2767" t="s">
        <v>2455</v>
      </c>
      <c r="E6" s="2767" t="s">
        <v>2456</v>
      </c>
      <c r="F6" s="2767" t="s">
        <v>2457</v>
      </c>
      <c r="G6" s="2767" t="s">
        <v>2451</v>
      </c>
      <c r="H6" s="2767" t="s">
        <v>2425</v>
      </c>
      <c r="I6" s="2767" t="s">
        <v>2419</v>
      </c>
      <c r="J6" s="2767" t="s">
        <v>2447</v>
      </c>
      <c r="K6" s="2767" t="s">
        <v>2458</v>
      </c>
      <c r="L6" s="2767" t="s">
        <v>1031</v>
      </c>
    </row>
    <row r="7" spans="1:12">
      <c r="A7" s="506" t="s">
        <v>1121</v>
      </c>
      <c r="B7" s="507">
        <f t="shared" ref="B7:B12" si="0">SUM(C7:L7)</f>
        <v>51734</v>
      </c>
      <c r="C7" s="2765">
        <v>23473</v>
      </c>
      <c r="D7" s="2765">
        <v>830</v>
      </c>
      <c r="E7" s="2765">
        <v>12640</v>
      </c>
      <c r="F7" s="2765">
        <v>6822</v>
      </c>
      <c r="G7" s="2765">
        <v>2288</v>
      </c>
      <c r="H7" s="2765">
        <v>2192</v>
      </c>
      <c r="I7" s="2765">
        <v>767</v>
      </c>
      <c r="J7" s="2765">
        <v>698</v>
      </c>
      <c r="K7" s="512" t="s">
        <v>55</v>
      </c>
      <c r="L7" s="2765">
        <v>2024</v>
      </c>
    </row>
    <row r="8" spans="1:12">
      <c r="A8" s="506">
        <v>2010</v>
      </c>
      <c r="B8" s="507">
        <f t="shared" si="0"/>
        <v>48261</v>
      </c>
      <c r="C8" s="2765">
        <v>24574</v>
      </c>
      <c r="D8" s="2765">
        <v>839</v>
      </c>
      <c r="E8" s="2765">
        <v>9338</v>
      </c>
      <c r="F8" s="2765">
        <v>5831</v>
      </c>
      <c r="G8" s="2765">
        <v>1773</v>
      </c>
      <c r="H8" s="2765">
        <v>2234</v>
      </c>
      <c r="I8" s="2765">
        <v>964</v>
      </c>
      <c r="J8" s="2765">
        <v>551</v>
      </c>
      <c r="K8" s="512" t="s">
        <v>55</v>
      </c>
      <c r="L8" s="2765">
        <v>2157</v>
      </c>
    </row>
    <row r="9" spans="1:12">
      <c r="A9" s="506" t="s">
        <v>801</v>
      </c>
      <c r="B9" s="507">
        <f t="shared" si="0"/>
        <v>65199</v>
      </c>
      <c r="C9" s="2765">
        <v>30584</v>
      </c>
      <c r="D9" s="2765">
        <v>1257</v>
      </c>
      <c r="E9" s="2765">
        <v>11405</v>
      </c>
      <c r="F9" s="2765">
        <v>11553</v>
      </c>
      <c r="G9" s="2765">
        <v>2965</v>
      </c>
      <c r="H9" s="2765">
        <v>2617</v>
      </c>
      <c r="I9" s="2765">
        <v>1694</v>
      </c>
      <c r="J9" s="2765">
        <v>546</v>
      </c>
      <c r="K9" s="512" t="s">
        <v>55</v>
      </c>
      <c r="L9" s="2765">
        <v>2578</v>
      </c>
    </row>
    <row r="10" spans="1:12">
      <c r="A10" s="506" t="s">
        <v>802</v>
      </c>
      <c r="B10" s="507">
        <f t="shared" si="0"/>
        <v>97648</v>
      </c>
      <c r="C10" s="2765">
        <v>38134</v>
      </c>
      <c r="D10" s="2765">
        <v>1308</v>
      </c>
      <c r="E10" s="2765">
        <v>22334</v>
      </c>
      <c r="F10" s="2765">
        <v>15947</v>
      </c>
      <c r="G10" s="2765">
        <v>6394</v>
      </c>
      <c r="H10" s="2765">
        <v>4059</v>
      </c>
      <c r="I10" s="2765">
        <v>1656</v>
      </c>
      <c r="J10" s="2765">
        <v>2645</v>
      </c>
      <c r="K10" s="512" t="s">
        <v>55</v>
      </c>
      <c r="L10" s="2765">
        <v>5171</v>
      </c>
    </row>
    <row r="11" spans="1:12">
      <c r="A11" s="506" t="s">
        <v>803</v>
      </c>
      <c r="B11" s="507">
        <f t="shared" si="0"/>
        <v>89203</v>
      </c>
      <c r="C11" s="2765">
        <v>39824</v>
      </c>
      <c r="D11" s="2765">
        <v>2106</v>
      </c>
      <c r="E11" s="2765">
        <v>21223</v>
      </c>
      <c r="F11" s="2765">
        <v>11634</v>
      </c>
      <c r="G11" s="2765">
        <v>4254</v>
      </c>
      <c r="H11" s="2765">
        <v>1802</v>
      </c>
      <c r="I11" s="2765">
        <v>2703</v>
      </c>
      <c r="J11" s="2783">
        <v>1853</v>
      </c>
      <c r="K11" s="512" t="s">
        <v>55</v>
      </c>
      <c r="L11" s="2783">
        <v>3804</v>
      </c>
    </row>
    <row r="12" spans="1:12">
      <c r="A12" s="506" t="s">
        <v>804</v>
      </c>
      <c r="B12" s="507">
        <f t="shared" si="0"/>
        <v>74063</v>
      </c>
      <c r="C12" s="2765">
        <v>32884</v>
      </c>
      <c r="D12" s="2765">
        <v>1244</v>
      </c>
      <c r="E12" s="2765">
        <v>12596</v>
      </c>
      <c r="F12" s="2765">
        <v>9768</v>
      </c>
      <c r="G12" s="2765">
        <v>5084</v>
      </c>
      <c r="H12" s="2765">
        <v>2519</v>
      </c>
      <c r="I12" s="2765">
        <v>2455</v>
      </c>
      <c r="J12" s="2783">
        <v>3175</v>
      </c>
      <c r="K12" s="2783">
        <v>1643</v>
      </c>
      <c r="L12" s="2783">
        <v>2695</v>
      </c>
    </row>
    <row r="13" spans="1:12">
      <c r="A13" s="506"/>
      <c r="B13" s="507"/>
      <c r="C13" s="508"/>
      <c r="D13" s="508"/>
      <c r="E13" s="508"/>
      <c r="F13" s="508"/>
      <c r="G13" s="508"/>
      <c r="H13" s="508"/>
      <c r="I13" s="508"/>
      <c r="J13" s="508"/>
      <c r="K13" s="508"/>
      <c r="L13" s="508"/>
    </row>
    <row r="14" spans="1:12" ht="27.75" customHeight="1">
      <c r="A14" s="2572" t="s">
        <v>3471</v>
      </c>
      <c r="B14" s="2572"/>
      <c r="C14" s="2572"/>
      <c r="D14" s="2572"/>
      <c r="E14" s="2572"/>
      <c r="F14" s="2572"/>
      <c r="G14" s="2572"/>
      <c r="H14" s="2572"/>
      <c r="I14" s="2572"/>
      <c r="J14" s="2572"/>
      <c r="K14" s="2572"/>
      <c r="L14" s="2572"/>
    </row>
    <row r="15" spans="1:12">
      <c r="A15" s="509" t="s">
        <v>2459</v>
      </c>
      <c r="B15" s="510"/>
      <c r="C15" s="510"/>
      <c r="D15" s="517"/>
      <c r="E15" s="510"/>
      <c r="F15" s="510"/>
      <c r="G15" s="510"/>
      <c r="H15" s="510"/>
      <c r="I15" s="510"/>
      <c r="J15" s="510"/>
      <c r="K15" s="510"/>
      <c r="L15" s="510"/>
    </row>
    <row r="16" spans="1:12">
      <c r="A16" s="503" t="s">
        <v>1122</v>
      </c>
      <c r="B16" s="87"/>
      <c r="C16" s="87"/>
      <c r="D16" s="87"/>
      <c r="E16" s="87"/>
      <c r="F16" s="87"/>
      <c r="G16" s="87"/>
      <c r="H16" s="87"/>
      <c r="I16" s="87"/>
    </row>
    <row r="20" spans="2:2">
      <c r="B20" s="518"/>
    </row>
  </sheetData>
  <mergeCells count="6">
    <mergeCell ref="A14:L14"/>
    <mergeCell ref="A2:L2"/>
    <mergeCell ref="A4:A6"/>
    <mergeCell ref="B4:L4"/>
    <mergeCell ref="B5:B6"/>
    <mergeCell ref="C5:L5"/>
  </mergeCells>
  <pageMargins left="0.70866141732283472" right="0.70866141732283472" top="0.74803149606299213" bottom="0.74803149606299213" header="0.31496062992125984" footer="0.31496062992125984"/>
  <pageSetup paperSize="14" scale="115" orientation="landscape" r:id="rId1"/>
</worksheet>
</file>

<file path=xl/worksheets/sheet266.xml><?xml version="1.0" encoding="utf-8"?>
<worksheet xmlns="http://schemas.openxmlformats.org/spreadsheetml/2006/main" xmlns:r="http://schemas.openxmlformats.org/officeDocument/2006/relationships">
  <dimension ref="A2:L26"/>
  <sheetViews>
    <sheetView zoomScaleNormal="100" workbookViewId="0">
      <selection activeCell="C36" sqref="C36"/>
    </sheetView>
  </sheetViews>
  <sheetFormatPr baseColWidth="10" defaultRowHeight="11.25"/>
  <cols>
    <col min="1" max="1" width="22" style="83" customWidth="1"/>
    <col min="2" max="2" width="13.5703125" style="83" bestFit="1" customWidth="1"/>
    <col min="3" max="3" width="13" style="83" bestFit="1" customWidth="1"/>
    <col min="4" max="4" width="12" style="83" customWidth="1"/>
    <col min="5" max="5" width="13" style="83" bestFit="1" customWidth="1"/>
    <col min="6" max="7" width="11.85546875" style="83" bestFit="1" customWidth="1"/>
    <col min="8" max="8" width="13.7109375" style="83" customWidth="1"/>
    <col min="9" max="12" width="11.85546875" style="83" bestFit="1" customWidth="1"/>
    <col min="13" max="16384" width="11.42578125" style="83"/>
  </cols>
  <sheetData>
    <row r="2" spans="1:12" s="72" customFormat="1" ht="19.5" customHeight="1">
      <c r="A2" s="2575" t="s">
        <v>2460</v>
      </c>
      <c r="B2" s="2575"/>
      <c r="C2" s="2575"/>
      <c r="D2" s="2575"/>
      <c r="E2" s="2575"/>
      <c r="F2" s="2575"/>
      <c r="G2" s="2575"/>
      <c r="H2" s="2575"/>
      <c r="I2" s="2575"/>
      <c r="J2" s="2575"/>
      <c r="K2" s="2575"/>
      <c r="L2" s="2575"/>
    </row>
    <row r="3" spans="1:12" s="72" customFormat="1">
      <c r="A3" s="75"/>
    </row>
    <row r="4" spans="1:12" ht="12.75">
      <c r="A4" s="2790" t="s">
        <v>0</v>
      </c>
      <c r="B4" s="2791" t="s">
        <v>3473</v>
      </c>
      <c r="C4" s="2791"/>
      <c r="D4" s="2791"/>
      <c r="E4" s="2791"/>
      <c r="F4" s="2791"/>
      <c r="G4" s="2791"/>
      <c r="H4" s="2791"/>
      <c r="I4" s="2791"/>
      <c r="J4" s="2791"/>
      <c r="K4" s="2791"/>
      <c r="L4" s="2791"/>
    </row>
    <row r="5" spans="1:12">
      <c r="A5" s="2790"/>
      <c r="B5" s="2790" t="s">
        <v>6</v>
      </c>
      <c r="C5" s="2791" t="s">
        <v>1113</v>
      </c>
      <c r="D5" s="2791"/>
      <c r="E5" s="2791"/>
      <c r="F5" s="2791"/>
      <c r="G5" s="2791"/>
      <c r="H5" s="2791"/>
      <c r="I5" s="2791"/>
      <c r="J5" s="2791"/>
      <c r="K5" s="2791"/>
      <c r="L5" s="2791"/>
    </row>
    <row r="6" spans="1:12" ht="27.75" customHeight="1">
      <c r="A6" s="2790"/>
      <c r="B6" s="2790"/>
      <c r="C6" s="2792" t="s">
        <v>2454</v>
      </c>
      <c r="D6" s="2793" t="s">
        <v>2455</v>
      </c>
      <c r="E6" s="2793" t="s">
        <v>2456</v>
      </c>
      <c r="F6" s="2793" t="s">
        <v>2457</v>
      </c>
      <c r="G6" s="2793" t="s">
        <v>2461</v>
      </c>
      <c r="H6" s="2793" t="s">
        <v>2462</v>
      </c>
      <c r="I6" s="2793" t="s">
        <v>2419</v>
      </c>
      <c r="J6" s="2793" t="s">
        <v>2447</v>
      </c>
      <c r="K6" s="2793" t="s">
        <v>2463</v>
      </c>
      <c r="L6" s="2793" t="s">
        <v>2464</v>
      </c>
    </row>
    <row r="7" spans="1:12">
      <c r="A7" s="2784" t="s">
        <v>6</v>
      </c>
      <c r="B7" s="2785">
        <f>SUM(B8:B22)</f>
        <v>74063</v>
      </c>
      <c r="C7" s="2786">
        <f>SUM(C8:C22)</f>
        <v>32884</v>
      </c>
      <c r="D7" s="2786">
        <f t="shared" ref="D7:L7" si="0">SUM(D8:D22)</f>
        <v>1244</v>
      </c>
      <c r="E7" s="2786">
        <f t="shared" si="0"/>
        <v>12596</v>
      </c>
      <c r="F7" s="2786">
        <f t="shared" si="0"/>
        <v>9768</v>
      </c>
      <c r="G7" s="2786">
        <f t="shared" si="0"/>
        <v>5084</v>
      </c>
      <c r="H7" s="2786">
        <f t="shared" si="0"/>
        <v>2519</v>
      </c>
      <c r="I7" s="2786">
        <f t="shared" si="0"/>
        <v>2455</v>
      </c>
      <c r="J7" s="2786">
        <f t="shared" si="0"/>
        <v>3175</v>
      </c>
      <c r="K7" s="2786">
        <f t="shared" si="0"/>
        <v>1643</v>
      </c>
      <c r="L7" s="2786">
        <f t="shared" si="0"/>
        <v>2695</v>
      </c>
    </row>
    <row r="8" spans="1:12">
      <c r="A8" s="2787" t="s">
        <v>7</v>
      </c>
      <c r="B8" s="2788">
        <f>SUM(C8:L8)</f>
        <v>2595</v>
      </c>
      <c r="C8" s="2752">
        <v>2093</v>
      </c>
      <c r="D8" s="2789">
        <v>21</v>
      </c>
      <c r="E8" s="2789">
        <v>110</v>
      </c>
      <c r="F8" s="2789">
        <v>178</v>
      </c>
      <c r="G8" s="2789">
        <v>6</v>
      </c>
      <c r="H8" s="2789">
        <v>6</v>
      </c>
      <c r="I8" s="2789">
        <v>174</v>
      </c>
      <c r="J8" s="2789">
        <v>0</v>
      </c>
      <c r="K8" s="2789">
        <v>2</v>
      </c>
      <c r="L8" s="2789">
        <v>5</v>
      </c>
    </row>
    <row r="9" spans="1:12">
      <c r="A9" s="2787" t="s">
        <v>8</v>
      </c>
      <c r="B9" s="2788">
        <f t="shared" ref="B9:B22" si="1">SUM(C9:L9)</f>
        <v>1203</v>
      </c>
      <c r="C9" s="2752">
        <v>756</v>
      </c>
      <c r="D9" s="2789">
        <v>28</v>
      </c>
      <c r="E9" s="2789">
        <v>100</v>
      </c>
      <c r="F9" s="2789">
        <v>83</v>
      </c>
      <c r="G9" s="2789">
        <v>50</v>
      </c>
      <c r="H9" s="2789">
        <v>6</v>
      </c>
      <c r="I9" s="2789">
        <v>72</v>
      </c>
      <c r="J9" s="2789">
        <v>14</v>
      </c>
      <c r="K9" s="2789">
        <v>4</v>
      </c>
      <c r="L9" s="2789">
        <v>90</v>
      </c>
    </row>
    <row r="10" spans="1:12">
      <c r="A10" s="2787" t="s">
        <v>9</v>
      </c>
      <c r="B10" s="2788">
        <f t="shared" si="1"/>
        <v>4987</v>
      </c>
      <c r="C10" s="2752">
        <v>4079</v>
      </c>
      <c r="D10" s="2789">
        <v>36</v>
      </c>
      <c r="E10" s="2789">
        <v>276</v>
      </c>
      <c r="F10" s="2789">
        <v>396</v>
      </c>
      <c r="G10" s="2789">
        <v>26</v>
      </c>
      <c r="H10" s="2789">
        <v>29</v>
      </c>
      <c r="I10" s="2789">
        <v>71</v>
      </c>
      <c r="J10" s="2789">
        <v>0</v>
      </c>
      <c r="K10" s="2789">
        <v>2</v>
      </c>
      <c r="L10" s="2789">
        <v>72</v>
      </c>
    </row>
    <row r="11" spans="1:12">
      <c r="A11" s="2787" t="s">
        <v>10</v>
      </c>
      <c r="B11" s="2788">
        <f t="shared" si="1"/>
        <v>2031</v>
      </c>
      <c r="C11" s="2752">
        <v>915</v>
      </c>
      <c r="D11" s="2789">
        <v>34</v>
      </c>
      <c r="E11" s="2789">
        <v>419</v>
      </c>
      <c r="F11" s="2789">
        <v>328</v>
      </c>
      <c r="G11" s="2789">
        <v>211</v>
      </c>
      <c r="H11" s="2789">
        <v>34</v>
      </c>
      <c r="I11" s="2789">
        <v>39</v>
      </c>
      <c r="J11" s="2789">
        <v>0</v>
      </c>
      <c r="K11" s="2789">
        <v>22</v>
      </c>
      <c r="L11" s="2789">
        <v>29</v>
      </c>
    </row>
    <row r="12" spans="1:12">
      <c r="A12" s="2787" t="s">
        <v>11</v>
      </c>
      <c r="B12" s="2788">
        <f t="shared" si="1"/>
        <v>1668</v>
      </c>
      <c r="C12" s="2752">
        <v>523</v>
      </c>
      <c r="D12" s="2789">
        <v>38</v>
      </c>
      <c r="E12" s="2789">
        <v>232</v>
      </c>
      <c r="F12" s="2789">
        <v>634</v>
      </c>
      <c r="G12" s="2789">
        <v>79</v>
      </c>
      <c r="H12" s="2789">
        <v>15</v>
      </c>
      <c r="I12" s="2789">
        <v>31</v>
      </c>
      <c r="J12" s="2789">
        <v>35</v>
      </c>
      <c r="K12" s="2789">
        <v>66</v>
      </c>
      <c r="L12" s="2789">
        <v>15</v>
      </c>
    </row>
    <row r="13" spans="1:12">
      <c r="A13" s="2787" t="s">
        <v>12</v>
      </c>
      <c r="B13" s="2788">
        <f t="shared" si="1"/>
        <v>11554</v>
      </c>
      <c r="C13" s="2752">
        <v>7739</v>
      </c>
      <c r="D13" s="2789">
        <v>153</v>
      </c>
      <c r="E13" s="2789">
        <v>1222</v>
      </c>
      <c r="F13" s="2789">
        <v>728</v>
      </c>
      <c r="G13" s="2789">
        <v>277</v>
      </c>
      <c r="H13" s="2789">
        <v>488</v>
      </c>
      <c r="I13" s="2789">
        <v>447</v>
      </c>
      <c r="J13" s="2789">
        <v>33</v>
      </c>
      <c r="K13" s="2789">
        <v>113</v>
      </c>
      <c r="L13" s="2789">
        <v>354</v>
      </c>
    </row>
    <row r="14" spans="1:12">
      <c r="A14" s="2787" t="s">
        <v>13</v>
      </c>
      <c r="B14" s="2788">
        <f t="shared" si="1"/>
        <v>9957</v>
      </c>
      <c r="C14" s="2752">
        <v>2863</v>
      </c>
      <c r="D14" s="2789">
        <v>622</v>
      </c>
      <c r="E14" s="2789">
        <v>1191</v>
      </c>
      <c r="F14" s="2789">
        <v>1284</v>
      </c>
      <c r="G14" s="2789">
        <v>486</v>
      </c>
      <c r="H14" s="2789">
        <v>261</v>
      </c>
      <c r="I14" s="2789">
        <v>334</v>
      </c>
      <c r="J14" s="2789">
        <v>2477</v>
      </c>
      <c r="K14" s="2789">
        <v>126</v>
      </c>
      <c r="L14" s="2789">
        <v>313</v>
      </c>
    </row>
    <row r="15" spans="1:12">
      <c r="A15" s="2787" t="s">
        <v>14</v>
      </c>
      <c r="B15" s="2788">
        <f t="shared" si="1"/>
        <v>3525</v>
      </c>
      <c r="C15" s="2752">
        <v>1362</v>
      </c>
      <c r="D15" s="2789">
        <v>40</v>
      </c>
      <c r="E15" s="2789">
        <v>529</v>
      </c>
      <c r="F15" s="2789">
        <v>590</v>
      </c>
      <c r="G15" s="2789">
        <v>256</v>
      </c>
      <c r="H15" s="2789">
        <v>24</v>
      </c>
      <c r="I15" s="2789">
        <v>22</v>
      </c>
      <c r="J15" s="2789">
        <v>254</v>
      </c>
      <c r="K15" s="2789">
        <v>280</v>
      </c>
      <c r="L15" s="2789">
        <v>168</v>
      </c>
    </row>
    <row r="16" spans="1:12">
      <c r="A16" s="2787" t="s">
        <v>15</v>
      </c>
      <c r="B16" s="2788">
        <f t="shared" si="1"/>
        <v>10792</v>
      </c>
      <c r="C16" s="2752">
        <v>958</v>
      </c>
      <c r="D16" s="2789">
        <v>69</v>
      </c>
      <c r="E16" s="2789">
        <v>1079</v>
      </c>
      <c r="F16" s="2789">
        <v>2215</v>
      </c>
      <c r="G16" s="2789">
        <v>3010</v>
      </c>
      <c r="H16" s="2789">
        <v>1372</v>
      </c>
      <c r="I16" s="2789">
        <v>482</v>
      </c>
      <c r="J16" s="2789">
        <v>17</v>
      </c>
      <c r="K16" s="2789">
        <v>499</v>
      </c>
      <c r="L16" s="2789">
        <v>1091</v>
      </c>
    </row>
    <row r="17" spans="1:12">
      <c r="A17" s="2787" t="s">
        <v>16</v>
      </c>
      <c r="B17" s="2788">
        <f t="shared" si="1"/>
        <v>4777</v>
      </c>
      <c r="C17" s="2752">
        <v>2483</v>
      </c>
      <c r="D17" s="2789">
        <v>126</v>
      </c>
      <c r="E17" s="2789">
        <v>1183</v>
      </c>
      <c r="F17" s="2789">
        <v>480</v>
      </c>
      <c r="G17" s="2789">
        <v>153</v>
      </c>
      <c r="H17" s="2789">
        <v>47</v>
      </c>
      <c r="I17" s="2789">
        <v>117</v>
      </c>
      <c r="J17" s="2789">
        <v>26</v>
      </c>
      <c r="K17" s="2789">
        <v>124</v>
      </c>
      <c r="L17" s="2789">
        <v>38</v>
      </c>
    </row>
    <row r="18" spans="1:12">
      <c r="A18" s="2787" t="s">
        <v>17</v>
      </c>
      <c r="B18" s="2788">
        <f t="shared" si="1"/>
        <v>15392</v>
      </c>
      <c r="C18" s="2752">
        <v>6366</v>
      </c>
      <c r="D18" s="2789">
        <v>39</v>
      </c>
      <c r="E18" s="2789">
        <v>5128</v>
      </c>
      <c r="F18" s="2789">
        <v>1935</v>
      </c>
      <c r="G18" s="2789">
        <v>319</v>
      </c>
      <c r="H18" s="2789">
        <v>213</v>
      </c>
      <c r="I18" s="2789">
        <v>584</v>
      </c>
      <c r="J18" s="2789">
        <v>171</v>
      </c>
      <c r="K18" s="2789">
        <v>352</v>
      </c>
      <c r="L18" s="2789">
        <v>285</v>
      </c>
    </row>
    <row r="19" spans="1:12">
      <c r="A19" s="2787" t="s">
        <v>18</v>
      </c>
      <c r="B19" s="2788">
        <f t="shared" si="1"/>
        <v>843</v>
      </c>
      <c r="C19" s="2752">
        <v>166</v>
      </c>
      <c r="D19" s="2789">
        <v>20</v>
      </c>
      <c r="E19" s="2789">
        <v>350</v>
      </c>
      <c r="F19" s="2789">
        <v>255</v>
      </c>
      <c r="G19" s="2789">
        <v>27</v>
      </c>
      <c r="H19" s="2789">
        <v>1</v>
      </c>
      <c r="I19" s="2789">
        <v>15</v>
      </c>
      <c r="J19" s="2789">
        <v>0</v>
      </c>
      <c r="K19" s="2789">
        <v>6</v>
      </c>
      <c r="L19" s="2789">
        <v>3</v>
      </c>
    </row>
    <row r="20" spans="1:12">
      <c r="A20" s="2787" t="s">
        <v>19</v>
      </c>
      <c r="B20" s="2788">
        <f t="shared" si="1"/>
        <v>2924</v>
      </c>
      <c r="C20" s="2752">
        <v>1561</v>
      </c>
      <c r="D20" s="2789">
        <v>18</v>
      </c>
      <c r="E20" s="2789">
        <v>460</v>
      </c>
      <c r="F20" s="2789">
        <v>551</v>
      </c>
      <c r="G20" s="2789">
        <v>128</v>
      </c>
      <c r="H20" s="2789">
        <v>13</v>
      </c>
      <c r="I20" s="2789">
        <v>56</v>
      </c>
      <c r="J20" s="2789">
        <v>13</v>
      </c>
      <c r="K20" s="2789">
        <v>22</v>
      </c>
      <c r="L20" s="2789">
        <v>102</v>
      </c>
    </row>
    <row r="21" spans="1:12">
      <c r="A21" s="2787" t="s">
        <v>20</v>
      </c>
      <c r="B21" s="2788">
        <f t="shared" si="1"/>
        <v>1143</v>
      </c>
      <c r="C21" s="2752">
        <v>615</v>
      </c>
      <c r="D21" s="2789">
        <v>0</v>
      </c>
      <c r="E21" s="2789">
        <v>228</v>
      </c>
      <c r="F21" s="2789">
        <v>70</v>
      </c>
      <c r="G21" s="2789">
        <v>29</v>
      </c>
      <c r="H21" s="2789">
        <v>3</v>
      </c>
      <c r="I21" s="2789">
        <v>0</v>
      </c>
      <c r="J21" s="2789">
        <v>120</v>
      </c>
      <c r="K21" s="2789">
        <v>25</v>
      </c>
      <c r="L21" s="2789">
        <v>53</v>
      </c>
    </row>
    <row r="22" spans="1:12">
      <c r="A22" s="2787" t="s">
        <v>21</v>
      </c>
      <c r="B22" s="2788">
        <f t="shared" si="1"/>
        <v>672</v>
      </c>
      <c r="C22" s="2752">
        <v>405</v>
      </c>
      <c r="D22" s="2789">
        <v>0</v>
      </c>
      <c r="E22" s="2789">
        <v>89</v>
      </c>
      <c r="F22" s="2789">
        <v>41</v>
      </c>
      <c r="G22" s="2789">
        <v>27</v>
      </c>
      <c r="H22" s="2789">
        <v>7</v>
      </c>
      <c r="I22" s="2789">
        <v>11</v>
      </c>
      <c r="J22" s="2789">
        <v>15</v>
      </c>
      <c r="K22" s="2789">
        <v>0</v>
      </c>
      <c r="L22" s="2789">
        <v>77</v>
      </c>
    </row>
    <row r="24" spans="1:12" s="72" customFormat="1" ht="22.5" customHeight="1">
      <c r="A24" s="2574" t="s">
        <v>3471</v>
      </c>
      <c r="B24" s="2574"/>
      <c r="C24" s="2574"/>
      <c r="D24" s="2574"/>
      <c r="E24" s="2574"/>
      <c r="F24" s="2574"/>
      <c r="G24" s="2574"/>
      <c r="H24" s="2574"/>
      <c r="I24" s="2574"/>
      <c r="J24" s="2574"/>
      <c r="K24" s="2574"/>
      <c r="L24" s="2574"/>
    </row>
    <row r="25" spans="1:12" s="72" customFormat="1">
      <c r="A25" s="515" t="s">
        <v>22</v>
      </c>
      <c r="B25" s="510"/>
      <c r="C25" s="510"/>
      <c r="D25" s="510"/>
      <c r="E25" s="510"/>
      <c r="F25" s="510"/>
      <c r="G25" s="510"/>
      <c r="H25" s="510"/>
      <c r="I25" s="510"/>
      <c r="J25" s="510"/>
      <c r="K25" s="510"/>
    </row>
    <row r="26" spans="1:12" s="72" customFormat="1">
      <c r="A26" s="503" t="s">
        <v>1122</v>
      </c>
      <c r="B26" s="87"/>
      <c r="C26" s="87"/>
      <c r="D26" s="87"/>
      <c r="E26" s="87"/>
      <c r="F26" s="87"/>
      <c r="G26" s="87"/>
      <c r="H26" s="87"/>
      <c r="I26" s="87"/>
    </row>
  </sheetData>
  <mergeCells count="6">
    <mergeCell ref="A24:L24"/>
    <mergeCell ref="A2:L2"/>
    <mergeCell ref="A4:A6"/>
    <mergeCell ref="B4:L4"/>
    <mergeCell ref="B5:B6"/>
    <mergeCell ref="C5:L5"/>
  </mergeCells>
  <pageMargins left="0.7" right="0.7" top="0.75" bottom="0.75" header="0.3" footer="0.3"/>
  <pageSetup paperSize="14" orientation="landscape" r:id="rId1"/>
</worksheet>
</file>

<file path=xl/worksheets/sheet267.xml><?xml version="1.0" encoding="utf-8"?>
<worksheet xmlns="http://schemas.openxmlformats.org/spreadsheetml/2006/main" xmlns:r="http://schemas.openxmlformats.org/officeDocument/2006/relationships">
  <dimension ref="A2:L26"/>
  <sheetViews>
    <sheetView zoomScaleNormal="100" workbookViewId="0">
      <selection activeCell="C32" sqref="C32"/>
    </sheetView>
  </sheetViews>
  <sheetFormatPr baseColWidth="10" defaultRowHeight="11.25"/>
  <cols>
    <col min="1" max="1" width="21.7109375" style="83" customWidth="1"/>
    <col min="2" max="2" width="16.5703125" style="83" bestFit="1" customWidth="1"/>
    <col min="3" max="3" width="14.140625" style="83" bestFit="1" customWidth="1"/>
    <col min="4" max="4" width="15.85546875" style="83" bestFit="1" customWidth="1"/>
    <col min="5" max="6" width="14.140625" style="83" bestFit="1" customWidth="1"/>
    <col min="7" max="7" width="13" style="83" bestFit="1" customWidth="1"/>
    <col min="8" max="8" width="12.5703125" style="83" customWidth="1"/>
    <col min="9" max="9" width="14.140625" style="83" bestFit="1" customWidth="1"/>
    <col min="10" max="10" width="11.85546875" style="83" bestFit="1" customWidth="1"/>
    <col min="11" max="12" width="13" style="83" bestFit="1" customWidth="1"/>
    <col min="13" max="16384" width="11.42578125" style="83"/>
  </cols>
  <sheetData>
    <row r="2" spans="1:12" s="72" customFormat="1" ht="24" customHeight="1">
      <c r="A2" s="2576" t="s">
        <v>2465</v>
      </c>
      <c r="B2" s="2576"/>
      <c r="C2" s="2576"/>
      <c r="D2" s="2576"/>
      <c r="E2" s="2576"/>
      <c r="F2" s="2576"/>
      <c r="G2" s="2576"/>
      <c r="H2" s="2576"/>
      <c r="I2" s="2576"/>
      <c r="J2" s="2576"/>
      <c r="K2" s="2576"/>
      <c r="L2" s="2576"/>
    </row>
    <row r="4" spans="1:12" s="513" customFormat="1" ht="14.25" customHeight="1">
      <c r="A4" s="2790" t="s">
        <v>0</v>
      </c>
      <c r="B4" s="2795" t="s">
        <v>3472</v>
      </c>
      <c r="C4" s="2795"/>
      <c r="D4" s="2795"/>
      <c r="E4" s="2795"/>
      <c r="F4" s="2795"/>
      <c r="G4" s="2795"/>
      <c r="H4" s="2795"/>
      <c r="I4" s="2795"/>
      <c r="J4" s="2795"/>
      <c r="K4" s="2795"/>
      <c r="L4" s="2795"/>
    </row>
    <row r="5" spans="1:12" s="513" customFormat="1" ht="14.25" customHeight="1">
      <c r="A5" s="2790"/>
      <c r="B5" s="2790" t="s">
        <v>6</v>
      </c>
      <c r="C5" s="2795" t="s">
        <v>1113</v>
      </c>
      <c r="D5" s="2795"/>
      <c r="E5" s="2795"/>
      <c r="F5" s="2795"/>
      <c r="G5" s="2795"/>
      <c r="H5" s="2795"/>
      <c r="I5" s="2795"/>
      <c r="J5" s="2795"/>
      <c r="K5" s="2795"/>
      <c r="L5" s="2795"/>
    </row>
    <row r="6" spans="1:12" s="513" customFormat="1" ht="33" customHeight="1">
      <c r="A6" s="2790"/>
      <c r="B6" s="2790"/>
      <c r="C6" s="2793" t="s">
        <v>2454</v>
      </c>
      <c r="D6" s="2793" t="s">
        <v>2455</v>
      </c>
      <c r="E6" s="2793" t="s">
        <v>2456</v>
      </c>
      <c r="F6" s="2793" t="s">
        <v>2457</v>
      </c>
      <c r="G6" s="2793" t="s">
        <v>2461</v>
      </c>
      <c r="H6" s="2793" t="s">
        <v>2462</v>
      </c>
      <c r="I6" s="2793" t="s">
        <v>2419</v>
      </c>
      <c r="J6" s="2793" t="s">
        <v>2447</v>
      </c>
      <c r="K6" s="2793" t="s">
        <v>2463</v>
      </c>
      <c r="L6" s="2793" t="s">
        <v>2464</v>
      </c>
    </row>
    <row r="7" spans="1:12">
      <c r="A7" s="2784" t="s">
        <v>6</v>
      </c>
      <c r="B7" s="2785">
        <f>SUM(B8:B22)</f>
        <v>3846667</v>
      </c>
      <c r="C7" s="2786">
        <f>SUM(C8:C22)</f>
        <v>773214</v>
      </c>
      <c r="D7" s="2786">
        <f t="shared" ref="D7:L7" si="0">SUM(D8:D22)</f>
        <v>2383402</v>
      </c>
      <c r="E7" s="2786">
        <f t="shared" si="0"/>
        <v>104475</v>
      </c>
      <c r="F7" s="2786">
        <f t="shared" si="0"/>
        <v>193946</v>
      </c>
      <c r="G7" s="2786">
        <f t="shared" si="0"/>
        <v>34401</v>
      </c>
      <c r="H7" s="2786">
        <f t="shared" si="0"/>
        <v>58400</v>
      </c>
      <c r="I7" s="2786">
        <f t="shared" si="0"/>
        <v>217200</v>
      </c>
      <c r="J7" s="2786">
        <f t="shared" si="0"/>
        <v>8229</v>
      </c>
      <c r="K7" s="2786">
        <f t="shared" si="0"/>
        <v>12160</v>
      </c>
      <c r="L7" s="2786">
        <f t="shared" si="0"/>
        <v>61240</v>
      </c>
    </row>
    <row r="8" spans="1:12">
      <c r="A8" s="2794" t="s">
        <v>7</v>
      </c>
      <c r="B8" s="2788">
        <f>SUM(C8:L8)</f>
        <v>139806</v>
      </c>
      <c r="C8" s="2752">
        <v>56825</v>
      </c>
      <c r="D8" s="2752">
        <v>82431</v>
      </c>
      <c r="E8" s="2752">
        <v>0</v>
      </c>
      <c r="F8" s="2752">
        <v>0</v>
      </c>
      <c r="G8" s="2752">
        <v>0</v>
      </c>
      <c r="H8" s="2752">
        <v>0</v>
      </c>
      <c r="I8" s="2752">
        <v>0</v>
      </c>
      <c r="J8" s="2752">
        <v>0</v>
      </c>
      <c r="K8" s="2752">
        <v>150</v>
      </c>
      <c r="L8" s="2752">
        <v>400</v>
      </c>
    </row>
    <row r="9" spans="1:12">
      <c r="A9" s="2794" t="s">
        <v>8</v>
      </c>
      <c r="B9" s="2788">
        <f t="shared" ref="B9:B22" si="1">SUM(C9:L9)</f>
        <v>64070</v>
      </c>
      <c r="C9" s="2752">
        <v>1200</v>
      </c>
      <c r="D9" s="2752">
        <v>62500</v>
      </c>
      <c r="E9" s="2752">
        <v>370</v>
      </c>
      <c r="F9" s="2752">
        <v>0</v>
      </c>
      <c r="G9" s="2752">
        <v>0</v>
      </c>
      <c r="H9" s="2752">
        <v>0</v>
      </c>
      <c r="I9" s="2752">
        <v>0</v>
      </c>
      <c r="J9" s="2752">
        <v>0</v>
      </c>
      <c r="K9" s="2752">
        <v>0</v>
      </c>
      <c r="L9" s="2752">
        <v>0</v>
      </c>
    </row>
    <row r="10" spans="1:12">
      <c r="A10" s="2794" t="s">
        <v>9</v>
      </c>
      <c r="B10" s="2788">
        <f t="shared" si="1"/>
        <v>105280</v>
      </c>
      <c r="C10" s="2752">
        <v>0</v>
      </c>
      <c r="D10" s="2752">
        <v>99874</v>
      </c>
      <c r="E10" s="2752">
        <v>1915</v>
      </c>
      <c r="F10" s="2752">
        <v>2431</v>
      </c>
      <c r="G10" s="2752">
        <v>0</v>
      </c>
      <c r="H10" s="2752">
        <v>1000</v>
      </c>
      <c r="I10" s="2752">
        <v>0</v>
      </c>
      <c r="J10" s="2752">
        <v>0</v>
      </c>
      <c r="K10" s="2752">
        <v>60</v>
      </c>
      <c r="L10" s="2752">
        <v>0</v>
      </c>
    </row>
    <row r="11" spans="1:12">
      <c r="A11" s="2794" t="s">
        <v>10</v>
      </c>
      <c r="B11" s="2788">
        <f t="shared" si="1"/>
        <v>32846</v>
      </c>
      <c r="C11" s="2752">
        <v>14280</v>
      </c>
      <c r="D11" s="2752">
        <v>14486</v>
      </c>
      <c r="E11" s="2752">
        <v>200</v>
      </c>
      <c r="F11" s="2752">
        <v>1000</v>
      </c>
      <c r="G11" s="2752">
        <v>0</v>
      </c>
      <c r="H11" s="2752">
        <v>0</v>
      </c>
      <c r="I11" s="2752">
        <v>40</v>
      </c>
      <c r="J11" s="2752">
        <v>0</v>
      </c>
      <c r="K11" s="2752">
        <v>590</v>
      </c>
      <c r="L11" s="2752">
        <v>2250</v>
      </c>
    </row>
    <row r="12" spans="1:12">
      <c r="A12" s="2794" t="s">
        <v>11</v>
      </c>
      <c r="B12" s="2788">
        <f t="shared" si="1"/>
        <v>140165</v>
      </c>
      <c r="C12" s="2752">
        <v>14180</v>
      </c>
      <c r="D12" s="2752">
        <v>123070</v>
      </c>
      <c r="E12" s="2752">
        <v>0</v>
      </c>
      <c r="F12" s="2752">
        <v>1850</v>
      </c>
      <c r="G12" s="2752">
        <v>0</v>
      </c>
      <c r="H12" s="2752">
        <v>0</v>
      </c>
      <c r="I12" s="2752">
        <v>0</v>
      </c>
      <c r="J12" s="2752">
        <v>0</v>
      </c>
      <c r="K12" s="2752">
        <v>565</v>
      </c>
      <c r="L12" s="2752">
        <v>500</v>
      </c>
    </row>
    <row r="13" spans="1:12">
      <c r="A13" s="2794" t="s">
        <v>12</v>
      </c>
      <c r="B13" s="2788">
        <f t="shared" si="1"/>
        <v>557601</v>
      </c>
      <c r="C13" s="2752">
        <v>113774</v>
      </c>
      <c r="D13" s="2752">
        <v>398664</v>
      </c>
      <c r="E13" s="2752">
        <v>4222</v>
      </c>
      <c r="F13" s="2752">
        <v>2639</v>
      </c>
      <c r="G13" s="2752">
        <v>4119</v>
      </c>
      <c r="H13" s="2752">
        <v>3820</v>
      </c>
      <c r="I13" s="2752">
        <v>0</v>
      </c>
      <c r="J13" s="2752">
        <v>0</v>
      </c>
      <c r="K13" s="2752">
        <v>880</v>
      </c>
      <c r="L13" s="2752">
        <v>29483</v>
      </c>
    </row>
    <row r="14" spans="1:12">
      <c r="A14" s="2794" t="s">
        <v>13</v>
      </c>
      <c r="B14" s="2788">
        <f t="shared" si="1"/>
        <v>1470169</v>
      </c>
      <c r="C14" s="2752">
        <v>53620</v>
      </c>
      <c r="D14" s="2752">
        <v>1108892</v>
      </c>
      <c r="E14" s="2752">
        <v>7100</v>
      </c>
      <c r="F14" s="2752">
        <v>0</v>
      </c>
      <c r="G14" s="2752">
        <v>19324</v>
      </c>
      <c r="H14" s="2752">
        <v>48402</v>
      </c>
      <c r="I14" s="2752">
        <v>216000</v>
      </c>
      <c r="J14" s="2752">
        <v>7000</v>
      </c>
      <c r="K14" s="2752">
        <v>500</v>
      </c>
      <c r="L14" s="2752">
        <v>9331</v>
      </c>
    </row>
    <row r="15" spans="1:12">
      <c r="A15" s="2794" t="s">
        <v>14</v>
      </c>
      <c r="B15" s="2788">
        <f t="shared" si="1"/>
        <v>269843</v>
      </c>
      <c r="C15" s="2752">
        <v>114470</v>
      </c>
      <c r="D15" s="2752">
        <v>87673</v>
      </c>
      <c r="E15" s="2752">
        <v>22260</v>
      </c>
      <c r="F15" s="2752">
        <v>28730</v>
      </c>
      <c r="G15" s="2752">
        <v>6850</v>
      </c>
      <c r="H15" s="2752">
        <v>1560</v>
      </c>
      <c r="I15" s="2752">
        <v>1100</v>
      </c>
      <c r="J15" s="2752">
        <v>0</v>
      </c>
      <c r="K15" s="2752">
        <v>5050</v>
      </c>
      <c r="L15" s="2752">
        <v>2150</v>
      </c>
    </row>
    <row r="16" spans="1:12">
      <c r="A16" s="2794" t="s">
        <v>15</v>
      </c>
      <c r="B16" s="2788">
        <f t="shared" si="1"/>
        <v>140282</v>
      </c>
      <c r="C16" s="2752">
        <v>45488</v>
      </c>
      <c r="D16" s="2752">
        <v>71699</v>
      </c>
      <c r="E16" s="2752">
        <v>14367</v>
      </c>
      <c r="F16" s="2752">
        <v>3114</v>
      </c>
      <c r="G16" s="2752">
        <v>0</v>
      </c>
      <c r="H16" s="2752">
        <v>1240</v>
      </c>
      <c r="I16" s="2752">
        <v>0</v>
      </c>
      <c r="J16" s="2752">
        <v>0</v>
      </c>
      <c r="K16" s="2752">
        <v>1480</v>
      </c>
      <c r="L16" s="2752">
        <v>2894</v>
      </c>
    </row>
    <row r="17" spans="1:12">
      <c r="A17" s="2794" t="s">
        <v>16</v>
      </c>
      <c r="B17" s="2788">
        <f t="shared" si="1"/>
        <v>356965</v>
      </c>
      <c r="C17" s="2752">
        <v>105036</v>
      </c>
      <c r="D17" s="2752">
        <v>209223</v>
      </c>
      <c r="E17" s="2752">
        <v>11200</v>
      </c>
      <c r="F17" s="2752">
        <v>28670</v>
      </c>
      <c r="G17" s="2752">
        <v>0</v>
      </c>
      <c r="H17" s="2752">
        <v>0</v>
      </c>
      <c r="I17" s="2752">
        <v>60</v>
      </c>
      <c r="J17" s="2752">
        <v>36</v>
      </c>
      <c r="K17" s="2752">
        <v>2240</v>
      </c>
      <c r="L17" s="2752">
        <v>500</v>
      </c>
    </row>
    <row r="18" spans="1:12">
      <c r="A18" s="2794" t="s">
        <v>17</v>
      </c>
      <c r="B18" s="2788">
        <f t="shared" si="1"/>
        <v>264243</v>
      </c>
      <c r="C18" s="2752">
        <v>145671</v>
      </c>
      <c r="D18" s="2752">
        <v>84469</v>
      </c>
      <c r="E18" s="2752">
        <v>9789</v>
      </c>
      <c r="F18" s="2752">
        <v>23805</v>
      </c>
      <c r="G18" s="2752">
        <v>68</v>
      </c>
      <c r="H18" s="2752">
        <v>208</v>
      </c>
      <c r="I18" s="2752">
        <v>0</v>
      </c>
      <c r="J18" s="2752">
        <v>233</v>
      </c>
      <c r="K18" s="2752">
        <v>0</v>
      </c>
      <c r="L18" s="2752">
        <v>0</v>
      </c>
    </row>
    <row r="19" spans="1:12">
      <c r="A19" s="2794" t="s">
        <v>18</v>
      </c>
      <c r="B19" s="2788">
        <f t="shared" si="1"/>
        <v>28492</v>
      </c>
      <c r="C19" s="2752">
        <v>7577</v>
      </c>
      <c r="D19" s="2752">
        <v>800</v>
      </c>
      <c r="E19" s="2752">
        <v>6020</v>
      </c>
      <c r="F19" s="2752">
        <v>13940</v>
      </c>
      <c r="G19" s="2752">
        <v>0</v>
      </c>
      <c r="H19" s="2752">
        <v>0</v>
      </c>
      <c r="I19" s="2752">
        <v>0</v>
      </c>
      <c r="J19" s="2752">
        <v>0</v>
      </c>
      <c r="K19" s="2752">
        <v>155</v>
      </c>
      <c r="L19" s="2752">
        <v>0</v>
      </c>
    </row>
    <row r="20" spans="1:12">
      <c r="A20" s="2794" t="s">
        <v>19</v>
      </c>
      <c r="B20" s="2788">
        <f t="shared" si="1"/>
        <v>255162</v>
      </c>
      <c r="C20" s="2752">
        <v>91277</v>
      </c>
      <c r="D20" s="2752">
        <v>39621</v>
      </c>
      <c r="E20" s="2752">
        <v>23892</v>
      </c>
      <c r="F20" s="2752">
        <v>85967</v>
      </c>
      <c r="G20" s="2752">
        <v>3800</v>
      </c>
      <c r="H20" s="2752">
        <v>2150</v>
      </c>
      <c r="I20" s="2752">
        <v>0</v>
      </c>
      <c r="J20" s="2752">
        <v>0</v>
      </c>
      <c r="K20" s="2752">
        <v>490</v>
      </c>
      <c r="L20" s="2752">
        <v>7965</v>
      </c>
    </row>
    <row r="21" spans="1:12">
      <c r="A21" s="2794" t="s">
        <v>20</v>
      </c>
      <c r="B21" s="2788">
        <f t="shared" si="1"/>
        <v>2987</v>
      </c>
      <c r="C21" s="2752">
        <v>0</v>
      </c>
      <c r="D21" s="2752">
        <v>0</v>
      </c>
      <c r="E21" s="2752">
        <v>0</v>
      </c>
      <c r="F21" s="2752">
        <v>300</v>
      </c>
      <c r="G21" s="2752">
        <v>240</v>
      </c>
      <c r="H21" s="2752">
        <v>20</v>
      </c>
      <c r="I21" s="2752">
        <v>0</v>
      </c>
      <c r="J21" s="2752">
        <v>960</v>
      </c>
      <c r="K21" s="2752">
        <v>0</v>
      </c>
      <c r="L21" s="2752">
        <v>1467</v>
      </c>
    </row>
    <row r="22" spans="1:12">
      <c r="A22" s="2794" t="s">
        <v>21</v>
      </c>
      <c r="B22" s="2788">
        <f t="shared" si="1"/>
        <v>18756</v>
      </c>
      <c r="C22" s="2752">
        <v>9816</v>
      </c>
      <c r="D22" s="2752">
        <v>0</v>
      </c>
      <c r="E22" s="2752">
        <v>3140</v>
      </c>
      <c r="F22" s="2752">
        <v>1500</v>
      </c>
      <c r="G22" s="2752">
        <v>0</v>
      </c>
      <c r="H22" s="2752">
        <v>0</v>
      </c>
      <c r="I22" s="2752">
        <v>0</v>
      </c>
      <c r="J22" s="2752">
        <v>0</v>
      </c>
      <c r="K22" s="2752">
        <v>0</v>
      </c>
      <c r="L22" s="2752">
        <v>4300</v>
      </c>
    </row>
    <row r="24" spans="1:12" s="72" customFormat="1" ht="26.25" customHeight="1">
      <c r="A24" s="2574" t="s">
        <v>3471</v>
      </c>
      <c r="B24" s="2574"/>
      <c r="C24" s="2574"/>
      <c r="D24" s="2574"/>
      <c r="E24" s="2574"/>
      <c r="F24" s="2574"/>
      <c r="G24" s="2574"/>
      <c r="H24" s="2574"/>
      <c r="I24" s="2574"/>
      <c r="J24" s="2574"/>
      <c r="K24" s="2574"/>
      <c r="L24" s="2574"/>
    </row>
    <row r="25" spans="1:12" s="72" customFormat="1">
      <c r="A25" s="2570" t="s">
        <v>22</v>
      </c>
      <c r="B25" s="2570"/>
      <c r="C25" s="2570"/>
      <c r="D25" s="2570"/>
      <c r="E25" s="510"/>
      <c r="F25" s="510"/>
      <c r="G25" s="510"/>
      <c r="H25" s="510"/>
      <c r="I25" s="502"/>
    </row>
    <row r="26" spans="1:12" s="72" customFormat="1">
      <c r="A26" s="503" t="s">
        <v>1122</v>
      </c>
      <c r="B26" s="87"/>
      <c r="C26" s="512"/>
      <c r="D26" s="512"/>
      <c r="E26" s="512"/>
      <c r="G26" s="512"/>
      <c r="H26" s="512"/>
      <c r="I26" s="512"/>
    </row>
  </sheetData>
  <mergeCells count="7">
    <mergeCell ref="A25:D25"/>
    <mergeCell ref="A2:L2"/>
    <mergeCell ref="A4:A6"/>
    <mergeCell ref="B4:L4"/>
    <mergeCell ref="B5:B6"/>
    <mergeCell ref="C5:L5"/>
    <mergeCell ref="A24:L24"/>
  </mergeCells>
  <pageMargins left="0.7" right="0.7" top="0.75" bottom="0.75" header="0.3" footer="0.3"/>
  <pageSetup paperSize="14" orientation="landscape" r:id="rId1"/>
</worksheet>
</file>

<file path=xl/worksheets/sheet268.xml><?xml version="1.0" encoding="utf-8"?>
<worksheet xmlns="http://schemas.openxmlformats.org/spreadsheetml/2006/main" xmlns:r="http://schemas.openxmlformats.org/officeDocument/2006/relationships">
  <dimension ref="A2:M33"/>
  <sheetViews>
    <sheetView zoomScaleNormal="100" workbookViewId="0">
      <selection activeCell="B37" sqref="B37"/>
    </sheetView>
  </sheetViews>
  <sheetFormatPr baseColWidth="10" defaultRowHeight="11.25"/>
  <cols>
    <col min="1" max="1" width="23.7109375" style="83" customWidth="1"/>
    <col min="2" max="3" width="15.85546875" style="83" bestFit="1" customWidth="1"/>
    <col min="4" max="7" width="14.140625" style="83" bestFit="1" customWidth="1"/>
    <col min="8" max="8" width="13" style="83" customWidth="1"/>
    <col min="9" max="9" width="14.140625" style="83" bestFit="1" customWidth="1"/>
    <col min="10" max="10" width="13" style="83" bestFit="1" customWidth="1"/>
    <col min="11" max="12" width="14.140625" style="83" bestFit="1" customWidth="1"/>
    <col min="13" max="16384" width="11.42578125" style="83"/>
  </cols>
  <sheetData>
    <row r="2" spans="1:13" ht="27.75" customHeight="1">
      <c r="A2" s="2523" t="s">
        <v>3198</v>
      </c>
      <c r="B2" s="2523"/>
      <c r="C2" s="2523"/>
      <c r="D2" s="2523"/>
      <c r="E2" s="2523"/>
      <c r="F2" s="2523"/>
      <c r="G2" s="2523"/>
      <c r="H2" s="2523"/>
      <c r="I2" s="2523"/>
      <c r="J2" s="2523"/>
      <c r="K2" s="2523"/>
      <c r="L2" s="2523"/>
    </row>
    <row r="4" spans="1:13" ht="12.75">
      <c r="A4" s="2790" t="s">
        <v>0</v>
      </c>
      <c r="B4" s="2796" t="s">
        <v>3468</v>
      </c>
      <c r="C4" s="2796"/>
      <c r="D4" s="2796"/>
      <c r="E4" s="2796"/>
      <c r="F4" s="2796"/>
      <c r="G4" s="2796"/>
      <c r="H4" s="2796"/>
      <c r="I4" s="2796"/>
      <c r="J4" s="2796"/>
      <c r="K4" s="2796"/>
      <c r="L4" s="2796"/>
    </row>
    <row r="5" spans="1:13">
      <c r="A5" s="2790"/>
      <c r="B5" s="2790" t="s">
        <v>6</v>
      </c>
      <c r="C5" s="2791" t="s">
        <v>1113</v>
      </c>
      <c r="D5" s="2791"/>
      <c r="E5" s="2791"/>
      <c r="F5" s="2791"/>
      <c r="G5" s="2791"/>
      <c r="H5" s="2791"/>
      <c r="I5" s="2791"/>
      <c r="J5" s="2791"/>
      <c r="K5" s="2791"/>
      <c r="L5" s="2791"/>
    </row>
    <row r="6" spans="1:13" s="513" customFormat="1" ht="36" customHeight="1">
      <c r="A6" s="2790"/>
      <c r="B6" s="2790"/>
      <c r="C6" s="2793" t="s">
        <v>2454</v>
      </c>
      <c r="D6" s="2793" t="s">
        <v>2455</v>
      </c>
      <c r="E6" s="2793" t="s">
        <v>2456</v>
      </c>
      <c r="F6" s="2793" t="s">
        <v>2457</v>
      </c>
      <c r="G6" s="2793" t="s">
        <v>2461</v>
      </c>
      <c r="H6" s="2793" t="s">
        <v>2462</v>
      </c>
      <c r="I6" s="2793" t="s">
        <v>2419</v>
      </c>
      <c r="J6" s="2793" t="s">
        <v>2447</v>
      </c>
      <c r="K6" s="2793" t="s">
        <v>2463</v>
      </c>
      <c r="L6" s="2793" t="s">
        <v>2464</v>
      </c>
    </row>
    <row r="7" spans="1:13">
      <c r="A7" s="2784" t="s">
        <v>6</v>
      </c>
      <c r="B7" s="2785">
        <f>SUM(B8:B22)</f>
        <v>4121480</v>
      </c>
      <c r="C7" s="2786">
        <f>SUM(C8:C22)</f>
        <v>1988712</v>
      </c>
      <c r="D7" s="2786">
        <f t="shared" ref="D7:L7" si="0">SUM(D8:D22)</f>
        <v>380925</v>
      </c>
      <c r="E7" s="2786">
        <f t="shared" si="0"/>
        <v>543387</v>
      </c>
      <c r="F7" s="2786">
        <f t="shared" si="0"/>
        <v>443403</v>
      </c>
      <c r="G7" s="2786">
        <f t="shared" si="0"/>
        <v>134203</v>
      </c>
      <c r="H7" s="2786">
        <f t="shared" si="0"/>
        <v>136636</v>
      </c>
      <c r="I7" s="2786">
        <f t="shared" si="0"/>
        <v>202141</v>
      </c>
      <c r="J7" s="2786">
        <f t="shared" si="0"/>
        <v>26743</v>
      </c>
      <c r="K7" s="2786">
        <f t="shared" si="0"/>
        <v>105114</v>
      </c>
      <c r="L7" s="2786">
        <f t="shared" si="0"/>
        <v>160216</v>
      </c>
      <c r="M7" s="514"/>
    </row>
    <row r="8" spans="1:13">
      <c r="A8" s="2787" t="s">
        <v>7</v>
      </c>
      <c r="B8" s="2788">
        <f>SUM(C8:L8)</f>
        <v>50275</v>
      </c>
      <c r="C8" s="2752">
        <v>22003</v>
      </c>
      <c r="D8" s="2752">
        <v>245</v>
      </c>
      <c r="E8" s="2752">
        <v>5160</v>
      </c>
      <c r="F8" s="2752">
        <v>12775</v>
      </c>
      <c r="G8" s="2752">
        <v>280</v>
      </c>
      <c r="H8" s="2752">
        <v>440</v>
      </c>
      <c r="I8" s="2752">
        <v>8952</v>
      </c>
      <c r="J8" s="2752">
        <v>0</v>
      </c>
      <c r="K8" s="2752">
        <v>100</v>
      </c>
      <c r="L8" s="2752">
        <v>320</v>
      </c>
    </row>
    <row r="9" spans="1:13">
      <c r="A9" s="2787" t="s">
        <v>8</v>
      </c>
      <c r="B9" s="2788">
        <f t="shared" ref="B9:B17" si="1">SUM(C9:L9)</f>
        <v>43645</v>
      </c>
      <c r="C9" s="2752">
        <v>20800</v>
      </c>
      <c r="D9" s="2752">
        <v>0</v>
      </c>
      <c r="E9" s="2752">
        <v>3625</v>
      </c>
      <c r="F9" s="2752">
        <v>1655</v>
      </c>
      <c r="G9" s="2752">
        <v>1369</v>
      </c>
      <c r="H9" s="2752">
        <v>1050</v>
      </c>
      <c r="I9" s="2752">
        <v>13009</v>
      </c>
      <c r="J9" s="2752">
        <v>172</v>
      </c>
      <c r="K9" s="2752">
        <v>825</v>
      </c>
      <c r="L9" s="2752">
        <v>1140</v>
      </c>
    </row>
    <row r="10" spans="1:13">
      <c r="A10" s="2787" t="s">
        <v>9</v>
      </c>
      <c r="B10" s="2788">
        <f t="shared" si="1"/>
        <v>145748</v>
      </c>
      <c r="C10" s="2752">
        <v>75775</v>
      </c>
      <c r="D10" s="2752">
        <v>5620</v>
      </c>
      <c r="E10" s="2752">
        <v>10070</v>
      </c>
      <c r="F10" s="2752">
        <v>26541</v>
      </c>
      <c r="G10" s="2752">
        <v>1460</v>
      </c>
      <c r="H10" s="2752">
        <v>1795</v>
      </c>
      <c r="I10" s="2752">
        <v>6222</v>
      </c>
      <c r="J10" s="2752">
        <v>0</v>
      </c>
      <c r="K10" s="2752">
        <v>400</v>
      </c>
      <c r="L10" s="2752">
        <v>17865</v>
      </c>
    </row>
    <row r="11" spans="1:13">
      <c r="A11" s="2787" t="s">
        <v>10</v>
      </c>
      <c r="B11" s="2788">
        <f>SUM(C11:L11)</f>
        <v>219095</v>
      </c>
      <c r="C11" s="2752">
        <v>151587</v>
      </c>
      <c r="D11" s="2752">
        <v>4068</v>
      </c>
      <c r="E11" s="2752">
        <v>19730</v>
      </c>
      <c r="F11" s="2752">
        <v>20840</v>
      </c>
      <c r="G11" s="2752">
        <v>7580</v>
      </c>
      <c r="H11" s="2752">
        <v>2380</v>
      </c>
      <c r="I11" s="2752">
        <v>5620</v>
      </c>
      <c r="J11" s="2752">
        <v>0</v>
      </c>
      <c r="K11" s="2752">
        <v>3690</v>
      </c>
      <c r="L11" s="2752">
        <v>3600</v>
      </c>
    </row>
    <row r="12" spans="1:13">
      <c r="A12" s="2787" t="s">
        <v>11</v>
      </c>
      <c r="B12" s="2788">
        <f t="shared" si="1"/>
        <v>196249</v>
      </c>
      <c r="C12" s="2752">
        <v>64966</v>
      </c>
      <c r="D12" s="2752">
        <v>1657</v>
      </c>
      <c r="E12" s="2752">
        <v>17543</v>
      </c>
      <c r="F12" s="2752">
        <v>56030</v>
      </c>
      <c r="G12" s="2752">
        <v>8055</v>
      </c>
      <c r="H12" s="2752">
        <v>13750</v>
      </c>
      <c r="I12" s="2752">
        <v>13403</v>
      </c>
      <c r="J12" s="2752">
        <v>600</v>
      </c>
      <c r="K12" s="2752">
        <v>14400</v>
      </c>
      <c r="L12" s="2752">
        <v>5845</v>
      </c>
    </row>
    <row r="13" spans="1:13">
      <c r="A13" s="2787" t="s">
        <v>12</v>
      </c>
      <c r="B13" s="2788">
        <f>SUM(C13:L13)</f>
        <v>432921</v>
      </c>
      <c r="C13" s="2752">
        <v>246649</v>
      </c>
      <c r="D13" s="2752">
        <v>13706</v>
      </c>
      <c r="E13" s="2752">
        <v>23745</v>
      </c>
      <c r="F13" s="2752">
        <v>28863</v>
      </c>
      <c r="G13" s="2752">
        <v>14929</v>
      </c>
      <c r="H13" s="2752">
        <v>34880</v>
      </c>
      <c r="I13" s="2752">
        <v>55571</v>
      </c>
      <c r="J13" s="2752">
        <v>420</v>
      </c>
      <c r="K13" s="2752">
        <v>7306</v>
      </c>
      <c r="L13" s="2752">
        <v>6852</v>
      </c>
    </row>
    <row r="14" spans="1:13">
      <c r="A14" s="2787" t="s">
        <v>13</v>
      </c>
      <c r="B14" s="2788">
        <f t="shared" si="1"/>
        <v>619824</v>
      </c>
      <c r="C14" s="2752">
        <v>175946</v>
      </c>
      <c r="D14" s="2752">
        <v>238189</v>
      </c>
      <c r="E14" s="2752">
        <v>19276</v>
      </c>
      <c r="F14" s="2752">
        <v>65100</v>
      </c>
      <c r="G14" s="2752">
        <v>13163</v>
      </c>
      <c r="H14" s="2752">
        <v>22474</v>
      </c>
      <c r="I14" s="2752">
        <v>20936</v>
      </c>
      <c r="J14" s="2752">
        <v>6164</v>
      </c>
      <c r="K14" s="2752">
        <v>13639</v>
      </c>
      <c r="L14" s="2752">
        <v>44937</v>
      </c>
    </row>
    <row r="15" spans="1:13">
      <c r="A15" s="2787" t="s">
        <v>14</v>
      </c>
      <c r="B15" s="2788">
        <f>SUM(C15:L15)</f>
        <v>180129</v>
      </c>
      <c r="C15" s="2752">
        <v>92305</v>
      </c>
      <c r="D15" s="2752">
        <v>2345</v>
      </c>
      <c r="E15" s="2752">
        <v>24340</v>
      </c>
      <c r="F15" s="2752">
        <v>17175</v>
      </c>
      <c r="G15" s="2752">
        <v>16250</v>
      </c>
      <c r="H15" s="2752">
        <v>2075</v>
      </c>
      <c r="I15" s="2752">
        <v>552</v>
      </c>
      <c r="J15" s="2752">
        <v>4607</v>
      </c>
      <c r="K15" s="2752">
        <v>10956</v>
      </c>
      <c r="L15" s="2752">
        <v>9524</v>
      </c>
    </row>
    <row r="16" spans="1:13">
      <c r="A16" s="2787" t="s">
        <v>15</v>
      </c>
      <c r="B16" s="2788">
        <f>SUM(C16:L16)</f>
        <v>395398</v>
      </c>
      <c r="C16" s="2752">
        <v>66694</v>
      </c>
      <c r="D16" s="2752">
        <v>30702</v>
      </c>
      <c r="E16" s="2752">
        <v>135765</v>
      </c>
      <c r="F16" s="2752">
        <v>31849</v>
      </c>
      <c r="G16" s="2752">
        <v>28515</v>
      </c>
      <c r="H16" s="2752">
        <v>29315</v>
      </c>
      <c r="I16" s="2752">
        <v>20015</v>
      </c>
      <c r="J16" s="2752">
        <v>497</v>
      </c>
      <c r="K16" s="2752">
        <v>21167</v>
      </c>
      <c r="L16" s="2752">
        <v>30879</v>
      </c>
    </row>
    <row r="17" spans="1:12">
      <c r="A17" s="2787" t="s">
        <v>16</v>
      </c>
      <c r="B17" s="2788">
        <f t="shared" si="1"/>
        <v>704531</v>
      </c>
      <c r="C17" s="2752">
        <v>429065</v>
      </c>
      <c r="D17" s="2752">
        <v>66479</v>
      </c>
      <c r="E17" s="2752">
        <v>92073</v>
      </c>
      <c r="F17" s="2752">
        <v>42644</v>
      </c>
      <c r="G17" s="2752">
        <v>9174</v>
      </c>
      <c r="H17" s="2752">
        <v>3545</v>
      </c>
      <c r="I17" s="2752">
        <v>35307</v>
      </c>
      <c r="J17" s="2752">
        <v>2796</v>
      </c>
      <c r="K17" s="2752">
        <v>11808</v>
      </c>
      <c r="L17" s="2752">
        <v>11640</v>
      </c>
    </row>
    <row r="18" spans="1:12">
      <c r="A18" s="2787" t="s">
        <v>17</v>
      </c>
      <c r="B18" s="2788">
        <f>SUM(C18:L18)</f>
        <v>895112</v>
      </c>
      <c r="C18" s="2752">
        <v>552208</v>
      </c>
      <c r="D18" s="2752">
        <v>6000</v>
      </c>
      <c r="E18" s="2752">
        <v>155209</v>
      </c>
      <c r="F18" s="2752">
        <v>85070</v>
      </c>
      <c r="G18" s="2752">
        <v>23936</v>
      </c>
      <c r="H18" s="2752">
        <v>16194</v>
      </c>
      <c r="I18" s="2752">
        <v>16874</v>
      </c>
      <c r="J18" s="2752">
        <v>8292</v>
      </c>
      <c r="K18" s="2752">
        <v>16529</v>
      </c>
      <c r="L18" s="2752">
        <v>14800</v>
      </c>
    </row>
    <row r="19" spans="1:12">
      <c r="A19" s="2787" t="s">
        <v>18</v>
      </c>
      <c r="B19" s="2788">
        <f>SUM(C19:L19)</f>
        <v>33016</v>
      </c>
      <c r="C19" s="2752">
        <v>9418</v>
      </c>
      <c r="D19" s="2752">
        <v>1085</v>
      </c>
      <c r="E19" s="2752">
        <v>5690</v>
      </c>
      <c r="F19" s="2752">
        <v>12095</v>
      </c>
      <c r="G19" s="2752">
        <v>1085</v>
      </c>
      <c r="H19" s="2752">
        <v>150</v>
      </c>
      <c r="I19" s="2752">
        <v>2458</v>
      </c>
      <c r="J19" s="2752">
        <v>0</v>
      </c>
      <c r="K19" s="2752">
        <v>355</v>
      </c>
      <c r="L19" s="2752">
        <v>680</v>
      </c>
    </row>
    <row r="20" spans="1:12">
      <c r="A20" s="2787" t="s">
        <v>19</v>
      </c>
      <c r="B20" s="2788">
        <f>SUM(C20:L20)</f>
        <v>150029</v>
      </c>
      <c r="C20" s="2752">
        <v>66006</v>
      </c>
      <c r="D20" s="2752">
        <v>10829</v>
      </c>
      <c r="E20" s="2752">
        <v>16251</v>
      </c>
      <c r="F20" s="2752">
        <v>34646</v>
      </c>
      <c r="G20" s="2752">
        <v>6608</v>
      </c>
      <c r="H20" s="2752">
        <v>5053</v>
      </c>
      <c r="I20" s="2752">
        <v>1272</v>
      </c>
      <c r="J20" s="2752">
        <v>1075</v>
      </c>
      <c r="K20" s="2752">
        <v>3334</v>
      </c>
      <c r="L20" s="2752">
        <v>4955</v>
      </c>
    </row>
    <row r="21" spans="1:12">
      <c r="A21" s="2787" t="s">
        <v>20</v>
      </c>
      <c r="B21" s="2788">
        <f>SUM(C21:L21)</f>
        <v>28818</v>
      </c>
      <c r="C21" s="2752">
        <v>12320</v>
      </c>
      <c r="D21" s="2752">
        <v>0</v>
      </c>
      <c r="E21" s="2752">
        <v>7160</v>
      </c>
      <c r="F21" s="2752">
        <v>5988</v>
      </c>
      <c r="G21" s="2752">
        <v>1519</v>
      </c>
      <c r="H21" s="2752">
        <v>727</v>
      </c>
      <c r="I21" s="2752">
        <v>0</v>
      </c>
      <c r="J21" s="2752">
        <v>0</v>
      </c>
      <c r="K21" s="2752">
        <v>605</v>
      </c>
      <c r="L21" s="2752">
        <v>499</v>
      </c>
    </row>
    <row r="22" spans="1:12">
      <c r="A22" s="2787" t="s">
        <v>21</v>
      </c>
      <c r="B22" s="2788">
        <f>SUM(C22:L22)</f>
        <v>26690</v>
      </c>
      <c r="C22" s="2752">
        <v>2970</v>
      </c>
      <c r="D22" s="2752">
        <v>0</v>
      </c>
      <c r="E22" s="2752">
        <v>7750</v>
      </c>
      <c r="F22" s="2752">
        <v>2132</v>
      </c>
      <c r="G22" s="2752">
        <v>280</v>
      </c>
      <c r="H22" s="2752">
        <v>2808</v>
      </c>
      <c r="I22" s="2752">
        <v>1950</v>
      </c>
      <c r="J22" s="2752">
        <v>2120</v>
      </c>
      <c r="K22" s="2752">
        <v>0</v>
      </c>
      <c r="L22" s="2752">
        <v>6680</v>
      </c>
    </row>
    <row r="24" spans="1:12" s="72" customFormat="1" ht="22.5" customHeight="1">
      <c r="A24" s="2574" t="s">
        <v>3471</v>
      </c>
      <c r="B24" s="2574"/>
      <c r="C24" s="2574"/>
      <c r="D24" s="2574"/>
      <c r="E24" s="2574"/>
      <c r="F24" s="2574"/>
      <c r="G24" s="2574"/>
      <c r="H24" s="2574"/>
      <c r="I24" s="2574"/>
      <c r="J24" s="2574"/>
      <c r="K24" s="2574"/>
      <c r="L24" s="2574"/>
    </row>
    <row r="25" spans="1:12" s="72" customFormat="1">
      <c r="A25" s="515" t="s">
        <v>22</v>
      </c>
      <c r="B25" s="510"/>
      <c r="C25" s="510"/>
      <c r="D25" s="510"/>
      <c r="E25" s="510"/>
      <c r="F25" s="510"/>
      <c r="G25" s="510"/>
      <c r="H25" s="510"/>
      <c r="I25" s="510"/>
      <c r="J25" s="510"/>
      <c r="K25" s="510"/>
    </row>
    <row r="26" spans="1:12" s="72" customFormat="1">
      <c r="A26" s="503" t="s">
        <v>1122</v>
      </c>
      <c r="B26" s="87"/>
      <c r="C26" s="87"/>
      <c r="D26" s="87"/>
      <c r="E26" s="87"/>
      <c r="F26" s="87"/>
      <c r="G26" s="87"/>
      <c r="H26" s="87"/>
      <c r="I26" s="87"/>
    </row>
    <row r="31" spans="1:12">
      <c r="C31" s="516"/>
    </row>
    <row r="32" spans="1:12">
      <c r="C32" s="516"/>
    </row>
    <row r="33" spans="3:3">
      <c r="C33" s="516"/>
    </row>
  </sheetData>
  <mergeCells count="6">
    <mergeCell ref="A24:L24"/>
    <mergeCell ref="A2:L2"/>
    <mergeCell ref="A4:A6"/>
    <mergeCell ref="B4:L4"/>
    <mergeCell ref="B5:B6"/>
    <mergeCell ref="C5:L5"/>
  </mergeCells>
  <pageMargins left="0.7" right="0.7" top="0.75" bottom="0.75" header="0.3" footer="0.3"/>
  <pageSetup paperSize="14" orientation="landscape" r:id="rId1"/>
</worksheet>
</file>

<file path=xl/worksheets/sheet269.xml><?xml version="1.0" encoding="utf-8"?>
<worksheet xmlns="http://schemas.openxmlformats.org/spreadsheetml/2006/main" xmlns:r="http://schemas.openxmlformats.org/officeDocument/2006/relationships">
  <dimension ref="A2:L16"/>
  <sheetViews>
    <sheetView zoomScaleNormal="100" workbookViewId="0">
      <selection activeCell="D23" sqref="D23"/>
    </sheetView>
  </sheetViews>
  <sheetFormatPr baseColWidth="10" defaultRowHeight="12"/>
  <cols>
    <col min="1" max="3" width="11.42578125" style="84"/>
    <col min="4" max="4" width="13.140625" style="84" customWidth="1"/>
    <col min="5" max="16384" width="11.42578125" style="84"/>
  </cols>
  <sheetData>
    <row r="2" spans="1:12" ht="24" customHeight="1">
      <c r="A2" s="2577" t="s">
        <v>2466</v>
      </c>
      <c r="B2" s="2577"/>
      <c r="C2" s="2577"/>
      <c r="D2" s="2577"/>
      <c r="E2" s="2577"/>
      <c r="F2" s="2577"/>
      <c r="G2" s="2577"/>
      <c r="H2" s="2577"/>
      <c r="I2" s="2577"/>
      <c r="J2" s="2577"/>
      <c r="K2" s="2577"/>
      <c r="L2" s="2577"/>
    </row>
    <row r="4" spans="1:12" ht="13.5">
      <c r="A4" s="2762" t="s">
        <v>1092</v>
      </c>
      <c r="B4" s="2757" t="s">
        <v>3470</v>
      </c>
      <c r="C4" s="2757"/>
      <c r="D4" s="2757"/>
      <c r="E4" s="2757"/>
      <c r="F4" s="2757"/>
      <c r="G4" s="2757"/>
      <c r="H4" s="2757"/>
      <c r="I4" s="2757"/>
      <c r="J4" s="2757"/>
      <c r="K4" s="2757"/>
      <c r="L4" s="2757"/>
    </row>
    <row r="5" spans="1:12">
      <c r="A5" s="2762"/>
      <c r="B5" s="2762" t="s">
        <v>6</v>
      </c>
      <c r="C5" s="2757" t="s">
        <v>1113</v>
      </c>
      <c r="D5" s="2757"/>
      <c r="E5" s="2757"/>
      <c r="F5" s="2757"/>
      <c r="G5" s="2757"/>
      <c r="H5" s="2757"/>
      <c r="I5" s="2757"/>
      <c r="J5" s="2757"/>
      <c r="K5" s="2757"/>
      <c r="L5" s="2757"/>
    </row>
    <row r="6" spans="1:12" s="511" customFormat="1" ht="33.75">
      <c r="A6" s="2762"/>
      <c r="B6" s="2762"/>
      <c r="C6" s="2767" t="s">
        <v>2454</v>
      </c>
      <c r="D6" s="2767" t="s">
        <v>2455</v>
      </c>
      <c r="E6" s="2767" t="s">
        <v>2456</v>
      </c>
      <c r="F6" s="2767" t="s">
        <v>2457</v>
      </c>
      <c r="G6" s="2767" t="s">
        <v>2451</v>
      </c>
      <c r="H6" s="2767" t="s">
        <v>2425</v>
      </c>
      <c r="I6" s="2767" t="s">
        <v>2419</v>
      </c>
      <c r="J6" s="2767" t="s">
        <v>2447</v>
      </c>
      <c r="K6" s="2767" t="s">
        <v>2458</v>
      </c>
      <c r="L6" s="2767" t="s">
        <v>1031</v>
      </c>
    </row>
    <row r="7" spans="1:12">
      <c r="A7" s="506" t="s">
        <v>1121</v>
      </c>
      <c r="B7" s="507">
        <f t="shared" ref="B7:B12" si="0">SUM(C7:L7)</f>
        <v>4704965</v>
      </c>
      <c r="C7" s="2765">
        <v>1001725</v>
      </c>
      <c r="D7" s="2765">
        <v>3203314</v>
      </c>
      <c r="E7" s="2765">
        <v>161928</v>
      </c>
      <c r="F7" s="2765">
        <v>221530</v>
      </c>
      <c r="G7" s="2765">
        <v>14351</v>
      </c>
      <c r="H7" s="2765">
        <v>20985</v>
      </c>
      <c r="I7" s="2765">
        <v>10435</v>
      </c>
      <c r="J7" s="2765">
        <v>13710</v>
      </c>
      <c r="K7" s="512" t="s">
        <v>55</v>
      </c>
      <c r="L7" s="2765">
        <v>56987</v>
      </c>
    </row>
    <row r="8" spans="1:12">
      <c r="A8" s="506" t="s">
        <v>1131</v>
      </c>
      <c r="B8" s="507">
        <f t="shared" si="0"/>
        <v>3917151</v>
      </c>
      <c r="C8" s="2765">
        <v>1076732</v>
      </c>
      <c r="D8" s="2765">
        <v>2470311</v>
      </c>
      <c r="E8" s="2765">
        <v>113305</v>
      </c>
      <c r="F8" s="2765">
        <v>145153</v>
      </c>
      <c r="G8" s="2765">
        <v>2703</v>
      </c>
      <c r="H8" s="2765">
        <v>33911</v>
      </c>
      <c r="I8" s="2765">
        <v>4312</v>
      </c>
      <c r="J8" s="2765">
        <v>1402</v>
      </c>
      <c r="K8" s="512" t="s">
        <v>55</v>
      </c>
      <c r="L8" s="2765">
        <v>69322</v>
      </c>
    </row>
    <row r="9" spans="1:12">
      <c r="A9" s="506" t="s">
        <v>801</v>
      </c>
      <c r="B9" s="507">
        <f t="shared" si="0"/>
        <v>4648127</v>
      </c>
      <c r="C9" s="2765">
        <v>1038576</v>
      </c>
      <c r="D9" s="2765">
        <v>3133793</v>
      </c>
      <c r="E9" s="2765">
        <v>128077</v>
      </c>
      <c r="F9" s="2765">
        <v>176398</v>
      </c>
      <c r="G9" s="2765">
        <v>9241</v>
      </c>
      <c r="H9" s="2765">
        <v>21107</v>
      </c>
      <c r="I9" s="2765">
        <v>73081</v>
      </c>
      <c r="J9" s="2765">
        <v>10672</v>
      </c>
      <c r="K9" s="512" t="s">
        <v>55</v>
      </c>
      <c r="L9" s="2765">
        <v>57182</v>
      </c>
    </row>
    <row r="10" spans="1:12">
      <c r="A10" s="506" t="s">
        <v>802</v>
      </c>
      <c r="B10" s="507">
        <f t="shared" si="0"/>
        <v>5182538</v>
      </c>
      <c r="C10" s="2765">
        <v>1197929</v>
      </c>
      <c r="D10" s="2765">
        <v>3516200</v>
      </c>
      <c r="E10" s="2765">
        <v>124798</v>
      </c>
      <c r="F10" s="2765">
        <v>168922</v>
      </c>
      <c r="G10" s="2765">
        <v>12749</v>
      </c>
      <c r="H10" s="2765">
        <v>25933</v>
      </c>
      <c r="I10" s="2765">
        <v>92322</v>
      </c>
      <c r="J10" s="2765">
        <v>3140</v>
      </c>
      <c r="K10" s="512" t="s">
        <v>55</v>
      </c>
      <c r="L10" s="2765">
        <v>40545</v>
      </c>
    </row>
    <row r="11" spans="1:12" s="82" customFormat="1">
      <c r="A11" s="506" t="s">
        <v>803</v>
      </c>
      <c r="B11" s="507">
        <f t="shared" si="0"/>
        <v>4672677</v>
      </c>
      <c r="C11" s="2765">
        <v>1548509</v>
      </c>
      <c r="D11" s="2765">
        <v>2513284</v>
      </c>
      <c r="E11" s="2765">
        <v>204374</v>
      </c>
      <c r="F11" s="2765">
        <v>228583</v>
      </c>
      <c r="G11" s="2765">
        <v>9632</v>
      </c>
      <c r="H11" s="2765">
        <v>7771</v>
      </c>
      <c r="I11" s="2765">
        <v>50710</v>
      </c>
      <c r="J11" s="2765">
        <v>6739</v>
      </c>
      <c r="K11" s="512" t="s">
        <v>55</v>
      </c>
      <c r="L11" s="2765">
        <v>103075</v>
      </c>
    </row>
    <row r="12" spans="1:12" s="82" customFormat="1">
      <c r="A12" s="506" t="s">
        <v>804</v>
      </c>
      <c r="B12" s="507">
        <f t="shared" si="0"/>
        <v>3846667</v>
      </c>
      <c r="C12" s="2765">
        <v>773214</v>
      </c>
      <c r="D12" s="2765">
        <v>2383402</v>
      </c>
      <c r="E12" s="2765">
        <v>104475</v>
      </c>
      <c r="F12" s="2765">
        <v>193946</v>
      </c>
      <c r="G12" s="2765">
        <v>34401</v>
      </c>
      <c r="H12" s="2765">
        <v>58400</v>
      </c>
      <c r="I12" s="2765">
        <v>217200</v>
      </c>
      <c r="J12" s="2765">
        <v>8229</v>
      </c>
      <c r="K12" s="2765">
        <v>12160</v>
      </c>
      <c r="L12" s="2765">
        <v>61240</v>
      </c>
    </row>
    <row r="13" spans="1:12">
      <c r="A13" s="506"/>
      <c r="B13" s="507"/>
      <c r="C13" s="508"/>
      <c r="D13" s="508"/>
      <c r="E13" s="508"/>
      <c r="F13" s="508"/>
      <c r="G13" s="508"/>
      <c r="H13" s="508"/>
      <c r="I13" s="508"/>
      <c r="J13" s="508"/>
      <c r="K13" s="508"/>
      <c r="L13" s="508"/>
    </row>
    <row r="14" spans="1:12" ht="26.25" customHeight="1">
      <c r="A14" s="2574" t="s">
        <v>3471</v>
      </c>
      <c r="B14" s="2574"/>
      <c r="C14" s="2574"/>
      <c r="D14" s="2574"/>
      <c r="E14" s="2574"/>
      <c r="F14" s="2574"/>
      <c r="G14" s="2574"/>
      <c r="H14" s="2574"/>
      <c r="I14" s="2574"/>
      <c r="J14" s="2574"/>
      <c r="K14" s="2574"/>
      <c r="L14" s="2574"/>
    </row>
    <row r="15" spans="1:12">
      <c r="A15" s="509" t="s">
        <v>2459</v>
      </c>
      <c r="B15" s="510"/>
      <c r="C15" s="510"/>
      <c r="D15" s="510"/>
      <c r="E15" s="510"/>
      <c r="F15" s="510"/>
      <c r="G15" s="510"/>
      <c r="H15" s="510"/>
      <c r="I15" s="510"/>
      <c r="J15" s="510"/>
      <c r="K15" s="510"/>
      <c r="L15" s="510"/>
    </row>
    <row r="16" spans="1:12">
      <c r="A16" s="503" t="s">
        <v>1122</v>
      </c>
      <c r="B16" s="87"/>
      <c r="C16" s="512"/>
      <c r="D16" s="512"/>
      <c r="E16" s="512"/>
      <c r="F16" s="512"/>
      <c r="G16" s="512"/>
      <c r="H16" s="512"/>
      <c r="I16" s="512"/>
    </row>
  </sheetData>
  <mergeCells count="6">
    <mergeCell ref="A14:L14"/>
    <mergeCell ref="A2:L2"/>
    <mergeCell ref="A4:A6"/>
    <mergeCell ref="B4:L4"/>
    <mergeCell ref="B5:B6"/>
    <mergeCell ref="C5:L5"/>
  </mergeCells>
  <pageMargins left="0.70866141732283472" right="0.70866141732283472" top="0.74803149606299213" bottom="0.74803149606299213" header="0.31496062992125984" footer="0.31496062992125984"/>
  <pageSetup paperSize="14" scale="115" orientation="landscape" r:id="rId1"/>
</worksheet>
</file>

<file path=xl/worksheets/sheet27.xml><?xml version="1.0" encoding="utf-8"?>
<worksheet xmlns="http://schemas.openxmlformats.org/spreadsheetml/2006/main" xmlns:r="http://schemas.openxmlformats.org/officeDocument/2006/relationships">
  <dimension ref="A2:F29"/>
  <sheetViews>
    <sheetView zoomScaleNormal="100" workbookViewId="0">
      <selection activeCell="B4" sqref="B4:F4"/>
    </sheetView>
  </sheetViews>
  <sheetFormatPr baseColWidth="10" defaultRowHeight="11.25"/>
  <cols>
    <col min="1" max="1" width="31.7109375" style="1" customWidth="1"/>
    <col min="2" max="2" width="11.7109375" style="1" customWidth="1"/>
    <col min="3" max="16384" width="11.42578125" style="1"/>
  </cols>
  <sheetData>
    <row r="2" spans="1:6" ht="38.25" customHeight="1">
      <c r="A2" s="2075" t="s">
        <v>3305</v>
      </c>
      <c r="B2" s="2075"/>
      <c r="C2" s="2075"/>
      <c r="D2" s="2075"/>
      <c r="E2" s="2075"/>
      <c r="F2" s="2075"/>
    </row>
    <row r="3" spans="1:6" ht="12.75" customHeight="1">
      <c r="A3" s="1896"/>
      <c r="B3" s="1896"/>
      <c r="C3" s="1896"/>
      <c r="D3" s="1896"/>
      <c r="E3" s="1896"/>
      <c r="F3" s="1896"/>
    </row>
    <row r="4" spans="1:6">
      <c r="A4" s="2076" t="s">
        <v>993</v>
      </c>
      <c r="B4" s="2077" t="s">
        <v>671</v>
      </c>
      <c r="C4" s="2078"/>
      <c r="D4" s="2078"/>
      <c r="E4" s="2078"/>
      <c r="F4" s="2079"/>
    </row>
    <row r="5" spans="1:6">
      <c r="A5" s="2076"/>
      <c r="B5" s="40">
        <v>2010</v>
      </c>
      <c r="C5" s="40">
        <v>2011</v>
      </c>
      <c r="D5" s="40">
        <v>2012</v>
      </c>
      <c r="E5" s="40">
        <v>2013</v>
      </c>
      <c r="F5" s="40">
        <v>2014</v>
      </c>
    </row>
    <row r="6" spans="1:6">
      <c r="A6" s="791" t="s">
        <v>6</v>
      </c>
      <c r="B6" s="6">
        <f>SUM(B7,B9,B11,B15,B17,B20,B22,B24)</f>
        <v>8</v>
      </c>
      <c r="C6" s="6">
        <f>SUM(C7,C9,C11,C15,C17,C20,C22,C24)</f>
        <v>8</v>
      </c>
      <c r="D6" s="6">
        <f>SUM(D7,D9,D11,D15,D17,D20,D22,D24)</f>
        <v>23</v>
      </c>
      <c r="E6" s="6">
        <f>SUM(E7,E9,E11,E15,E17,E20,E22,E24)</f>
        <v>16</v>
      </c>
      <c r="F6" s="6">
        <f>SUM(F7,F9,F11,F15,F17,F20,F22,F24)</f>
        <v>22</v>
      </c>
    </row>
    <row r="7" spans="1:6">
      <c r="A7" s="786" t="s">
        <v>841</v>
      </c>
      <c r="B7" s="6">
        <f>SUM(B8)</f>
        <v>0</v>
      </c>
      <c r="C7" s="6">
        <f>SUM(C8)</f>
        <v>0</v>
      </c>
      <c r="D7" s="6">
        <f>SUM(D8)</f>
        <v>0</v>
      </c>
      <c r="E7" s="6">
        <f>SUM(E8)</f>
        <v>0</v>
      </c>
      <c r="F7" s="6">
        <f>SUM(F8)</f>
        <v>1</v>
      </c>
    </row>
    <row r="8" spans="1:6">
      <c r="A8" s="785" t="s">
        <v>842</v>
      </c>
      <c r="B8" s="7">
        <v>0</v>
      </c>
      <c r="C8" s="7">
        <v>0</v>
      </c>
      <c r="D8" s="7">
        <v>0</v>
      </c>
      <c r="E8" s="7">
        <v>0</v>
      </c>
      <c r="F8" s="7">
        <v>1</v>
      </c>
    </row>
    <row r="9" spans="1:6">
      <c r="A9" s="786" t="s">
        <v>843</v>
      </c>
      <c r="B9" s="6">
        <f>SUM(B10)</f>
        <v>0</v>
      </c>
      <c r="C9" s="6">
        <f>SUM(C10)</f>
        <v>0</v>
      </c>
      <c r="D9" s="6">
        <f>SUM(D10)</f>
        <v>1</v>
      </c>
      <c r="E9" s="6">
        <f>SUM(E10)</f>
        <v>0</v>
      </c>
      <c r="F9" s="6">
        <f>SUM(F10)</f>
        <v>0</v>
      </c>
    </row>
    <row r="10" spans="1:6" ht="22.5">
      <c r="A10" s="785" t="s">
        <v>844</v>
      </c>
      <c r="B10" s="7">
        <v>0</v>
      </c>
      <c r="C10" s="7">
        <v>0</v>
      </c>
      <c r="D10" s="7">
        <v>1</v>
      </c>
      <c r="E10" s="7">
        <v>0</v>
      </c>
      <c r="F10" s="7">
        <v>0</v>
      </c>
    </row>
    <row r="11" spans="1:6" ht="33.75">
      <c r="A11" s="786" t="s">
        <v>860</v>
      </c>
      <c r="B11" s="6">
        <f>SUM(B12:B14)</f>
        <v>0</v>
      </c>
      <c r="C11" s="6">
        <f>SUM(C12:C14)</f>
        <v>0</v>
      </c>
      <c r="D11" s="6">
        <f>SUM(D12:D14)</f>
        <v>0</v>
      </c>
      <c r="E11" s="6">
        <f>SUM(E12:E14)</f>
        <v>2</v>
      </c>
      <c r="F11" s="6">
        <f>SUM(F12:F14)</f>
        <v>6</v>
      </c>
    </row>
    <row r="12" spans="1:6">
      <c r="A12" s="785" t="s">
        <v>842</v>
      </c>
      <c r="B12" s="7">
        <v>0</v>
      </c>
      <c r="C12" s="7">
        <v>0</v>
      </c>
      <c r="D12" s="7">
        <v>0</v>
      </c>
      <c r="E12" s="7">
        <v>0</v>
      </c>
      <c r="F12" s="7">
        <v>1</v>
      </c>
    </row>
    <row r="13" spans="1:6">
      <c r="A13" s="785" t="s">
        <v>845</v>
      </c>
      <c r="B13" s="7">
        <v>0</v>
      </c>
      <c r="C13" s="7">
        <v>0</v>
      </c>
      <c r="D13" s="7">
        <v>0</v>
      </c>
      <c r="E13" s="7">
        <v>1</v>
      </c>
      <c r="F13" s="7">
        <v>2</v>
      </c>
    </row>
    <row r="14" spans="1:6">
      <c r="A14" s="785" t="s">
        <v>846</v>
      </c>
      <c r="B14" s="7">
        <v>0</v>
      </c>
      <c r="C14" s="7">
        <v>0</v>
      </c>
      <c r="D14" s="7">
        <v>0</v>
      </c>
      <c r="E14" s="7">
        <v>1</v>
      </c>
      <c r="F14" s="7">
        <v>3</v>
      </c>
    </row>
    <row r="15" spans="1:6">
      <c r="A15" s="786" t="s">
        <v>847</v>
      </c>
      <c r="B15" s="6">
        <f>SUM(B16)</f>
        <v>0</v>
      </c>
      <c r="C15" s="6">
        <f>SUM(C16)</f>
        <v>0</v>
      </c>
      <c r="D15" s="6">
        <f>SUM(D16)</f>
        <v>0</v>
      </c>
      <c r="E15" s="6">
        <f>SUM(E16)</f>
        <v>1</v>
      </c>
      <c r="F15" s="6">
        <f>SUM(F16)</f>
        <v>1</v>
      </c>
    </row>
    <row r="16" spans="1:6">
      <c r="A16" s="785" t="s">
        <v>842</v>
      </c>
      <c r="B16" s="7">
        <v>0</v>
      </c>
      <c r="C16" s="7">
        <v>0</v>
      </c>
      <c r="D16" s="7">
        <v>0</v>
      </c>
      <c r="E16" s="7">
        <v>1</v>
      </c>
      <c r="F16" s="7">
        <v>1</v>
      </c>
    </row>
    <row r="17" spans="1:6">
      <c r="A17" s="786" t="s">
        <v>848</v>
      </c>
      <c r="B17" s="6">
        <f>SUM(B18:B19)</f>
        <v>8</v>
      </c>
      <c r="C17" s="6">
        <f>SUM(C18:C19)</f>
        <v>8</v>
      </c>
      <c r="D17" s="6">
        <f>SUM(D18:D19)</f>
        <v>12</v>
      </c>
      <c r="E17" s="6">
        <f>SUM(E18:E19)</f>
        <v>12</v>
      </c>
      <c r="F17" s="6">
        <f>SUM(F18:F19)</f>
        <v>12</v>
      </c>
    </row>
    <row r="18" spans="1:6">
      <c r="A18" s="785" t="s">
        <v>842</v>
      </c>
      <c r="B18" s="7">
        <v>4</v>
      </c>
      <c r="C18" s="7">
        <v>4</v>
      </c>
      <c r="D18" s="7">
        <v>6</v>
      </c>
      <c r="E18" s="7">
        <v>6</v>
      </c>
      <c r="F18" s="7">
        <v>6</v>
      </c>
    </row>
    <row r="19" spans="1:6">
      <c r="A19" s="785" t="s">
        <v>845</v>
      </c>
      <c r="B19" s="7">
        <v>4</v>
      </c>
      <c r="C19" s="7">
        <v>4</v>
      </c>
      <c r="D19" s="7">
        <v>6</v>
      </c>
      <c r="E19" s="7">
        <v>6</v>
      </c>
      <c r="F19" s="7">
        <v>6</v>
      </c>
    </row>
    <row r="20" spans="1:6" ht="22.5">
      <c r="A20" s="786" t="s">
        <v>849</v>
      </c>
      <c r="B20" s="6">
        <f>SUM(B21)</f>
        <v>0</v>
      </c>
      <c r="C20" s="6">
        <f>SUM(C21)</f>
        <v>0</v>
      </c>
      <c r="D20" s="6">
        <f>SUM(D21)</f>
        <v>10</v>
      </c>
      <c r="E20" s="6">
        <f>SUM(E21)</f>
        <v>0</v>
      </c>
      <c r="F20" s="6">
        <f>SUM(F21)</f>
        <v>0</v>
      </c>
    </row>
    <row r="21" spans="1:6">
      <c r="A21" s="785" t="s">
        <v>850</v>
      </c>
      <c r="B21" s="7">
        <v>0</v>
      </c>
      <c r="C21" s="7">
        <v>0</v>
      </c>
      <c r="D21" s="7">
        <v>10</v>
      </c>
      <c r="E21" s="7">
        <v>0</v>
      </c>
      <c r="F21" s="7">
        <v>0</v>
      </c>
    </row>
    <row r="22" spans="1:6">
      <c r="A22" s="786" t="s">
        <v>851</v>
      </c>
      <c r="B22" s="6">
        <f>SUM(B23)</f>
        <v>0</v>
      </c>
      <c r="C22" s="6">
        <f>SUM(C23)</f>
        <v>0</v>
      </c>
      <c r="D22" s="6">
        <f>SUM(D23)</f>
        <v>0</v>
      </c>
      <c r="E22" s="6">
        <f>SUM(E23)</f>
        <v>0</v>
      </c>
      <c r="F22" s="6">
        <f>SUM(F23)</f>
        <v>2</v>
      </c>
    </row>
    <row r="23" spans="1:6">
      <c r="A23" s="785" t="s">
        <v>842</v>
      </c>
      <c r="B23" s="7">
        <v>0</v>
      </c>
      <c r="C23" s="7">
        <v>0</v>
      </c>
      <c r="D23" s="7">
        <v>0</v>
      </c>
      <c r="E23" s="7">
        <v>0</v>
      </c>
      <c r="F23" s="7">
        <v>2</v>
      </c>
    </row>
    <row r="24" spans="1:6">
      <c r="A24" s="786" t="s">
        <v>994</v>
      </c>
      <c r="B24" s="6">
        <f>SUM(B25)</f>
        <v>0</v>
      </c>
      <c r="C24" s="6">
        <f>SUM(C25)</f>
        <v>0</v>
      </c>
      <c r="D24" s="6">
        <f>SUM(D25)</f>
        <v>0</v>
      </c>
      <c r="E24" s="6">
        <f>SUM(E25)</f>
        <v>1</v>
      </c>
      <c r="F24" s="6">
        <f>SUM(F25)</f>
        <v>0</v>
      </c>
    </row>
    <row r="25" spans="1:6">
      <c r="A25" s="785" t="s">
        <v>842</v>
      </c>
      <c r="B25" s="7">
        <v>0</v>
      </c>
      <c r="C25" s="7">
        <v>0</v>
      </c>
      <c r="D25" s="7">
        <v>0</v>
      </c>
      <c r="E25" s="7">
        <v>1</v>
      </c>
      <c r="F25" s="7">
        <v>0</v>
      </c>
    </row>
    <row r="27" spans="1:6">
      <c r="A27" s="1437" t="s">
        <v>3875</v>
      </c>
    </row>
    <row r="28" spans="1:6">
      <c r="A28" s="1890" t="s">
        <v>747</v>
      </c>
    </row>
    <row r="29" spans="1:6" ht="21" customHeight="1">
      <c r="A29" s="2074" t="s">
        <v>861</v>
      </c>
      <c r="B29" s="2074"/>
      <c r="C29" s="2074"/>
      <c r="D29" s="2074"/>
      <c r="E29" s="2074"/>
      <c r="F29" s="2074"/>
    </row>
  </sheetData>
  <mergeCells count="4">
    <mergeCell ref="A29:F29"/>
    <mergeCell ref="A2:F2"/>
    <mergeCell ref="A4:A5"/>
    <mergeCell ref="B4:F4"/>
  </mergeCells>
  <pageMargins left="0.7" right="0.7" top="0.75" bottom="0.75" header="0.3" footer="0.3"/>
</worksheet>
</file>

<file path=xl/worksheets/sheet270.xml><?xml version="1.0" encoding="utf-8"?>
<worksheet xmlns="http://schemas.openxmlformats.org/spreadsheetml/2006/main" xmlns:r="http://schemas.openxmlformats.org/officeDocument/2006/relationships">
  <dimension ref="A2:L16"/>
  <sheetViews>
    <sheetView zoomScaleNormal="100" workbookViewId="0">
      <selection activeCell="C21" sqref="C21"/>
    </sheetView>
  </sheetViews>
  <sheetFormatPr baseColWidth="10" defaultRowHeight="12"/>
  <cols>
    <col min="1" max="1" width="11.42578125" style="82"/>
    <col min="2" max="2" width="13.140625" style="82" bestFit="1" customWidth="1"/>
    <col min="3" max="3" width="13.28515625" style="82" bestFit="1" customWidth="1"/>
    <col min="4" max="5" width="13" style="82" bestFit="1" customWidth="1"/>
    <col min="6" max="6" width="13.28515625" style="82" bestFit="1" customWidth="1"/>
    <col min="7" max="7" width="13.140625" style="82" bestFit="1" customWidth="1"/>
    <col min="8" max="8" width="14.140625" style="82" bestFit="1" customWidth="1"/>
    <col min="9" max="11" width="11.7109375" style="82" bestFit="1" customWidth="1"/>
    <col min="12" max="12" width="11.5703125" style="82" bestFit="1" customWidth="1"/>
    <col min="13" max="16384" width="11.42578125" style="82"/>
  </cols>
  <sheetData>
    <row r="2" spans="1:12" ht="16.5" customHeight="1">
      <c r="A2" s="2565" t="s">
        <v>2467</v>
      </c>
      <c r="B2" s="2565"/>
      <c r="C2" s="2565"/>
      <c r="D2" s="2565"/>
      <c r="E2" s="2565"/>
      <c r="F2" s="2565"/>
      <c r="G2" s="2565"/>
      <c r="H2" s="2565"/>
      <c r="I2" s="2565"/>
      <c r="J2" s="2565"/>
      <c r="K2" s="2565"/>
      <c r="L2" s="2565"/>
    </row>
    <row r="3" spans="1:12" ht="7.5" customHeight="1"/>
    <row r="4" spans="1:12" ht="13.5">
      <c r="A4" s="2762" t="s">
        <v>1092</v>
      </c>
      <c r="B4" s="2757" t="s">
        <v>3468</v>
      </c>
      <c r="C4" s="2757"/>
      <c r="D4" s="2757"/>
      <c r="E4" s="2757"/>
      <c r="F4" s="2757"/>
      <c r="G4" s="2757"/>
      <c r="H4" s="2757"/>
      <c r="I4" s="2757"/>
      <c r="J4" s="2757"/>
      <c r="K4" s="2757"/>
      <c r="L4" s="2757"/>
    </row>
    <row r="5" spans="1:12">
      <c r="A5" s="2762"/>
      <c r="B5" s="2762" t="s">
        <v>26</v>
      </c>
      <c r="C5" s="2757" t="s">
        <v>1113</v>
      </c>
      <c r="D5" s="2757"/>
      <c r="E5" s="2757"/>
      <c r="F5" s="2757"/>
      <c r="G5" s="2757"/>
      <c r="H5" s="2757"/>
      <c r="I5" s="2757"/>
      <c r="J5" s="2757"/>
      <c r="K5" s="2757"/>
      <c r="L5" s="2757"/>
    </row>
    <row r="6" spans="1:12" s="505" customFormat="1" ht="22.5">
      <c r="A6" s="2762"/>
      <c r="B6" s="2762"/>
      <c r="C6" s="2767" t="s">
        <v>2454</v>
      </c>
      <c r="D6" s="2767" t="s">
        <v>2455</v>
      </c>
      <c r="E6" s="2767" t="s">
        <v>2456</v>
      </c>
      <c r="F6" s="2767" t="s">
        <v>2457</v>
      </c>
      <c r="G6" s="2767" t="s">
        <v>2451</v>
      </c>
      <c r="H6" s="2767" t="s">
        <v>2425</v>
      </c>
      <c r="I6" s="2767" t="s">
        <v>2419</v>
      </c>
      <c r="J6" s="2767" t="s">
        <v>2447</v>
      </c>
      <c r="K6" s="2767" t="s">
        <v>2458</v>
      </c>
      <c r="L6" s="2767" t="s">
        <v>1031</v>
      </c>
    </row>
    <row r="7" spans="1:12">
      <c r="A7" s="506" t="s">
        <v>1121</v>
      </c>
      <c r="B7" s="507">
        <f t="shared" ref="B7:B12" si="0">SUM(C7:L7)</f>
        <v>4145278</v>
      </c>
      <c r="C7" s="2765">
        <v>1683241</v>
      </c>
      <c r="D7" s="2765">
        <v>497677</v>
      </c>
      <c r="E7" s="2765">
        <v>758208</v>
      </c>
      <c r="F7" s="2765">
        <v>512331</v>
      </c>
      <c r="G7" s="2765">
        <v>152268</v>
      </c>
      <c r="H7" s="2765">
        <v>158580</v>
      </c>
      <c r="I7" s="2765">
        <v>113309</v>
      </c>
      <c r="J7" s="2765">
        <v>31355</v>
      </c>
      <c r="K7" s="512" t="s">
        <v>55</v>
      </c>
      <c r="L7" s="2765">
        <v>238309</v>
      </c>
    </row>
    <row r="8" spans="1:12">
      <c r="A8" s="506">
        <v>2010</v>
      </c>
      <c r="B8" s="507">
        <f t="shared" si="0"/>
        <v>3878975</v>
      </c>
      <c r="C8" s="2765">
        <v>1941813</v>
      </c>
      <c r="D8" s="2765">
        <v>383430</v>
      </c>
      <c r="E8" s="2765">
        <v>474464</v>
      </c>
      <c r="F8" s="2765">
        <v>352911</v>
      </c>
      <c r="G8" s="2765">
        <v>146456</v>
      </c>
      <c r="H8" s="2765">
        <v>217688</v>
      </c>
      <c r="I8" s="2765">
        <v>126366</v>
      </c>
      <c r="J8" s="2765">
        <v>35660</v>
      </c>
      <c r="K8" s="512" t="s">
        <v>55</v>
      </c>
      <c r="L8" s="2765">
        <v>200187</v>
      </c>
    </row>
    <row r="9" spans="1:12">
      <c r="A9" s="506" t="s">
        <v>801</v>
      </c>
      <c r="B9" s="507">
        <f t="shared" si="0"/>
        <v>4256877</v>
      </c>
      <c r="C9" s="2765">
        <v>1784922</v>
      </c>
      <c r="D9" s="2765">
        <v>618879</v>
      </c>
      <c r="E9" s="2765">
        <v>580081</v>
      </c>
      <c r="F9" s="2765">
        <v>488988</v>
      </c>
      <c r="G9" s="2765">
        <v>152275</v>
      </c>
      <c r="H9" s="2765">
        <v>206880</v>
      </c>
      <c r="I9" s="2765">
        <v>214372</v>
      </c>
      <c r="J9" s="2765">
        <v>31962</v>
      </c>
      <c r="K9" s="512" t="s">
        <v>55</v>
      </c>
      <c r="L9" s="2765">
        <v>178518</v>
      </c>
    </row>
    <row r="10" spans="1:12">
      <c r="A10" s="506" t="s">
        <v>802</v>
      </c>
      <c r="B10" s="507">
        <f t="shared" si="0"/>
        <v>4946853</v>
      </c>
      <c r="C10" s="2765">
        <v>2185142</v>
      </c>
      <c r="D10" s="2765">
        <v>594251</v>
      </c>
      <c r="E10" s="2765">
        <v>721933</v>
      </c>
      <c r="F10" s="2765">
        <v>607668</v>
      </c>
      <c r="G10" s="2765">
        <v>224722</v>
      </c>
      <c r="H10" s="2765">
        <v>193040</v>
      </c>
      <c r="I10" s="2765">
        <v>145007</v>
      </c>
      <c r="J10" s="2765">
        <v>33980</v>
      </c>
      <c r="K10" s="512" t="s">
        <v>55</v>
      </c>
      <c r="L10" s="2765">
        <v>241110</v>
      </c>
    </row>
    <row r="11" spans="1:12">
      <c r="A11" s="506" t="s">
        <v>803</v>
      </c>
      <c r="B11" s="507">
        <f t="shared" si="0"/>
        <v>4241356</v>
      </c>
      <c r="C11" s="2797">
        <v>1894542</v>
      </c>
      <c r="D11" s="2797">
        <v>527085</v>
      </c>
      <c r="E11" s="2797">
        <v>581356</v>
      </c>
      <c r="F11" s="2797">
        <v>426869</v>
      </c>
      <c r="G11" s="2797">
        <v>158089</v>
      </c>
      <c r="H11" s="2797">
        <v>121369</v>
      </c>
      <c r="I11" s="2797">
        <v>181425</v>
      </c>
      <c r="J11" s="2797">
        <v>56019</v>
      </c>
      <c r="K11" s="512" t="s">
        <v>55</v>
      </c>
      <c r="L11" s="2797">
        <v>294602</v>
      </c>
    </row>
    <row r="12" spans="1:12">
      <c r="A12" s="506" t="s">
        <v>804</v>
      </c>
      <c r="B12" s="507">
        <f t="shared" si="0"/>
        <v>4121480</v>
      </c>
      <c r="C12" s="2765">
        <v>1988712</v>
      </c>
      <c r="D12" s="2765">
        <v>380925</v>
      </c>
      <c r="E12" s="2765">
        <v>543387</v>
      </c>
      <c r="F12" s="2765">
        <v>443403</v>
      </c>
      <c r="G12" s="2765">
        <v>134203</v>
      </c>
      <c r="H12" s="2765">
        <v>136636</v>
      </c>
      <c r="I12" s="2765">
        <v>202141</v>
      </c>
      <c r="J12" s="2765">
        <v>26743</v>
      </c>
      <c r="K12" s="2765">
        <v>105114</v>
      </c>
      <c r="L12" s="2765">
        <v>160216</v>
      </c>
    </row>
    <row r="13" spans="1:12">
      <c r="A13" s="506"/>
      <c r="B13" s="507"/>
      <c r="C13" s="508"/>
      <c r="D13" s="508"/>
      <c r="E13" s="508"/>
      <c r="F13" s="508"/>
      <c r="G13" s="508"/>
      <c r="H13" s="508"/>
      <c r="I13" s="508"/>
      <c r="J13" s="508"/>
      <c r="K13" s="508"/>
      <c r="L13" s="508"/>
    </row>
    <row r="14" spans="1:12" ht="27" customHeight="1">
      <c r="A14" s="2574" t="s">
        <v>3469</v>
      </c>
      <c r="B14" s="2574"/>
      <c r="C14" s="2574"/>
      <c r="D14" s="2574"/>
      <c r="E14" s="2574"/>
      <c r="F14" s="2574"/>
      <c r="G14" s="2574"/>
      <c r="H14" s="2574"/>
      <c r="I14" s="2574"/>
      <c r="J14" s="2574"/>
      <c r="K14" s="2574"/>
      <c r="L14" s="2574"/>
    </row>
    <row r="15" spans="1:12" s="84" customFormat="1">
      <c r="A15" s="509" t="s">
        <v>2459</v>
      </c>
      <c r="B15" s="510"/>
      <c r="C15" s="510"/>
      <c r="D15" s="510"/>
      <c r="E15" s="510"/>
      <c r="F15" s="510"/>
      <c r="G15" s="510"/>
      <c r="H15" s="510"/>
      <c r="I15" s="510"/>
      <c r="J15" s="510"/>
      <c r="K15" s="510"/>
      <c r="L15" s="510"/>
    </row>
    <row r="16" spans="1:12">
      <c r="A16" s="503" t="s">
        <v>1122</v>
      </c>
      <c r="B16" s="87"/>
      <c r="C16" s="87"/>
      <c r="D16" s="87"/>
      <c r="E16" s="87"/>
      <c r="F16" s="87"/>
      <c r="G16" s="87"/>
      <c r="H16" s="87"/>
    </row>
  </sheetData>
  <mergeCells count="6">
    <mergeCell ref="A14:L14"/>
    <mergeCell ref="A2:L2"/>
    <mergeCell ref="A4:A6"/>
    <mergeCell ref="B4:L4"/>
    <mergeCell ref="B5:B6"/>
    <mergeCell ref="C5:L5"/>
  </mergeCells>
  <pageMargins left="0.70866141732283472" right="0.70866141732283472" top="0.74803149606299213" bottom="0.74803149606299213" header="0.31496062992125984" footer="0.31496062992125984"/>
  <pageSetup paperSize="14" scale="115" orientation="landscape" r:id="rId1"/>
</worksheet>
</file>

<file path=xl/worksheets/sheet271.xml><?xml version="1.0" encoding="utf-8"?>
<worksheet xmlns="http://schemas.openxmlformats.org/spreadsheetml/2006/main" xmlns:r="http://schemas.openxmlformats.org/officeDocument/2006/relationships">
  <dimension ref="A2:O24"/>
  <sheetViews>
    <sheetView zoomScaleNormal="100" workbookViewId="0">
      <selection activeCell="F28" sqref="F28"/>
    </sheetView>
  </sheetViews>
  <sheetFormatPr baseColWidth="10" defaultRowHeight="11.25"/>
  <cols>
    <col min="1" max="1" width="32.140625" style="83" customWidth="1"/>
    <col min="2" max="10" width="11.42578125" style="83"/>
    <col min="11" max="11" width="12.28515625" style="83" customWidth="1"/>
    <col min="12" max="16384" width="11.42578125" style="83"/>
  </cols>
  <sheetData>
    <row r="2" spans="1:15">
      <c r="A2" s="2573" t="s">
        <v>2468</v>
      </c>
      <c r="B2" s="2573"/>
      <c r="C2" s="2573"/>
      <c r="D2" s="2573"/>
      <c r="E2" s="2573"/>
      <c r="F2" s="2573"/>
      <c r="G2" s="2573"/>
      <c r="H2" s="2573"/>
      <c r="I2" s="2573"/>
      <c r="J2" s="2573"/>
      <c r="K2" s="2573"/>
      <c r="L2" s="2573"/>
      <c r="M2" s="2573"/>
      <c r="N2" s="2573"/>
      <c r="O2" s="2573"/>
    </row>
    <row r="3" spans="1:15">
      <c r="A3" s="497"/>
      <c r="B3" s="498"/>
      <c r="C3" s="498"/>
      <c r="D3" s="498"/>
      <c r="E3" s="497"/>
      <c r="F3" s="497"/>
      <c r="G3" s="497"/>
      <c r="H3" s="497"/>
      <c r="I3" s="497"/>
      <c r="J3" s="87"/>
      <c r="K3" s="87"/>
      <c r="L3" s="87"/>
      <c r="M3" s="87"/>
      <c r="N3" s="87"/>
      <c r="O3" s="87"/>
    </row>
    <row r="4" spans="1:15" s="500" customFormat="1" ht="21" customHeight="1">
      <c r="A4" s="2762" t="s">
        <v>0</v>
      </c>
      <c r="B4" s="2756" t="s">
        <v>3466</v>
      </c>
      <c r="C4" s="2756"/>
      <c r="D4" s="2756"/>
      <c r="E4" s="2756"/>
      <c r="F4" s="2756"/>
      <c r="G4" s="2756"/>
      <c r="H4" s="2756"/>
      <c r="I4" s="2756"/>
      <c r="J4" s="2756"/>
      <c r="K4" s="2756"/>
      <c r="L4" s="2756"/>
      <c r="M4" s="2756"/>
      <c r="N4" s="2756"/>
      <c r="O4" s="499"/>
    </row>
    <row r="5" spans="1:15" s="500" customFormat="1" ht="22.5">
      <c r="A5" s="2762"/>
      <c r="B5" s="2767" t="s">
        <v>6</v>
      </c>
      <c r="C5" s="2767" t="s">
        <v>1135</v>
      </c>
      <c r="D5" s="2767" t="s">
        <v>1136</v>
      </c>
      <c r="E5" s="2767" t="s">
        <v>1137</v>
      </c>
      <c r="F5" s="2767" t="s">
        <v>1138</v>
      </c>
      <c r="G5" s="2767" t="s">
        <v>1139</v>
      </c>
      <c r="H5" s="2767" t="s">
        <v>1140</v>
      </c>
      <c r="I5" s="2767" t="s">
        <v>1141</v>
      </c>
      <c r="J5" s="2767" t="s">
        <v>1142</v>
      </c>
      <c r="K5" s="2767" t="s">
        <v>1143</v>
      </c>
      <c r="L5" s="2767" t="s">
        <v>1144</v>
      </c>
      <c r="M5" s="2767" t="s">
        <v>1145</v>
      </c>
      <c r="N5" s="2767" t="s">
        <v>1146</v>
      </c>
    </row>
    <row r="6" spans="1:15" s="72" customFormat="1">
      <c r="A6" s="2798" t="s">
        <v>6</v>
      </c>
      <c r="B6" s="2799">
        <f>SUM(B7:B21)</f>
        <v>7968147</v>
      </c>
      <c r="C6" s="2799">
        <f t="shared" ref="C6:N6" si="0">SUM(C8:C21)</f>
        <v>752761</v>
      </c>
      <c r="D6" s="2799">
        <f t="shared" si="0"/>
        <v>699609</v>
      </c>
      <c r="E6" s="2799">
        <f t="shared" si="0"/>
        <v>918016</v>
      </c>
      <c r="F6" s="2799">
        <f t="shared" si="0"/>
        <v>662927</v>
      </c>
      <c r="G6" s="2799">
        <f t="shared" si="0"/>
        <v>590074</v>
      </c>
      <c r="H6" s="2799">
        <f t="shared" si="0"/>
        <v>468489</v>
      </c>
      <c r="I6" s="2799">
        <f t="shared" si="0"/>
        <v>481468</v>
      </c>
      <c r="J6" s="2799">
        <f t="shared" si="0"/>
        <v>683700</v>
      </c>
      <c r="K6" s="2799">
        <f t="shared" si="0"/>
        <v>472978</v>
      </c>
      <c r="L6" s="2799">
        <f t="shared" si="0"/>
        <v>715447</v>
      </c>
      <c r="M6" s="2799">
        <f t="shared" si="0"/>
        <v>793051</v>
      </c>
      <c r="N6" s="2799">
        <f t="shared" si="0"/>
        <v>539546</v>
      </c>
    </row>
    <row r="7" spans="1:15">
      <c r="A7" s="80" t="s">
        <v>7</v>
      </c>
      <c r="B7" s="2799">
        <f>SUM(C7:N7)</f>
        <v>190081</v>
      </c>
      <c r="C7" s="2800">
        <v>10916</v>
      </c>
      <c r="D7" s="2800">
        <v>7687</v>
      </c>
      <c r="E7" s="2800">
        <v>9171</v>
      </c>
      <c r="F7" s="2800">
        <v>16025</v>
      </c>
      <c r="G7" s="2800">
        <v>26986</v>
      </c>
      <c r="H7" s="2800">
        <v>10680</v>
      </c>
      <c r="I7" s="2800">
        <v>25811</v>
      </c>
      <c r="J7" s="2800">
        <v>21319</v>
      </c>
      <c r="K7" s="2800">
        <v>13680</v>
      </c>
      <c r="L7" s="2800">
        <v>21788</v>
      </c>
      <c r="M7" s="2800">
        <v>21288</v>
      </c>
      <c r="N7" s="2800">
        <v>4730</v>
      </c>
    </row>
    <row r="8" spans="1:15">
      <c r="A8" s="80" t="s">
        <v>8</v>
      </c>
      <c r="B8" s="2799">
        <f t="shared" ref="B8:B20" si="1">SUM(C8:N8)</f>
        <v>107715</v>
      </c>
      <c r="C8" s="2800">
        <v>9185</v>
      </c>
      <c r="D8" s="2800">
        <v>8580</v>
      </c>
      <c r="E8" s="2800">
        <v>9005</v>
      </c>
      <c r="F8" s="2800">
        <v>1224</v>
      </c>
      <c r="G8" s="2800">
        <v>6765</v>
      </c>
      <c r="H8" s="2800">
        <v>7975</v>
      </c>
      <c r="I8" s="2800">
        <v>14056</v>
      </c>
      <c r="J8" s="2800">
        <v>10692</v>
      </c>
      <c r="K8" s="2800">
        <v>11830</v>
      </c>
      <c r="L8" s="2800">
        <v>11285</v>
      </c>
      <c r="M8" s="2800">
        <v>10528</v>
      </c>
      <c r="N8" s="2800">
        <v>6590</v>
      </c>
    </row>
    <row r="9" spans="1:15">
      <c r="A9" s="80" t="s">
        <v>9</v>
      </c>
      <c r="B9" s="2799">
        <f t="shared" si="1"/>
        <v>251028</v>
      </c>
      <c r="C9" s="2800">
        <v>10740</v>
      </c>
      <c r="D9" s="2800">
        <v>16260</v>
      </c>
      <c r="E9" s="2800">
        <v>39320</v>
      </c>
      <c r="F9" s="2800">
        <v>21923</v>
      </c>
      <c r="G9" s="2800">
        <v>19600</v>
      </c>
      <c r="H9" s="2800">
        <v>14457</v>
      </c>
      <c r="I9" s="2800">
        <v>18632</v>
      </c>
      <c r="J9" s="2800">
        <v>18018</v>
      </c>
      <c r="K9" s="2800">
        <v>16082</v>
      </c>
      <c r="L9" s="2800">
        <v>27137</v>
      </c>
      <c r="M9" s="2800">
        <v>22585</v>
      </c>
      <c r="N9" s="2800">
        <v>26274</v>
      </c>
    </row>
    <row r="10" spans="1:15">
      <c r="A10" s="80" t="s">
        <v>10</v>
      </c>
      <c r="B10" s="2799">
        <f t="shared" si="1"/>
        <v>251941</v>
      </c>
      <c r="C10" s="2800">
        <v>22190</v>
      </c>
      <c r="D10" s="2800">
        <v>11899</v>
      </c>
      <c r="E10" s="2800">
        <v>25580</v>
      </c>
      <c r="F10" s="2800">
        <v>32052</v>
      </c>
      <c r="G10" s="2800">
        <v>43614</v>
      </c>
      <c r="H10" s="2800">
        <v>47854</v>
      </c>
      <c r="I10" s="2800">
        <v>8639</v>
      </c>
      <c r="J10" s="2800">
        <v>13528</v>
      </c>
      <c r="K10" s="2800">
        <v>9874</v>
      </c>
      <c r="L10" s="2800">
        <v>12424</v>
      </c>
      <c r="M10" s="2800">
        <v>16641</v>
      </c>
      <c r="N10" s="2800">
        <v>7646</v>
      </c>
    </row>
    <row r="11" spans="1:15">
      <c r="A11" s="80" t="s">
        <v>11</v>
      </c>
      <c r="B11" s="2799">
        <f t="shared" si="1"/>
        <v>336414</v>
      </c>
      <c r="C11" s="2800">
        <v>20917</v>
      </c>
      <c r="D11" s="2800">
        <v>23409</v>
      </c>
      <c r="E11" s="2800">
        <v>35052</v>
      </c>
      <c r="F11" s="2800">
        <v>21752</v>
      </c>
      <c r="G11" s="2800">
        <v>51341</v>
      </c>
      <c r="H11" s="2800">
        <v>22530</v>
      </c>
      <c r="I11" s="2800">
        <v>13330</v>
      </c>
      <c r="J11" s="2800">
        <v>22500</v>
      </c>
      <c r="K11" s="2800">
        <v>15165</v>
      </c>
      <c r="L11" s="2800">
        <v>38718</v>
      </c>
      <c r="M11" s="2800">
        <v>33035</v>
      </c>
      <c r="N11" s="2800">
        <v>38665</v>
      </c>
    </row>
    <row r="12" spans="1:15">
      <c r="A12" s="80" t="s">
        <v>12</v>
      </c>
      <c r="B12" s="2799">
        <f t="shared" si="1"/>
        <v>990522</v>
      </c>
      <c r="C12" s="2800">
        <v>64991</v>
      </c>
      <c r="D12" s="2800">
        <v>85232</v>
      </c>
      <c r="E12" s="2800">
        <v>102645</v>
      </c>
      <c r="F12" s="2800">
        <v>72959</v>
      </c>
      <c r="G12" s="2800">
        <v>67726</v>
      </c>
      <c r="H12" s="2800">
        <v>67833</v>
      </c>
      <c r="I12" s="2800">
        <v>51763</v>
      </c>
      <c r="J12" s="2800">
        <v>94768</v>
      </c>
      <c r="K12" s="2800">
        <v>78172</v>
      </c>
      <c r="L12" s="2800">
        <v>128658</v>
      </c>
      <c r="M12" s="2800">
        <v>90941</v>
      </c>
      <c r="N12" s="2800">
        <v>84834</v>
      </c>
    </row>
    <row r="13" spans="1:15">
      <c r="A13" s="80" t="s">
        <v>13</v>
      </c>
      <c r="B13" s="2799">
        <f t="shared" si="1"/>
        <v>2089993</v>
      </c>
      <c r="C13" s="2800">
        <v>175671</v>
      </c>
      <c r="D13" s="2800">
        <v>218653</v>
      </c>
      <c r="E13" s="2800">
        <v>381663</v>
      </c>
      <c r="F13" s="2800">
        <v>203259</v>
      </c>
      <c r="G13" s="2800">
        <v>124260</v>
      </c>
      <c r="H13" s="2800">
        <v>56377</v>
      </c>
      <c r="I13" s="2800">
        <v>112884</v>
      </c>
      <c r="J13" s="2800">
        <v>208113</v>
      </c>
      <c r="K13" s="2800">
        <v>68594</v>
      </c>
      <c r="L13" s="2800">
        <v>152936</v>
      </c>
      <c r="M13" s="2800">
        <v>264396</v>
      </c>
      <c r="N13" s="2800">
        <v>123187</v>
      </c>
    </row>
    <row r="14" spans="1:15">
      <c r="A14" s="80" t="s">
        <v>14</v>
      </c>
      <c r="B14" s="2799">
        <f t="shared" si="1"/>
        <v>449972</v>
      </c>
      <c r="C14" s="2800">
        <v>34635</v>
      </c>
      <c r="D14" s="2800">
        <v>28663</v>
      </c>
      <c r="E14" s="2800">
        <v>26513</v>
      </c>
      <c r="F14" s="2800">
        <v>22121</v>
      </c>
      <c r="G14" s="2800">
        <v>24863</v>
      </c>
      <c r="H14" s="2800">
        <v>19263</v>
      </c>
      <c r="I14" s="2800">
        <v>48695</v>
      </c>
      <c r="J14" s="2800">
        <v>51627</v>
      </c>
      <c r="K14" s="2800">
        <v>53891</v>
      </c>
      <c r="L14" s="2800">
        <v>55581</v>
      </c>
      <c r="M14" s="2800">
        <v>52133</v>
      </c>
      <c r="N14" s="2800">
        <v>31987</v>
      </c>
    </row>
    <row r="15" spans="1:15">
      <c r="A15" s="80" t="s">
        <v>15</v>
      </c>
      <c r="B15" s="2799">
        <f t="shared" si="1"/>
        <v>535680</v>
      </c>
      <c r="C15" s="2800">
        <v>111875</v>
      </c>
      <c r="D15" s="2800">
        <v>33897</v>
      </c>
      <c r="E15" s="2800">
        <v>41903</v>
      </c>
      <c r="F15" s="2800">
        <v>53135</v>
      </c>
      <c r="G15" s="2800">
        <v>45412</v>
      </c>
      <c r="H15" s="2800">
        <v>34790</v>
      </c>
      <c r="I15" s="2800">
        <v>30954</v>
      </c>
      <c r="J15" s="2800">
        <v>36209</v>
      </c>
      <c r="K15" s="2800">
        <v>32621</v>
      </c>
      <c r="L15" s="2800">
        <v>44512</v>
      </c>
      <c r="M15" s="2800">
        <v>42803</v>
      </c>
      <c r="N15" s="2800">
        <v>27569</v>
      </c>
    </row>
    <row r="16" spans="1:15">
      <c r="A16" s="80" t="s">
        <v>16</v>
      </c>
      <c r="B16" s="2799">
        <f t="shared" si="1"/>
        <v>1061496</v>
      </c>
      <c r="C16" s="2800">
        <v>137936</v>
      </c>
      <c r="D16" s="2800">
        <v>113288</v>
      </c>
      <c r="E16" s="2800">
        <v>98290</v>
      </c>
      <c r="F16" s="2800">
        <v>99463</v>
      </c>
      <c r="G16" s="2800">
        <v>74192</v>
      </c>
      <c r="H16" s="2800">
        <v>57533</v>
      </c>
      <c r="I16" s="2800">
        <v>52928</v>
      </c>
      <c r="J16" s="2800">
        <v>78809</v>
      </c>
      <c r="K16" s="2800">
        <v>71934</v>
      </c>
      <c r="L16" s="2800">
        <v>103938</v>
      </c>
      <c r="M16" s="2800">
        <v>103214</v>
      </c>
      <c r="N16" s="2800">
        <v>69971</v>
      </c>
    </row>
    <row r="17" spans="1:15">
      <c r="A17" s="80" t="s">
        <v>17</v>
      </c>
      <c r="B17" s="2799">
        <f>SUM(C17:N17)</f>
        <v>1159355</v>
      </c>
      <c r="C17" s="2800">
        <v>100127</v>
      </c>
      <c r="D17" s="2800">
        <v>106229</v>
      </c>
      <c r="E17" s="2800">
        <v>99462</v>
      </c>
      <c r="F17" s="2800">
        <v>100595</v>
      </c>
      <c r="G17" s="2800">
        <v>92942</v>
      </c>
      <c r="H17" s="2800">
        <v>103944</v>
      </c>
      <c r="I17" s="2800">
        <v>97483</v>
      </c>
      <c r="J17" s="2800">
        <v>108858</v>
      </c>
      <c r="K17" s="2800">
        <v>82364</v>
      </c>
      <c r="L17" s="2800">
        <v>91912</v>
      </c>
      <c r="M17" s="2800">
        <v>101086</v>
      </c>
      <c r="N17" s="2800">
        <v>74353</v>
      </c>
    </row>
    <row r="18" spans="1:15">
      <c r="A18" s="80" t="s">
        <v>18</v>
      </c>
      <c r="B18" s="2799">
        <f t="shared" si="1"/>
        <v>61508</v>
      </c>
      <c r="C18" s="2800">
        <v>3320</v>
      </c>
      <c r="D18" s="2800">
        <v>3040</v>
      </c>
      <c r="E18" s="2800">
        <v>3445</v>
      </c>
      <c r="F18" s="2800">
        <v>3560</v>
      </c>
      <c r="G18" s="2800">
        <v>5270</v>
      </c>
      <c r="H18" s="2800">
        <v>4515</v>
      </c>
      <c r="I18" s="2800">
        <v>3350</v>
      </c>
      <c r="J18" s="2800">
        <v>7448</v>
      </c>
      <c r="K18" s="2800">
        <v>5310</v>
      </c>
      <c r="L18" s="2800">
        <v>10835</v>
      </c>
      <c r="M18" s="2800">
        <v>7300</v>
      </c>
      <c r="N18" s="2800">
        <v>4115</v>
      </c>
    </row>
    <row r="19" spans="1:15">
      <c r="A19" s="80" t="s">
        <v>19</v>
      </c>
      <c r="B19" s="2799">
        <f>SUM(C19:N19)</f>
        <v>405191</v>
      </c>
      <c r="C19" s="2800">
        <v>51815</v>
      </c>
      <c r="D19" s="2800">
        <v>40263</v>
      </c>
      <c r="E19" s="2800">
        <v>47755</v>
      </c>
      <c r="F19" s="2800">
        <v>25918</v>
      </c>
      <c r="G19" s="2800">
        <v>27574</v>
      </c>
      <c r="H19" s="2800">
        <v>27228</v>
      </c>
      <c r="I19" s="2800">
        <v>24592</v>
      </c>
      <c r="J19" s="2800">
        <v>28054</v>
      </c>
      <c r="K19" s="2800">
        <v>21754</v>
      </c>
      <c r="L19" s="2800">
        <v>31811</v>
      </c>
      <c r="M19" s="2800">
        <v>40410</v>
      </c>
      <c r="N19" s="2800">
        <v>38017</v>
      </c>
    </row>
    <row r="20" spans="1:15">
      <c r="A20" s="80" t="s">
        <v>20</v>
      </c>
      <c r="B20" s="2799">
        <f t="shared" si="1"/>
        <v>31805</v>
      </c>
      <c r="C20" s="2800">
        <v>2700</v>
      </c>
      <c r="D20" s="2800">
        <v>3550</v>
      </c>
      <c r="E20" s="2800">
        <v>3200</v>
      </c>
      <c r="F20" s="2800">
        <v>3200</v>
      </c>
      <c r="G20" s="2800">
        <v>2080</v>
      </c>
      <c r="H20" s="2800">
        <v>3040</v>
      </c>
      <c r="I20" s="2800">
        <v>1682</v>
      </c>
      <c r="J20" s="2800">
        <v>1756</v>
      </c>
      <c r="K20" s="2800">
        <v>2206</v>
      </c>
      <c r="L20" s="2800">
        <v>2559</v>
      </c>
      <c r="M20" s="2800">
        <v>2772</v>
      </c>
      <c r="N20" s="2800">
        <v>3060</v>
      </c>
    </row>
    <row r="21" spans="1:15">
      <c r="A21" s="80" t="s">
        <v>21</v>
      </c>
      <c r="B21" s="2799">
        <f>SUM(C21:N21)</f>
        <v>45446</v>
      </c>
      <c r="C21" s="2800">
        <v>6659</v>
      </c>
      <c r="D21" s="2800">
        <v>6646</v>
      </c>
      <c r="E21" s="2800">
        <v>4183</v>
      </c>
      <c r="F21" s="2800">
        <v>1766</v>
      </c>
      <c r="G21" s="2800">
        <v>4435</v>
      </c>
      <c r="H21" s="2800">
        <v>1150</v>
      </c>
      <c r="I21" s="2800">
        <v>2480</v>
      </c>
      <c r="J21" s="2800">
        <v>3320</v>
      </c>
      <c r="K21" s="2800">
        <v>3181</v>
      </c>
      <c r="L21" s="2800">
        <v>3141</v>
      </c>
      <c r="M21" s="2800">
        <v>5207</v>
      </c>
      <c r="N21" s="2800">
        <v>3278</v>
      </c>
    </row>
    <row r="23" spans="1:15" s="72" customFormat="1" ht="21" customHeight="1">
      <c r="A23" s="2578" t="s">
        <v>3467</v>
      </c>
      <c r="B23" s="2578"/>
      <c r="C23" s="2578"/>
      <c r="D23" s="2578"/>
      <c r="E23" s="2578"/>
      <c r="F23" s="2578"/>
      <c r="G23" s="2578"/>
      <c r="H23" s="2578"/>
      <c r="I23" s="2578"/>
      <c r="J23" s="2578"/>
      <c r="K23" s="2578"/>
      <c r="L23" s="2578"/>
      <c r="M23" s="2578"/>
      <c r="N23" s="2578"/>
      <c r="O23" s="502"/>
    </row>
    <row r="24" spans="1:15" s="72" customFormat="1">
      <c r="A24" s="503" t="s">
        <v>1122</v>
      </c>
      <c r="B24" s="504"/>
      <c r="C24" s="504"/>
      <c r="D24" s="504"/>
      <c r="E24" s="504"/>
      <c r="F24" s="504"/>
      <c r="H24" s="504"/>
      <c r="I24" s="504"/>
      <c r="J24" s="504"/>
      <c r="K24" s="504"/>
      <c r="L24" s="504"/>
      <c r="M24" s="504"/>
      <c r="N24" s="504"/>
      <c r="O24" s="504"/>
    </row>
  </sheetData>
  <mergeCells count="4">
    <mergeCell ref="A2:O2"/>
    <mergeCell ref="A4:A5"/>
    <mergeCell ref="B4:N4"/>
    <mergeCell ref="A23:N23"/>
  </mergeCells>
  <pageMargins left="0.7" right="0.7" top="0.75" bottom="0.75" header="0.3" footer="0.3"/>
  <pageSetup paperSize="14" scale="91" orientation="landscape" r:id="rId1"/>
</worksheet>
</file>

<file path=xl/worksheets/sheet272.xml><?xml version="1.0" encoding="utf-8"?>
<worksheet xmlns="http://schemas.openxmlformats.org/spreadsheetml/2006/main" xmlns:r="http://schemas.openxmlformats.org/officeDocument/2006/relationships">
  <dimension ref="A2:I14"/>
  <sheetViews>
    <sheetView zoomScaleNormal="100" workbookViewId="0"/>
  </sheetViews>
  <sheetFormatPr baseColWidth="10" defaultRowHeight="11.25"/>
  <cols>
    <col min="1" max="1" width="64.42578125" style="62" customWidth="1"/>
    <col min="2" max="2" width="9.140625" style="62" customWidth="1"/>
    <col min="3" max="5" width="11.42578125" style="62"/>
    <col min="6" max="6" width="11.140625" style="62" customWidth="1"/>
    <col min="7" max="7" width="11.42578125" style="62" customWidth="1"/>
    <col min="8" max="8" width="6.5703125" style="62" bestFit="1" customWidth="1"/>
    <col min="9" max="9" width="6.140625" style="62" customWidth="1"/>
    <col min="10" max="16384" width="11.42578125" style="62"/>
  </cols>
  <sheetData>
    <row r="2" spans="1:9" ht="33" customHeight="1">
      <c r="A2" s="2354" t="s">
        <v>2469</v>
      </c>
      <c r="B2" s="2354"/>
      <c r="C2" s="2354"/>
      <c r="D2" s="2354"/>
      <c r="E2" s="2354"/>
      <c r="F2" s="2354"/>
      <c r="G2" s="2354"/>
    </row>
    <row r="3" spans="1:9">
      <c r="A3" s="494"/>
    </row>
    <row r="4" spans="1:9" s="311" customFormat="1">
      <c r="A4" s="2237" t="s">
        <v>2470</v>
      </c>
      <c r="B4" s="2579" t="s">
        <v>671</v>
      </c>
      <c r="C4" s="2579"/>
      <c r="D4" s="2579"/>
      <c r="E4" s="2579"/>
      <c r="F4" s="2579"/>
      <c r="G4" s="2579"/>
    </row>
    <row r="5" spans="1:9" s="311" customFormat="1">
      <c r="A5" s="2238"/>
      <c r="B5" s="316">
        <v>2009</v>
      </c>
      <c r="C5" s="316">
        <v>2010</v>
      </c>
      <c r="D5" s="316">
        <v>2011</v>
      </c>
      <c r="E5" s="316">
        <v>2012</v>
      </c>
      <c r="F5" s="316">
        <v>2013</v>
      </c>
      <c r="G5" s="316">
        <v>2014</v>
      </c>
    </row>
    <row r="6" spans="1:9" ht="22.5">
      <c r="A6" s="495" t="s">
        <v>2471</v>
      </c>
      <c r="B6" s="491">
        <v>12584</v>
      </c>
      <c r="C6" s="492">
        <v>12977</v>
      </c>
      <c r="D6" s="492">
        <v>13169</v>
      </c>
      <c r="E6" s="492">
        <v>12259</v>
      </c>
      <c r="F6" s="491">
        <v>13046</v>
      </c>
      <c r="G6" s="491">
        <v>12638</v>
      </c>
      <c r="H6" s="349"/>
      <c r="I6" s="496"/>
    </row>
    <row r="7" spans="1:9">
      <c r="A7" s="495" t="s">
        <v>2472</v>
      </c>
      <c r="B7" s="391">
        <v>1839</v>
      </c>
      <c r="C7" s="492">
        <v>3127</v>
      </c>
      <c r="D7" s="492">
        <v>3212</v>
      </c>
      <c r="E7" s="492">
        <v>5663</v>
      </c>
      <c r="F7" s="391">
        <v>6749</v>
      </c>
      <c r="G7" s="391">
        <v>7085</v>
      </c>
    </row>
    <row r="8" spans="1:9" ht="22.5">
      <c r="A8" s="495" t="s">
        <v>2473</v>
      </c>
      <c r="B8" s="491">
        <v>1272</v>
      </c>
      <c r="C8" s="492">
        <v>8889</v>
      </c>
      <c r="D8" s="492">
        <v>11461</v>
      </c>
      <c r="E8" s="492">
        <v>14662</v>
      </c>
      <c r="F8" s="491">
        <v>15307</v>
      </c>
      <c r="G8" s="491">
        <v>15009</v>
      </c>
    </row>
    <row r="9" spans="1:9" ht="12.75">
      <c r="A9" s="495" t="s">
        <v>3464</v>
      </c>
      <c r="B9" s="491" t="s">
        <v>155</v>
      </c>
      <c r="C9" s="491" t="s">
        <v>155</v>
      </c>
      <c r="D9" s="491" t="s">
        <v>155</v>
      </c>
      <c r="E9" s="491" t="s">
        <v>155</v>
      </c>
      <c r="F9" s="491" t="s">
        <v>155</v>
      </c>
      <c r="G9" s="491">
        <v>19</v>
      </c>
    </row>
    <row r="10" spans="1:9" ht="22.5">
      <c r="A10" s="495" t="s">
        <v>2474</v>
      </c>
      <c r="B10" s="491" t="s">
        <v>155</v>
      </c>
      <c r="C10" s="491" t="s">
        <v>155</v>
      </c>
      <c r="D10" s="491" t="s">
        <v>155</v>
      </c>
      <c r="E10" s="491" t="s">
        <v>155</v>
      </c>
      <c r="F10" s="491" t="s">
        <v>155</v>
      </c>
      <c r="G10" s="491">
        <v>21</v>
      </c>
    </row>
    <row r="12" spans="1:9" ht="27" customHeight="1">
      <c r="A12" s="2263" t="s">
        <v>3465</v>
      </c>
      <c r="B12" s="2263"/>
      <c r="C12" s="2263"/>
      <c r="D12" s="2263"/>
      <c r="E12" s="2263"/>
      <c r="F12" s="2263"/>
      <c r="G12" s="2263"/>
    </row>
    <row r="13" spans="1:9" ht="16.5" customHeight="1">
      <c r="A13" s="490" t="s">
        <v>2475</v>
      </c>
      <c r="B13" s="491"/>
      <c r="C13" s="492"/>
      <c r="D13" s="492"/>
      <c r="E13" s="492"/>
      <c r="F13" s="491"/>
      <c r="G13" s="491"/>
    </row>
    <row r="14" spans="1:9" ht="16.5" customHeight="1">
      <c r="A14" s="2580" t="s">
        <v>2476</v>
      </c>
      <c r="B14" s="2580"/>
      <c r="C14" s="2580"/>
      <c r="D14" s="2580"/>
      <c r="E14" s="2580"/>
      <c r="F14" s="2580"/>
      <c r="G14" s="2580"/>
    </row>
  </sheetData>
  <mergeCells count="5">
    <mergeCell ref="A2:G2"/>
    <mergeCell ref="A4:A5"/>
    <mergeCell ref="B4:G4"/>
    <mergeCell ref="A12:G12"/>
    <mergeCell ref="A14:G14"/>
  </mergeCells>
  <pageMargins left="0.7" right="0.7" top="0.75" bottom="0.75" header="0.3" footer="0.3"/>
  <pageSetup orientation="portrait" r:id="rId1"/>
</worksheet>
</file>

<file path=xl/worksheets/sheet273.xml><?xml version="1.0" encoding="utf-8"?>
<worksheet xmlns="http://schemas.openxmlformats.org/spreadsheetml/2006/main" xmlns:r="http://schemas.openxmlformats.org/officeDocument/2006/relationships">
  <dimension ref="A2:P60"/>
  <sheetViews>
    <sheetView zoomScaleNormal="100" workbookViewId="0">
      <selection activeCell="A35" sqref="A35"/>
    </sheetView>
  </sheetViews>
  <sheetFormatPr baseColWidth="10" defaultRowHeight="12"/>
  <cols>
    <col min="1" max="1" width="29" style="51" customWidth="1"/>
    <col min="2" max="7" width="11.42578125" style="51"/>
    <col min="8" max="8" width="6.85546875" style="51" customWidth="1"/>
    <col min="9" max="16384" width="11.42578125" style="51"/>
  </cols>
  <sheetData>
    <row r="2" spans="1:16" ht="36" customHeight="1">
      <c r="A2" s="2801" t="s">
        <v>3199</v>
      </c>
      <c r="B2" s="2801"/>
      <c r="C2" s="2801"/>
      <c r="D2" s="2801"/>
      <c r="E2" s="2801"/>
      <c r="F2" s="2801"/>
      <c r="G2" s="2801"/>
    </row>
    <row r="3" spans="1:16" s="62" customFormat="1" ht="10.5" customHeight="1">
      <c r="B3" s="485"/>
      <c r="C3" s="485"/>
      <c r="D3" s="485"/>
      <c r="E3" s="485"/>
      <c r="F3" s="485"/>
      <c r="H3" s="486"/>
      <c r="I3" s="486"/>
      <c r="J3" s="486"/>
    </row>
    <row r="4" spans="1:16" s="311" customFormat="1" ht="15.75" customHeight="1">
      <c r="A4" s="2257" t="s">
        <v>2477</v>
      </c>
      <c r="B4" s="2582" t="s">
        <v>671</v>
      </c>
      <c r="C4" s="2582"/>
      <c r="D4" s="2582"/>
      <c r="E4" s="2582"/>
      <c r="F4" s="2582"/>
      <c r="G4" s="2582"/>
      <c r="H4" s="167"/>
      <c r="I4" s="167"/>
      <c r="J4" s="167"/>
    </row>
    <row r="5" spans="1:16" s="311" customFormat="1" ht="15.75" customHeight="1">
      <c r="A5" s="2259"/>
      <c r="B5" s="487">
        <v>2009</v>
      </c>
      <c r="C5" s="487">
        <v>2010</v>
      </c>
      <c r="D5" s="487">
        <v>2011</v>
      </c>
      <c r="E5" s="487">
        <v>2012</v>
      </c>
      <c r="F5" s="487">
        <v>2013</v>
      </c>
      <c r="G5" s="487">
        <v>2014</v>
      </c>
      <c r="H5" s="204"/>
      <c r="I5" s="204"/>
      <c r="J5" s="204"/>
      <c r="L5" s="204"/>
      <c r="M5" s="204"/>
      <c r="N5" s="204"/>
      <c r="O5" s="204"/>
      <c r="P5" s="204"/>
    </row>
    <row r="6" spans="1:16" s="62" customFormat="1" ht="11.25">
      <c r="A6" s="470" t="s">
        <v>6</v>
      </c>
      <c r="B6" s="488">
        <f t="shared" ref="B6:G6" si="0">SUM(B7:B22)</f>
        <v>12584</v>
      </c>
      <c r="C6" s="488">
        <f t="shared" si="0"/>
        <v>12977</v>
      </c>
      <c r="D6" s="488">
        <f t="shared" si="0"/>
        <v>13169</v>
      </c>
      <c r="E6" s="488">
        <f t="shared" si="0"/>
        <v>12259</v>
      </c>
      <c r="F6" s="488">
        <f t="shared" si="0"/>
        <v>13046</v>
      </c>
      <c r="G6" s="471">
        <f t="shared" si="0"/>
        <v>12638</v>
      </c>
      <c r="H6" s="489"/>
      <c r="I6" s="489"/>
      <c r="J6" s="489"/>
      <c r="L6" s="349"/>
      <c r="M6" s="349"/>
      <c r="N6" s="349"/>
      <c r="O6" s="349"/>
      <c r="P6" s="349"/>
    </row>
    <row r="7" spans="1:16" s="62" customFormat="1" ht="11.25">
      <c r="A7" s="96" t="s">
        <v>2478</v>
      </c>
      <c r="B7" s="474">
        <v>13</v>
      </c>
      <c r="C7" s="474">
        <v>46</v>
      </c>
      <c r="D7" s="474">
        <v>25</v>
      </c>
      <c r="E7" s="474">
        <v>13</v>
      </c>
      <c r="F7" s="474">
        <v>26</v>
      </c>
      <c r="G7" s="476">
        <v>24</v>
      </c>
      <c r="H7" s="36"/>
      <c r="I7" s="36"/>
      <c r="J7" s="36"/>
      <c r="L7" s="349"/>
      <c r="M7" s="349"/>
      <c r="N7" s="349"/>
      <c r="O7" s="349"/>
      <c r="P7" s="349"/>
    </row>
    <row r="8" spans="1:16" s="62" customFormat="1" ht="11.25">
      <c r="A8" s="96" t="s">
        <v>2479</v>
      </c>
      <c r="B8" s="474">
        <v>125</v>
      </c>
      <c r="C8" s="474">
        <v>181</v>
      </c>
      <c r="D8" s="474">
        <v>400</v>
      </c>
      <c r="E8" s="474">
        <v>368</v>
      </c>
      <c r="F8" s="474">
        <v>196</v>
      </c>
      <c r="G8" s="476">
        <v>402</v>
      </c>
      <c r="H8" s="36"/>
      <c r="I8" s="36"/>
      <c r="J8" s="36"/>
      <c r="L8" s="349"/>
      <c r="M8" s="349"/>
      <c r="N8" s="349"/>
      <c r="O8" s="349"/>
      <c r="P8" s="349"/>
    </row>
    <row r="9" spans="1:16" s="62" customFormat="1" ht="11.25">
      <c r="A9" s="96" t="s">
        <v>2480</v>
      </c>
      <c r="B9" s="474">
        <v>2</v>
      </c>
      <c r="C9" s="474">
        <v>0</v>
      </c>
      <c r="D9" s="474">
        <v>1</v>
      </c>
      <c r="E9" s="474">
        <v>1</v>
      </c>
      <c r="F9" s="474">
        <v>0</v>
      </c>
      <c r="G9" s="476">
        <v>0</v>
      </c>
      <c r="H9" s="36"/>
      <c r="I9" s="36"/>
      <c r="J9" s="36"/>
      <c r="L9" s="349"/>
      <c r="M9" s="349"/>
      <c r="N9" s="349"/>
      <c r="O9" s="349"/>
      <c r="P9" s="349"/>
    </row>
    <row r="10" spans="1:16" s="62" customFormat="1" ht="11.25">
      <c r="A10" s="96" t="s">
        <v>2481</v>
      </c>
      <c r="B10" s="474">
        <v>2</v>
      </c>
      <c r="C10" s="474">
        <v>53</v>
      </c>
      <c r="D10" s="474">
        <v>104</v>
      </c>
      <c r="E10" s="474">
        <v>20</v>
      </c>
      <c r="F10" s="474">
        <v>7</v>
      </c>
      <c r="G10" s="476">
        <v>2</v>
      </c>
      <c r="H10" s="36"/>
      <c r="I10" s="36"/>
      <c r="J10" s="36"/>
      <c r="L10" s="349"/>
      <c r="M10" s="349"/>
      <c r="N10" s="349"/>
      <c r="O10" s="349"/>
      <c r="P10" s="349"/>
    </row>
    <row r="11" spans="1:16" s="62" customFormat="1" ht="11.25">
      <c r="A11" s="96" t="s">
        <v>2482</v>
      </c>
      <c r="B11" s="474">
        <v>42</v>
      </c>
      <c r="C11" s="474">
        <v>49</v>
      </c>
      <c r="D11" s="474">
        <v>62</v>
      </c>
      <c r="E11" s="474">
        <v>40</v>
      </c>
      <c r="F11" s="474">
        <v>32</v>
      </c>
      <c r="G11" s="476">
        <v>27</v>
      </c>
      <c r="H11" s="36"/>
      <c r="I11" s="36"/>
      <c r="J11" s="36"/>
      <c r="L11" s="349"/>
      <c r="M11" s="349"/>
      <c r="N11" s="349"/>
      <c r="O11" s="349"/>
      <c r="P11" s="349"/>
    </row>
    <row r="12" spans="1:16" s="62" customFormat="1" ht="11.25">
      <c r="A12" s="96" t="s">
        <v>2483</v>
      </c>
      <c r="B12" s="474">
        <v>234</v>
      </c>
      <c r="C12" s="474">
        <v>260</v>
      </c>
      <c r="D12" s="474">
        <v>272</v>
      </c>
      <c r="E12" s="474">
        <v>256</v>
      </c>
      <c r="F12" s="474">
        <v>261</v>
      </c>
      <c r="G12" s="476">
        <v>494</v>
      </c>
      <c r="H12" s="36"/>
      <c r="I12" s="36"/>
      <c r="J12" s="36"/>
      <c r="L12" s="349"/>
      <c r="M12" s="349"/>
      <c r="N12" s="349"/>
      <c r="O12" s="349"/>
      <c r="P12" s="349"/>
    </row>
    <row r="13" spans="1:16" s="62" customFormat="1" ht="11.25">
      <c r="A13" s="96" t="s">
        <v>2484</v>
      </c>
      <c r="B13" s="474">
        <v>1152</v>
      </c>
      <c r="C13" s="474">
        <v>1168</v>
      </c>
      <c r="D13" s="474">
        <v>1222</v>
      </c>
      <c r="E13" s="474">
        <v>981</v>
      </c>
      <c r="F13" s="474">
        <v>1572</v>
      </c>
      <c r="G13" s="476">
        <v>1235</v>
      </c>
      <c r="H13" s="36"/>
      <c r="I13" s="36"/>
      <c r="J13" s="36"/>
      <c r="L13" s="349"/>
      <c r="M13" s="349"/>
      <c r="N13" s="349"/>
      <c r="O13" s="349"/>
      <c r="P13" s="349"/>
    </row>
    <row r="14" spans="1:16" s="62" customFormat="1" ht="11.25">
      <c r="A14" s="96" t="s">
        <v>2485</v>
      </c>
      <c r="B14" s="474">
        <v>311</v>
      </c>
      <c r="C14" s="474">
        <v>389</v>
      </c>
      <c r="D14" s="474">
        <v>222</v>
      </c>
      <c r="E14" s="474">
        <v>206</v>
      </c>
      <c r="F14" s="474">
        <v>170</v>
      </c>
      <c r="G14" s="476">
        <v>122</v>
      </c>
      <c r="H14" s="36"/>
      <c r="I14" s="36"/>
      <c r="J14" s="36"/>
      <c r="L14" s="349"/>
      <c r="M14" s="349"/>
      <c r="N14" s="349"/>
      <c r="O14" s="349"/>
      <c r="P14" s="349"/>
    </row>
    <row r="15" spans="1:16" s="62" customFormat="1" ht="11.25">
      <c r="A15" s="96" t="s">
        <v>2486</v>
      </c>
      <c r="B15" s="474">
        <v>23</v>
      </c>
      <c r="C15" s="474">
        <v>29</v>
      </c>
      <c r="D15" s="474">
        <v>38</v>
      </c>
      <c r="E15" s="474">
        <v>40</v>
      </c>
      <c r="F15" s="474">
        <v>40</v>
      </c>
      <c r="G15" s="476">
        <v>53</v>
      </c>
      <c r="H15" s="36"/>
      <c r="I15" s="36"/>
      <c r="J15" s="36"/>
      <c r="L15" s="349"/>
      <c r="M15" s="349"/>
      <c r="N15" s="349"/>
      <c r="O15" s="349"/>
      <c r="P15" s="349"/>
    </row>
    <row r="16" spans="1:16" s="62" customFormat="1" ht="11.25">
      <c r="A16" s="96" t="s">
        <v>2487</v>
      </c>
      <c r="B16" s="474">
        <v>7802</v>
      </c>
      <c r="C16" s="474">
        <v>8125</v>
      </c>
      <c r="D16" s="474">
        <v>8026</v>
      </c>
      <c r="E16" s="474">
        <v>7600</v>
      </c>
      <c r="F16" s="474">
        <v>7828</v>
      </c>
      <c r="G16" s="476">
        <v>7295</v>
      </c>
      <c r="H16" s="36"/>
      <c r="I16" s="36"/>
      <c r="J16" s="36"/>
      <c r="L16" s="349"/>
      <c r="M16" s="349"/>
      <c r="N16" s="349"/>
      <c r="O16" s="349"/>
      <c r="P16" s="349"/>
    </row>
    <row r="17" spans="1:16" s="62" customFormat="1" ht="11.25">
      <c r="A17" s="96" t="s">
        <v>2488</v>
      </c>
      <c r="B17" s="474">
        <v>54</v>
      </c>
      <c r="C17" s="474">
        <v>26</v>
      </c>
      <c r="D17" s="474">
        <v>35</v>
      </c>
      <c r="E17" s="474">
        <v>64</v>
      </c>
      <c r="F17" s="474">
        <v>16</v>
      </c>
      <c r="G17" s="476">
        <v>89</v>
      </c>
      <c r="H17" s="36"/>
      <c r="I17" s="36"/>
      <c r="J17" s="36"/>
      <c r="L17" s="349"/>
      <c r="M17" s="349"/>
      <c r="N17" s="349"/>
      <c r="O17" s="349"/>
      <c r="P17" s="349"/>
    </row>
    <row r="18" spans="1:16" s="62" customFormat="1" ht="11.25">
      <c r="A18" s="96" t="s">
        <v>2489</v>
      </c>
      <c r="B18" s="474">
        <v>2475</v>
      </c>
      <c r="C18" s="474">
        <v>2206</v>
      </c>
      <c r="D18" s="474">
        <v>2317</v>
      </c>
      <c r="E18" s="474">
        <v>2207</v>
      </c>
      <c r="F18" s="474">
        <v>2218</v>
      </c>
      <c r="G18" s="476">
        <v>2325</v>
      </c>
      <c r="H18" s="36"/>
      <c r="I18" s="36"/>
      <c r="J18" s="36"/>
      <c r="L18" s="349"/>
      <c r="M18" s="349"/>
      <c r="N18" s="349"/>
      <c r="O18" s="349"/>
      <c r="P18" s="349"/>
    </row>
    <row r="19" spans="1:16" s="62" customFormat="1" ht="11.25">
      <c r="A19" s="96" t="s">
        <v>2490</v>
      </c>
      <c r="B19" s="474">
        <v>126</v>
      </c>
      <c r="C19" s="474">
        <v>260</v>
      </c>
      <c r="D19" s="474">
        <v>226</v>
      </c>
      <c r="E19" s="474">
        <v>245</v>
      </c>
      <c r="F19" s="474">
        <v>391</v>
      </c>
      <c r="G19" s="476">
        <v>239</v>
      </c>
      <c r="H19" s="36"/>
      <c r="I19" s="36"/>
      <c r="J19" s="36"/>
      <c r="L19" s="349"/>
      <c r="M19" s="349"/>
      <c r="N19" s="349"/>
      <c r="O19" s="349"/>
      <c r="P19" s="349"/>
    </row>
    <row r="20" spans="1:16" s="62" customFormat="1" ht="11.25">
      <c r="A20" s="96" t="s">
        <v>2491</v>
      </c>
      <c r="B20" s="474">
        <v>46</v>
      </c>
      <c r="C20" s="474">
        <v>34</v>
      </c>
      <c r="D20" s="474">
        <v>25</v>
      </c>
      <c r="E20" s="474">
        <v>29</v>
      </c>
      <c r="F20" s="474">
        <v>37</v>
      </c>
      <c r="G20" s="476">
        <v>32</v>
      </c>
      <c r="I20" s="36"/>
      <c r="J20" s="36"/>
      <c r="L20" s="349"/>
      <c r="M20" s="349"/>
      <c r="N20" s="349"/>
      <c r="O20" s="349"/>
      <c r="P20" s="349"/>
    </row>
    <row r="21" spans="1:16" s="62" customFormat="1" ht="11.25">
      <c r="A21" s="96" t="s">
        <v>2492</v>
      </c>
      <c r="B21" s="474">
        <v>29</v>
      </c>
      <c r="C21" s="474">
        <v>21</v>
      </c>
      <c r="D21" s="474">
        <v>47</v>
      </c>
      <c r="E21" s="474">
        <v>48</v>
      </c>
      <c r="F21" s="474">
        <v>80</v>
      </c>
      <c r="G21" s="476">
        <v>65</v>
      </c>
      <c r="H21" s="36"/>
      <c r="I21" s="36"/>
      <c r="J21" s="36"/>
      <c r="L21" s="349"/>
      <c r="M21" s="349"/>
      <c r="N21" s="349"/>
      <c r="O21" s="349"/>
      <c r="P21" s="349"/>
    </row>
    <row r="22" spans="1:16" s="62" customFormat="1" ht="11.25">
      <c r="A22" s="96" t="s">
        <v>2493</v>
      </c>
      <c r="B22" s="474">
        <v>148</v>
      </c>
      <c r="C22" s="474">
        <v>130</v>
      </c>
      <c r="D22" s="474">
        <v>147</v>
      </c>
      <c r="E22" s="474">
        <v>141</v>
      </c>
      <c r="F22" s="474">
        <v>172</v>
      </c>
      <c r="G22" s="476">
        <v>234</v>
      </c>
      <c r="L22" s="349"/>
      <c r="M22" s="349"/>
      <c r="N22" s="349"/>
      <c r="O22" s="349"/>
      <c r="P22" s="349"/>
    </row>
    <row r="23" spans="1:16" s="62" customFormat="1" ht="5.25" customHeight="1">
      <c r="A23" s="96"/>
      <c r="B23" s="475"/>
      <c r="C23" s="475"/>
      <c r="D23" s="475"/>
      <c r="E23" s="475"/>
      <c r="F23" s="475"/>
      <c r="H23" s="36"/>
      <c r="I23" s="36"/>
      <c r="J23" s="36"/>
      <c r="L23" s="349"/>
      <c r="M23" s="349"/>
      <c r="N23" s="349"/>
      <c r="O23" s="349"/>
      <c r="P23" s="349"/>
    </row>
    <row r="24" spans="1:16" s="62" customFormat="1" ht="16.5" customHeight="1">
      <c r="A24" s="490" t="s">
        <v>161</v>
      </c>
      <c r="B24" s="491"/>
      <c r="C24" s="492"/>
      <c r="D24" s="492"/>
      <c r="E24" s="492"/>
      <c r="F24" s="491"/>
      <c r="G24" s="491"/>
    </row>
    <row r="25" spans="1:16" s="62" customFormat="1" ht="10.5" customHeight="1">
      <c r="A25" s="2580" t="s">
        <v>2476</v>
      </c>
      <c r="B25" s="2580"/>
      <c r="C25" s="2580"/>
      <c r="D25" s="2580"/>
      <c r="E25" s="2580"/>
      <c r="F25" s="2580"/>
      <c r="G25" s="2580"/>
    </row>
    <row r="26" spans="1:16" s="62" customFormat="1" ht="10.5" customHeight="1">
      <c r="A26" s="55"/>
      <c r="B26" s="55"/>
      <c r="C26" s="55"/>
      <c r="D26" s="55"/>
      <c r="E26" s="55"/>
    </row>
    <row r="45" spans="1:1">
      <c r="A45" s="493"/>
    </row>
    <row r="46" spans="1:1">
      <c r="A46" s="493"/>
    </row>
    <row r="47" spans="1:1">
      <c r="A47" s="493"/>
    </row>
    <row r="48" spans="1:1">
      <c r="A48" s="493"/>
    </row>
    <row r="49" spans="1:1">
      <c r="A49" s="493"/>
    </row>
    <row r="50" spans="1:1">
      <c r="A50" s="493"/>
    </row>
    <row r="51" spans="1:1">
      <c r="A51" s="493"/>
    </row>
    <row r="52" spans="1:1">
      <c r="A52" s="493"/>
    </row>
    <row r="54" spans="1:1">
      <c r="A54" s="493"/>
    </row>
    <row r="55" spans="1:1">
      <c r="A55" s="493"/>
    </row>
    <row r="56" spans="1:1">
      <c r="A56" s="493"/>
    </row>
    <row r="57" spans="1:1">
      <c r="A57" s="493"/>
    </row>
    <row r="58" spans="1:1">
      <c r="A58" s="493"/>
    </row>
    <row r="59" spans="1:1">
      <c r="A59" s="493"/>
    </row>
    <row r="60" spans="1:1">
      <c r="A60" s="493"/>
    </row>
  </sheetData>
  <mergeCells count="4">
    <mergeCell ref="A2:G2"/>
    <mergeCell ref="A4:A5"/>
    <mergeCell ref="B4:G4"/>
    <mergeCell ref="A25:G25"/>
  </mergeCells>
  <pageMargins left="0.7" right="0.7" top="0.75" bottom="0.75" header="0.3" footer="0.3"/>
</worksheet>
</file>

<file path=xl/worksheets/sheet274.xml><?xml version="1.0" encoding="utf-8"?>
<worksheet xmlns="http://schemas.openxmlformats.org/spreadsheetml/2006/main" xmlns:r="http://schemas.openxmlformats.org/officeDocument/2006/relationships">
  <dimension ref="A2:P27"/>
  <sheetViews>
    <sheetView zoomScaleNormal="100" workbookViewId="0">
      <selection activeCell="D27" sqref="D27"/>
    </sheetView>
  </sheetViews>
  <sheetFormatPr baseColWidth="10" defaultRowHeight="11.25"/>
  <cols>
    <col min="1" max="1" width="28.7109375" style="62" customWidth="1"/>
    <col min="2" max="2" width="12.42578125" style="62" customWidth="1"/>
    <col min="3" max="5" width="11.42578125" style="62"/>
    <col min="6" max="7" width="11.5703125" style="62" customWidth="1"/>
    <col min="8" max="8" width="11.140625" style="62" customWidth="1"/>
    <col min="9" max="10" width="11.28515625" style="62" customWidth="1"/>
    <col min="11" max="16384" width="11.42578125" style="62"/>
  </cols>
  <sheetData>
    <row r="2" spans="1:16" ht="49.5" customHeight="1">
      <c r="A2" s="2370" t="s">
        <v>3255</v>
      </c>
      <c r="B2" s="2370"/>
      <c r="C2" s="2370"/>
      <c r="D2" s="2370"/>
      <c r="E2" s="2370"/>
      <c r="F2" s="2370"/>
      <c r="G2" s="2370"/>
    </row>
    <row r="3" spans="1:16">
      <c r="A3" s="478"/>
      <c r="B3" s="478"/>
      <c r="C3" s="478"/>
      <c r="D3" s="478"/>
      <c r="E3" s="479"/>
      <c r="F3" s="479"/>
      <c r="H3" s="478"/>
      <c r="I3" s="478"/>
      <c r="J3" s="480"/>
      <c r="K3" s="480"/>
    </row>
    <row r="4" spans="1:16" ht="15.75" customHeight="1">
      <c r="A4" s="2582" t="s">
        <v>2494</v>
      </c>
      <c r="B4" s="2583" t="s">
        <v>671</v>
      </c>
      <c r="C4" s="2583"/>
      <c r="D4" s="2583"/>
      <c r="E4" s="2583"/>
      <c r="F4" s="2583"/>
      <c r="G4" s="2583"/>
      <c r="H4" s="478"/>
      <c r="I4" s="478"/>
      <c r="J4" s="480"/>
      <c r="K4" s="480"/>
    </row>
    <row r="5" spans="1:16" ht="15.75" customHeight="1">
      <c r="A5" s="2582"/>
      <c r="B5" s="165">
        <v>2009</v>
      </c>
      <c r="C5" s="165">
        <v>2010</v>
      </c>
      <c r="D5" s="165">
        <v>2011</v>
      </c>
      <c r="E5" s="165">
        <v>2012</v>
      </c>
      <c r="F5" s="165">
        <v>2013</v>
      </c>
      <c r="G5" s="165">
        <v>2014</v>
      </c>
      <c r="H5" s="478"/>
      <c r="I5" s="478"/>
      <c r="J5" s="480"/>
      <c r="K5" s="480"/>
    </row>
    <row r="6" spans="1:16">
      <c r="A6" s="470" t="s">
        <v>6</v>
      </c>
      <c r="B6" s="471">
        <f t="shared" ref="B6:G6" si="0">SUM(B7:B13)</f>
        <v>12584</v>
      </c>
      <c r="C6" s="471">
        <f t="shared" si="0"/>
        <v>12977</v>
      </c>
      <c r="D6" s="471">
        <f t="shared" si="0"/>
        <v>13169</v>
      </c>
      <c r="E6" s="471">
        <f t="shared" si="0"/>
        <v>12259</v>
      </c>
      <c r="F6" s="471">
        <f t="shared" si="0"/>
        <v>13046</v>
      </c>
      <c r="G6" s="472">
        <f t="shared" si="0"/>
        <v>12638</v>
      </c>
      <c r="H6" s="196"/>
      <c r="I6" s="204"/>
      <c r="J6" s="204"/>
      <c r="K6" s="204"/>
    </row>
    <row r="7" spans="1:16">
      <c r="A7" s="96" t="s">
        <v>163</v>
      </c>
      <c r="B7" s="475">
        <v>6601</v>
      </c>
      <c r="C7" s="475">
        <v>7137</v>
      </c>
      <c r="D7" s="475">
        <v>7216</v>
      </c>
      <c r="E7" s="475">
        <v>6865</v>
      </c>
      <c r="F7" s="475">
        <v>7697</v>
      </c>
      <c r="G7" s="476">
        <v>5704</v>
      </c>
      <c r="H7" s="108"/>
      <c r="I7" s="36"/>
      <c r="J7" s="36"/>
      <c r="K7" s="36"/>
      <c r="L7" s="349"/>
      <c r="M7" s="349"/>
      <c r="N7" s="349"/>
      <c r="O7" s="349"/>
      <c r="P7" s="349"/>
    </row>
    <row r="8" spans="1:16">
      <c r="A8" s="96" t="s">
        <v>164</v>
      </c>
      <c r="B8" s="475">
        <v>2139</v>
      </c>
      <c r="C8" s="475">
        <v>2087</v>
      </c>
      <c r="D8" s="475">
        <v>2238</v>
      </c>
      <c r="E8" s="475">
        <v>1839</v>
      </c>
      <c r="F8" s="475">
        <v>1957</v>
      </c>
      <c r="G8" s="476">
        <v>2352</v>
      </c>
      <c r="I8" s="36"/>
      <c r="J8" s="36"/>
      <c r="K8" s="36"/>
      <c r="L8" s="349"/>
      <c r="M8" s="349"/>
      <c r="N8" s="349"/>
      <c r="O8" s="349"/>
      <c r="P8" s="349"/>
    </row>
    <row r="9" spans="1:16">
      <c r="A9" s="96" t="s">
        <v>2495</v>
      </c>
      <c r="B9" s="475">
        <v>881</v>
      </c>
      <c r="C9" s="475">
        <v>778</v>
      </c>
      <c r="D9" s="475">
        <v>698</v>
      </c>
      <c r="E9" s="475">
        <v>613</v>
      </c>
      <c r="F9" s="475">
        <v>522</v>
      </c>
      <c r="G9" s="476">
        <v>2454</v>
      </c>
      <c r="H9" s="95"/>
      <c r="I9" s="481"/>
      <c r="J9" s="481"/>
      <c r="K9" s="36"/>
      <c r="L9" s="349"/>
      <c r="M9" s="349"/>
      <c r="N9" s="349"/>
      <c r="O9" s="349"/>
      <c r="P9" s="349"/>
    </row>
    <row r="10" spans="1:16">
      <c r="A10" s="96" t="s">
        <v>1507</v>
      </c>
      <c r="B10" s="475">
        <v>2768</v>
      </c>
      <c r="C10" s="475">
        <v>2725</v>
      </c>
      <c r="D10" s="475">
        <v>2601</v>
      </c>
      <c r="E10" s="475">
        <v>2574</v>
      </c>
      <c r="F10" s="475">
        <v>2609</v>
      </c>
      <c r="G10" s="476">
        <v>1908</v>
      </c>
      <c r="H10" s="481"/>
      <c r="I10" s="481"/>
      <c r="J10" s="481"/>
      <c r="K10" s="36"/>
      <c r="L10" s="349"/>
      <c r="M10" s="349"/>
      <c r="N10" s="349"/>
      <c r="O10" s="349"/>
      <c r="P10" s="349"/>
    </row>
    <row r="11" spans="1:16">
      <c r="A11" s="96" t="s">
        <v>2496</v>
      </c>
      <c r="B11" s="475">
        <v>122</v>
      </c>
      <c r="C11" s="475">
        <v>130</v>
      </c>
      <c r="D11" s="475">
        <v>284</v>
      </c>
      <c r="E11" s="475">
        <v>200</v>
      </c>
      <c r="F11" s="475">
        <v>130</v>
      </c>
      <c r="G11" s="476">
        <v>115</v>
      </c>
      <c r="H11" s="108"/>
      <c r="I11" s="36"/>
      <c r="J11" s="36"/>
      <c r="K11" s="36"/>
      <c r="L11" s="349"/>
      <c r="M11" s="349"/>
      <c r="N11" s="349"/>
      <c r="O11" s="349"/>
      <c r="P11" s="349"/>
    </row>
    <row r="12" spans="1:16">
      <c r="A12" s="96" t="s">
        <v>2497</v>
      </c>
      <c r="B12" s="475">
        <v>15</v>
      </c>
      <c r="C12" s="475">
        <v>39</v>
      </c>
      <c r="D12" s="475">
        <v>23</v>
      </c>
      <c r="E12" s="475">
        <v>31</v>
      </c>
      <c r="F12" s="475">
        <v>17</v>
      </c>
      <c r="G12" s="476">
        <v>10</v>
      </c>
      <c r="H12" s="108"/>
      <c r="I12" s="36"/>
      <c r="J12" s="36"/>
      <c r="K12" s="36"/>
      <c r="L12" s="349"/>
      <c r="M12" s="349"/>
      <c r="N12" s="349"/>
      <c r="O12" s="349"/>
      <c r="P12" s="349"/>
    </row>
    <row r="13" spans="1:16" ht="21" customHeight="1">
      <c r="A13" s="170" t="s">
        <v>2498</v>
      </c>
      <c r="B13" s="475">
        <v>58</v>
      </c>
      <c r="C13" s="475">
        <v>81</v>
      </c>
      <c r="D13" s="475">
        <v>109</v>
      </c>
      <c r="E13" s="475">
        <v>137</v>
      </c>
      <c r="F13" s="475">
        <v>114</v>
      </c>
      <c r="G13" s="476">
        <v>95</v>
      </c>
      <c r="H13" s="482"/>
      <c r="I13" s="482"/>
      <c r="J13" s="482"/>
      <c r="K13" s="36"/>
      <c r="L13" s="349"/>
      <c r="M13" s="349"/>
      <c r="N13" s="349"/>
      <c r="O13" s="349"/>
      <c r="P13" s="349"/>
    </row>
    <row r="14" spans="1:16" ht="6" customHeight="1">
      <c r="A14" s="170"/>
      <c r="B14" s="475"/>
      <c r="C14" s="475"/>
      <c r="D14" s="475"/>
      <c r="E14" s="475"/>
      <c r="F14" s="475"/>
      <c r="H14" s="482"/>
      <c r="I14" s="482"/>
      <c r="J14" s="482"/>
      <c r="K14" s="36"/>
      <c r="L14" s="349"/>
      <c r="M14" s="349"/>
      <c r="N14" s="349"/>
      <c r="O14" s="349"/>
      <c r="P14" s="349"/>
    </row>
    <row r="15" spans="1:16" ht="66.75" customHeight="1">
      <c r="A15" s="2632" t="s">
        <v>3463</v>
      </c>
      <c r="B15" s="2632"/>
      <c r="C15" s="2632"/>
      <c r="D15" s="2632"/>
      <c r="E15" s="2632"/>
      <c r="F15" s="2632"/>
      <c r="G15" s="2632"/>
      <c r="H15" s="482"/>
      <c r="I15" s="482"/>
      <c r="J15" s="483"/>
      <c r="K15" s="36"/>
      <c r="L15" s="349"/>
      <c r="M15" s="349"/>
      <c r="N15" s="349"/>
      <c r="O15" s="349"/>
      <c r="P15" s="349"/>
    </row>
    <row r="16" spans="1:16" ht="10.5" customHeight="1">
      <c r="A16" s="2580" t="s">
        <v>2476</v>
      </c>
      <c r="B16" s="2580"/>
      <c r="C16" s="2580"/>
      <c r="D16" s="2580"/>
      <c r="E16" s="2580"/>
      <c r="F16" s="2580"/>
    </row>
    <row r="17" spans="1:6" ht="10.5" customHeight="1">
      <c r="A17" s="55"/>
      <c r="B17" s="55"/>
      <c r="C17" s="55"/>
      <c r="D17" s="55"/>
      <c r="E17" s="55"/>
      <c r="F17" s="55"/>
    </row>
    <row r="18" spans="1:6">
      <c r="A18" s="484"/>
    </row>
    <row r="19" spans="1:6">
      <c r="A19" s="484"/>
    </row>
    <row r="21" spans="1:6">
      <c r="A21" s="484"/>
    </row>
    <row r="22" spans="1:6">
      <c r="A22" s="484"/>
    </row>
    <row r="23" spans="1:6">
      <c r="A23" s="484"/>
    </row>
    <row r="24" spans="1:6">
      <c r="A24" s="484"/>
    </row>
    <row r="25" spans="1:6">
      <c r="A25" s="484"/>
    </row>
    <row r="26" spans="1:6">
      <c r="A26" s="484"/>
    </row>
    <row r="27" spans="1:6">
      <c r="A27" s="484"/>
    </row>
  </sheetData>
  <mergeCells count="5">
    <mergeCell ref="A2:G2"/>
    <mergeCell ref="A4:A5"/>
    <mergeCell ref="B4:G4"/>
    <mergeCell ref="A15:G15"/>
    <mergeCell ref="A16:F16"/>
  </mergeCells>
  <pageMargins left="0.7" right="0.7" top="0.75" bottom="0.75" header="0.3" footer="0.3"/>
</worksheet>
</file>

<file path=xl/worksheets/sheet275.xml><?xml version="1.0" encoding="utf-8"?>
<worksheet xmlns="http://schemas.openxmlformats.org/spreadsheetml/2006/main" xmlns:r="http://schemas.openxmlformats.org/officeDocument/2006/relationships">
  <dimension ref="A2:L34"/>
  <sheetViews>
    <sheetView zoomScaleNormal="100" workbookViewId="0">
      <selection activeCell="C35" sqref="C35"/>
    </sheetView>
  </sheetViews>
  <sheetFormatPr baseColWidth="10" defaultRowHeight="12"/>
  <cols>
    <col min="1" max="1" width="21.28515625" style="50" customWidth="1"/>
    <col min="2" max="6" width="11.42578125" style="50"/>
    <col min="7" max="7" width="11.85546875" style="50" bestFit="1" customWidth="1"/>
    <col min="8" max="16384" width="11.42578125" style="50"/>
  </cols>
  <sheetData>
    <row r="2" spans="1:12" s="62" customFormat="1" ht="17.25" customHeight="1">
      <c r="A2" s="2354" t="s">
        <v>3254</v>
      </c>
      <c r="B2" s="2354"/>
      <c r="C2" s="2354"/>
      <c r="D2" s="2354"/>
      <c r="E2" s="2354"/>
      <c r="F2" s="2354"/>
      <c r="G2" s="2354"/>
      <c r="H2" s="467"/>
      <c r="I2" s="467"/>
      <c r="J2" s="467"/>
      <c r="K2" s="467"/>
    </row>
    <row r="3" spans="1:12" s="62" customFormat="1" ht="17.25" customHeight="1">
      <c r="A3" s="2354"/>
      <c r="B3" s="2354"/>
      <c r="C3" s="2354"/>
      <c r="D3" s="2354"/>
      <c r="E3" s="2354"/>
      <c r="F3" s="2354"/>
      <c r="G3" s="2354"/>
      <c r="H3" s="467"/>
      <c r="I3" s="467"/>
      <c r="J3" s="467"/>
      <c r="K3" s="467"/>
    </row>
    <row r="4" spans="1:12" s="62" customFormat="1" ht="11.25">
      <c r="A4" s="248"/>
      <c r="B4" s="248"/>
      <c r="C4" s="248"/>
      <c r="D4" s="248"/>
      <c r="E4" s="248"/>
      <c r="F4" s="248"/>
      <c r="H4" s="468"/>
      <c r="I4" s="468"/>
      <c r="J4" s="469"/>
      <c r="K4" s="469"/>
      <c r="L4" s="469"/>
    </row>
    <row r="5" spans="1:12" s="62" customFormat="1" ht="16.5" customHeight="1">
      <c r="A5" s="2582" t="s">
        <v>2499</v>
      </c>
      <c r="B5" s="2583" t="s">
        <v>671</v>
      </c>
      <c r="C5" s="2583"/>
      <c r="D5" s="2583"/>
      <c r="E5" s="2583"/>
      <c r="F5" s="2583"/>
      <c r="G5" s="2583"/>
      <c r="H5" s="468"/>
      <c r="I5" s="468"/>
      <c r="J5" s="469"/>
      <c r="K5" s="469"/>
      <c r="L5" s="469"/>
    </row>
    <row r="6" spans="1:12" s="62" customFormat="1" ht="16.5" customHeight="1">
      <c r="A6" s="2582"/>
      <c r="B6" s="165">
        <v>2009</v>
      </c>
      <c r="C6" s="165">
        <v>2010</v>
      </c>
      <c r="D6" s="165">
        <v>2011</v>
      </c>
      <c r="E6" s="165">
        <v>2012</v>
      </c>
      <c r="F6" s="165">
        <v>2013</v>
      </c>
      <c r="G6" s="165">
        <v>2014</v>
      </c>
      <c r="H6" s="468"/>
      <c r="I6" s="468"/>
      <c r="J6" s="469"/>
      <c r="K6" s="469"/>
      <c r="L6" s="469"/>
    </row>
    <row r="7" spans="1:12" s="62" customFormat="1" ht="11.25">
      <c r="A7" s="470" t="s">
        <v>6</v>
      </c>
      <c r="B7" s="471">
        <f t="shared" ref="B7:G7" si="0">SUM(B8+B24)</f>
        <v>12584</v>
      </c>
      <c r="C7" s="471">
        <f t="shared" si="0"/>
        <v>12977</v>
      </c>
      <c r="D7" s="471">
        <f t="shared" si="0"/>
        <v>13169</v>
      </c>
      <c r="E7" s="471">
        <f t="shared" si="0"/>
        <v>12259</v>
      </c>
      <c r="F7" s="471">
        <f t="shared" si="0"/>
        <v>13046</v>
      </c>
      <c r="G7" s="471">
        <f t="shared" si="0"/>
        <v>12638</v>
      </c>
      <c r="H7" s="231"/>
      <c r="I7" s="231"/>
      <c r="J7" s="231"/>
      <c r="K7" s="231"/>
      <c r="L7" s="231"/>
    </row>
    <row r="8" spans="1:12" s="62" customFormat="1" ht="11.25">
      <c r="A8" s="470" t="s">
        <v>2500</v>
      </c>
      <c r="B8" s="471">
        <f t="shared" ref="B8:G8" si="1">SUM(B9:B23)</f>
        <v>12009</v>
      </c>
      <c r="C8" s="471">
        <f t="shared" si="1"/>
        <v>12572</v>
      </c>
      <c r="D8" s="471">
        <f t="shared" si="1"/>
        <v>12715</v>
      </c>
      <c r="E8" s="471">
        <f t="shared" si="1"/>
        <v>11807</v>
      </c>
      <c r="F8" s="471">
        <f t="shared" si="1"/>
        <v>12720</v>
      </c>
      <c r="G8" s="472">
        <f t="shared" si="1"/>
        <v>12320</v>
      </c>
      <c r="H8" s="231"/>
      <c r="I8" s="231"/>
      <c r="J8" s="231"/>
      <c r="K8" s="231"/>
      <c r="L8" s="231"/>
    </row>
    <row r="9" spans="1:12" s="62" customFormat="1" ht="12.75">
      <c r="A9" s="473" t="s">
        <v>3460</v>
      </c>
      <c r="B9" s="474">
        <v>0</v>
      </c>
      <c r="C9" s="474">
        <v>0</v>
      </c>
      <c r="D9" s="474">
        <v>0</v>
      </c>
      <c r="E9" s="475">
        <v>2</v>
      </c>
      <c r="F9" s="475">
        <v>1</v>
      </c>
      <c r="G9" s="476">
        <v>5</v>
      </c>
      <c r="H9" s="36"/>
      <c r="I9" s="36"/>
      <c r="J9" s="36"/>
      <c r="K9" s="36"/>
      <c r="L9" s="36"/>
    </row>
    <row r="10" spans="1:12" s="62" customFormat="1" ht="11.25">
      <c r="A10" s="473" t="s">
        <v>8</v>
      </c>
      <c r="B10" s="475">
        <v>150</v>
      </c>
      <c r="C10" s="475">
        <v>150</v>
      </c>
      <c r="D10" s="475">
        <v>160</v>
      </c>
      <c r="E10" s="475">
        <v>150</v>
      </c>
      <c r="F10" s="475">
        <v>98</v>
      </c>
      <c r="G10" s="476">
        <v>88</v>
      </c>
      <c r="H10" s="36"/>
      <c r="I10" s="36"/>
      <c r="J10" s="36"/>
      <c r="K10" s="36"/>
      <c r="L10" s="36"/>
    </row>
    <row r="11" spans="1:12" s="62" customFormat="1" ht="11.25">
      <c r="A11" s="473" t="s">
        <v>9</v>
      </c>
      <c r="B11" s="475">
        <v>127</v>
      </c>
      <c r="C11" s="475">
        <v>120</v>
      </c>
      <c r="D11" s="475">
        <v>92</v>
      </c>
      <c r="E11" s="475">
        <v>123</v>
      </c>
      <c r="F11" s="475">
        <v>130</v>
      </c>
      <c r="G11" s="476">
        <v>113</v>
      </c>
      <c r="H11" s="36"/>
      <c r="I11" s="36"/>
      <c r="J11" s="36"/>
      <c r="K11" s="36"/>
      <c r="L11" s="36"/>
    </row>
    <row r="12" spans="1:12" s="62" customFormat="1" ht="11.25">
      <c r="A12" s="473" t="s">
        <v>10</v>
      </c>
      <c r="B12" s="475">
        <v>63</v>
      </c>
      <c r="C12" s="475">
        <v>50</v>
      </c>
      <c r="D12" s="475">
        <v>72</v>
      </c>
      <c r="E12" s="475">
        <v>68</v>
      </c>
      <c r="F12" s="475">
        <v>51</v>
      </c>
      <c r="G12" s="476">
        <v>38</v>
      </c>
      <c r="H12" s="36"/>
      <c r="I12" s="36"/>
      <c r="J12" s="36"/>
      <c r="K12" s="36"/>
      <c r="L12" s="36"/>
    </row>
    <row r="13" spans="1:12" s="62" customFormat="1" ht="11.25">
      <c r="A13" s="473" t="s">
        <v>11</v>
      </c>
      <c r="B13" s="475">
        <v>162</v>
      </c>
      <c r="C13" s="475">
        <v>192</v>
      </c>
      <c r="D13" s="475">
        <v>196</v>
      </c>
      <c r="E13" s="475">
        <v>209</v>
      </c>
      <c r="F13" s="475">
        <v>137</v>
      </c>
      <c r="G13" s="476">
        <v>119</v>
      </c>
      <c r="H13" s="36"/>
      <c r="I13" s="36"/>
      <c r="J13" s="36"/>
      <c r="K13" s="36"/>
      <c r="L13" s="36"/>
    </row>
    <row r="14" spans="1:12" s="62" customFormat="1" ht="11.25">
      <c r="A14" s="473" t="s">
        <v>12</v>
      </c>
      <c r="B14" s="475">
        <v>842</v>
      </c>
      <c r="C14" s="475">
        <v>883</v>
      </c>
      <c r="D14" s="475">
        <v>824</v>
      </c>
      <c r="E14" s="475">
        <v>815</v>
      </c>
      <c r="F14" s="475">
        <v>1044</v>
      </c>
      <c r="G14" s="476">
        <v>1125</v>
      </c>
      <c r="H14" s="36"/>
      <c r="I14" s="36"/>
      <c r="J14" s="36"/>
      <c r="K14" s="36"/>
      <c r="L14" s="36"/>
    </row>
    <row r="15" spans="1:12" s="62" customFormat="1" ht="11.25">
      <c r="A15" s="473" t="s">
        <v>13</v>
      </c>
      <c r="B15" s="475">
        <v>9499</v>
      </c>
      <c r="C15" s="475">
        <v>9998</v>
      </c>
      <c r="D15" s="475">
        <v>10139</v>
      </c>
      <c r="E15" s="475">
        <v>9401</v>
      </c>
      <c r="F15" s="475">
        <v>10045</v>
      </c>
      <c r="G15" s="476">
        <v>9652</v>
      </c>
      <c r="H15" s="36"/>
      <c r="I15" s="36"/>
      <c r="J15" s="36"/>
      <c r="K15" s="36"/>
      <c r="L15" s="36"/>
    </row>
    <row r="16" spans="1:12" s="62" customFormat="1" ht="11.25">
      <c r="A16" s="473" t="s">
        <v>14</v>
      </c>
      <c r="B16" s="475">
        <v>141</v>
      </c>
      <c r="C16" s="475">
        <v>140</v>
      </c>
      <c r="D16" s="475">
        <v>122</v>
      </c>
      <c r="E16" s="475">
        <v>115</v>
      </c>
      <c r="F16" s="475">
        <v>122</v>
      </c>
      <c r="G16" s="476">
        <v>98</v>
      </c>
      <c r="H16" s="36"/>
      <c r="I16" s="36"/>
      <c r="J16" s="36"/>
      <c r="K16" s="36"/>
      <c r="L16" s="36"/>
    </row>
    <row r="17" spans="1:12" s="62" customFormat="1" ht="11.25">
      <c r="A17" s="473" t="s">
        <v>15</v>
      </c>
      <c r="B17" s="475">
        <v>176</v>
      </c>
      <c r="C17" s="475">
        <v>137</v>
      </c>
      <c r="D17" s="475">
        <v>197</v>
      </c>
      <c r="E17" s="475">
        <v>124</v>
      </c>
      <c r="F17" s="475">
        <v>82</v>
      </c>
      <c r="G17" s="476">
        <v>67</v>
      </c>
      <c r="H17" s="36"/>
      <c r="I17" s="36"/>
      <c r="J17" s="36"/>
      <c r="K17" s="36"/>
      <c r="L17" s="36"/>
    </row>
    <row r="18" spans="1:12" s="62" customFormat="1" ht="11.25">
      <c r="A18" s="473" t="s">
        <v>16</v>
      </c>
      <c r="B18" s="475">
        <v>350</v>
      </c>
      <c r="C18" s="475">
        <v>358</v>
      </c>
      <c r="D18" s="475">
        <v>379</v>
      </c>
      <c r="E18" s="475">
        <v>348</v>
      </c>
      <c r="F18" s="475">
        <v>522</v>
      </c>
      <c r="G18" s="476">
        <v>583</v>
      </c>
      <c r="H18" s="36"/>
      <c r="I18" s="36"/>
      <c r="J18" s="36"/>
      <c r="K18" s="36"/>
      <c r="L18" s="36"/>
    </row>
    <row r="19" spans="1:12" s="62" customFormat="1" ht="11.25">
      <c r="A19" s="473" t="s">
        <v>17</v>
      </c>
      <c r="B19" s="475">
        <v>178</v>
      </c>
      <c r="C19" s="475">
        <v>155</v>
      </c>
      <c r="D19" s="475">
        <v>138</v>
      </c>
      <c r="E19" s="475">
        <v>165</v>
      </c>
      <c r="F19" s="475">
        <v>253</v>
      </c>
      <c r="G19" s="476">
        <v>185</v>
      </c>
      <c r="H19" s="36"/>
      <c r="I19" s="36"/>
      <c r="J19" s="36"/>
      <c r="K19" s="36"/>
      <c r="L19" s="36"/>
    </row>
    <row r="20" spans="1:12" s="62" customFormat="1" ht="11.25">
      <c r="A20" s="473" t="s">
        <v>18</v>
      </c>
      <c r="B20" s="475">
        <v>121</v>
      </c>
      <c r="C20" s="475">
        <v>118</v>
      </c>
      <c r="D20" s="475">
        <v>114</v>
      </c>
      <c r="E20" s="475">
        <v>80</v>
      </c>
      <c r="F20" s="475">
        <v>70</v>
      </c>
      <c r="G20" s="476">
        <v>75</v>
      </c>
      <c r="H20" s="36"/>
      <c r="I20" s="36"/>
      <c r="J20" s="36"/>
      <c r="K20" s="36"/>
      <c r="L20" s="36"/>
    </row>
    <row r="21" spans="1:12" s="62" customFormat="1" ht="11.25">
      <c r="A21" s="473" t="s">
        <v>19</v>
      </c>
      <c r="B21" s="475">
        <v>102</v>
      </c>
      <c r="C21" s="475">
        <v>155</v>
      </c>
      <c r="D21" s="475">
        <v>159</v>
      </c>
      <c r="E21" s="475">
        <v>120</v>
      </c>
      <c r="F21" s="475">
        <v>94</v>
      </c>
      <c r="G21" s="476">
        <v>98</v>
      </c>
      <c r="H21" s="36"/>
      <c r="I21" s="36"/>
      <c r="J21" s="36"/>
      <c r="K21" s="36"/>
      <c r="L21" s="36"/>
    </row>
    <row r="22" spans="1:12" s="62" customFormat="1" ht="11.25">
      <c r="A22" s="473" t="s">
        <v>20</v>
      </c>
      <c r="B22" s="475">
        <v>15</v>
      </c>
      <c r="C22" s="475">
        <v>27</v>
      </c>
      <c r="D22" s="475">
        <v>29</v>
      </c>
      <c r="E22" s="475">
        <v>13</v>
      </c>
      <c r="F22" s="475">
        <v>15</v>
      </c>
      <c r="G22" s="476">
        <v>13</v>
      </c>
      <c r="H22" s="36"/>
      <c r="I22" s="36"/>
      <c r="J22" s="36"/>
      <c r="K22" s="36"/>
      <c r="L22" s="36"/>
    </row>
    <row r="23" spans="1:12" s="62" customFormat="1" ht="11.25">
      <c r="A23" s="473" t="s">
        <v>21</v>
      </c>
      <c r="B23" s="475">
        <v>83</v>
      </c>
      <c r="C23" s="475">
        <v>89</v>
      </c>
      <c r="D23" s="475">
        <v>94</v>
      </c>
      <c r="E23" s="475">
        <v>74</v>
      </c>
      <c r="F23" s="475">
        <v>56</v>
      </c>
      <c r="G23" s="476">
        <v>61</v>
      </c>
      <c r="H23" s="36"/>
      <c r="I23" s="36"/>
      <c r="J23" s="36"/>
      <c r="K23" s="36"/>
      <c r="L23" s="36"/>
    </row>
    <row r="24" spans="1:12" s="62" customFormat="1" ht="11.25">
      <c r="A24" s="470" t="s">
        <v>2501</v>
      </c>
      <c r="B24" s="471">
        <f t="shared" ref="B24:G24" si="2">B25</f>
        <v>575</v>
      </c>
      <c r="C24" s="471">
        <f t="shared" si="2"/>
        <v>405</v>
      </c>
      <c r="D24" s="471">
        <f t="shared" si="2"/>
        <v>454</v>
      </c>
      <c r="E24" s="471">
        <f t="shared" si="2"/>
        <v>452</v>
      </c>
      <c r="F24" s="471">
        <f t="shared" si="2"/>
        <v>326</v>
      </c>
      <c r="G24" s="472">
        <f t="shared" si="2"/>
        <v>318</v>
      </c>
      <c r="H24" s="231"/>
      <c r="I24" s="231"/>
      <c r="J24" s="231"/>
      <c r="K24" s="231"/>
      <c r="L24" s="231"/>
    </row>
    <row r="25" spans="1:12" s="62" customFormat="1" ht="11.25">
      <c r="A25" s="177" t="s">
        <v>1905</v>
      </c>
      <c r="B25" s="475">
        <v>575</v>
      </c>
      <c r="C25" s="475">
        <v>405</v>
      </c>
      <c r="D25" s="475">
        <v>454</v>
      </c>
      <c r="E25" s="475">
        <v>452</v>
      </c>
      <c r="F25" s="475">
        <v>326</v>
      </c>
      <c r="G25" s="476">
        <v>318</v>
      </c>
      <c r="H25" s="36"/>
      <c r="I25" s="36"/>
      <c r="J25" s="36"/>
      <c r="K25" s="36"/>
      <c r="L25" s="36"/>
    </row>
    <row r="26" spans="1:12" s="62" customFormat="1" ht="6.75" customHeight="1">
      <c r="A26" s="177"/>
      <c r="B26" s="475"/>
      <c r="C26" s="475"/>
      <c r="D26" s="475"/>
      <c r="E26" s="475"/>
      <c r="F26" s="475"/>
      <c r="H26" s="36"/>
      <c r="I26" s="36"/>
      <c r="J26" s="36"/>
      <c r="K26" s="36"/>
      <c r="L26" s="36"/>
    </row>
    <row r="27" spans="1:12" s="62" customFormat="1" ht="36" customHeight="1">
      <c r="A27" s="2263" t="s">
        <v>3461</v>
      </c>
      <c r="B27" s="2263"/>
      <c r="C27" s="2263"/>
      <c r="D27" s="2263"/>
      <c r="E27" s="2263"/>
      <c r="F27" s="2263"/>
      <c r="G27" s="2263"/>
      <c r="H27" s="36"/>
      <c r="I27" s="36"/>
      <c r="J27" s="36"/>
      <c r="K27" s="36"/>
      <c r="L27" s="36"/>
    </row>
    <row r="28" spans="1:12" s="62" customFormat="1" ht="11.25" customHeight="1">
      <c r="A28" s="2263" t="s">
        <v>3462</v>
      </c>
      <c r="B28" s="2263"/>
      <c r="C28" s="2263"/>
      <c r="D28" s="2263"/>
      <c r="E28" s="2263"/>
      <c r="F28" s="2263"/>
      <c r="G28" s="2263"/>
      <c r="H28" s="36"/>
      <c r="I28" s="36"/>
      <c r="J28" s="36"/>
      <c r="K28" s="36"/>
      <c r="L28" s="36"/>
    </row>
    <row r="29" spans="1:12" s="62" customFormat="1" ht="11.25">
      <c r="A29" s="2584" t="s">
        <v>2476</v>
      </c>
      <c r="B29" s="2584"/>
      <c r="C29" s="2584"/>
      <c r="D29" s="2584"/>
      <c r="E29" s="2584"/>
      <c r="F29" s="2584"/>
      <c r="G29" s="2584"/>
    </row>
    <row r="30" spans="1:12" s="62" customFormat="1" ht="11.25"/>
    <row r="31" spans="1:12" s="62" customFormat="1" ht="11.25"/>
    <row r="32" spans="1:12" s="62" customFormat="1" ht="11.25"/>
    <row r="33" spans="1:7">
      <c r="A33" s="177"/>
      <c r="B33" s="475"/>
      <c r="C33" s="475"/>
      <c r="D33" s="475"/>
      <c r="E33" s="475"/>
      <c r="F33" s="475"/>
      <c r="G33" s="62"/>
    </row>
    <row r="34" spans="1:7">
      <c r="B34" s="477"/>
      <c r="C34" s="477"/>
      <c r="D34" s="477"/>
      <c r="E34" s="477"/>
      <c r="F34" s="477"/>
      <c r="G34" s="477"/>
    </row>
  </sheetData>
  <mergeCells count="6">
    <mergeCell ref="A29:G29"/>
    <mergeCell ref="A2:G3"/>
    <mergeCell ref="A5:A6"/>
    <mergeCell ref="B5:G5"/>
    <mergeCell ref="A27:G27"/>
    <mergeCell ref="A28:G28"/>
  </mergeCells>
  <pageMargins left="0.7" right="0.7" top="0.75" bottom="0.75" header="0.3" footer="0.3"/>
</worksheet>
</file>

<file path=xl/worksheets/sheet276.xml><?xml version="1.0" encoding="utf-8"?>
<worksheet xmlns="http://schemas.openxmlformats.org/spreadsheetml/2006/main" xmlns:r="http://schemas.openxmlformats.org/officeDocument/2006/relationships">
  <dimension ref="A1:H33"/>
  <sheetViews>
    <sheetView zoomScaleNormal="100" workbookViewId="0">
      <selection activeCell="C21" sqref="C21"/>
    </sheetView>
  </sheetViews>
  <sheetFormatPr baseColWidth="10" defaultRowHeight="11.25"/>
  <cols>
    <col min="1" max="1" width="20.85546875" style="1987" customWidth="1"/>
    <col min="2" max="2" width="15.85546875" style="37" customWidth="1"/>
    <col min="3" max="3" width="18.85546875" style="37" customWidth="1"/>
    <col min="4" max="4" width="12.140625" style="37" bestFit="1" customWidth="1"/>
    <col min="5" max="5" width="19" style="37" customWidth="1"/>
    <col min="6" max="6" width="12.140625" style="37" bestFit="1" customWidth="1"/>
    <col min="7" max="7" width="17.5703125" style="37" customWidth="1"/>
    <col min="8" max="8" width="17.7109375" style="37" bestFit="1" customWidth="1"/>
    <col min="9" max="11" width="7" style="37" bestFit="1" customWidth="1"/>
    <col min="12" max="12" width="5.5703125" style="37" bestFit="1" customWidth="1"/>
    <col min="13" max="16384" width="11.42578125" style="37"/>
  </cols>
  <sheetData>
    <row r="1" spans="1:8" ht="10.5" customHeight="1"/>
    <row r="2" spans="1:8" ht="27.75" customHeight="1">
      <c r="A2" s="2585" t="s">
        <v>2502</v>
      </c>
      <c r="B2" s="2585"/>
      <c r="C2" s="2585"/>
      <c r="D2" s="2585"/>
      <c r="E2" s="2585"/>
      <c r="F2" s="2585"/>
      <c r="G2" s="2585"/>
    </row>
    <row r="3" spans="1:8">
      <c r="A3" s="465"/>
      <c r="B3" s="465"/>
      <c r="C3" s="465"/>
      <c r="D3" s="465"/>
      <c r="E3" s="465"/>
      <c r="F3" s="465"/>
      <c r="G3" s="465"/>
    </row>
    <row r="4" spans="1:8">
      <c r="A4" s="2802" t="s">
        <v>2503</v>
      </c>
      <c r="B4" s="2816" t="s">
        <v>2504</v>
      </c>
      <c r="C4" s="2817"/>
      <c r="D4" s="2803" t="s">
        <v>2505</v>
      </c>
      <c r="E4" s="2803"/>
      <c r="F4" s="2803" t="s">
        <v>2506</v>
      </c>
      <c r="G4" s="2803"/>
    </row>
    <row r="5" spans="1:8" ht="22.5">
      <c r="A5" s="2802"/>
      <c r="B5" s="2804" t="s">
        <v>4649</v>
      </c>
      <c r="C5" s="2805" t="s">
        <v>2507</v>
      </c>
      <c r="D5" s="2804" t="s">
        <v>2508</v>
      </c>
      <c r="E5" s="2805" t="s">
        <v>2507</v>
      </c>
      <c r="F5" s="2804" t="s">
        <v>2508</v>
      </c>
      <c r="G5" s="2805" t="s">
        <v>2507</v>
      </c>
    </row>
    <row r="6" spans="1:8">
      <c r="A6" s="2806" t="s">
        <v>6</v>
      </c>
      <c r="B6" s="2727">
        <f t="shared" ref="B6:G6" si="0">SUM(B7:B11)</f>
        <v>10851</v>
      </c>
      <c r="C6" s="2727">
        <f t="shared" si="0"/>
        <v>111359248103</v>
      </c>
      <c r="D6" s="2727">
        <f t="shared" si="0"/>
        <v>4552</v>
      </c>
      <c r="E6" s="2727">
        <f t="shared" si="0"/>
        <v>43257724816</v>
      </c>
      <c r="F6" s="2727">
        <f t="shared" si="0"/>
        <v>2212</v>
      </c>
      <c r="G6" s="2727">
        <f t="shared" si="0"/>
        <v>20057622917.5</v>
      </c>
      <c r="H6" s="2807"/>
    </row>
    <row r="7" spans="1:8" ht="33.75">
      <c r="A7" s="2808" t="s">
        <v>2509</v>
      </c>
      <c r="B7" s="2809">
        <v>2078</v>
      </c>
      <c r="C7" s="2810">
        <v>29259677485</v>
      </c>
      <c r="D7" s="2809">
        <v>480</v>
      </c>
      <c r="E7" s="2810">
        <v>8333501872</v>
      </c>
      <c r="F7" s="2809">
        <v>334</v>
      </c>
      <c r="G7" s="2811">
        <v>5702123131</v>
      </c>
    </row>
    <row r="8" spans="1:8" ht="33.75">
      <c r="A8" s="2808" t="s">
        <v>2510</v>
      </c>
      <c r="B8" s="2809">
        <v>3197</v>
      </c>
      <c r="C8" s="2810">
        <v>24538801737</v>
      </c>
      <c r="D8" s="2809">
        <v>1422</v>
      </c>
      <c r="E8" s="2811">
        <v>11282955182</v>
      </c>
      <c r="F8" s="2809">
        <v>709</v>
      </c>
      <c r="G8" s="2811">
        <v>4727477202.3999996</v>
      </c>
    </row>
    <row r="9" spans="1:8" ht="22.5">
      <c r="A9" s="2808" t="s">
        <v>2511</v>
      </c>
      <c r="B9" s="2809">
        <v>2337</v>
      </c>
      <c r="C9" s="2810">
        <v>13667121133</v>
      </c>
      <c r="D9" s="2809">
        <v>1092</v>
      </c>
      <c r="E9" s="2810">
        <v>6185220996</v>
      </c>
      <c r="F9" s="2812">
        <v>505</v>
      </c>
      <c r="G9" s="2813">
        <v>2741841291</v>
      </c>
    </row>
    <row r="10" spans="1:8" ht="22.5">
      <c r="A10" s="2808" t="s">
        <v>2512</v>
      </c>
      <c r="B10" s="2809">
        <v>1877</v>
      </c>
      <c r="C10" s="2810">
        <v>12208572117</v>
      </c>
      <c r="D10" s="2809">
        <v>1020</v>
      </c>
      <c r="E10" s="2810">
        <v>7245140231</v>
      </c>
      <c r="F10" s="2812">
        <v>420</v>
      </c>
      <c r="G10" s="2813">
        <v>2563529241.0999994</v>
      </c>
    </row>
    <row r="11" spans="1:8">
      <c r="A11" s="2808" t="s">
        <v>2513</v>
      </c>
      <c r="B11" s="2809">
        <v>1362</v>
      </c>
      <c r="C11" s="2810">
        <v>31685075631</v>
      </c>
      <c r="D11" s="2809">
        <v>538</v>
      </c>
      <c r="E11" s="2810">
        <v>10210906535</v>
      </c>
      <c r="F11" s="2812">
        <v>244</v>
      </c>
      <c r="G11" s="2813">
        <v>4322652052</v>
      </c>
    </row>
    <row r="12" spans="1:8">
      <c r="B12" s="2814"/>
      <c r="C12" s="2815"/>
      <c r="D12" s="2814"/>
      <c r="E12" s="2815"/>
    </row>
    <row r="13" spans="1:8">
      <c r="A13" s="1992" t="s">
        <v>4650</v>
      </c>
      <c r="B13" s="453"/>
      <c r="C13" s="453"/>
    </row>
    <row r="14" spans="1:8">
      <c r="A14" s="428" t="s">
        <v>1218</v>
      </c>
      <c r="B14" s="428"/>
      <c r="C14" s="428"/>
      <c r="D14" s="462"/>
      <c r="E14" s="462"/>
      <c r="F14" s="1919"/>
    </row>
    <row r="24" spans="1:3">
      <c r="A24" s="299"/>
      <c r="B24" s="1995"/>
      <c r="C24" s="1995"/>
    </row>
    <row r="25" spans="1:3">
      <c r="A25" s="299"/>
      <c r="B25" s="1995"/>
      <c r="C25" s="1995"/>
    </row>
    <row r="26" spans="1:3">
      <c r="A26" s="299"/>
      <c r="B26" s="1995"/>
      <c r="C26" s="1995"/>
    </row>
    <row r="27" spans="1:3">
      <c r="A27" s="299"/>
      <c r="B27" s="1995"/>
      <c r="C27" s="1995"/>
    </row>
    <row r="28" spans="1:3">
      <c r="A28" s="299"/>
      <c r="B28" s="1995"/>
      <c r="C28" s="1995"/>
    </row>
    <row r="29" spans="1:3">
      <c r="A29" s="299"/>
      <c r="B29" s="1995"/>
      <c r="C29" s="1995"/>
    </row>
    <row r="30" spans="1:3">
      <c r="A30" s="37"/>
    </row>
    <row r="31" spans="1:3">
      <c r="A31" s="37"/>
    </row>
    <row r="32" spans="1:3">
      <c r="A32" s="37"/>
    </row>
    <row r="33" spans="1:1">
      <c r="A33" s="37"/>
    </row>
  </sheetData>
  <mergeCells count="4">
    <mergeCell ref="A2:G2"/>
    <mergeCell ref="A4:A5"/>
    <mergeCell ref="D4:E4"/>
    <mergeCell ref="F4:G4"/>
  </mergeCells>
  <pageMargins left="0.70866141732283472" right="0.70866141732283472" top="0.74803149606299213" bottom="0.74803149606299213" header="0.31496062992125984" footer="0.31496062992125984"/>
  <pageSetup orientation="landscape" r:id="rId1"/>
  <drawing r:id="rId2"/>
</worksheet>
</file>

<file path=xl/worksheets/sheet277.xml><?xml version="1.0" encoding="utf-8"?>
<worksheet xmlns="http://schemas.openxmlformats.org/spreadsheetml/2006/main" xmlns:r="http://schemas.openxmlformats.org/officeDocument/2006/relationships">
  <dimension ref="A2:Q30"/>
  <sheetViews>
    <sheetView zoomScaleNormal="100" workbookViewId="0">
      <selection activeCell="A35" sqref="A35"/>
    </sheetView>
  </sheetViews>
  <sheetFormatPr baseColWidth="10" defaultRowHeight="11.25"/>
  <cols>
    <col min="1" max="1" width="22" style="37" customWidth="1"/>
    <col min="2" max="2" width="8.85546875" style="37" customWidth="1"/>
    <col min="3" max="3" width="17.85546875" style="37" customWidth="1"/>
    <col min="4" max="4" width="6.5703125" style="37" customWidth="1"/>
    <col min="5" max="5" width="14" style="37" bestFit="1" customWidth="1"/>
    <col min="6" max="6" width="9.5703125" style="37" bestFit="1" customWidth="1"/>
    <col min="7" max="7" width="14" style="37" bestFit="1" customWidth="1"/>
    <col min="8" max="8" width="6.5703125" style="37" customWidth="1"/>
    <col min="9" max="9" width="14" style="37" bestFit="1" customWidth="1"/>
    <col min="10" max="10" width="6.5703125" style="37" customWidth="1"/>
    <col min="11" max="11" width="15.85546875" style="37" bestFit="1" customWidth="1"/>
    <col min="12" max="12" width="7.7109375" style="37" bestFit="1" customWidth="1"/>
    <col min="13" max="13" width="14" style="37" bestFit="1" customWidth="1"/>
    <col min="14" max="14" width="6.5703125" style="37" customWidth="1"/>
    <col min="15" max="15" width="15.85546875" style="37" bestFit="1" customWidth="1"/>
    <col min="16" max="16" width="6.5703125" style="37" customWidth="1"/>
    <col min="17" max="17" width="14" style="37" customWidth="1"/>
    <col min="18" max="18" width="6.5703125" style="37" customWidth="1"/>
    <col min="19" max="19" width="12.42578125" style="37" customWidth="1"/>
    <col min="20" max="20" width="6.5703125" style="37" customWidth="1"/>
    <col min="21" max="21" width="12.42578125" style="37" bestFit="1" customWidth="1"/>
    <col min="22" max="22" width="6.5703125" style="37" customWidth="1"/>
    <col min="23" max="23" width="14" style="37" customWidth="1"/>
    <col min="24" max="16384" width="11.42578125" style="37"/>
  </cols>
  <sheetData>
    <row r="2" spans="1:17" ht="27" customHeight="1">
      <c r="A2" s="2585" t="s">
        <v>3459</v>
      </c>
      <c r="B2" s="2585"/>
      <c r="C2" s="2585"/>
      <c r="D2" s="2585"/>
      <c r="E2" s="2585"/>
      <c r="F2" s="2585"/>
      <c r="G2" s="2585"/>
      <c r="H2" s="2585"/>
      <c r="I2" s="2585"/>
      <c r="J2" s="2585"/>
      <c r="K2" s="463"/>
      <c r="L2" s="464"/>
      <c r="M2" s="464"/>
      <c r="N2" s="464"/>
      <c r="O2" s="464"/>
      <c r="P2" s="464"/>
      <c r="Q2" s="464"/>
    </row>
    <row r="3" spans="1:17">
      <c r="A3" s="465"/>
      <c r="B3" s="465"/>
      <c r="C3" s="465"/>
      <c r="D3" s="465"/>
      <c r="E3" s="465"/>
      <c r="F3" s="465"/>
      <c r="G3" s="465"/>
      <c r="H3" s="465"/>
      <c r="I3" s="465"/>
      <c r="J3" s="465"/>
      <c r="K3" s="465"/>
      <c r="L3" s="465"/>
      <c r="M3" s="465"/>
      <c r="N3" s="465"/>
      <c r="O3" s="465"/>
      <c r="P3" s="465"/>
      <c r="Q3" s="465"/>
    </row>
    <row r="4" spans="1:17" ht="55.5" customHeight="1">
      <c r="A4" s="2297" t="s">
        <v>0</v>
      </c>
      <c r="B4" s="2244" t="s">
        <v>26</v>
      </c>
      <c r="C4" s="2244"/>
      <c r="D4" s="2243" t="s">
        <v>4628</v>
      </c>
      <c r="E4" s="2243"/>
      <c r="F4" s="2243" t="s">
        <v>1208</v>
      </c>
      <c r="G4" s="2243"/>
      <c r="H4" s="2243" t="s">
        <v>1209</v>
      </c>
      <c r="I4" s="2243"/>
      <c r="J4" s="2243" t="s">
        <v>4629</v>
      </c>
      <c r="K4" s="2243"/>
      <c r="L4" s="2243" t="s">
        <v>2514</v>
      </c>
      <c r="M4" s="2243"/>
      <c r="N4" s="2243" t="s">
        <v>2515</v>
      </c>
      <c r="O4" s="2243"/>
      <c r="P4" s="2243" t="s">
        <v>2516</v>
      </c>
      <c r="Q4" s="2243"/>
    </row>
    <row r="5" spans="1:17" ht="33.75">
      <c r="A5" s="2297"/>
      <c r="B5" s="2726" t="s">
        <v>1216</v>
      </c>
      <c r="C5" s="2726" t="s">
        <v>1217</v>
      </c>
      <c r="D5" s="2726" t="s">
        <v>1216</v>
      </c>
      <c r="E5" s="2726" t="s">
        <v>1217</v>
      </c>
      <c r="F5" s="2726" t="s">
        <v>1216</v>
      </c>
      <c r="G5" s="2726" t="s">
        <v>1217</v>
      </c>
      <c r="H5" s="2726" t="s">
        <v>1216</v>
      </c>
      <c r="I5" s="2726" t="s">
        <v>1217</v>
      </c>
      <c r="J5" s="2726" t="s">
        <v>1216</v>
      </c>
      <c r="K5" s="2726" t="s">
        <v>1217</v>
      </c>
      <c r="L5" s="2726" t="s">
        <v>1216</v>
      </c>
      <c r="M5" s="2726" t="s">
        <v>1217</v>
      </c>
      <c r="N5" s="2726" t="s">
        <v>1216</v>
      </c>
      <c r="O5" s="2726" t="s">
        <v>1217</v>
      </c>
      <c r="P5" s="2726" t="s">
        <v>1216</v>
      </c>
      <c r="Q5" s="2726" t="s">
        <v>1217</v>
      </c>
    </row>
    <row r="6" spans="1:17">
      <c r="A6" s="2818" t="s">
        <v>6</v>
      </c>
      <c r="B6" s="2819">
        <f>SUM(D6+F6+H6+J6+N6+P6+L6)</f>
        <v>334</v>
      </c>
      <c r="C6" s="2819">
        <f>SUM(E6+G6+I6+K6+O6+Q6+M6)</f>
        <v>5702123131</v>
      </c>
      <c r="D6" s="2820">
        <f t="shared" ref="D6:Q6" si="0">SUM(D7:D22)</f>
        <v>124</v>
      </c>
      <c r="E6" s="2820">
        <f t="shared" si="0"/>
        <v>526104373</v>
      </c>
      <c r="F6" s="2820">
        <f t="shared" si="0"/>
        <v>56</v>
      </c>
      <c r="G6" s="2820">
        <f t="shared" si="0"/>
        <v>588301612</v>
      </c>
      <c r="H6" s="2820">
        <f t="shared" si="0"/>
        <v>25</v>
      </c>
      <c r="I6" s="2820">
        <f t="shared" si="0"/>
        <v>452845345</v>
      </c>
      <c r="J6" s="2820">
        <f t="shared" si="0"/>
        <v>63</v>
      </c>
      <c r="K6" s="2820">
        <f t="shared" si="0"/>
        <v>1258893609</v>
      </c>
      <c r="L6" s="2820">
        <f t="shared" si="0"/>
        <v>5</v>
      </c>
      <c r="M6" s="2820">
        <f t="shared" si="0"/>
        <v>116450669</v>
      </c>
      <c r="N6" s="2820">
        <f t="shared" si="0"/>
        <v>20</v>
      </c>
      <c r="O6" s="2820">
        <f t="shared" si="0"/>
        <v>1900942332</v>
      </c>
      <c r="P6" s="2820">
        <f t="shared" si="0"/>
        <v>41</v>
      </c>
      <c r="Q6" s="2820">
        <f t="shared" si="0"/>
        <v>858585191</v>
      </c>
    </row>
    <row r="7" spans="1:17">
      <c r="A7" s="2821" t="s">
        <v>7</v>
      </c>
      <c r="B7" s="2819">
        <f t="shared" ref="B7:C22" si="1">SUM(D7+F7+H7+J7+N7+P7+L7)</f>
        <v>3</v>
      </c>
      <c r="C7" s="2819">
        <f t="shared" si="1"/>
        <v>15154339</v>
      </c>
      <c r="D7" s="2822">
        <v>0</v>
      </c>
      <c r="E7" s="2822">
        <v>0</v>
      </c>
      <c r="F7" s="2728">
        <v>2</v>
      </c>
      <c r="G7" s="2728">
        <v>4535619</v>
      </c>
      <c r="H7" s="2728">
        <v>0</v>
      </c>
      <c r="I7" s="2728">
        <v>0</v>
      </c>
      <c r="J7" s="2728">
        <v>1</v>
      </c>
      <c r="K7" s="2728">
        <v>10618720</v>
      </c>
      <c r="L7" s="2728">
        <v>0</v>
      </c>
      <c r="M7" s="2728">
        <v>0</v>
      </c>
      <c r="N7" s="2728">
        <v>0</v>
      </c>
      <c r="O7" s="2728">
        <v>0</v>
      </c>
      <c r="P7" s="2728">
        <v>0</v>
      </c>
      <c r="Q7" s="2728">
        <v>0</v>
      </c>
    </row>
    <row r="8" spans="1:17">
      <c r="A8" s="2823" t="s">
        <v>8</v>
      </c>
      <c r="B8" s="2819">
        <f t="shared" si="1"/>
        <v>4</v>
      </c>
      <c r="C8" s="2819">
        <f t="shared" si="1"/>
        <v>28228098</v>
      </c>
      <c r="D8" s="2822">
        <v>2</v>
      </c>
      <c r="E8" s="2822">
        <v>4849652</v>
      </c>
      <c r="F8" s="2824">
        <v>2</v>
      </c>
      <c r="G8" s="2824">
        <v>23378446</v>
      </c>
      <c r="H8" s="2728">
        <v>0</v>
      </c>
      <c r="I8" s="2728">
        <v>0</v>
      </c>
      <c r="J8" s="2824">
        <v>0</v>
      </c>
      <c r="K8" s="2824">
        <v>0</v>
      </c>
      <c r="L8" s="2728">
        <v>0</v>
      </c>
      <c r="M8" s="2728">
        <v>0</v>
      </c>
      <c r="N8" s="2728">
        <v>0</v>
      </c>
      <c r="O8" s="2728">
        <v>0</v>
      </c>
      <c r="P8" s="2728">
        <v>0</v>
      </c>
      <c r="Q8" s="2728">
        <v>0</v>
      </c>
    </row>
    <row r="9" spans="1:17">
      <c r="A9" s="2823" t="s">
        <v>9</v>
      </c>
      <c r="B9" s="2819">
        <f t="shared" si="1"/>
        <v>4</v>
      </c>
      <c r="C9" s="2819">
        <f t="shared" si="1"/>
        <v>31713070</v>
      </c>
      <c r="D9" s="2822">
        <v>2</v>
      </c>
      <c r="E9" s="2822">
        <v>4771104</v>
      </c>
      <c r="F9" s="2824">
        <v>1</v>
      </c>
      <c r="G9" s="2824">
        <v>2919120</v>
      </c>
      <c r="H9" s="2728">
        <v>0</v>
      </c>
      <c r="I9" s="2728">
        <v>0</v>
      </c>
      <c r="J9" s="2824">
        <v>0</v>
      </c>
      <c r="K9" s="2824">
        <v>0</v>
      </c>
      <c r="L9" s="2728">
        <v>0</v>
      </c>
      <c r="M9" s="2728">
        <v>0</v>
      </c>
      <c r="N9" s="2728">
        <v>0</v>
      </c>
      <c r="O9" s="2728">
        <v>0</v>
      </c>
      <c r="P9" s="2728">
        <v>1</v>
      </c>
      <c r="Q9" s="2728">
        <v>24022846</v>
      </c>
    </row>
    <row r="10" spans="1:17">
      <c r="A10" s="2823" t="s">
        <v>10</v>
      </c>
      <c r="B10" s="2819">
        <f t="shared" si="1"/>
        <v>1</v>
      </c>
      <c r="C10" s="2819">
        <f t="shared" si="1"/>
        <v>16625000</v>
      </c>
      <c r="D10" s="2822">
        <v>0</v>
      </c>
      <c r="E10" s="2822">
        <v>0</v>
      </c>
      <c r="F10" s="2822">
        <v>0</v>
      </c>
      <c r="G10" s="2822">
        <v>0</v>
      </c>
      <c r="H10" s="2728">
        <v>0</v>
      </c>
      <c r="I10" s="2728">
        <v>0</v>
      </c>
      <c r="J10" s="2728">
        <v>1</v>
      </c>
      <c r="K10" s="2728">
        <v>16625000</v>
      </c>
      <c r="L10" s="2728">
        <v>0</v>
      </c>
      <c r="M10" s="2728">
        <v>0</v>
      </c>
      <c r="N10" s="2728">
        <v>0</v>
      </c>
      <c r="O10" s="2728">
        <v>0</v>
      </c>
      <c r="P10" s="2728">
        <v>0</v>
      </c>
      <c r="Q10" s="2728">
        <v>0</v>
      </c>
    </row>
    <row r="11" spans="1:17">
      <c r="A11" s="2823" t="s">
        <v>11</v>
      </c>
      <c r="B11" s="2819">
        <f t="shared" si="1"/>
        <v>2</v>
      </c>
      <c r="C11" s="2819">
        <f t="shared" si="1"/>
        <v>35615656</v>
      </c>
      <c r="D11" s="2822">
        <v>0</v>
      </c>
      <c r="E11" s="2822">
        <v>0</v>
      </c>
      <c r="F11" s="2728">
        <v>1</v>
      </c>
      <c r="G11" s="2728">
        <v>8615656</v>
      </c>
      <c r="H11" s="810">
        <v>1</v>
      </c>
      <c r="I11" s="810">
        <v>27000000</v>
      </c>
      <c r="J11" s="2728">
        <v>0</v>
      </c>
      <c r="K11" s="2728">
        <v>0</v>
      </c>
      <c r="L11" s="2728">
        <v>0</v>
      </c>
      <c r="M11" s="2728">
        <v>0</v>
      </c>
      <c r="N11" s="2728">
        <v>0</v>
      </c>
      <c r="O11" s="2728">
        <v>0</v>
      </c>
      <c r="P11" s="2728">
        <v>0</v>
      </c>
      <c r="Q11" s="2728">
        <v>0</v>
      </c>
    </row>
    <row r="12" spans="1:17">
      <c r="A12" s="2823" t="s">
        <v>12</v>
      </c>
      <c r="B12" s="2819">
        <f t="shared" si="1"/>
        <v>26</v>
      </c>
      <c r="C12" s="2819">
        <f t="shared" si="1"/>
        <v>663666240</v>
      </c>
      <c r="D12" s="2822">
        <v>9</v>
      </c>
      <c r="E12" s="2822">
        <v>37438753</v>
      </c>
      <c r="F12" s="2824">
        <v>3</v>
      </c>
      <c r="G12" s="2824">
        <v>34876389</v>
      </c>
      <c r="H12" s="810">
        <v>1</v>
      </c>
      <c r="I12" s="810">
        <v>1500000</v>
      </c>
      <c r="J12" s="2824">
        <v>5</v>
      </c>
      <c r="K12" s="1989">
        <v>157810590</v>
      </c>
      <c r="L12" s="1989">
        <v>1</v>
      </c>
      <c r="M12" s="1989">
        <v>31422588</v>
      </c>
      <c r="N12" s="2824">
        <v>5</v>
      </c>
      <c r="O12" s="1989">
        <v>359546051</v>
      </c>
      <c r="P12" s="1989">
        <v>2</v>
      </c>
      <c r="Q12" s="1989">
        <v>41071869</v>
      </c>
    </row>
    <row r="13" spans="1:17">
      <c r="A13" s="2823" t="s">
        <v>13</v>
      </c>
      <c r="B13" s="2819">
        <f t="shared" si="1"/>
        <v>252</v>
      </c>
      <c r="C13" s="2819">
        <f t="shared" si="1"/>
        <v>4429129443</v>
      </c>
      <c r="D13" s="2822">
        <v>95</v>
      </c>
      <c r="E13" s="2822">
        <v>423166580</v>
      </c>
      <c r="F13" s="2824">
        <v>36</v>
      </c>
      <c r="G13" s="2824">
        <v>379077671</v>
      </c>
      <c r="H13" s="810">
        <v>21</v>
      </c>
      <c r="I13" s="810">
        <v>395642969</v>
      </c>
      <c r="J13" s="2824">
        <v>46</v>
      </c>
      <c r="K13" s="1989">
        <v>914622971</v>
      </c>
      <c r="L13" s="1989">
        <v>4</v>
      </c>
      <c r="M13" s="1989">
        <v>85028081</v>
      </c>
      <c r="N13" s="2824">
        <v>13</v>
      </c>
      <c r="O13" s="1989">
        <v>1454504983</v>
      </c>
      <c r="P13" s="1989">
        <v>37</v>
      </c>
      <c r="Q13" s="1989">
        <v>777086188</v>
      </c>
    </row>
    <row r="14" spans="1:17">
      <c r="A14" s="2821" t="s">
        <v>14</v>
      </c>
      <c r="B14" s="2819">
        <f t="shared" si="1"/>
        <v>1</v>
      </c>
      <c r="C14" s="2819">
        <f t="shared" si="1"/>
        <v>11061000</v>
      </c>
      <c r="D14" s="2822">
        <v>0</v>
      </c>
      <c r="E14" s="2822">
        <v>0</v>
      </c>
      <c r="F14" s="2822">
        <v>0</v>
      </c>
      <c r="G14" s="2822">
        <v>0</v>
      </c>
      <c r="H14" s="2825">
        <v>0</v>
      </c>
      <c r="I14" s="2825">
        <v>0</v>
      </c>
      <c r="J14" s="2728">
        <v>1</v>
      </c>
      <c r="K14" s="1989">
        <v>11061000</v>
      </c>
      <c r="L14" s="2728">
        <v>0</v>
      </c>
      <c r="M14" s="2728">
        <v>0</v>
      </c>
      <c r="N14" s="2824">
        <v>0</v>
      </c>
      <c r="O14" s="1989">
        <v>0</v>
      </c>
      <c r="P14" s="2728">
        <v>0</v>
      </c>
      <c r="Q14" s="2728">
        <v>0</v>
      </c>
    </row>
    <row r="15" spans="1:17">
      <c r="A15" s="2823" t="s">
        <v>15</v>
      </c>
      <c r="B15" s="2819">
        <f t="shared" si="1"/>
        <v>3</v>
      </c>
      <c r="C15" s="2819">
        <f t="shared" si="1"/>
        <v>30842019</v>
      </c>
      <c r="D15" s="2822">
        <v>2</v>
      </c>
      <c r="E15" s="2822">
        <v>2449110</v>
      </c>
      <c r="F15" s="2822">
        <v>0</v>
      </c>
      <c r="G15" s="2822">
        <v>0</v>
      </c>
      <c r="H15" s="2824">
        <v>0</v>
      </c>
      <c r="I15" s="2824">
        <v>0</v>
      </c>
      <c r="J15" s="2824">
        <v>0</v>
      </c>
      <c r="K15" s="1989">
        <v>0</v>
      </c>
      <c r="L15" s="2728">
        <v>0</v>
      </c>
      <c r="M15" s="2728">
        <v>0</v>
      </c>
      <c r="N15" s="2824">
        <v>1</v>
      </c>
      <c r="O15" s="1989">
        <v>28392909</v>
      </c>
      <c r="P15" s="2728">
        <v>0</v>
      </c>
      <c r="Q15" s="2728">
        <v>0</v>
      </c>
    </row>
    <row r="16" spans="1:17">
      <c r="A16" s="2823" t="s">
        <v>16</v>
      </c>
      <c r="B16" s="2819">
        <f t="shared" si="1"/>
        <v>8</v>
      </c>
      <c r="C16" s="2819">
        <f t="shared" si="1"/>
        <v>113128209</v>
      </c>
      <c r="D16" s="2822">
        <v>1</v>
      </c>
      <c r="E16" s="2822">
        <v>1579000</v>
      </c>
      <c r="F16" s="2824">
        <v>2</v>
      </c>
      <c r="G16" s="2824">
        <v>15737339</v>
      </c>
      <c r="H16" s="2824">
        <v>0</v>
      </c>
      <c r="I16" s="2824">
        <v>0</v>
      </c>
      <c r="J16" s="2824">
        <v>4</v>
      </c>
      <c r="K16" s="1989">
        <v>79407582</v>
      </c>
      <c r="L16" s="2728">
        <v>0</v>
      </c>
      <c r="M16" s="2728">
        <v>0</v>
      </c>
      <c r="N16" s="2824">
        <v>0</v>
      </c>
      <c r="O16" s="1989">
        <v>0</v>
      </c>
      <c r="P16" s="1989">
        <v>1</v>
      </c>
      <c r="Q16" s="1989">
        <v>16404288</v>
      </c>
    </row>
    <row r="17" spans="1:17">
      <c r="A17" s="2823" t="s">
        <v>17</v>
      </c>
      <c r="B17" s="2819">
        <f t="shared" si="1"/>
        <v>2</v>
      </c>
      <c r="C17" s="2819">
        <f t="shared" si="1"/>
        <v>3857099</v>
      </c>
      <c r="D17" s="2822">
        <v>2</v>
      </c>
      <c r="E17" s="2822">
        <v>3857099</v>
      </c>
      <c r="F17" s="2822">
        <v>0</v>
      </c>
      <c r="G17" s="2822">
        <v>0</v>
      </c>
      <c r="H17" s="2824">
        <v>0</v>
      </c>
      <c r="I17" s="2824">
        <v>0</v>
      </c>
      <c r="J17" s="2824">
        <v>0</v>
      </c>
      <c r="K17" s="1989">
        <v>0</v>
      </c>
      <c r="L17" s="2728">
        <v>0</v>
      </c>
      <c r="M17" s="2728">
        <v>0</v>
      </c>
      <c r="N17" s="2824">
        <v>0</v>
      </c>
      <c r="O17" s="1989">
        <v>0</v>
      </c>
      <c r="P17" s="2728">
        <v>0</v>
      </c>
      <c r="Q17" s="2728">
        <v>0</v>
      </c>
    </row>
    <row r="18" spans="1:17">
      <c r="A18" s="2823" t="s">
        <v>18</v>
      </c>
      <c r="B18" s="2819">
        <f t="shared" si="1"/>
        <v>5</v>
      </c>
      <c r="C18" s="2819">
        <f t="shared" si="1"/>
        <v>55218757</v>
      </c>
      <c r="D18" s="2822">
        <v>3</v>
      </c>
      <c r="E18" s="2822">
        <v>16855340</v>
      </c>
      <c r="F18" s="2822">
        <v>0</v>
      </c>
      <c r="G18" s="2822">
        <v>0</v>
      </c>
      <c r="H18" s="2824">
        <v>0</v>
      </c>
      <c r="I18" s="2824">
        <v>0</v>
      </c>
      <c r="J18" s="2824">
        <v>2</v>
      </c>
      <c r="K18" s="1989">
        <v>38363417</v>
      </c>
      <c r="L18" s="2728">
        <v>0</v>
      </c>
      <c r="M18" s="2728">
        <v>0</v>
      </c>
      <c r="N18" s="2824">
        <v>0</v>
      </c>
      <c r="O18" s="1989">
        <v>0</v>
      </c>
      <c r="P18" s="2728">
        <v>0</v>
      </c>
      <c r="Q18" s="2728">
        <v>0</v>
      </c>
    </row>
    <row r="19" spans="1:17">
      <c r="A19" s="2823" t="s">
        <v>19</v>
      </c>
      <c r="B19" s="2819">
        <f t="shared" si="1"/>
        <v>5</v>
      </c>
      <c r="C19" s="2819">
        <f t="shared" si="1"/>
        <v>81978656</v>
      </c>
      <c r="D19" s="2822">
        <v>1</v>
      </c>
      <c r="E19" s="2822">
        <v>2267215</v>
      </c>
      <c r="F19" s="2822">
        <v>0</v>
      </c>
      <c r="G19" s="2822">
        <v>0</v>
      </c>
      <c r="H19" s="810">
        <v>1</v>
      </c>
      <c r="I19" s="810">
        <v>2050000</v>
      </c>
      <c r="J19" s="2728">
        <v>2</v>
      </c>
      <c r="K19" s="1989">
        <v>19163052</v>
      </c>
      <c r="L19" s="2728">
        <v>0</v>
      </c>
      <c r="M19" s="2728">
        <v>0</v>
      </c>
      <c r="N19" s="2824">
        <v>1</v>
      </c>
      <c r="O19" s="1989">
        <v>58498389</v>
      </c>
      <c r="P19" s="2728">
        <v>0</v>
      </c>
      <c r="Q19" s="2728">
        <v>0</v>
      </c>
    </row>
    <row r="20" spans="1:17">
      <c r="A20" s="2823" t="s">
        <v>20</v>
      </c>
      <c r="B20" s="2819">
        <f t="shared" si="1"/>
        <v>0</v>
      </c>
      <c r="C20" s="2819">
        <f t="shared" si="1"/>
        <v>0</v>
      </c>
      <c r="D20" s="2822">
        <v>0</v>
      </c>
      <c r="E20" s="2822">
        <v>0</v>
      </c>
      <c r="F20" s="2822">
        <v>0</v>
      </c>
      <c r="G20" s="2822">
        <v>0</v>
      </c>
      <c r="H20" s="2824">
        <v>0</v>
      </c>
      <c r="I20" s="2824">
        <v>0</v>
      </c>
      <c r="J20" s="2824">
        <v>0</v>
      </c>
      <c r="K20" s="1989">
        <v>0</v>
      </c>
      <c r="L20" s="2728">
        <v>0</v>
      </c>
      <c r="M20" s="2728">
        <v>0</v>
      </c>
      <c r="N20" s="2824">
        <v>0</v>
      </c>
      <c r="O20" s="1989">
        <v>0</v>
      </c>
      <c r="P20" s="2728">
        <v>0</v>
      </c>
      <c r="Q20" s="2728">
        <v>0</v>
      </c>
    </row>
    <row r="21" spans="1:17" ht="22.5">
      <c r="A21" s="2821" t="s">
        <v>2517</v>
      </c>
      <c r="B21" s="2819">
        <f t="shared" si="1"/>
        <v>1</v>
      </c>
      <c r="C21" s="2819">
        <f t="shared" si="1"/>
        <v>3930588</v>
      </c>
      <c r="D21" s="2822">
        <v>1</v>
      </c>
      <c r="E21" s="2822">
        <v>3930588</v>
      </c>
      <c r="F21" s="2822">
        <v>0</v>
      </c>
      <c r="G21" s="2822">
        <v>0</v>
      </c>
      <c r="H21" s="2824">
        <v>0</v>
      </c>
      <c r="I21" s="2824">
        <v>0</v>
      </c>
      <c r="J21" s="2824">
        <v>0</v>
      </c>
      <c r="K21" s="1989">
        <v>0</v>
      </c>
      <c r="L21" s="2728">
        <v>0</v>
      </c>
      <c r="M21" s="2728">
        <v>0</v>
      </c>
      <c r="N21" s="2824">
        <v>0</v>
      </c>
      <c r="O21" s="1989">
        <v>0</v>
      </c>
      <c r="P21" s="2728">
        <v>0</v>
      </c>
      <c r="Q21" s="2728">
        <v>0</v>
      </c>
    </row>
    <row r="22" spans="1:17" ht="12.75">
      <c r="A22" s="2808" t="s">
        <v>4630</v>
      </c>
      <c r="B22" s="2819">
        <f t="shared" si="1"/>
        <v>17</v>
      </c>
      <c r="C22" s="2819">
        <f t="shared" si="1"/>
        <v>181974957</v>
      </c>
      <c r="D22" s="2822">
        <v>6</v>
      </c>
      <c r="E22" s="2822">
        <v>24939932</v>
      </c>
      <c r="F22" s="2825">
        <v>9</v>
      </c>
      <c r="G22" s="2825">
        <v>119161372</v>
      </c>
      <c r="H22" s="810">
        <v>1</v>
      </c>
      <c r="I22" s="810">
        <v>26652376</v>
      </c>
      <c r="J22" s="2825">
        <v>1</v>
      </c>
      <c r="K22" s="2825">
        <v>11221277</v>
      </c>
      <c r="L22" s="2728">
        <v>0</v>
      </c>
      <c r="M22" s="2728">
        <v>0</v>
      </c>
      <c r="N22" s="2824">
        <v>0</v>
      </c>
      <c r="O22" s="1989">
        <v>0</v>
      </c>
      <c r="P22" s="2728">
        <v>0</v>
      </c>
      <c r="Q22" s="2728">
        <v>0</v>
      </c>
    </row>
    <row r="23" spans="1:17">
      <c r="A23" s="1987"/>
      <c r="B23" s="1988"/>
      <c r="C23" s="1988"/>
      <c r="D23" s="1989"/>
      <c r="E23" s="1989"/>
      <c r="F23" s="1989"/>
      <c r="G23" s="1989"/>
      <c r="H23" s="1990"/>
      <c r="I23" s="1990"/>
      <c r="J23" s="1990"/>
      <c r="K23" s="1990"/>
      <c r="L23" s="1990"/>
      <c r="M23" s="1990"/>
      <c r="N23" s="1990"/>
      <c r="O23" s="1990"/>
      <c r="P23" s="1991"/>
      <c r="Q23" s="1991"/>
    </row>
    <row r="24" spans="1:17">
      <c r="A24" s="1992" t="s">
        <v>4631</v>
      </c>
      <c r="B24" s="1993"/>
      <c r="C24" s="1993"/>
      <c r="D24" s="1993"/>
      <c r="E24" s="1993"/>
      <c r="F24" s="1993"/>
      <c r="G24" s="1993"/>
      <c r="H24" s="1993"/>
      <c r="I24" s="1993"/>
      <c r="J24" s="1993"/>
      <c r="K24" s="1993"/>
      <c r="L24" s="1993"/>
      <c r="M24" s="1993"/>
      <c r="N24" s="1993"/>
      <c r="O24" s="1993"/>
      <c r="P24" s="460"/>
      <c r="Q24" s="460"/>
    </row>
    <row r="25" spans="1:17">
      <c r="A25" s="1994" t="s">
        <v>4632</v>
      </c>
      <c r="B25" s="1994"/>
      <c r="C25" s="1994"/>
      <c r="D25" s="1994"/>
      <c r="E25" s="1994"/>
      <c r="F25" s="1994"/>
      <c r="G25" s="1994"/>
      <c r="H25" s="1994"/>
      <c r="I25" s="1994"/>
      <c r="J25" s="1994"/>
      <c r="K25" s="1994"/>
      <c r="L25" s="1994"/>
      <c r="M25" s="1994"/>
      <c r="N25" s="1994"/>
      <c r="O25" s="1994"/>
    </row>
    <row r="26" spans="1:17">
      <c r="A26" s="453" t="s">
        <v>3755</v>
      </c>
      <c r="B26" s="1568"/>
      <c r="C26" s="1568"/>
      <c r="D26" s="1568"/>
      <c r="E26" s="1568"/>
      <c r="F26" s="1568"/>
      <c r="G26" s="1568"/>
      <c r="H26" s="1568"/>
      <c r="I26" s="1568"/>
      <c r="J26" s="453"/>
      <c r="K26" s="453"/>
      <c r="L26" s="453"/>
      <c r="M26" s="453"/>
      <c r="N26" s="453"/>
      <c r="O26" s="453"/>
    </row>
    <row r="27" spans="1:17">
      <c r="A27" s="453" t="s">
        <v>4633</v>
      </c>
      <c r="B27" s="1568"/>
      <c r="C27" s="1568"/>
      <c r="D27" s="1568"/>
      <c r="E27" s="1568"/>
      <c r="F27" s="1568"/>
      <c r="G27" s="1568"/>
      <c r="H27" s="1568"/>
      <c r="I27" s="1568"/>
      <c r="J27" s="1568"/>
      <c r="K27" s="1568"/>
      <c r="L27" s="453"/>
      <c r="M27" s="453"/>
      <c r="N27" s="453"/>
      <c r="O27" s="453"/>
    </row>
    <row r="28" spans="1:17">
      <c r="A28" s="453" t="s">
        <v>4634</v>
      </c>
      <c r="B28" s="453"/>
      <c r="C28" s="453"/>
      <c r="D28" s="453"/>
      <c r="E28" s="453"/>
      <c r="F28" s="453"/>
      <c r="G28" s="453"/>
      <c r="H28" s="453"/>
      <c r="I28" s="453"/>
      <c r="J28" s="453"/>
      <c r="K28" s="453"/>
      <c r="L28" s="453"/>
      <c r="M28" s="453"/>
      <c r="N28" s="453"/>
      <c r="O28" s="453"/>
      <c r="P28" s="453"/>
      <c r="Q28" s="453"/>
    </row>
    <row r="29" spans="1:17">
      <c r="A29" s="462" t="s">
        <v>1218</v>
      </c>
      <c r="B29" s="457"/>
      <c r="C29" s="457"/>
      <c r="D29" s="457"/>
      <c r="E29" s="457"/>
      <c r="F29" s="457"/>
      <c r="G29" s="457"/>
      <c r="H29" s="457"/>
      <c r="I29" s="457"/>
      <c r="J29" s="457"/>
      <c r="K29" s="457"/>
      <c r="L29" s="457"/>
      <c r="M29" s="457"/>
      <c r="N29" s="457"/>
      <c r="O29" s="457"/>
      <c r="P29" s="457"/>
      <c r="Q29" s="457"/>
    </row>
    <row r="30" spans="1:17">
      <c r="C30" s="466"/>
    </row>
  </sheetData>
  <mergeCells count="10">
    <mergeCell ref="L4:M4"/>
    <mergeCell ref="N4:O4"/>
    <mergeCell ref="P4:Q4"/>
    <mergeCell ref="A2:J2"/>
    <mergeCell ref="A4:A5"/>
    <mergeCell ref="B4:C4"/>
    <mergeCell ref="D4:E4"/>
    <mergeCell ref="F4:G4"/>
    <mergeCell ref="H4:I4"/>
    <mergeCell ref="J4:K4"/>
  </mergeCells>
  <pageMargins left="0.7" right="0.7" top="0.75" bottom="0.75" header="0.3" footer="0.3"/>
</worksheet>
</file>

<file path=xl/worksheets/sheet278.xml><?xml version="1.0" encoding="utf-8"?>
<worksheet xmlns="http://schemas.openxmlformats.org/spreadsheetml/2006/main" xmlns:r="http://schemas.openxmlformats.org/officeDocument/2006/relationships">
  <dimension ref="A1:W53"/>
  <sheetViews>
    <sheetView zoomScaleNormal="100" workbookViewId="0">
      <selection activeCell="E34" sqref="E34"/>
    </sheetView>
  </sheetViews>
  <sheetFormatPr baseColWidth="10" defaultRowHeight="11.25"/>
  <cols>
    <col min="1" max="1" width="22" style="37" customWidth="1"/>
    <col min="2" max="2" width="11" style="37" customWidth="1"/>
    <col min="3" max="3" width="17.7109375" style="37" bestFit="1" customWidth="1"/>
    <col min="4" max="4" width="9.7109375" style="37" customWidth="1"/>
    <col min="5" max="5" width="15.7109375" style="37" bestFit="1" customWidth="1"/>
    <col min="6" max="6" width="9.5703125" style="37" customWidth="1"/>
    <col min="7" max="7" width="17.7109375" style="37" bestFit="1" customWidth="1"/>
    <col min="8" max="8" width="6.5703125" style="37" customWidth="1"/>
    <col min="9" max="9" width="15.7109375" style="37" bestFit="1" customWidth="1"/>
    <col min="10" max="10" width="6.85546875" style="37" bestFit="1" customWidth="1"/>
    <col min="11" max="11" width="15.7109375" style="37" bestFit="1" customWidth="1"/>
    <col min="12" max="12" width="6.5703125" style="37" customWidth="1"/>
    <col min="13" max="13" width="15.7109375" style="37" bestFit="1" customWidth="1"/>
    <col min="14" max="14" width="6.5703125" style="37" customWidth="1"/>
    <col min="15" max="15" width="15.7109375" style="37" bestFit="1" customWidth="1"/>
    <col min="16" max="16" width="6.5703125" style="37" customWidth="1"/>
    <col min="17" max="17" width="15.7109375" style="37" bestFit="1" customWidth="1"/>
    <col min="18" max="18" width="6.85546875" style="37" bestFit="1" customWidth="1"/>
    <col min="19" max="19" width="15.7109375" style="37" bestFit="1" customWidth="1"/>
    <col min="20" max="20" width="6.5703125" style="37" customWidth="1"/>
    <col min="21" max="21" width="12.42578125" style="37" bestFit="1" customWidth="1"/>
    <col min="22" max="22" width="6.5703125" style="37" customWidth="1"/>
    <col min="23" max="23" width="14" style="37" customWidth="1"/>
    <col min="24" max="16384" width="11.42578125" style="37"/>
  </cols>
  <sheetData>
    <row r="1" spans="1:21" s="453" customFormat="1">
      <c r="A1" s="451"/>
      <c r="B1" s="451"/>
      <c r="C1" s="451"/>
      <c r="D1" s="451"/>
      <c r="E1" s="451"/>
      <c r="F1" s="451"/>
      <c r="G1" s="451"/>
      <c r="H1" s="451"/>
      <c r="I1" s="451"/>
      <c r="J1" s="452"/>
      <c r="K1" s="452"/>
      <c r="L1" s="452"/>
      <c r="M1" s="452"/>
      <c r="N1" s="452"/>
      <c r="O1" s="452"/>
      <c r="P1" s="452"/>
      <c r="Q1" s="452"/>
      <c r="R1" s="452"/>
      <c r="S1" s="452"/>
      <c r="T1" s="452"/>
      <c r="U1" s="452"/>
    </row>
    <row r="2" spans="1:21" s="453" customFormat="1" ht="23.25" customHeight="1">
      <c r="A2" s="2587" t="s">
        <v>3253</v>
      </c>
      <c r="B2" s="2587"/>
      <c r="C2" s="2587"/>
      <c r="D2" s="2587"/>
      <c r="E2" s="2587"/>
      <c r="F2" s="2587"/>
      <c r="G2" s="2587"/>
      <c r="H2" s="2587"/>
      <c r="I2" s="2587"/>
      <c r="J2" s="2587"/>
      <c r="K2" s="2587"/>
      <c r="L2" s="2587"/>
      <c r="M2" s="2587"/>
      <c r="N2" s="2587"/>
      <c r="O2" s="2587"/>
      <c r="P2" s="2587"/>
      <c r="Q2" s="2587"/>
      <c r="R2" s="2587"/>
      <c r="S2" s="2587"/>
      <c r="T2" s="454"/>
    </row>
    <row r="3" spans="1:21" s="453" customFormat="1">
      <c r="A3" s="37"/>
      <c r="B3" s="37"/>
      <c r="C3" s="37"/>
      <c r="D3" s="37"/>
      <c r="E3" s="37"/>
      <c r="F3" s="37"/>
      <c r="G3" s="37"/>
      <c r="H3" s="37"/>
      <c r="I3" s="37"/>
      <c r="J3" s="37"/>
      <c r="K3" s="37"/>
      <c r="L3" s="37"/>
      <c r="M3" s="37"/>
      <c r="N3" s="37"/>
      <c r="O3" s="37"/>
      <c r="P3" s="37"/>
      <c r="Q3" s="37"/>
      <c r="R3" s="37"/>
      <c r="S3" s="37"/>
      <c r="T3" s="455"/>
    </row>
    <row r="4" spans="1:21" s="457" customFormat="1" ht="46.5" customHeight="1">
      <c r="A4" s="2359" t="s">
        <v>2518</v>
      </c>
      <c r="B4" s="2244" t="s">
        <v>26</v>
      </c>
      <c r="C4" s="2244"/>
      <c r="D4" s="2243" t="s">
        <v>4635</v>
      </c>
      <c r="E4" s="2243"/>
      <c r="F4" s="2243" t="s">
        <v>4636</v>
      </c>
      <c r="G4" s="2243"/>
      <c r="H4" s="2830" t="s">
        <v>2519</v>
      </c>
      <c r="I4" s="2830"/>
      <c r="J4" s="2243" t="s">
        <v>2520</v>
      </c>
      <c r="K4" s="2243"/>
      <c r="L4" s="2243" t="s">
        <v>2521</v>
      </c>
      <c r="M4" s="2243"/>
      <c r="N4" s="2243" t="s">
        <v>2522</v>
      </c>
      <c r="O4" s="2243"/>
      <c r="P4" s="2243" t="s">
        <v>2523</v>
      </c>
      <c r="Q4" s="2243"/>
      <c r="R4" s="2243" t="s">
        <v>4637</v>
      </c>
      <c r="S4" s="2243"/>
      <c r="T4" s="456"/>
    </row>
    <row r="5" spans="1:21" s="453" customFormat="1" ht="40.5" customHeight="1">
      <c r="A5" s="2359"/>
      <c r="B5" s="2011" t="s">
        <v>1216</v>
      </c>
      <c r="C5" s="2011" t="s">
        <v>1217</v>
      </c>
      <c r="D5" s="2011" t="s">
        <v>1216</v>
      </c>
      <c r="E5" s="2011" t="s">
        <v>1217</v>
      </c>
      <c r="F5" s="2011" t="s">
        <v>1216</v>
      </c>
      <c r="G5" s="2011" t="s">
        <v>1217</v>
      </c>
      <c r="H5" s="2011" t="s">
        <v>1216</v>
      </c>
      <c r="I5" s="2011" t="s">
        <v>1217</v>
      </c>
      <c r="J5" s="2011" t="s">
        <v>1216</v>
      </c>
      <c r="K5" s="2011" t="s">
        <v>1217</v>
      </c>
      <c r="L5" s="2011" t="s">
        <v>2524</v>
      </c>
      <c r="M5" s="2011" t="s">
        <v>1217</v>
      </c>
      <c r="N5" s="2011" t="s">
        <v>1216</v>
      </c>
      <c r="O5" s="2011" t="s">
        <v>1217</v>
      </c>
      <c r="P5" s="2011" t="s">
        <v>1216</v>
      </c>
      <c r="Q5" s="2011" t="s">
        <v>1217</v>
      </c>
      <c r="R5" s="2011" t="s">
        <v>1216</v>
      </c>
      <c r="S5" s="2011" t="s">
        <v>1217</v>
      </c>
      <c r="T5" s="458"/>
    </row>
    <row r="6" spans="1:21" s="453" customFormat="1">
      <c r="A6" s="2826" t="s">
        <v>6</v>
      </c>
      <c r="B6" s="2827">
        <f>SUM(D6+F6+H6+J6+L6+N6+P6+R6)</f>
        <v>709</v>
      </c>
      <c r="C6" s="2827">
        <f>SUM(E6+G6+I6+K6+M6+O6+Q6+S6)</f>
        <v>4727477202.3999996</v>
      </c>
      <c r="D6" s="2827">
        <f>SUM(D7:D21)</f>
        <v>106</v>
      </c>
      <c r="E6" s="2827">
        <f>SUM(E7:E21)</f>
        <v>762059034.89999998</v>
      </c>
      <c r="F6" s="2827">
        <f t="shared" ref="F6:N6" si="0">SUM(F7:F21)</f>
        <v>186</v>
      </c>
      <c r="G6" s="2827">
        <f t="shared" si="0"/>
        <v>1619464343.8999999</v>
      </c>
      <c r="H6" s="2827">
        <f>SUM(H7:H21)</f>
        <v>38</v>
      </c>
      <c r="I6" s="2827">
        <f>SUM(I7:I21)</f>
        <v>268894963.60000002</v>
      </c>
      <c r="J6" s="2827">
        <f t="shared" si="0"/>
        <v>121</v>
      </c>
      <c r="K6" s="2827">
        <f>SUM(K7:K21)</f>
        <v>920914271</v>
      </c>
      <c r="L6" s="2827">
        <f>SUM(L7:L21)</f>
        <v>30</v>
      </c>
      <c r="M6" s="2827">
        <f>SUM(M7:M21)</f>
        <v>144660141</v>
      </c>
      <c r="N6" s="2827">
        <f t="shared" si="0"/>
        <v>35</v>
      </c>
      <c r="O6" s="2827">
        <f>SUM(O7:O21)</f>
        <v>207159931</v>
      </c>
      <c r="P6" s="2827">
        <f>SUM(P7:P21)</f>
        <v>70</v>
      </c>
      <c r="Q6" s="2827">
        <f>SUM(Q7:Q21)</f>
        <v>594373154</v>
      </c>
      <c r="R6" s="2827">
        <f>SUM(R7:R21)</f>
        <v>123</v>
      </c>
      <c r="S6" s="2827">
        <f>SUM(S7:S21)</f>
        <v>209951363</v>
      </c>
      <c r="T6" s="458"/>
    </row>
    <row r="7" spans="1:21" s="453" customFormat="1">
      <c r="A7" s="2676" t="s">
        <v>7</v>
      </c>
      <c r="B7" s="2827">
        <f t="shared" ref="B7:C21" si="1">SUM(D7+F7+H7+J7+L7+N7+P7+R7)</f>
        <v>36</v>
      </c>
      <c r="C7" s="2827">
        <f t="shared" si="1"/>
        <v>149413730</v>
      </c>
      <c r="D7" s="2828">
        <v>6</v>
      </c>
      <c r="E7" s="2828">
        <v>27170208</v>
      </c>
      <c r="F7" s="2828">
        <v>7</v>
      </c>
      <c r="G7" s="2828">
        <v>37397007</v>
      </c>
      <c r="H7" s="2828">
        <v>1</v>
      </c>
      <c r="I7" s="2828">
        <v>6518650</v>
      </c>
      <c r="J7" s="2828">
        <v>6</v>
      </c>
      <c r="K7" s="2828">
        <v>40369679</v>
      </c>
      <c r="L7" s="2828">
        <v>1</v>
      </c>
      <c r="M7" s="2828">
        <v>3812265</v>
      </c>
      <c r="N7" s="2828">
        <v>2</v>
      </c>
      <c r="O7" s="2828">
        <v>7130560</v>
      </c>
      <c r="P7" s="2828">
        <v>3</v>
      </c>
      <c r="Q7" s="2828">
        <v>13252547</v>
      </c>
      <c r="R7" s="2828">
        <v>10</v>
      </c>
      <c r="S7" s="2828">
        <v>13762814</v>
      </c>
      <c r="T7" s="458"/>
    </row>
    <row r="8" spans="1:21" s="453" customFormat="1">
      <c r="A8" s="2676" t="s">
        <v>8</v>
      </c>
      <c r="B8" s="2827">
        <f t="shared" si="1"/>
        <v>28</v>
      </c>
      <c r="C8" s="2827">
        <f t="shared" si="1"/>
        <v>138067263</v>
      </c>
      <c r="D8" s="2828">
        <v>2</v>
      </c>
      <c r="E8" s="2828">
        <v>9150043</v>
      </c>
      <c r="F8" s="2828">
        <v>6</v>
      </c>
      <c r="G8" s="2828">
        <v>31994968</v>
      </c>
      <c r="H8" s="2828">
        <v>1</v>
      </c>
      <c r="I8" s="2828">
        <v>2606131</v>
      </c>
      <c r="J8" s="2828">
        <v>4</v>
      </c>
      <c r="K8" s="2828">
        <v>25133250</v>
      </c>
      <c r="L8" s="2828">
        <v>5</v>
      </c>
      <c r="M8" s="2828">
        <v>23955120</v>
      </c>
      <c r="N8" s="2828">
        <v>2</v>
      </c>
      <c r="O8" s="2828">
        <v>13553009</v>
      </c>
      <c r="P8" s="2828">
        <v>3</v>
      </c>
      <c r="Q8" s="2828">
        <v>21199794</v>
      </c>
      <c r="R8" s="2828">
        <v>5</v>
      </c>
      <c r="S8" s="2828">
        <v>10474948</v>
      </c>
      <c r="T8" s="458"/>
    </row>
    <row r="9" spans="1:21" s="453" customFormat="1">
      <c r="A9" s="2676" t="s">
        <v>9</v>
      </c>
      <c r="B9" s="2827">
        <f t="shared" si="1"/>
        <v>26</v>
      </c>
      <c r="C9" s="2827">
        <f t="shared" si="1"/>
        <v>163929047</v>
      </c>
      <c r="D9" s="2828">
        <v>4</v>
      </c>
      <c r="E9" s="2828">
        <v>23318263</v>
      </c>
      <c r="F9" s="2828">
        <v>9</v>
      </c>
      <c r="G9" s="2828">
        <v>72173502</v>
      </c>
      <c r="H9" s="2828">
        <v>2</v>
      </c>
      <c r="I9" s="2828">
        <v>12640776</v>
      </c>
      <c r="J9" s="2828">
        <v>4</v>
      </c>
      <c r="K9" s="2828">
        <v>28439514</v>
      </c>
      <c r="L9" s="2828">
        <v>1</v>
      </c>
      <c r="M9" s="2828">
        <v>4991100</v>
      </c>
      <c r="N9" s="2828">
        <v>1</v>
      </c>
      <c r="O9" s="2828">
        <v>7249000</v>
      </c>
      <c r="P9" s="2828">
        <v>3</v>
      </c>
      <c r="Q9" s="2828">
        <v>14329698</v>
      </c>
      <c r="R9" s="2828">
        <v>2</v>
      </c>
      <c r="S9" s="2828">
        <v>787194</v>
      </c>
      <c r="T9" s="458"/>
    </row>
    <row r="10" spans="1:21" s="453" customFormat="1">
      <c r="A10" s="2676" t="s">
        <v>10</v>
      </c>
      <c r="B10" s="2827">
        <f t="shared" si="1"/>
        <v>25</v>
      </c>
      <c r="C10" s="2827">
        <f t="shared" si="1"/>
        <v>127891567</v>
      </c>
      <c r="D10" s="2828">
        <v>1</v>
      </c>
      <c r="E10" s="2828">
        <v>5993663</v>
      </c>
      <c r="F10" s="2828">
        <v>7</v>
      </c>
      <c r="G10" s="2828">
        <v>36288787</v>
      </c>
      <c r="H10" s="2828">
        <v>1</v>
      </c>
      <c r="I10" s="2828">
        <v>5858650</v>
      </c>
      <c r="J10" s="2828">
        <v>3</v>
      </c>
      <c r="K10" s="2828">
        <v>24622541</v>
      </c>
      <c r="L10" s="2828">
        <v>3</v>
      </c>
      <c r="M10" s="2828">
        <v>14092656</v>
      </c>
      <c r="N10" s="2828">
        <v>2</v>
      </c>
      <c r="O10" s="2828">
        <v>9272980</v>
      </c>
      <c r="P10" s="2828">
        <v>4</v>
      </c>
      <c r="Q10" s="2828">
        <v>24809141</v>
      </c>
      <c r="R10" s="2828">
        <v>4</v>
      </c>
      <c r="S10" s="2828">
        <v>6953149</v>
      </c>
      <c r="T10" s="458"/>
    </row>
    <row r="11" spans="1:21" s="453" customFormat="1">
      <c r="A11" s="2676" t="s">
        <v>11</v>
      </c>
      <c r="B11" s="2827">
        <f t="shared" si="1"/>
        <v>36</v>
      </c>
      <c r="C11" s="2827">
        <f t="shared" si="1"/>
        <v>186422264</v>
      </c>
      <c r="D11" s="2828">
        <v>3</v>
      </c>
      <c r="E11" s="2828">
        <v>22626188</v>
      </c>
      <c r="F11" s="2828">
        <v>9</v>
      </c>
      <c r="G11" s="2828">
        <v>68015580</v>
      </c>
      <c r="H11" s="2828">
        <v>3</v>
      </c>
      <c r="I11" s="2828">
        <v>5497007</v>
      </c>
      <c r="J11" s="2828">
        <v>8</v>
      </c>
      <c r="K11" s="2828">
        <v>58500590</v>
      </c>
      <c r="L11" s="2828">
        <v>2</v>
      </c>
      <c r="M11" s="2828">
        <v>9927000</v>
      </c>
      <c r="N11" s="2828">
        <v>0</v>
      </c>
      <c r="O11" s="2828">
        <v>0</v>
      </c>
      <c r="P11" s="2828">
        <v>1</v>
      </c>
      <c r="Q11" s="2828">
        <v>4169444</v>
      </c>
      <c r="R11" s="2828">
        <v>10</v>
      </c>
      <c r="S11" s="2828">
        <v>17686455</v>
      </c>
      <c r="T11" s="458"/>
    </row>
    <row r="12" spans="1:21" s="453" customFormat="1">
      <c r="A12" s="2676" t="s">
        <v>12</v>
      </c>
      <c r="B12" s="2827">
        <f t="shared" si="1"/>
        <v>88</v>
      </c>
      <c r="C12" s="2827">
        <f t="shared" si="1"/>
        <v>641001004</v>
      </c>
      <c r="D12" s="2828">
        <v>14</v>
      </c>
      <c r="E12" s="2828">
        <v>90097150</v>
      </c>
      <c r="F12" s="2828">
        <v>19</v>
      </c>
      <c r="G12" s="2828">
        <v>198555988</v>
      </c>
      <c r="H12" s="2828">
        <v>5</v>
      </c>
      <c r="I12" s="2828">
        <v>49322997</v>
      </c>
      <c r="J12" s="2828">
        <v>19</v>
      </c>
      <c r="K12" s="2828">
        <v>144065503</v>
      </c>
      <c r="L12" s="2828">
        <v>3</v>
      </c>
      <c r="M12" s="2828">
        <v>11453107</v>
      </c>
      <c r="N12" s="2828">
        <v>6</v>
      </c>
      <c r="O12" s="2828">
        <v>39989946</v>
      </c>
      <c r="P12" s="2828">
        <v>10</v>
      </c>
      <c r="Q12" s="2828">
        <v>89642867</v>
      </c>
      <c r="R12" s="2828">
        <v>12</v>
      </c>
      <c r="S12" s="2828">
        <v>17873446</v>
      </c>
      <c r="T12" s="458"/>
    </row>
    <row r="13" spans="1:21" s="453" customFormat="1">
      <c r="A13" s="2676" t="s">
        <v>13</v>
      </c>
      <c r="B13" s="2827">
        <f t="shared" si="1"/>
        <v>132</v>
      </c>
      <c r="C13" s="2827">
        <f t="shared" si="1"/>
        <v>1223098169.4000001</v>
      </c>
      <c r="D13" s="2828">
        <v>32</v>
      </c>
      <c r="E13" s="2828">
        <v>256039462.90000001</v>
      </c>
      <c r="F13" s="2828">
        <v>39</v>
      </c>
      <c r="G13" s="2828">
        <v>469933417.89999992</v>
      </c>
      <c r="H13" s="2828">
        <v>5</v>
      </c>
      <c r="I13" s="2828">
        <v>39936150.600000001</v>
      </c>
      <c r="J13" s="2828">
        <v>23</v>
      </c>
      <c r="K13" s="2828">
        <v>203627324</v>
      </c>
      <c r="L13" s="2828">
        <v>3</v>
      </c>
      <c r="M13" s="2828">
        <v>12121262</v>
      </c>
      <c r="N13" s="2828">
        <v>1</v>
      </c>
      <c r="O13" s="2828">
        <v>6391980</v>
      </c>
      <c r="P13" s="2828">
        <v>18</v>
      </c>
      <c r="Q13" s="2828">
        <v>214245610</v>
      </c>
      <c r="R13" s="2828">
        <v>11</v>
      </c>
      <c r="S13" s="2828">
        <v>20802962</v>
      </c>
      <c r="T13" s="458"/>
    </row>
    <row r="14" spans="1:21" s="453" customFormat="1">
      <c r="A14" s="2676" t="s">
        <v>14</v>
      </c>
      <c r="B14" s="2827">
        <f t="shared" si="1"/>
        <v>41</v>
      </c>
      <c r="C14" s="2827">
        <f t="shared" si="1"/>
        <v>281018239</v>
      </c>
      <c r="D14" s="2828">
        <v>7</v>
      </c>
      <c r="E14" s="2828">
        <v>44886074</v>
      </c>
      <c r="F14" s="2828">
        <v>17</v>
      </c>
      <c r="G14" s="2828">
        <v>141240783</v>
      </c>
      <c r="H14" s="2828">
        <v>3</v>
      </c>
      <c r="I14" s="2828">
        <v>19181557</v>
      </c>
      <c r="J14" s="2828">
        <v>6</v>
      </c>
      <c r="K14" s="2828">
        <v>51482676</v>
      </c>
      <c r="L14" s="2828">
        <v>0</v>
      </c>
      <c r="M14" s="2828">
        <v>0</v>
      </c>
      <c r="N14" s="2828">
        <v>0</v>
      </c>
      <c r="O14" s="2828">
        <v>0</v>
      </c>
      <c r="P14" s="2828">
        <v>2</v>
      </c>
      <c r="Q14" s="2828">
        <v>18400000</v>
      </c>
      <c r="R14" s="2828">
        <v>6</v>
      </c>
      <c r="S14" s="2828">
        <v>5827149</v>
      </c>
      <c r="T14" s="458"/>
    </row>
    <row r="15" spans="1:21" s="453" customFormat="1">
      <c r="A15" s="2676" t="s">
        <v>15</v>
      </c>
      <c r="B15" s="2827">
        <f t="shared" si="1"/>
        <v>35</v>
      </c>
      <c r="C15" s="2827">
        <f t="shared" si="1"/>
        <v>233091970</v>
      </c>
      <c r="D15" s="2828">
        <v>5</v>
      </c>
      <c r="E15" s="2828">
        <v>33605100</v>
      </c>
      <c r="F15" s="2828">
        <v>7</v>
      </c>
      <c r="G15" s="2828">
        <v>68505052</v>
      </c>
      <c r="H15" s="2828">
        <v>1</v>
      </c>
      <c r="I15" s="2828">
        <v>14926426</v>
      </c>
      <c r="J15" s="2828">
        <v>6</v>
      </c>
      <c r="K15" s="2828">
        <v>48409971</v>
      </c>
      <c r="L15" s="2828">
        <v>3</v>
      </c>
      <c r="M15" s="2828">
        <v>11546611</v>
      </c>
      <c r="N15" s="2828">
        <v>4</v>
      </c>
      <c r="O15" s="2828">
        <v>25484414</v>
      </c>
      <c r="P15" s="2828">
        <v>4</v>
      </c>
      <c r="Q15" s="2828">
        <v>24430396</v>
      </c>
      <c r="R15" s="2828">
        <v>5</v>
      </c>
      <c r="S15" s="2828">
        <v>6184000</v>
      </c>
      <c r="T15" s="458"/>
    </row>
    <row r="16" spans="1:21" s="453" customFormat="1">
      <c r="A16" s="2676" t="s">
        <v>16</v>
      </c>
      <c r="B16" s="2827">
        <f t="shared" si="1"/>
        <v>78</v>
      </c>
      <c r="C16" s="2827">
        <f t="shared" si="1"/>
        <v>547068394</v>
      </c>
      <c r="D16" s="2828">
        <v>10</v>
      </c>
      <c r="E16" s="2828">
        <v>82044021</v>
      </c>
      <c r="F16" s="2828">
        <v>22</v>
      </c>
      <c r="G16" s="2828">
        <v>194496939</v>
      </c>
      <c r="H16" s="2828">
        <v>4</v>
      </c>
      <c r="I16" s="2828">
        <v>25952181</v>
      </c>
      <c r="J16" s="2828">
        <v>13</v>
      </c>
      <c r="K16" s="2828">
        <v>100253496</v>
      </c>
      <c r="L16" s="2828">
        <v>2</v>
      </c>
      <c r="M16" s="2828">
        <v>9960000</v>
      </c>
      <c r="N16" s="2828">
        <v>6</v>
      </c>
      <c r="O16" s="2828">
        <v>32075670</v>
      </c>
      <c r="P16" s="2828">
        <v>8</v>
      </c>
      <c r="Q16" s="2828">
        <v>76541501</v>
      </c>
      <c r="R16" s="2828">
        <v>13</v>
      </c>
      <c r="S16" s="2828">
        <v>25744586</v>
      </c>
      <c r="T16" s="458"/>
    </row>
    <row r="17" spans="1:23" s="453" customFormat="1">
      <c r="A17" s="2676" t="s">
        <v>17</v>
      </c>
      <c r="B17" s="2827">
        <f t="shared" si="1"/>
        <v>47</v>
      </c>
      <c r="C17" s="2827">
        <f t="shared" si="1"/>
        <v>265832476</v>
      </c>
      <c r="D17" s="2828">
        <v>5</v>
      </c>
      <c r="E17" s="2828">
        <v>46815256</v>
      </c>
      <c r="F17" s="2828">
        <v>8</v>
      </c>
      <c r="G17" s="2828">
        <v>69154972</v>
      </c>
      <c r="H17" s="2828">
        <v>4</v>
      </c>
      <c r="I17" s="2828">
        <v>44962624</v>
      </c>
      <c r="J17" s="2828">
        <v>8</v>
      </c>
      <c r="K17" s="2828">
        <v>43462806</v>
      </c>
      <c r="L17" s="2828">
        <v>1</v>
      </c>
      <c r="M17" s="2828">
        <v>2855000</v>
      </c>
      <c r="N17" s="2828">
        <v>2</v>
      </c>
      <c r="O17" s="2828">
        <v>8504800</v>
      </c>
      <c r="P17" s="2828">
        <v>4</v>
      </c>
      <c r="Q17" s="2828">
        <v>28466300</v>
      </c>
      <c r="R17" s="2828">
        <v>15</v>
      </c>
      <c r="S17" s="2828">
        <v>21610718</v>
      </c>
      <c r="T17" s="458"/>
    </row>
    <row r="18" spans="1:23" s="453" customFormat="1">
      <c r="A18" s="2676" t="s">
        <v>18</v>
      </c>
      <c r="B18" s="2827">
        <f t="shared" si="1"/>
        <v>29</v>
      </c>
      <c r="C18" s="2827">
        <f t="shared" si="1"/>
        <v>142713438</v>
      </c>
      <c r="D18" s="2828">
        <v>4</v>
      </c>
      <c r="E18" s="2828">
        <v>31012621</v>
      </c>
      <c r="F18" s="2828">
        <v>4</v>
      </c>
      <c r="G18" s="2828">
        <v>15469916</v>
      </c>
      <c r="H18" s="2828">
        <v>1</v>
      </c>
      <c r="I18" s="2828">
        <v>1645000</v>
      </c>
      <c r="J18" s="2828">
        <v>3</v>
      </c>
      <c r="K18" s="2828">
        <v>24949069</v>
      </c>
      <c r="L18" s="2828">
        <v>2</v>
      </c>
      <c r="M18" s="2828">
        <v>15192600</v>
      </c>
      <c r="N18" s="2828">
        <v>2</v>
      </c>
      <c r="O18" s="2828">
        <v>9580341</v>
      </c>
      <c r="P18" s="2828">
        <v>5</v>
      </c>
      <c r="Q18" s="2828">
        <v>27982337</v>
      </c>
      <c r="R18" s="2828">
        <v>8</v>
      </c>
      <c r="S18" s="2828">
        <v>16881554</v>
      </c>
      <c r="T18" s="458"/>
    </row>
    <row r="19" spans="1:23" s="453" customFormat="1">
      <c r="A19" s="2676" t="s">
        <v>19</v>
      </c>
      <c r="B19" s="2827">
        <f t="shared" si="1"/>
        <v>33</v>
      </c>
      <c r="C19" s="2827">
        <f t="shared" si="1"/>
        <v>187184891</v>
      </c>
      <c r="D19" s="2828">
        <v>3</v>
      </c>
      <c r="E19" s="2828">
        <v>20722801</v>
      </c>
      <c r="F19" s="2828">
        <v>10</v>
      </c>
      <c r="G19" s="2828">
        <v>59671673</v>
      </c>
      <c r="H19" s="2828">
        <v>4</v>
      </c>
      <c r="I19" s="2828">
        <v>30509502</v>
      </c>
      <c r="J19" s="2828">
        <v>8</v>
      </c>
      <c r="K19" s="2828">
        <v>54119796</v>
      </c>
      <c r="L19" s="2828">
        <v>1</v>
      </c>
      <c r="M19" s="2828">
        <v>3579480</v>
      </c>
      <c r="N19" s="2828">
        <v>0</v>
      </c>
      <c r="O19" s="2828">
        <v>0</v>
      </c>
      <c r="P19" s="2828">
        <v>1</v>
      </c>
      <c r="Q19" s="2828">
        <v>10321239</v>
      </c>
      <c r="R19" s="2828">
        <v>6</v>
      </c>
      <c r="S19" s="2828">
        <v>8260400</v>
      </c>
      <c r="T19" s="458"/>
    </row>
    <row r="20" spans="1:23" s="453" customFormat="1">
      <c r="A20" s="2676" t="s">
        <v>20</v>
      </c>
      <c r="B20" s="2827">
        <f t="shared" si="1"/>
        <v>40</v>
      </c>
      <c r="C20" s="2827">
        <f t="shared" si="1"/>
        <v>225796126</v>
      </c>
      <c r="D20" s="2828">
        <v>4</v>
      </c>
      <c r="E20" s="2828">
        <v>33404890</v>
      </c>
      <c r="F20" s="2828">
        <v>13</v>
      </c>
      <c r="G20" s="2828">
        <v>82815384</v>
      </c>
      <c r="H20" s="2828">
        <v>1</v>
      </c>
      <c r="I20" s="2828">
        <v>2702592</v>
      </c>
      <c r="J20" s="2828">
        <v>7</v>
      </c>
      <c r="K20" s="2828">
        <v>58457477</v>
      </c>
      <c r="L20" s="2828">
        <v>1</v>
      </c>
      <c r="M20" s="2828">
        <v>5000000</v>
      </c>
      <c r="N20" s="2828">
        <v>1</v>
      </c>
      <c r="O20" s="2828">
        <v>4423730</v>
      </c>
      <c r="P20" s="2828">
        <v>2</v>
      </c>
      <c r="Q20" s="2828">
        <v>14516481</v>
      </c>
      <c r="R20" s="2828">
        <v>11</v>
      </c>
      <c r="S20" s="2828">
        <v>24475572</v>
      </c>
      <c r="T20" s="458"/>
    </row>
    <row r="21" spans="1:23" s="453" customFormat="1">
      <c r="A21" s="2829" t="s">
        <v>21</v>
      </c>
      <c r="B21" s="2827">
        <f t="shared" si="1"/>
        <v>35</v>
      </c>
      <c r="C21" s="2827">
        <f t="shared" si="1"/>
        <v>214948624</v>
      </c>
      <c r="D21" s="2828">
        <v>6</v>
      </c>
      <c r="E21" s="2828">
        <v>35173294</v>
      </c>
      <c r="F21" s="2828">
        <v>9</v>
      </c>
      <c r="G21" s="2828">
        <v>73750375</v>
      </c>
      <c r="H21" s="2828">
        <v>2</v>
      </c>
      <c r="I21" s="2828">
        <v>6634720</v>
      </c>
      <c r="J21" s="2828">
        <v>3</v>
      </c>
      <c r="K21" s="2828">
        <v>15020579</v>
      </c>
      <c r="L21" s="2828">
        <v>2</v>
      </c>
      <c r="M21" s="2828">
        <v>16173940</v>
      </c>
      <c r="N21" s="2828">
        <v>6</v>
      </c>
      <c r="O21" s="2828">
        <v>43503501</v>
      </c>
      <c r="P21" s="2828">
        <v>2</v>
      </c>
      <c r="Q21" s="2828">
        <v>12065799</v>
      </c>
      <c r="R21" s="2828">
        <v>5</v>
      </c>
      <c r="S21" s="2828">
        <v>12626416</v>
      </c>
      <c r="T21" s="458"/>
    </row>
    <row r="22" spans="1:23" s="453" customFormat="1" ht="20.25" customHeight="1">
      <c r="A22" s="37"/>
      <c r="B22" s="459"/>
      <c r="C22" s="459"/>
      <c r="D22" s="459"/>
      <c r="E22" s="459"/>
      <c r="F22" s="459"/>
      <c r="G22" s="459"/>
      <c r="H22" s="459"/>
      <c r="I22" s="459"/>
      <c r="J22" s="459"/>
      <c r="K22" s="459"/>
      <c r="L22" s="459"/>
      <c r="M22" s="459"/>
      <c r="N22" s="459"/>
      <c r="O22" s="459"/>
      <c r="P22" s="459"/>
      <c r="Q22" s="459"/>
      <c r="R22" s="459"/>
      <c r="S22" s="459"/>
      <c r="T22" s="460"/>
      <c r="U22" s="460"/>
    </row>
    <row r="23" spans="1:23" s="453" customFormat="1">
      <c r="A23" s="2588" t="s">
        <v>3454</v>
      </c>
      <c r="B23" s="2588"/>
      <c r="C23" s="2588"/>
      <c r="D23" s="2588"/>
      <c r="E23" s="2588"/>
      <c r="F23" s="2588"/>
      <c r="G23" s="2588"/>
      <c r="H23" s="2588"/>
      <c r="I23" s="2588"/>
      <c r="J23" s="2588"/>
      <c r="K23" s="2588"/>
      <c r="L23" s="2588"/>
      <c r="M23" s="2588"/>
      <c r="N23" s="2588"/>
      <c r="O23" s="2588"/>
      <c r="P23" s="460"/>
      <c r="Q23" s="460"/>
      <c r="R23" s="460"/>
      <c r="S23" s="460"/>
    </row>
    <row r="24" spans="1:23" s="453" customFormat="1">
      <c r="A24" s="428" t="s">
        <v>3455</v>
      </c>
      <c r="B24" s="428"/>
      <c r="C24" s="428"/>
      <c r="D24" s="428"/>
      <c r="E24" s="428"/>
      <c r="F24" s="428"/>
      <c r="G24" s="428"/>
      <c r="H24" s="428"/>
      <c r="I24" s="428"/>
      <c r="J24" s="428"/>
      <c r="K24" s="428"/>
      <c r="L24" s="428"/>
      <c r="M24" s="428"/>
      <c r="N24" s="428"/>
      <c r="O24" s="428"/>
      <c r="Q24" s="461"/>
    </row>
    <row r="25" spans="1:23" s="453" customFormat="1">
      <c r="A25" s="453" t="s">
        <v>3456</v>
      </c>
    </row>
    <row r="26" spans="1:23" s="453" customFormat="1">
      <c r="A26" s="453" t="s">
        <v>3457</v>
      </c>
      <c r="B26" s="458"/>
      <c r="C26" s="458"/>
      <c r="D26" s="458"/>
      <c r="E26" s="458"/>
      <c r="F26" s="458"/>
      <c r="G26" s="458"/>
      <c r="H26" s="458"/>
      <c r="I26" s="458"/>
      <c r="J26" s="458"/>
      <c r="K26" s="458"/>
      <c r="L26" s="458"/>
      <c r="M26" s="458"/>
      <c r="N26" s="458"/>
      <c r="O26" s="458"/>
    </row>
    <row r="27" spans="1:23" s="453" customFormat="1">
      <c r="A27" s="453" t="s">
        <v>3458</v>
      </c>
      <c r="B27" s="458"/>
      <c r="C27" s="458"/>
      <c r="D27" s="458"/>
      <c r="E27" s="458"/>
      <c r="F27" s="458"/>
      <c r="G27" s="458"/>
      <c r="H27" s="458"/>
      <c r="I27" s="458"/>
      <c r="J27" s="458"/>
      <c r="K27" s="458"/>
      <c r="L27" s="458"/>
      <c r="M27" s="458"/>
      <c r="N27" s="458"/>
      <c r="O27" s="458"/>
      <c r="P27" s="458"/>
      <c r="Q27" s="458"/>
      <c r="R27" s="458"/>
      <c r="S27" s="458"/>
      <c r="T27" s="458"/>
      <c r="U27" s="458"/>
      <c r="V27" s="458"/>
      <c r="W27" s="458"/>
    </row>
    <row r="28" spans="1:23">
      <c r="A28" s="2235" t="s">
        <v>22</v>
      </c>
      <c r="B28" s="2235"/>
      <c r="C28" s="353"/>
      <c r="D28" s="353"/>
      <c r="E28" s="353"/>
      <c r="F28" s="353"/>
      <c r="G28" s="353"/>
      <c r="H28" s="353"/>
    </row>
    <row r="29" spans="1:23">
      <c r="A29" s="462" t="s">
        <v>1218</v>
      </c>
    </row>
    <row r="32" spans="1:23">
      <c r="E32" s="456"/>
    </row>
    <row r="36" spans="5:7">
      <c r="E36" s="299"/>
      <c r="F36" s="1995"/>
      <c r="G36" s="1995"/>
    </row>
    <row r="37" spans="5:7">
      <c r="E37" s="299"/>
      <c r="F37" s="1995"/>
      <c r="G37" s="1995"/>
    </row>
    <row r="38" spans="5:7">
      <c r="E38" s="299"/>
      <c r="F38" s="1995"/>
      <c r="G38" s="1995"/>
    </row>
    <row r="39" spans="5:7">
      <c r="E39" s="299"/>
      <c r="F39" s="1995"/>
      <c r="G39" s="1995"/>
    </row>
    <row r="40" spans="5:7">
      <c r="E40" s="299"/>
      <c r="F40" s="1995"/>
      <c r="G40" s="1995"/>
    </row>
    <row r="41" spans="5:7">
      <c r="E41" s="299"/>
      <c r="F41" s="1995"/>
      <c r="G41" s="1995"/>
    </row>
    <row r="42" spans="5:7">
      <c r="E42" s="299"/>
      <c r="F42" s="1995"/>
      <c r="G42" s="1995"/>
    </row>
    <row r="43" spans="5:7">
      <c r="E43" s="299"/>
      <c r="F43" s="1995"/>
      <c r="G43" s="1995"/>
    </row>
    <row r="44" spans="5:7">
      <c r="E44" s="299"/>
      <c r="F44" s="1995"/>
      <c r="G44" s="1995"/>
    </row>
    <row r="45" spans="5:7">
      <c r="E45" s="299"/>
      <c r="F45" s="1995"/>
      <c r="G45" s="1995"/>
    </row>
    <row r="46" spans="5:7">
      <c r="E46" s="299"/>
      <c r="F46" s="1995"/>
      <c r="G46" s="1995"/>
    </row>
    <row r="47" spans="5:7">
      <c r="E47" s="299"/>
      <c r="F47" s="1995"/>
      <c r="G47" s="1995"/>
    </row>
    <row r="48" spans="5:7">
      <c r="E48" s="299"/>
      <c r="F48" s="1995"/>
      <c r="G48" s="1995"/>
    </row>
    <row r="49" spans="5:7">
      <c r="E49" s="299"/>
      <c r="F49" s="1995"/>
      <c r="G49" s="1995"/>
    </row>
    <row r="50" spans="5:7">
      <c r="E50" s="299"/>
      <c r="F50" s="1995"/>
      <c r="G50" s="1995"/>
    </row>
    <row r="51" spans="5:7">
      <c r="E51" s="299"/>
      <c r="F51" s="1995"/>
      <c r="G51" s="1995"/>
    </row>
    <row r="52" spans="5:7">
      <c r="E52" s="2"/>
      <c r="F52" s="2"/>
      <c r="G52" s="2"/>
    </row>
    <row r="53" spans="5:7">
      <c r="E53" s="2"/>
      <c r="F53" s="2"/>
      <c r="G53" s="2"/>
    </row>
  </sheetData>
  <mergeCells count="13">
    <mergeCell ref="A2:S2"/>
    <mergeCell ref="A28:B28"/>
    <mergeCell ref="A4:A5"/>
    <mergeCell ref="B4:C4"/>
    <mergeCell ref="D4:E4"/>
    <mergeCell ref="F4:G4"/>
    <mergeCell ref="L4:M4"/>
    <mergeCell ref="N4:O4"/>
    <mergeCell ref="P4:Q4"/>
    <mergeCell ref="R4:S4"/>
    <mergeCell ref="A23:O23"/>
    <mergeCell ref="H4:I4"/>
    <mergeCell ref="J4:K4"/>
  </mergeCells>
  <pageMargins left="0.7" right="0.7" top="0.75" bottom="0.75" header="0.3" footer="0.3"/>
  <pageSetup orientation="portrait" r:id="rId1"/>
</worksheet>
</file>

<file path=xl/worksheets/sheet279.xml><?xml version="1.0" encoding="utf-8"?>
<worksheet xmlns="http://schemas.openxmlformats.org/spreadsheetml/2006/main" xmlns:r="http://schemas.openxmlformats.org/officeDocument/2006/relationships">
  <dimension ref="A2:O54"/>
  <sheetViews>
    <sheetView zoomScaleNormal="100" workbookViewId="0">
      <pane ySplit="6" topLeftCell="A7" activePane="bottomLeft" state="frozen"/>
      <selection activeCell="D44" sqref="D44"/>
      <selection pane="bottomLeft"/>
    </sheetView>
  </sheetViews>
  <sheetFormatPr baseColWidth="10" defaultRowHeight="12"/>
  <cols>
    <col min="1" max="1" width="21.5703125" style="51" customWidth="1"/>
    <col min="2" max="2" width="11.42578125" style="51"/>
    <col min="3" max="3" width="19.140625" style="51" bestFit="1" customWidth="1"/>
    <col min="4" max="4" width="11.42578125" style="51"/>
    <col min="5" max="5" width="17.85546875" style="51" bestFit="1" customWidth="1"/>
    <col min="6" max="6" width="11.42578125" style="51"/>
    <col min="7" max="7" width="19.140625" style="51" bestFit="1" customWidth="1"/>
    <col min="8" max="8" width="11.42578125" style="51"/>
    <col min="9" max="9" width="17.85546875" style="51" bestFit="1" customWidth="1"/>
    <col min="10" max="10" width="11.42578125" style="51"/>
    <col min="11" max="11" width="19.140625" style="51" bestFit="1" customWidth="1"/>
    <col min="12" max="12" width="11.42578125" style="51"/>
    <col min="13" max="13" width="17.85546875" style="51" bestFit="1" customWidth="1"/>
    <col min="14" max="16384" width="11.42578125" style="51"/>
  </cols>
  <sheetData>
    <row r="2" spans="1:13">
      <c r="A2" s="69" t="s">
        <v>3242</v>
      </c>
      <c r="B2" s="70"/>
      <c r="C2" s="70"/>
      <c r="D2" s="70"/>
      <c r="E2" s="70"/>
      <c r="F2" s="70"/>
      <c r="G2" s="70"/>
      <c r="H2" s="70"/>
      <c r="I2" s="70"/>
      <c r="J2" s="70"/>
      <c r="K2" s="70"/>
      <c r="L2" s="70"/>
      <c r="M2" s="70"/>
    </row>
    <row r="3" spans="1:13">
      <c r="A3" s="70"/>
      <c r="B3" s="70"/>
      <c r="C3" s="70"/>
      <c r="D3" s="70"/>
      <c r="E3" s="70"/>
      <c r="F3" s="70"/>
      <c r="G3" s="70"/>
      <c r="H3" s="70"/>
      <c r="I3" s="70"/>
      <c r="J3" s="70"/>
      <c r="K3" s="70"/>
      <c r="L3" s="70"/>
      <c r="M3" s="70"/>
    </row>
    <row r="4" spans="1:13">
      <c r="A4" s="2589" t="s">
        <v>2525</v>
      </c>
      <c r="B4" s="2579" t="s">
        <v>26</v>
      </c>
      <c r="C4" s="2579"/>
      <c r="D4" s="2579"/>
      <c r="E4" s="2579"/>
      <c r="F4" s="2579" t="s">
        <v>2526</v>
      </c>
      <c r="G4" s="2579"/>
      <c r="H4" s="2579"/>
      <c r="I4" s="2579"/>
      <c r="J4" s="2579" t="s">
        <v>2527</v>
      </c>
      <c r="K4" s="2579"/>
      <c r="L4" s="2579"/>
      <c r="M4" s="2579"/>
    </row>
    <row r="5" spans="1:13">
      <c r="A5" s="2590"/>
      <c r="B5" s="2592" t="s">
        <v>2504</v>
      </c>
      <c r="C5" s="2592"/>
      <c r="D5" s="2592" t="s">
        <v>2506</v>
      </c>
      <c r="E5" s="2592"/>
      <c r="F5" s="2592" t="s">
        <v>2504</v>
      </c>
      <c r="G5" s="2592"/>
      <c r="H5" s="2592" t="s">
        <v>2506</v>
      </c>
      <c r="I5" s="2592"/>
      <c r="J5" s="2592" t="s">
        <v>2504</v>
      </c>
      <c r="K5" s="2592"/>
      <c r="L5" s="2592" t="s">
        <v>2506</v>
      </c>
      <c r="M5" s="2592"/>
    </row>
    <row r="6" spans="1:13">
      <c r="A6" s="2591"/>
      <c r="B6" s="334" t="s">
        <v>2528</v>
      </c>
      <c r="C6" s="334" t="s">
        <v>2529</v>
      </c>
      <c r="D6" s="334" t="s">
        <v>2528</v>
      </c>
      <c r="E6" s="334" t="s">
        <v>2529</v>
      </c>
      <c r="F6" s="334" t="s">
        <v>2528</v>
      </c>
      <c r="G6" s="334" t="s">
        <v>2529</v>
      </c>
      <c r="H6" s="334" t="s">
        <v>2528</v>
      </c>
      <c r="I6" s="334" t="s">
        <v>2529</v>
      </c>
      <c r="J6" s="334" t="s">
        <v>2528</v>
      </c>
      <c r="K6" s="334" t="s">
        <v>2529</v>
      </c>
      <c r="L6" s="334" t="s">
        <v>2528</v>
      </c>
      <c r="M6" s="334" t="s">
        <v>2529</v>
      </c>
    </row>
    <row r="7" spans="1:13">
      <c r="A7" s="70" t="s">
        <v>6</v>
      </c>
      <c r="B7" s="433">
        <f>SUM(B8:B13)</f>
        <v>53032</v>
      </c>
      <c r="C7" s="433">
        <f>SUM(C8:C13)</f>
        <v>511870502362.70001</v>
      </c>
      <c r="D7" s="433">
        <f>SUM(D8:D13)</f>
        <v>10483</v>
      </c>
      <c r="E7" s="433">
        <f>SUM(E8:E13)</f>
        <v>95144350355.740997</v>
      </c>
      <c r="F7" s="433">
        <f t="shared" ref="F7:M7" si="0">SUM(F8:F13)</f>
        <v>42824</v>
      </c>
      <c r="G7" s="433">
        <f t="shared" si="0"/>
        <v>319937938379.70001</v>
      </c>
      <c r="H7" s="433">
        <f t="shared" si="0"/>
        <v>8117</v>
      </c>
      <c r="I7" s="433">
        <f t="shared" si="0"/>
        <v>55630845317.041008</v>
      </c>
      <c r="J7" s="433">
        <f t="shared" si="0"/>
        <v>10208</v>
      </c>
      <c r="K7" s="433">
        <f t="shared" si="0"/>
        <v>191932563983</v>
      </c>
      <c r="L7" s="433">
        <f t="shared" si="0"/>
        <v>2366</v>
      </c>
      <c r="M7" s="433">
        <f t="shared" si="0"/>
        <v>39513505038.699997</v>
      </c>
    </row>
    <row r="8" spans="1:13">
      <c r="A8" s="432">
        <v>2009</v>
      </c>
      <c r="B8" s="433">
        <f t="shared" ref="B8:M13" si="1">SUM(B15+B22+B29+B36+B43)</f>
        <v>7860</v>
      </c>
      <c r="C8" s="433">
        <f t="shared" si="1"/>
        <v>67781744668</v>
      </c>
      <c r="D8" s="433">
        <f t="shared" si="1"/>
        <v>1703</v>
      </c>
      <c r="E8" s="433">
        <f t="shared" si="1"/>
        <v>13772565706.541</v>
      </c>
      <c r="F8" s="433">
        <f t="shared" si="1"/>
        <v>6333</v>
      </c>
      <c r="G8" s="433">
        <f t="shared" si="1"/>
        <v>45311043831</v>
      </c>
      <c r="H8" s="433">
        <f t="shared" si="1"/>
        <v>1352</v>
      </c>
      <c r="I8" s="433">
        <f t="shared" si="1"/>
        <v>8900142587.441</v>
      </c>
      <c r="J8" s="433">
        <f t="shared" si="1"/>
        <v>1527</v>
      </c>
      <c r="K8" s="433">
        <f t="shared" si="1"/>
        <v>22470700837</v>
      </c>
      <c r="L8" s="433">
        <f t="shared" si="1"/>
        <v>351</v>
      </c>
      <c r="M8" s="433">
        <f t="shared" si="1"/>
        <v>4872423119.1000004</v>
      </c>
    </row>
    <row r="9" spans="1:13">
      <c r="A9" s="432">
        <v>2010</v>
      </c>
      <c r="B9" s="433">
        <f t="shared" si="1"/>
        <v>6603</v>
      </c>
      <c r="C9" s="433">
        <f t="shared" si="1"/>
        <v>71545258441</v>
      </c>
      <c r="D9" s="433">
        <f t="shared" si="1"/>
        <v>1520</v>
      </c>
      <c r="E9" s="433">
        <f t="shared" si="1"/>
        <v>14516490972</v>
      </c>
      <c r="F9" s="433">
        <f t="shared" si="1"/>
        <v>5181</v>
      </c>
      <c r="G9" s="433">
        <f t="shared" si="1"/>
        <v>46529531067</v>
      </c>
      <c r="H9" s="433">
        <f t="shared" si="1"/>
        <v>1207</v>
      </c>
      <c r="I9" s="433">
        <f t="shared" si="1"/>
        <v>9115921828</v>
      </c>
      <c r="J9" s="433">
        <f t="shared" si="1"/>
        <v>1422</v>
      </c>
      <c r="K9" s="433">
        <f t="shared" si="1"/>
        <v>25015727374</v>
      </c>
      <c r="L9" s="433">
        <f t="shared" si="1"/>
        <v>313</v>
      </c>
      <c r="M9" s="433">
        <f t="shared" si="1"/>
        <v>5400569144</v>
      </c>
    </row>
    <row r="10" spans="1:13">
      <c r="A10" s="432">
        <v>2011</v>
      </c>
      <c r="B10" s="433">
        <f t="shared" si="1"/>
        <v>7104</v>
      </c>
      <c r="C10" s="433">
        <f t="shared" si="1"/>
        <v>61459375011.699997</v>
      </c>
      <c r="D10" s="433">
        <f t="shared" si="1"/>
        <v>1591</v>
      </c>
      <c r="E10" s="433">
        <f t="shared" si="1"/>
        <v>13802029658.700001</v>
      </c>
      <c r="F10" s="433">
        <f t="shared" si="1"/>
        <v>5685</v>
      </c>
      <c r="G10" s="433">
        <f t="shared" si="1"/>
        <v>35481802154.699997</v>
      </c>
      <c r="H10" s="433">
        <f t="shared" si="1"/>
        <v>1288</v>
      </c>
      <c r="I10" s="433">
        <f t="shared" si="1"/>
        <v>8268452822.6999998</v>
      </c>
      <c r="J10" s="433">
        <f t="shared" si="1"/>
        <v>1419</v>
      </c>
      <c r="K10" s="433">
        <f t="shared" si="1"/>
        <v>25977572857</v>
      </c>
      <c r="L10" s="433">
        <f t="shared" si="1"/>
        <v>303</v>
      </c>
      <c r="M10" s="433">
        <f t="shared" si="1"/>
        <v>5533576836</v>
      </c>
    </row>
    <row r="11" spans="1:13">
      <c r="A11" s="432">
        <v>2012</v>
      </c>
      <c r="B11" s="433">
        <f t="shared" si="1"/>
        <v>10730</v>
      </c>
      <c r="C11" s="433">
        <f t="shared" si="1"/>
        <v>98524430206</v>
      </c>
      <c r="D11" s="433">
        <f t="shared" si="1"/>
        <v>1459</v>
      </c>
      <c r="E11" s="433">
        <f t="shared" si="1"/>
        <v>14993554645</v>
      </c>
      <c r="F11" s="433">
        <f t="shared" si="1"/>
        <v>8806</v>
      </c>
      <c r="G11" s="433">
        <f t="shared" si="1"/>
        <v>63294134262</v>
      </c>
      <c r="H11" s="433">
        <f t="shared" si="1"/>
        <v>1099</v>
      </c>
      <c r="I11" s="433">
        <f t="shared" si="1"/>
        <v>7930653941</v>
      </c>
      <c r="J11" s="433">
        <f t="shared" si="1"/>
        <v>1924</v>
      </c>
      <c r="K11" s="433">
        <f t="shared" si="1"/>
        <v>35230295944</v>
      </c>
      <c r="L11" s="433">
        <f t="shared" si="1"/>
        <v>360</v>
      </c>
      <c r="M11" s="433">
        <f t="shared" si="1"/>
        <v>7062900704</v>
      </c>
    </row>
    <row r="12" spans="1:13">
      <c r="A12" s="432">
        <v>2013</v>
      </c>
      <c r="B12" s="433">
        <f t="shared" si="1"/>
        <v>9884</v>
      </c>
      <c r="C12" s="433">
        <f t="shared" si="1"/>
        <v>101200445933</v>
      </c>
      <c r="D12" s="433">
        <f t="shared" si="1"/>
        <v>1998</v>
      </c>
      <c r="E12" s="433">
        <f t="shared" si="1"/>
        <v>18002086456</v>
      </c>
      <c r="F12" s="433">
        <f t="shared" si="1"/>
        <v>8121</v>
      </c>
      <c r="G12" s="433">
        <f t="shared" si="1"/>
        <v>62627607907</v>
      </c>
      <c r="H12" s="433">
        <f t="shared" si="1"/>
        <v>1508</v>
      </c>
      <c r="I12" s="433">
        <f t="shared" si="1"/>
        <v>10221048146</v>
      </c>
      <c r="J12" s="433">
        <f t="shared" si="1"/>
        <v>1763</v>
      </c>
      <c r="K12" s="433">
        <f t="shared" si="1"/>
        <v>38572838026</v>
      </c>
      <c r="L12" s="433">
        <f t="shared" si="1"/>
        <v>490</v>
      </c>
      <c r="M12" s="433">
        <f t="shared" si="1"/>
        <v>7781038310</v>
      </c>
    </row>
    <row r="13" spans="1:13">
      <c r="A13" s="432">
        <v>2014</v>
      </c>
      <c r="B13" s="433">
        <f>SUM(B20+B27+B34+B41+B48)</f>
        <v>10851</v>
      </c>
      <c r="C13" s="433">
        <f t="shared" si="1"/>
        <v>111359248103</v>
      </c>
      <c r="D13" s="433">
        <f>SUM(D20+D27+D34+D41+D48)</f>
        <v>2212</v>
      </c>
      <c r="E13" s="433">
        <f t="shared" si="1"/>
        <v>20057622917.5</v>
      </c>
      <c r="F13" s="433">
        <f t="shared" si="1"/>
        <v>8698</v>
      </c>
      <c r="G13" s="433">
        <f t="shared" si="1"/>
        <v>66693819158</v>
      </c>
      <c r="H13" s="433">
        <f>SUM(H20+H27+H34+H41+H48)</f>
        <v>1663</v>
      </c>
      <c r="I13" s="433">
        <f>SUM(I20+I27+I34+I41+I48)</f>
        <v>11194625991.9</v>
      </c>
      <c r="J13" s="433">
        <f t="shared" si="1"/>
        <v>2153</v>
      </c>
      <c r="K13" s="433">
        <f t="shared" si="1"/>
        <v>44665428945</v>
      </c>
      <c r="L13" s="433">
        <f t="shared" si="1"/>
        <v>549</v>
      </c>
      <c r="M13" s="433">
        <f t="shared" si="1"/>
        <v>8862996925.6000004</v>
      </c>
    </row>
    <row r="14" spans="1:13">
      <c r="A14" s="446" t="s">
        <v>2530</v>
      </c>
      <c r="B14" s="433">
        <f>SUM(B15:B20)</f>
        <v>9610</v>
      </c>
      <c r="C14" s="433">
        <f>SUM(C15:C20)</f>
        <v>142239939283</v>
      </c>
      <c r="D14" s="433">
        <f>SUM(D15:D20)</f>
        <v>1526</v>
      </c>
      <c r="E14" s="433">
        <f t="shared" ref="E14:M14" si="2">SUM(E15:E20)</f>
        <v>25112485021</v>
      </c>
      <c r="F14" s="433">
        <f>SUM(F15:F20)</f>
        <v>8315</v>
      </c>
      <c r="G14" s="433">
        <f t="shared" si="2"/>
        <v>97108882484</v>
      </c>
      <c r="H14" s="433">
        <f t="shared" si="2"/>
        <v>1314</v>
      </c>
      <c r="I14" s="433">
        <f t="shared" si="2"/>
        <v>14950617898</v>
      </c>
      <c r="J14" s="433">
        <f t="shared" si="2"/>
        <v>1295</v>
      </c>
      <c r="K14" s="433">
        <f t="shared" si="2"/>
        <v>45131056799</v>
      </c>
      <c r="L14" s="433">
        <f t="shared" si="2"/>
        <v>212</v>
      </c>
      <c r="M14" s="433">
        <f t="shared" si="2"/>
        <v>10161867123</v>
      </c>
    </row>
    <row r="15" spans="1:13">
      <c r="A15" s="438">
        <v>2009</v>
      </c>
      <c r="B15" s="433">
        <f t="shared" ref="B15:E20" si="3">SUM(F15+J15)</f>
        <v>1348</v>
      </c>
      <c r="C15" s="433">
        <f t="shared" si="3"/>
        <v>17476140137</v>
      </c>
      <c r="D15" s="433">
        <f>SUM(H15+L15)</f>
        <v>243</v>
      </c>
      <c r="E15" s="433">
        <f t="shared" si="3"/>
        <v>2922391949</v>
      </c>
      <c r="F15" s="447">
        <v>1167</v>
      </c>
      <c r="G15" s="447">
        <v>11902553717</v>
      </c>
      <c r="H15" s="447">
        <v>222</v>
      </c>
      <c r="I15" s="447">
        <v>2055834495</v>
      </c>
      <c r="J15" s="447">
        <v>181</v>
      </c>
      <c r="K15" s="447">
        <v>5573586420</v>
      </c>
      <c r="L15" s="447">
        <v>21</v>
      </c>
      <c r="M15" s="447">
        <v>866557454</v>
      </c>
    </row>
    <row r="16" spans="1:13">
      <c r="A16" s="438">
        <v>2010</v>
      </c>
      <c r="B16" s="433">
        <f t="shared" si="3"/>
        <v>1373</v>
      </c>
      <c r="C16" s="433">
        <f t="shared" si="3"/>
        <v>25554554329</v>
      </c>
      <c r="D16" s="433">
        <f t="shared" si="3"/>
        <v>244</v>
      </c>
      <c r="E16" s="433">
        <f>SUM(I16+M16)</f>
        <v>4620279002</v>
      </c>
      <c r="F16" s="447">
        <v>1158</v>
      </c>
      <c r="G16" s="447">
        <v>15615915333</v>
      </c>
      <c r="H16" s="447">
        <v>208</v>
      </c>
      <c r="I16" s="447">
        <v>2386309480</v>
      </c>
      <c r="J16" s="447">
        <v>215</v>
      </c>
      <c r="K16" s="447">
        <v>9938638996</v>
      </c>
      <c r="L16" s="447">
        <v>36</v>
      </c>
      <c r="M16" s="447">
        <v>2233969522</v>
      </c>
    </row>
    <row r="17" spans="1:13">
      <c r="A17" s="438">
        <v>2011</v>
      </c>
      <c r="B17" s="433">
        <f t="shared" si="3"/>
        <v>1044</v>
      </c>
      <c r="C17" s="433">
        <f t="shared" si="3"/>
        <v>14026393360</v>
      </c>
      <c r="D17" s="433">
        <f t="shared" si="3"/>
        <v>212</v>
      </c>
      <c r="E17" s="433">
        <f t="shared" si="3"/>
        <v>3301259517</v>
      </c>
      <c r="F17" s="447">
        <v>938</v>
      </c>
      <c r="G17" s="447">
        <v>9221265563</v>
      </c>
      <c r="H17" s="447">
        <v>190</v>
      </c>
      <c r="I17" s="447">
        <v>2096373020</v>
      </c>
      <c r="J17" s="447">
        <v>106</v>
      </c>
      <c r="K17" s="447">
        <v>4805127797</v>
      </c>
      <c r="L17" s="447">
        <v>22</v>
      </c>
      <c r="M17" s="447">
        <v>1204886497</v>
      </c>
    </row>
    <row r="18" spans="1:13">
      <c r="A18" s="438">
        <v>2012</v>
      </c>
      <c r="B18" s="433">
        <f t="shared" si="3"/>
        <v>1867</v>
      </c>
      <c r="C18" s="433">
        <f t="shared" si="3"/>
        <v>28881253822</v>
      </c>
      <c r="D18" s="433">
        <f t="shared" si="3"/>
        <v>190</v>
      </c>
      <c r="E18" s="433">
        <f t="shared" si="3"/>
        <v>3848400382</v>
      </c>
      <c r="F18" s="447">
        <v>1587</v>
      </c>
      <c r="G18" s="447">
        <v>21054540767</v>
      </c>
      <c r="H18" s="447">
        <v>154</v>
      </c>
      <c r="I18" s="447">
        <v>2224647267</v>
      </c>
      <c r="J18" s="447">
        <v>280</v>
      </c>
      <c r="K18" s="447">
        <v>7826713055</v>
      </c>
      <c r="L18" s="447">
        <v>36</v>
      </c>
      <c r="M18" s="447">
        <v>1623753115</v>
      </c>
    </row>
    <row r="19" spans="1:13">
      <c r="A19" s="438">
        <v>2013</v>
      </c>
      <c r="B19" s="433">
        <f>SUM(F19+J19)</f>
        <v>1900</v>
      </c>
      <c r="C19" s="433">
        <f t="shared" si="3"/>
        <v>27041920150</v>
      </c>
      <c r="D19" s="433">
        <f t="shared" si="3"/>
        <v>303</v>
      </c>
      <c r="E19" s="433">
        <f t="shared" si="3"/>
        <v>4718031040</v>
      </c>
      <c r="F19" s="447">
        <v>1652</v>
      </c>
      <c r="G19" s="447">
        <v>18864317086</v>
      </c>
      <c r="H19" s="447">
        <v>257</v>
      </c>
      <c r="I19" s="447">
        <v>3000468300</v>
      </c>
      <c r="J19" s="447">
        <v>248</v>
      </c>
      <c r="K19" s="447">
        <v>8177603064</v>
      </c>
      <c r="L19" s="447">
        <v>46</v>
      </c>
      <c r="M19" s="447">
        <v>1717562740</v>
      </c>
    </row>
    <row r="20" spans="1:13">
      <c r="A20" s="432">
        <v>2014</v>
      </c>
      <c r="B20" s="433">
        <f>SUM(F20+J20)</f>
        <v>2078</v>
      </c>
      <c r="C20" s="433">
        <f>SUM(G20+K20)</f>
        <v>29259677485</v>
      </c>
      <c r="D20" s="433">
        <f t="shared" si="3"/>
        <v>334</v>
      </c>
      <c r="E20" s="433">
        <f t="shared" si="3"/>
        <v>5702123131</v>
      </c>
      <c r="F20" s="433">
        <v>1813</v>
      </c>
      <c r="G20" s="433">
        <v>20450290018</v>
      </c>
      <c r="H20" s="433">
        <v>283</v>
      </c>
      <c r="I20" s="433">
        <v>3186985336</v>
      </c>
      <c r="J20" s="433">
        <v>265</v>
      </c>
      <c r="K20" s="433">
        <v>8809387467</v>
      </c>
      <c r="L20" s="433">
        <v>51</v>
      </c>
      <c r="M20" s="433">
        <v>2515137795</v>
      </c>
    </row>
    <row r="21" spans="1:13">
      <c r="A21" s="446" t="s">
        <v>2531</v>
      </c>
      <c r="B21" s="433">
        <f t="shared" ref="B21:M21" si="4">SUM(B22:B27)</f>
        <v>15545</v>
      </c>
      <c r="C21" s="433">
        <f t="shared" si="4"/>
        <v>109649790978</v>
      </c>
      <c r="D21" s="433">
        <f t="shared" si="4"/>
        <v>3623</v>
      </c>
      <c r="E21" s="433">
        <f t="shared" si="4"/>
        <v>23239305708.400002</v>
      </c>
      <c r="F21" s="433">
        <f t="shared" si="4"/>
        <v>12207</v>
      </c>
      <c r="G21" s="433">
        <f t="shared" si="4"/>
        <v>85584078182</v>
      </c>
      <c r="H21" s="433">
        <f t="shared" si="4"/>
        <v>2815</v>
      </c>
      <c r="I21" s="433">
        <f t="shared" si="4"/>
        <v>18100275412.799999</v>
      </c>
      <c r="J21" s="433">
        <f t="shared" si="4"/>
        <v>3338</v>
      </c>
      <c r="K21" s="433">
        <f t="shared" si="4"/>
        <v>24065712796</v>
      </c>
      <c r="L21" s="433">
        <f t="shared" si="4"/>
        <v>808</v>
      </c>
      <c r="M21" s="433">
        <f t="shared" si="4"/>
        <v>5139030295.6000004</v>
      </c>
    </row>
    <row r="22" spans="1:13">
      <c r="A22" s="438">
        <v>2009</v>
      </c>
      <c r="B22" s="433">
        <f t="shared" ref="B22:E27" si="5">SUM(F22+J22)</f>
        <v>2156</v>
      </c>
      <c r="C22" s="433">
        <f t="shared" si="5"/>
        <v>14434533249</v>
      </c>
      <c r="D22" s="433">
        <f t="shared" si="5"/>
        <v>551</v>
      </c>
      <c r="E22" s="433">
        <f t="shared" si="5"/>
        <v>3385030828</v>
      </c>
      <c r="F22" s="447">
        <v>1571</v>
      </c>
      <c r="G22" s="447">
        <v>10118713064</v>
      </c>
      <c r="H22" s="447">
        <v>415</v>
      </c>
      <c r="I22" s="447">
        <v>2500815839</v>
      </c>
      <c r="J22" s="447">
        <v>585</v>
      </c>
      <c r="K22" s="447">
        <v>4315820185</v>
      </c>
      <c r="L22" s="447">
        <v>136</v>
      </c>
      <c r="M22" s="447">
        <v>884214989</v>
      </c>
    </row>
    <row r="23" spans="1:13">
      <c r="A23" s="438">
        <v>2010</v>
      </c>
      <c r="B23" s="433">
        <f t="shared" si="5"/>
        <v>2198</v>
      </c>
      <c r="C23" s="433">
        <f t="shared" si="5"/>
        <v>16130697040</v>
      </c>
      <c r="D23" s="433">
        <f t="shared" si="5"/>
        <v>496</v>
      </c>
      <c r="E23" s="433">
        <f t="shared" si="5"/>
        <v>3177844754</v>
      </c>
      <c r="F23" s="447">
        <v>1664</v>
      </c>
      <c r="G23" s="447">
        <v>11882143805</v>
      </c>
      <c r="H23" s="447">
        <v>401</v>
      </c>
      <c r="I23" s="447">
        <v>2601725891</v>
      </c>
      <c r="J23" s="447">
        <v>534</v>
      </c>
      <c r="K23" s="447">
        <v>4248553235</v>
      </c>
      <c r="L23" s="447">
        <v>95</v>
      </c>
      <c r="M23" s="447">
        <v>576118863</v>
      </c>
    </row>
    <row r="24" spans="1:13">
      <c r="A24" s="438">
        <v>2011</v>
      </c>
      <c r="B24" s="433">
        <f t="shared" si="5"/>
        <v>1983</v>
      </c>
      <c r="C24" s="433">
        <f t="shared" si="5"/>
        <v>13495004991</v>
      </c>
      <c r="D24" s="433">
        <f t="shared" si="5"/>
        <v>582</v>
      </c>
      <c r="E24" s="433">
        <f t="shared" si="5"/>
        <v>3630253530</v>
      </c>
      <c r="F24" s="447">
        <v>1460</v>
      </c>
      <c r="G24" s="447">
        <v>9642484434</v>
      </c>
      <c r="H24" s="447">
        <v>446</v>
      </c>
      <c r="I24" s="447">
        <v>2780166391</v>
      </c>
      <c r="J24" s="447">
        <v>523</v>
      </c>
      <c r="K24" s="447">
        <v>3852520557</v>
      </c>
      <c r="L24" s="447">
        <v>136</v>
      </c>
      <c r="M24" s="447">
        <v>850087139</v>
      </c>
    </row>
    <row r="25" spans="1:13">
      <c r="A25" s="438">
        <v>2012</v>
      </c>
      <c r="B25" s="433">
        <f t="shared" si="5"/>
        <v>3169</v>
      </c>
      <c r="C25" s="433">
        <f t="shared" si="5"/>
        <v>20564616379</v>
      </c>
      <c r="D25" s="433">
        <f t="shared" si="5"/>
        <v>568</v>
      </c>
      <c r="E25" s="433">
        <f t="shared" si="5"/>
        <v>3794901464</v>
      </c>
      <c r="F25" s="447">
        <v>2613</v>
      </c>
      <c r="G25" s="447">
        <v>17040091976</v>
      </c>
      <c r="H25" s="447">
        <v>435</v>
      </c>
      <c r="I25" s="447">
        <v>2930214260</v>
      </c>
      <c r="J25" s="447">
        <v>556</v>
      </c>
      <c r="K25" s="447">
        <v>3524524403</v>
      </c>
      <c r="L25" s="447">
        <v>133</v>
      </c>
      <c r="M25" s="447">
        <v>864687204</v>
      </c>
    </row>
    <row r="26" spans="1:13">
      <c r="A26" s="438">
        <v>2013</v>
      </c>
      <c r="B26" s="433">
        <f t="shared" si="5"/>
        <v>2842</v>
      </c>
      <c r="C26" s="433">
        <f t="shared" si="5"/>
        <v>20486137582</v>
      </c>
      <c r="D26" s="433">
        <f t="shared" si="5"/>
        <v>717</v>
      </c>
      <c r="E26" s="433">
        <f t="shared" si="5"/>
        <v>4523797930</v>
      </c>
      <c r="F26" s="447">
        <v>2340</v>
      </c>
      <c r="G26" s="447">
        <v>17056369059</v>
      </c>
      <c r="H26" s="447">
        <v>572</v>
      </c>
      <c r="I26" s="447">
        <v>3630551026</v>
      </c>
      <c r="J26" s="447">
        <v>502</v>
      </c>
      <c r="K26" s="447">
        <v>3429768523</v>
      </c>
      <c r="L26" s="447">
        <v>145</v>
      </c>
      <c r="M26" s="447">
        <v>893246904</v>
      </c>
    </row>
    <row r="27" spans="1:13">
      <c r="A27" s="432">
        <v>2014</v>
      </c>
      <c r="B27" s="433">
        <f>SUM(F27+J27)</f>
        <v>3197</v>
      </c>
      <c r="C27" s="433">
        <f>SUM(G27+K27)</f>
        <v>24538801737</v>
      </c>
      <c r="D27" s="433">
        <f>SUM(H27+L27)</f>
        <v>709</v>
      </c>
      <c r="E27" s="433">
        <f t="shared" si="5"/>
        <v>4727477202.4000006</v>
      </c>
      <c r="F27" s="433">
        <v>2559</v>
      </c>
      <c r="G27" s="433">
        <v>19844275844</v>
      </c>
      <c r="H27" s="433">
        <v>546</v>
      </c>
      <c r="I27" s="433">
        <v>3656802005.8000002</v>
      </c>
      <c r="J27" s="433">
        <v>638</v>
      </c>
      <c r="K27" s="433">
        <v>4694525893</v>
      </c>
      <c r="L27" s="433">
        <v>163</v>
      </c>
      <c r="M27" s="433">
        <v>1070675196.6</v>
      </c>
    </row>
    <row r="28" spans="1:13">
      <c r="A28" s="446" t="s">
        <v>2532</v>
      </c>
      <c r="B28" s="433">
        <f>SUM(B29:B34)</f>
        <v>12448</v>
      </c>
      <c r="C28" s="433">
        <f>SUM(C29:C34)</f>
        <v>72805112463</v>
      </c>
      <c r="D28" s="433">
        <f>SUM(D29:D34)</f>
        <v>2357</v>
      </c>
      <c r="E28" s="433">
        <f t="shared" ref="E28:M28" si="6">SUM(E29:E34)</f>
        <v>14537512908</v>
      </c>
      <c r="F28" s="433">
        <f t="shared" si="6"/>
        <v>9881</v>
      </c>
      <c r="G28" s="433">
        <f t="shared" si="6"/>
        <v>46986139531</v>
      </c>
      <c r="H28" s="433">
        <f t="shared" si="6"/>
        <v>1634</v>
      </c>
      <c r="I28" s="433">
        <f t="shared" si="6"/>
        <v>7718276558</v>
      </c>
      <c r="J28" s="433">
        <f t="shared" si="6"/>
        <v>2567</v>
      </c>
      <c r="K28" s="433">
        <f t="shared" si="6"/>
        <v>25818972932</v>
      </c>
      <c r="L28" s="433">
        <f t="shared" si="6"/>
        <v>723</v>
      </c>
      <c r="M28" s="433">
        <f t="shared" si="6"/>
        <v>6819236350</v>
      </c>
    </row>
    <row r="29" spans="1:13">
      <c r="A29" s="438">
        <v>2009</v>
      </c>
      <c r="B29" s="433">
        <f t="shared" ref="B29:E34" si="7">SUM(F29+J29)</f>
        <v>1809</v>
      </c>
      <c r="C29" s="433">
        <f>SUM(G29+K29)</f>
        <v>9259503093</v>
      </c>
      <c r="D29" s="433">
        <f t="shared" si="7"/>
        <v>392</v>
      </c>
      <c r="E29" s="433">
        <f t="shared" si="7"/>
        <v>2286572793</v>
      </c>
      <c r="F29" s="447">
        <v>1474</v>
      </c>
      <c r="G29" s="447">
        <v>6530090407</v>
      </c>
      <c r="H29" s="447">
        <v>291</v>
      </c>
      <c r="I29" s="447">
        <v>1434405867</v>
      </c>
      <c r="J29" s="447">
        <v>335</v>
      </c>
      <c r="K29" s="447">
        <v>2729412686</v>
      </c>
      <c r="L29" s="447">
        <v>101</v>
      </c>
      <c r="M29" s="447">
        <v>852166926</v>
      </c>
    </row>
    <row r="30" spans="1:13">
      <c r="A30" s="438">
        <v>2010</v>
      </c>
      <c r="B30" s="433">
        <f t="shared" si="7"/>
        <v>1243</v>
      </c>
      <c r="C30" s="433">
        <f>SUM(G30+K30)</f>
        <v>8844315698</v>
      </c>
      <c r="D30" s="433">
        <f t="shared" si="7"/>
        <v>319</v>
      </c>
      <c r="E30" s="433">
        <f t="shared" si="7"/>
        <v>2440505687</v>
      </c>
      <c r="F30" s="447">
        <v>857</v>
      </c>
      <c r="G30" s="447">
        <v>5833544976</v>
      </c>
      <c r="H30" s="447">
        <v>212</v>
      </c>
      <c r="I30" s="447">
        <v>1401871126</v>
      </c>
      <c r="J30" s="447">
        <v>386</v>
      </c>
      <c r="K30" s="447">
        <v>3010770722</v>
      </c>
      <c r="L30" s="447">
        <v>107</v>
      </c>
      <c r="M30" s="447">
        <v>1038634561</v>
      </c>
    </row>
    <row r="31" spans="1:13">
      <c r="A31" s="438">
        <v>2011</v>
      </c>
      <c r="B31" s="433">
        <f t="shared" si="7"/>
        <v>2082</v>
      </c>
      <c r="C31" s="433">
        <f>SUM(G31+K31)</f>
        <v>11309688611</v>
      </c>
      <c r="D31" s="433">
        <f t="shared" si="7"/>
        <v>375</v>
      </c>
      <c r="E31" s="433">
        <f t="shared" si="7"/>
        <v>2323252733</v>
      </c>
      <c r="F31" s="447">
        <v>1767</v>
      </c>
      <c r="G31" s="447">
        <v>8039673887</v>
      </c>
      <c r="H31" s="447">
        <v>315</v>
      </c>
      <c r="I31" s="447">
        <v>1589602127</v>
      </c>
      <c r="J31" s="447">
        <v>315</v>
      </c>
      <c r="K31" s="447">
        <v>3270014724</v>
      </c>
      <c r="L31" s="447">
        <v>60</v>
      </c>
      <c r="M31" s="447">
        <v>733650606</v>
      </c>
    </row>
    <row r="32" spans="1:13">
      <c r="A32" s="438">
        <v>2012</v>
      </c>
      <c r="B32" s="433">
        <f t="shared" si="7"/>
        <v>2748</v>
      </c>
      <c r="C32" s="433">
        <f>SUM(G32+K32)</f>
        <v>17462615956</v>
      </c>
      <c r="D32" s="433">
        <f t="shared" si="7"/>
        <v>293</v>
      </c>
      <c r="E32" s="433">
        <f t="shared" si="7"/>
        <v>2032902629</v>
      </c>
      <c r="F32" s="447">
        <v>2248</v>
      </c>
      <c r="G32" s="447">
        <v>10306171280</v>
      </c>
      <c r="H32" s="447">
        <v>200</v>
      </c>
      <c r="I32" s="447">
        <v>826930848</v>
      </c>
      <c r="J32" s="447">
        <v>500</v>
      </c>
      <c r="K32" s="447">
        <v>7156444676</v>
      </c>
      <c r="L32" s="447">
        <v>93</v>
      </c>
      <c r="M32" s="447">
        <v>1205971781</v>
      </c>
    </row>
    <row r="33" spans="1:15">
      <c r="A33" s="438">
        <v>2013</v>
      </c>
      <c r="B33" s="433">
        <f t="shared" si="7"/>
        <v>2229</v>
      </c>
      <c r="C33" s="433">
        <f t="shared" si="7"/>
        <v>12261867972</v>
      </c>
      <c r="D33" s="433">
        <f t="shared" si="7"/>
        <v>473</v>
      </c>
      <c r="E33" s="433">
        <f t="shared" si="7"/>
        <v>2712437775</v>
      </c>
      <c r="F33" s="447">
        <v>1781</v>
      </c>
      <c r="G33" s="447">
        <v>8061146805</v>
      </c>
      <c r="H33" s="447">
        <v>294</v>
      </c>
      <c r="I33" s="447">
        <v>1196926399</v>
      </c>
      <c r="J33" s="447">
        <v>448</v>
      </c>
      <c r="K33" s="447">
        <v>4200721167</v>
      </c>
      <c r="L33" s="447">
        <v>179</v>
      </c>
      <c r="M33" s="447">
        <v>1515511376</v>
      </c>
    </row>
    <row r="34" spans="1:15">
      <c r="A34" s="432">
        <v>2014</v>
      </c>
      <c r="B34" s="433">
        <f>SUM(F34+J34)</f>
        <v>2337</v>
      </c>
      <c r="C34" s="433">
        <f>SUM(G34+K34)</f>
        <v>13667121133</v>
      </c>
      <c r="D34" s="433">
        <f t="shared" si="7"/>
        <v>505</v>
      </c>
      <c r="E34" s="433">
        <f t="shared" si="7"/>
        <v>2741841291</v>
      </c>
      <c r="F34" s="433">
        <v>1754</v>
      </c>
      <c r="G34" s="433">
        <v>8215512176</v>
      </c>
      <c r="H34" s="433">
        <v>322</v>
      </c>
      <c r="I34" s="433">
        <v>1268540191</v>
      </c>
      <c r="J34" s="433">
        <v>583</v>
      </c>
      <c r="K34" s="433">
        <v>5451608957</v>
      </c>
      <c r="L34" s="433">
        <v>183</v>
      </c>
      <c r="M34" s="433">
        <v>1473301100</v>
      </c>
    </row>
    <row r="35" spans="1:15">
      <c r="A35" s="446" t="s">
        <v>2533</v>
      </c>
      <c r="B35" s="433">
        <f>SUM(B36:B41)</f>
        <v>8760</v>
      </c>
      <c r="C35" s="433">
        <f>SUM(C36:C41)</f>
        <v>56670908176.699997</v>
      </c>
      <c r="D35" s="433">
        <f>SUM(D36:D41)</f>
        <v>1890</v>
      </c>
      <c r="E35" s="433">
        <f>SUM(E36:E41)</f>
        <v>10892011032.799999</v>
      </c>
      <c r="F35" s="433">
        <f t="shared" ref="F35:M35" si="8">SUM(F36:F41)</f>
        <v>7451</v>
      </c>
      <c r="G35" s="433">
        <f t="shared" si="8"/>
        <v>42862654267.699997</v>
      </c>
      <c r="H35" s="433">
        <f t="shared" si="8"/>
        <v>1603</v>
      </c>
      <c r="I35" s="433">
        <f t="shared" si="8"/>
        <v>7767675096.7999992</v>
      </c>
      <c r="J35" s="433">
        <f t="shared" si="8"/>
        <v>1309</v>
      </c>
      <c r="K35" s="433">
        <f t="shared" si="8"/>
        <v>13808253909</v>
      </c>
      <c r="L35" s="433">
        <f t="shared" si="8"/>
        <v>287</v>
      </c>
      <c r="M35" s="433">
        <f t="shared" si="8"/>
        <v>3124335936</v>
      </c>
    </row>
    <row r="36" spans="1:15">
      <c r="A36" s="438">
        <v>2009</v>
      </c>
      <c r="B36" s="433">
        <f t="shared" ref="B36:E41" si="9">SUM(F36+J36)</f>
        <v>1464</v>
      </c>
      <c r="C36" s="433">
        <f t="shared" si="9"/>
        <v>9788912190</v>
      </c>
      <c r="D36" s="433">
        <f t="shared" si="9"/>
        <v>323</v>
      </c>
      <c r="E36" s="433">
        <f t="shared" si="9"/>
        <v>1930194072</v>
      </c>
      <c r="F36" s="447">
        <v>1219</v>
      </c>
      <c r="G36" s="447">
        <v>7397148313</v>
      </c>
      <c r="H36" s="447">
        <v>291</v>
      </c>
      <c r="I36" s="447">
        <v>1597057279</v>
      </c>
      <c r="J36" s="447">
        <v>245</v>
      </c>
      <c r="K36" s="447">
        <v>2391763877</v>
      </c>
      <c r="L36" s="447">
        <v>32</v>
      </c>
      <c r="M36" s="447">
        <v>333136793</v>
      </c>
    </row>
    <row r="37" spans="1:15">
      <c r="A37" s="438">
        <v>2010</v>
      </c>
      <c r="B37" s="433">
        <f t="shared" si="9"/>
        <v>900</v>
      </c>
      <c r="C37" s="433">
        <f t="shared" si="9"/>
        <v>5032707419</v>
      </c>
      <c r="D37" s="433">
        <f t="shared" si="9"/>
        <v>266</v>
      </c>
      <c r="E37" s="433">
        <f>SUM(I37+M37)</f>
        <v>1182073922</v>
      </c>
      <c r="F37" s="447">
        <v>776</v>
      </c>
      <c r="G37" s="447">
        <v>3908876194</v>
      </c>
      <c r="H37" s="447">
        <v>227</v>
      </c>
      <c r="I37" s="447">
        <v>856509774</v>
      </c>
      <c r="J37" s="447">
        <v>124</v>
      </c>
      <c r="K37" s="447">
        <v>1123831225</v>
      </c>
      <c r="L37" s="447">
        <v>39</v>
      </c>
      <c r="M37" s="447">
        <v>325564148</v>
      </c>
    </row>
    <row r="38" spans="1:15">
      <c r="A38" s="438">
        <v>2011</v>
      </c>
      <c r="B38" s="433">
        <f t="shared" si="9"/>
        <v>1209</v>
      </c>
      <c r="C38" s="433">
        <f t="shared" si="9"/>
        <v>6535212065.6999998</v>
      </c>
      <c r="D38" s="433">
        <f t="shared" si="9"/>
        <v>267</v>
      </c>
      <c r="E38" s="433">
        <f t="shared" si="9"/>
        <v>1450958656.7</v>
      </c>
      <c r="F38" s="447">
        <v>1000</v>
      </c>
      <c r="G38" s="447">
        <v>4681501685.6999998</v>
      </c>
      <c r="H38" s="447">
        <v>231</v>
      </c>
      <c r="I38" s="447">
        <v>1050907860.7</v>
      </c>
      <c r="J38" s="447">
        <v>209</v>
      </c>
      <c r="K38" s="447">
        <v>1853710380</v>
      </c>
      <c r="L38" s="447">
        <v>36</v>
      </c>
      <c r="M38" s="447">
        <v>400050796</v>
      </c>
    </row>
    <row r="39" spans="1:15">
      <c r="A39" s="438">
        <v>2012</v>
      </c>
      <c r="B39" s="433">
        <f t="shared" si="9"/>
        <v>1632</v>
      </c>
      <c r="C39" s="433">
        <f t="shared" si="9"/>
        <v>10696331071</v>
      </c>
      <c r="D39" s="433">
        <f t="shared" si="9"/>
        <v>287</v>
      </c>
      <c r="E39" s="433">
        <f t="shared" si="9"/>
        <v>1746029440</v>
      </c>
      <c r="F39" s="447">
        <v>1385</v>
      </c>
      <c r="G39" s="447">
        <v>8227521959</v>
      </c>
      <c r="H39" s="447">
        <v>239</v>
      </c>
      <c r="I39" s="447">
        <v>1210872308</v>
      </c>
      <c r="J39" s="447">
        <v>247</v>
      </c>
      <c r="K39" s="447">
        <v>2468809112</v>
      </c>
      <c r="L39" s="447">
        <v>48</v>
      </c>
      <c r="M39" s="447">
        <v>535157132</v>
      </c>
    </row>
    <row r="40" spans="1:15">
      <c r="A40" s="438">
        <v>2013</v>
      </c>
      <c r="B40" s="433">
        <f t="shared" si="9"/>
        <v>1678</v>
      </c>
      <c r="C40" s="433">
        <f t="shared" si="9"/>
        <v>12409173314</v>
      </c>
      <c r="D40" s="433">
        <f t="shared" si="9"/>
        <v>327</v>
      </c>
      <c r="E40" s="433">
        <f t="shared" si="9"/>
        <v>2019225701</v>
      </c>
      <c r="F40" s="447">
        <v>1446</v>
      </c>
      <c r="G40" s="447">
        <v>9440446359</v>
      </c>
      <c r="H40" s="447">
        <v>269</v>
      </c>
      <c r="I40" s="447">
        <v>1385119981</v>
      </c>
      <c r="J40" s="447">
        <v>232</v>
      </c>
      <c r="K40" s="447">
        <v>2968726955</v>
      </c>
      <c r="L40" s="447">
        <v>58</v>
      </c>
      <c r="M40" s="447">
        <v>634105720</v>
      </c>
    </row>
    <row r="41" spans="1:15">
      <c r="A41" s="432">
        <v>2014</v>
      </c>
      <c r="B41" s="433">
        <f>SUM(F41+J41)</f>
        <v>1877</v>
      </c>
      <c r="C41" s="433">
        <f>SUM(G41+K41)</f>
        <v>12208572117</v>
      </c>
      <c r="D41" s="433">
        <f t="shared" si="9"/>
        <v>420</v>
      </c>
      <c r="E41" s="433">
        <f t="shared" si="9"/>
        <v>2563529241.0999999</v>
      </c>
      <c r="F41" s="433">
        <v>1625</v>
      </c>
      <c r="G41" s="433">
        <v>9207159757</v>
      </c>
      <c r="H41" s="433">
        <v>346</v>
      </c>
      <c r="I41" s="433">
        <v>1667207894.0999999</v>
      </c>
      <c r="J41" s="433">
        <v>252</v>
      </c>
      <c r="K41" s="433">
        <v>3001412360</v>
      </c>
      <c r="L41" s="433">
        <v>74</v>
      </c>
      <c r="M41" s="433">
        <v>896321347</v>
      </c>
      <c r="O41" s="448"/>
    </row>
    <row r="42" spans="1:15">
      <c r="A42" s="446" t="s">
        <v>2513</v>
      </c>
      <c r="B42" s="433">
        <f>SUM(B43:B48)</f>
        <v>6669</v>
      </c>
      <c r="C42" s="433">
        <f>SUM(C43:C48)</f>
        <v>130504751462</v>
      </c>
      <c r="D42" s="433">
        <f t="shared" ref="D42:L42" si="10">SUM(D43:D48)</f>
        <v>1087</v>
      </c>
      <c r="E42" s="433">
        <f t="shared" si="10"/>
        <v>21363035685.541</v>
      </c>
      <c r="F42" s="433">
        <f t="shared" si="10"/>
        <v>4970</v>
      </c>
      <c r="G42" s="433">
        <f t="shared" si="10"/>
        <v>47396183915</v>
      </c>
      <c r="H42" s="433">
        <f>SUM(H43:H48)</f>
        <v>751</v>
      </c>
      <c r="I42" s="433">
        <f>SUM(I43:I48)</f>
        <v>7094000351.441</v>
      </c>
      <c r="J42" s="433">
        <f t="shared" si="10"/>
        <v>1699</v>
      </c>
      <c r="K42" s="433">
        <f>SUM(K43:K48)</f>
        <v>83108567547</v>
      </c>
      <c r="L42" s="433">
        <f t="shared" si="10"/>
        <v>336</v>
      </c>
      <c r="M42" s="433">
        <f>SUM(M43:M48)</f>
        <v>14269035334.1</v>
      </c>
    </row>
    <row r="43" spans="1:15">
      <c r="A43" s="438">
        <v>2009</v>
      </c>
      <c r="B43" s="433">
        <f t="shared" ref="B43:E48" si="11">SUM(F43+J43)</f>
        <v>1083</v>
      </c>
      <c r="C43" s="433">
        <f t="shared" si="11"/>
        <v>16822655999</v>
      </c>
      <c r="D43" s="433">
        <f t="shared" si="11"/>
        <v>194</v>
      </c>
      <c r="E43" s="433">
        <f t="shared" si="11"/>
        <v>3248376064.5409999</v>
      </c>
      <c r="F43" s="447">
        <v>902</v>
      </c>
      <c r="G43" s="447">
        <v>9362538330</v>
      </c>
      <c r="H43" s="447">
        <v>133</v>
      </c>
      <c r="I43" s="447">
        <v>1312029107.441</v>
      </c>
      <c r="J43" s="447">
        <v>181</v>
      </c>
      <c r="K43" s="447">
        <v>7460117669</v>
      </c>
      <c r="L43" s="447">
        <v>61</v>
      </c>
      <c r="M43" s="447">
        <v>1936346957.0999999</v>
      </c>
    </row>
    <row r="44" spans="1:15">
      <c r="A44" s="438">
        <v>2010</v>
      </c>
      <c r="B44" s="433">
        <f t="shared" si="11"/>
        <v>889</v>
      </c>
      <c r="C44" s="433">
        <f t="shared" si="11"/>
        <v>15982983955</v>
      </c>
      <c r="D44" s="433">
        <f t="shared" si="11"/>
        <v>195</v>
      </c>
      <c r="E44" s="433">
        <f t="shared" si="11"/>
        <v>3095787607</v>
      </c>
      <c r="F44" s="447">
        <v>726</v>
      </c>
      <c r="G44" s="447">
        <v>9289050759</v>
      </c>
      <c r="H44" s="447">
        <v>159</v>
      </c>
      <c r="I44" s="447">
        <v>1869505557</v>
      </c>
      <c r="J44" s="447">
        <v>163</v>
      </c>
      <c r="K44" s="447">
        <v>6693933196</v>
      </c>
      <c r="L44" s="447">
        <v>36</v>
      </c>
      <c r="M44" s="447">
        <v>1226282050</v>
      </c>
    </row>
    <row r="45" spans="1:15">
      <c r="A45" s="438">
        <v>2011</v>
      </c>
      <c r="B45" s="433">
        <f t="shared" si="11"/>
        <v>786</v>
      </c>
      <c r="C45" s="433">
        <f t="shared" si="11"/>
        <v>16093075984</v>
      </c>
      <c r="D45" s="433">
        <f t="shared" si="11"/>
        <v>155</v>
      </c>
      <c r="E45" s="433">
        <f t="shared" si="11"/>
        <v>3096305222</v>
      </c>
      <c r="F45" s="447">
        <v>520</v>
      </c>
      <c r="G45" s="447">
        <v>3896876585</v>
      </c>
      <c r="H45" s="447">
        <v>106</v>
      </c>
      <c r="I45" s="447">
        <v>751403424</v>
      </c>
      <c r="J45" s="447">
        <v>266</v>
      </c>
      <c r="K45" s="447">
        <v>12196199399</v>
      </c>
      <c r="L45" s="447">
        <v>49</v>
      </c>
      <c r="M45" s="447">
        <v>2344901798</v>
      </c>
    </row>
    <row r="46" spans="1:15">
      <c r="A46" s="438">
        <v>2012</v>
      </c>
      <c r="B46" s="433">
        <f t="shared" si="11"/>
        <v>1314</v>
      </c>
      <c r="C46" s="433">
        <f t="shared" si="11"/>
        <v>20919612978</v>
      </c>
      <c r="D46" s="433">
        <f t="shared" si="11"/>
        <v>121</v>
      </c>
      <c r="E46" s="433">
        <f t="shared" si="11"/>
        <v>3571320730</v>
      </c>
      <c r="F46" s="447">
        <v>973</v>
      </c>
      <c r="G46" s="447">
        <v>6665808280</v>
      </c>
      <c r="H46" s="447">
        <v>71</v>
      </c>
      <c r="I46" s="447">
        <v>737989258</v>
      </c>
      <c r="J46" s="447">
        <v>341</v>
      </c>
      <c r="K46" s="447">
        <v>14253804698</v>
      </c>
      <c r="L46" s="447">
        <v>50</v>
      </c>
      <c r="M46" s="447">
        <v>2833331472</v>
      </c>
    </row>
    <row r="47" spans="1:15">
      <c r="A47" s="438">
        <v>2013</v>
      </c>
      <c r="B47" s="433">
        <f t="shared" si="11"/>
        <v>1235</v>
      </c>
      <c r="C47" s="433">
        <f t="shared" si="11"/>
        <v>29001346915</v>
      </c>
      <c r="D47" s="433">
        <f t="shared" si="11"/>
        <v>178</v>
      </c>
      <c r="E47" s="433">
        <f t="shared" si="11"/>
        <v>4028594010</v>
      </c>
      <c r="F47" s="447">
        <v>902</v>
      </c>
      <c r="G47" s="447">
        <v>9205328598</v>
      </c>
      <c r="H47" s="447">
        <v>116</v>
      </c>
      <c r="I47" s="447">
        <v>1007982440</v>
      </c>
      <c r="J47" s="447">
        <v>333</v>
      </c>
      <c r="K47" s="447">
        <v>19796018317</v>
      </c>
      <c r="L47" s="447">
        <v>62</v>
      </c>
      <c r="M47" s="447">
        <v>3020611570</v>
      </c>
    </row>
    <row r="48" spans="1:15">
      <c r="A48" s="432">
        <v>2014</v>
      </c>
      <c r="B48" s="433">
        <f>SUM(F48+J48)</f>
        <v>1362</v>
      </c>
      <c r="C48" s="433">
        <f>SUM(G48+K48)</f>
        <v>31685075631</v>
      </c>
      <c r="D48" s="433">
        <f t="shared" si="11"/>
        <v>244</v>
      </c>
      <c r="E48" s="433">
        <f t="shared" si="11"/>
        <v>4322652052</v>
      </c>
      <c r="F48" s="433">
        <v>947</v>
      </c>
      <c r="G48" s="433">
        <v>8976581363</v>
      </c>
      <c r="H48" s="433">
        <v>166</v>
      </c>
      <c r="I48" s="433">
        <v>1415090565</v>
      </c>
      <c r="J48" s="433">
        <v>415</v>
      </c>
      <c r="K48" s="433">
        <v>22708494268</v>
      </c>
      <c r="L48" s="433">
        <v>78</v>
      </c>
      <c r="M48" s="433">
        <v>2907561487</v>
      </c>
    </row>
    <row r="49" spans="1:13">
      <c r="A49" s="449"/>
      <c r="B49" s="61"/>
      <c r="C49" s="61"/>
      <c r="D49" s="61"/>
      <c r="E49" s="61"/>
      <c r="F49" s="61"/>
      <c r="G49" s="61"/>
      <c r="H49" s="61"/>
      <c r="I49" s="61"/>
      <c r="J49" s="61"/>
      <c r="K49" s="61"/>
      <c r="L49" s="61"/>
      <c r="M49" s="61"/>
    </row>
    <row r="50" spans="1:13">
      <c r="A50" s="428" t="s">
        <v>1218</v>
      </c>
      <c r="B50" s="61"/>
      <c r="C50" s="61"/>
      <c r="D50" s="61"/>
      <c r="E50" s="61"/>
      <c r="F50" s="61"/>
      <c r="G50" s="61"/>
      <c r="H50" s="61"/>
      <c r="I50" s="61"/>
      <c r="J50" s="61"/>
      <c r="K50" s="61"/>
      <c r="L50" s="61"/>
      <c r="M50" s="61"/>
    </row>
    <row r="54" spans="1:13">
      <c r="F54" s="450"/>
    </row>
  </sheetData>
  <mergeCells count="10">
    <mergeCell ref="A4:A6"/>
    <mergeCell ref="B4:E4"/>
    <mergeCell ref="F4:I4"/>
    <mergeCell ref="J4:M4"/>
    <mergeCell ref="B5:C5"/>
    <mergeCell ref="D5:E5"/>
    <mergeCell ref="F5:G5"/>
    <mergeCell ref="H5:I5"/>
    <mergeCell ref="J5:K5"/>
    <mergeCell ref="L5:M5"/>
  </mergeCell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2:H11"/>
  <sheetViews>
    <sheetView zoomScaleNormal="100" workbookViewId="0">
      <selection activeCell="E23" sqref="E23"/>
    </sheetView>
  </sheetViews>
  <sheetFormatPr baseColWidth="10" defaultRowHeight="11.25"/>
  <cols>
    <col min="1" max="1" width="39.5703125" style="2" customWidth="1"/>
    <col min="2" max="16384" width="11.42578125" style="2"/>
  </cols>
  <sheetData>
    <row r="2" spans="1:8" ht="28.5" customHeight="1">
      <c r="A2" s="2063" t="s">
        <v>3173</v>
      </c>
      <c r="B2" s="2063"/>
      <c r="C2" s="2063"/>
      <c r="D2" s="2063"/>
      <c r="E2" s="2063"/>
      <c r="F2" s="2063"/>
      <c r="G2" s="2063"/>
      <c r="H2" s="2063"/>
    </row>
    <row r="3" spans="1:8">
      <c r="A3" s="3"/>
      <c r="B3" s="3"/>
      <c r="C3" s="3"/>
      <c r="D3" s="3"/>
      <c r="E3" s="3"/>
      <c r="F3" s="3"/>
      <c r="G3" s="3"/>
      <c r="H3" s="3"/>
    </row>
    <row r="4" spans="1:8">
      <c r="A4" s="2080" t="s">
        <v>995</v>
      </c>
      <c r="B4" s="2081" t="s">
        <v>671</v>
      </c>
      <c r="C4" s="2082"/>
      <c r="D4" s="2082"/>
      <c r="E4" s="2082"/>
      <c r="F4" s="2082"/>
      <c r="G4" s="2082"/>
      <c r="H4" s="2083"/>
    </row>
    <row r="5" spans="1:8" s="4" customFormat="1">
      <c r="A5" s="2080"/>
      <c r="B5" s="40">
        <v>2008</v>
      </c>
      <c r="C5" s="40">
        <v>2009</v>
      </c>
      <c r="D5" s="40">
        <v>2010</v>
      </c>
      <c r="E5" s="40">
        <v>2011</v>
      </c>
      <c r="F5" s="40">
        <v>2012</v>
      </c>
      <c r="G5" s="40">
        <v>2013</v>
      </c>
      <c r="H5" s="40">
        <v>2014</v>
      </c>
    </row>
    <row r="6" spans="1:8">
      <c r="A6" s="5" t="s">
        <v>6</v>
      </c>
      <c r="B6" s="6">
        <f t="shared" ref="B6:H6" si="0">SUM(B7+B8)</f>
        <v>3</v>
      </c>
      <c r="C6" s="6">
        <f t="shared" si="0"/>
        <v>2</v>
      </c>
      <c r="D6" s="6">
        <f t="shared" si="0"/>
        <v>0</v>
      </c>
      <c r="E6" s="6">
        <f t="shared" si="0"/>
        <v>4</v>
      </c>
      <c r="F6" s="6">
        <f t="shared" si="0"/>
        <v>5</v>
      </c>
      <c r="G6" s="6">
        <f t="shared" si="0"/>
        <v>4</v>
      </c>
      <c r="H6" s="6">
        <f t="shared" si="0"/>
        <v>5</v>
      </c>
    </row>
    <row r="7" spans="1:8">
      <c r="A7" s="1" t="s">
        <v>852</v>
      </c>
      <c r="B7" s="7">
        <v>3</v>
      </c>
      <c r="C7" s="7">
        <v>2</v>
      </c>
      <c r="D7" s="7">
        <v>0</v>
      </c>
      <c r="E7" s="7">
        <v>4</v>
      </c>
      <c r="F7" s="7">
        <v>4</v>
      </c>
      <c r="G7" s="7">
        <v>4</v>
      </c>
      <c r="H7" s="7">
        <v>3</v>
      </c>
    </row>
    <row r="8" spans="1:8">
      <c r="A8" s="1" t="s">
        <v>853</v>
      </c>
      <c r="B8" s="7">
        <v>0</v>
      </c>
      <c r="C8" s="7">
        <v>0</v>
      </c>
      <c r="D8" s="7">
        <v>0</v>
      </c>
      <c r="E8" s="7">
        <v>0</v>
      </c>
      <c r="F8" s="7">
        <v>1</v>
      </c>
      <c r="G8" s="7">
        <v>0</v>
      </c>
      <c r="H8" s="7">
        <v>2</v>
      </c>
    </row>
    <row r="9" spans="1:8">
      <c r="A9" s="1"/>
      <c r="B9" s="7"/>
      <c r="C9" s="7"/>
      <c r="D9" s="7"/>
      <c r="E9" s="7"/>
      <c r="F9" s="7"/>
      <c r="G9" s="7"/>
      <c r="H9" s="7"/>
    </row>
    <row r="10" spans="1:8">
      <c r="A10" s="1890" t="s">
        <v>747</v>
      </c>
    </row>
    <row r="11" spans="1:8">
      <c r="A11" s="2074" t="s">
        <v>861</v>
      </c>
      <c r="B11" s="2074"/>
      <c r="C11" s="2074"/>
      <c r="D11" s="2074"/>
      <c r="E11" s="2074"/>
      <c r="F11" s="2074"/>
      <c r="G11" s="2074"/>
      <c r="H11" s="2074"/>
    </row>
  </sheetData>
  <mergeCells count="4">
    <mergeCell ref="A2:H2"/>
    <mergeCell ref="A4:A5"/>
    <mergeCell ref="B4:H4"/>
    <mergeCell ref="A11:H11"/>
  </mergeCells>
  <pageMargins left="0.7" right="0.7" top="0.75" bottom="0.75" header="0.3" footer="0.3"/>
</worksheet>
</file>

<file path=xl/worksheets/sheet280.xml><?xml version="1.0" encoding="utf-8"?>
<worksheet xmlns="http://schemas.openxmlformats.org/spreadsheetml/2006/main" xmlns:r="http://schemas.openxmlformats.org/officeDocument/2006/relationships">
  <dimension ref="A2:M54"/>
  <sheetViews>
    <sheetView zoomScaleNormal="100" workbookViewId="0">
      <pane ySplit="6" topLeftCell="A7" activePane="bottomLeft" state="frozen"/>
      <selection activeCell="D44" sqref="D44"/>
      <selection pane="bottomLeft"/>
    </sheetView>
  </sheetViews>
  <sheetFormatPr baseColWidth="10" defaultRowHeight="12"/>
  <cols>
    <col min="1" max="1" width="18.42578125" style="51" customWidth="1"/>
    <col min="2" max="2" width="11.42578125" style="445"/>
    <col min="3" max="3" width="18.5703125" style="445" bestFit="1" customWidth="1"/>
    <col min="4" max="4" width="11.42578125" style="444"/>
    <col min="5" max="5" width="17.85546875" style="445" bestFit="1" customWidth="1"/>
    <col min="6" max="6" width="11.42578125" style="51"/>
    <col min="7" max="7" width="18.5703125" style="51" bestFit="1" customWidth="1"/>
    <col min="8" max="8" width="11.42578125" style="51"/>
    <col min="9" max="9" width="17.28515625" style="51" bestFit="1" customWidth="1"/>
    <col min="10" max="10" width="11.42578125" style="51"/>
    <col min="11" max="11" width="18.5703125" style="51" bestFit="1" customWidth="1"/>
    <col min="12" max="12" width="11.42578125" style="51"/>
    <col min="13" max="13" width="17.28515625" style="51" bestFit="1" customWidth="1"/>
    <col min="14" max="16384" width="11.42578125" style="51"/>
  </cols>
  <sheetData>
    <row r="2" spans="1:13">
      <c r="A2" s="65" t="s">
        <v>3243</v>
      </c>
      <c r="B2" s="66"/>
      <c r="C2" s="66"/>
      <c r="D2" s="67"/>
      <c r="E2" s="66"/>
      <c r="F2" s="68"/>
      <c r="G2" s="68"/>
      <c r="H2" s="68"/>
      <c r="I2" s="68"/>
      <c r="J2" s="68"/>
      <c r="K2" s="68"/>
      <c r="L2" s="68"/>
      <c r="M2" s="68"/>
    </row>
    <row r="3" spans="1:13" ht="8.25" customHeight="1">
      <c r="A3" s="428"/>
      <c r="B3" s="429"/>
      <c r="C3" s="60"/>
      <c r="D3" s="430"/>
      <c r="E3" s="60"/>
      <c r="F3" s="61"/>
      <c r="G3" s="61"/>
      <c r="H3" s="61"/>
      <c r="I3" s="61"/>
      <c r="J3" s="61"/>
      <c r="K3" s="61"/>
      <c r="L3" s="61"/>
      <c r="M3" s="61"/>
    </row>
    <row r="4" spans="1:13">
      <c r="A4" s="2586" t="s">
        <v>2525</v>
      </c>
      <c r="B4" s="2592" t="s">
        <v>26</v>
      </c>
      <c r="C4" s="2592"/>
      <c r="D4" s="2592"/>
      <c r="E4" s="2592"/>
      <c r="F4" s="2579" t="s">
        <v>164</v>
      </c>
      <c r="G4" s="2579"/>
      <c r="H4" s="2579"/>
      <c r="I4" s="2579"/>
      <c r="J4" s="2579" t="s">
        <v>163</v>
      </c>
      <c r="K4" s="2579"/>
      <c r="L4" s="2579"/>
      <c r="M4" s="2579"/>
    </row>
    <row r="5" spans="1:13">
      <c r="A5" s="2586"/>
      <c r="B5" s="2592" t="s">
        <v>2504</v>
      </c>
      <c r="C5" s="2592"/>
      <c r="D5" s="2592" t="s">
        <v>2506</v>
      </c>
      <c r="E5" s="2592"/>
      <c r="F5" s="2592" t="s">
        <v>2504</v>
      </c>
      <c r="G5" s="2592"/>
      <c r="H5" s="2592" t="s">
        <v>2506</v>
      </c>
      <c r="I5" s="2592"/>
      <c r="J5" s="2592" t="s">
        <v>2504</v>
      </c>
      <c r="K5" s="2592"/>
      <c r="L5" s="2592" t="s">
        <v>2506</v>
      </c>
      <c r="M5" s="2592"/>
    </row>
    <row r="6" spans="1:13">
      <c r="A6" s="2586"/>
      <c r="B6" s="334" t="s">
        <v>2528</v>
      </c>
      <c r="C6" s="334" t="s">
        <v>2529</v>
      </c>
      <c r="D6" s="431" t="s">
        <v>2528</v>
      </c>
      <c r="E6" s="334" t="s">
        <v>2529</v>
      </c>
      <c r="F6" s="334" t="s">
        <v>2528</v>
      </c>
      <c r="G6" s="334" t="s">
        <v>2529</v>
      </c>
      <c r="H6" s="334" t="s">
        <v>2528</v>
      </c>
      <c r="I6" s="334" t="s">
        <v>2529</v>
      </c>
      <c r="J6" s="334" t="s">
        <v>2528</v>
      </c>
      <c r="K6" s="334" t="s">
        <v>2529</v>
      </c>
      <c r="L6" s="334" t="s">
        <v>2528</v>
      </c>
      <c r="M6" s="334" t="s">
        <v>2529</v>
      </c>
    </row>
    <row r="7" spans="1:13">
      <c r="A7" s="395" t="s">
        <v>6</v>
      </c>
      <c r="B7" s="379">
        <f>SUM(B8:B13)</f>
        <v>42727</v>
      </c>
      <c r="C7" s="379">
        <f>SUM(C8:C13)</f>
        <v>319548575820.70001</v>
      </c>
      <c r="D7" s="379">
        <f>SUM(D8:D13)</f>
        <v>8117</v>
      </c>
      <c r="E7" s="379">
        <f>SUM(E8:E13)</f>
        <v>55630845317.041008</v>
      </c>
      <c r="F7" s="379">
        <f t="shared" ref="F7:M7" si="0">SUM(F8:F13)</f>
        <v>16704</v>
      </c>
      <c r="G7" s="379">
        <f t="shared" si="0"/>
        <v>124666646239</v>
      </c>
      <c r="H7" s="379">
        <f t="shared" si="0"/>
        <v>3322</v>
      </c>
      <c r="I7" s="379">
        <f t="shared" si="0"/>
        <v>23032196071.591003</v>
      </c>
      <c r="J7" s="379">
        <f t="shared" si="0"/>
        <v>26023</v>
      </c>
      <c r="K7" s="379">
        <f t="shared" si="0"/>
        <v>194881929581.70001</v>
      </c>
      <c r="L7" s="379">
        <f t="shared" si="0"/>
        <v>4795</v>
      </c>
      <c r="M7" s="379">
        <f t="shared" si="0"/>
        <v>32598649245.450001</v>
      </c>
    </row>
    <row r="8" spans="1:13">
      <c r="A8" s="432">
        <v>2009</v>
      </c>
      <c r="B8" s="379">
        <f>SUM(B15+B22+B29+B36+B43)</f>
        <v>6333</v>
      </c>
      <c r="C8" s="379">
        <f t="shared" ref="B8:M13" si="1">SUM(C15+C22+C29+C36+C43)</f>
        <v>45311043831</v>
      </c>
      <c r="D8" s="379">
        <f t="shared" si="1"/>
        <v>1352</v>
      </c>
      <c r="E8" s="379">
        <f t="shared" si="1"/>
        <v>8900142587.441</v>
      </c>
      <c r="F8" s="379">
        <f t="shared" si="1"/>
        <v>2350</v>
      </c>
      <c r="G8" s="379">
        <f t="shared" si="1"/>
        <v>16104428479</v>
      </c>
      <c r="H8" s="379">
        <f t="shared" si="1"/>
        <v>543</v>
      </c>
      <c r="I8" s="379">
        <f t="shared" si="1"/>
        <v>3607659184.441</v>
      </c>
      <c r="J8" s="379">
        <f t="shared" si="1"/>
        <v>3983</v>
      </c>
      <c r="K8" s="379">
        <f t="shared" si="1"/>
        <v>29206615352</v>
      </c>
      <c r="L8" s="379">
        <f t="shared" si="1"/>
        <v>809</v>
      </c>
      <c r="M8" s="379">
        <f t="shared" si="1"/>
        <v>5292483403</v>
      </c>
    </row>
    <row r="9" spans="1:13">
      <c r="A9" s="432">
        <v>2010</v>
      </c>
      <c r="B9" s="379">
        <f t="shared" si="1"/>
        <v>5084</v>
      </c>
      <c r="C9" s="379">
        <f t="shared" si="1"/>
        <v>46140168508</v>
      </c>
      <c r="D9" s="379">
        <f>SUM(D16+D23+D30+D37+D44)</f>
        <v>1207</v>
      </c>
      <c r="E9" s="379">
        <f t="shared" si="1"/>
        <v>9115921828</v>
      </c>
      <c r="F9" s="379">
        <f t="shared" si="1"/>
        <v>2025</v>
      </c>
      <c r="G9" s="379">
        <f t="shared" si="1"/>
        <v>16929373777</v>
      </c>
      <c r="H9" s="379">
        <f t="shared" si="1"/>
        <v>490</v>
      </c>
      <c r="I9" s="379">
        <f t="shared" si="1"/>
        <v>3542792350</v>
      </c>
      <c r="J9" s="379">
        <f>SUM(J16+J23+J30+J37+J44)</f>
        <v>3059</v>
      </c>
      <c r="K9" s="379">
        <f t="shared" si="1"/>
        <v>29210794731</v>
      </c>
      <c r="L9" s="379">
        <f>SUM(L16+L23+L30+L37+L44)</f>
        <v>717</v>
      </c>
      <c r="M9" s="379">
        <f t="shared" si="1"/>
        <v>5573129478</v>
      </c>
    </row>
    <row r="10" spans="1:13">
      <c r="A10" s="432">
        <v>2011</v>
      </c>
      <c r="B10" s="379">
        <f t="shared" si="1"/>
        <v>5685</v>
      </c>
      <c r="C10" s="379">
        <f t="shared" si="1"/>
        <v>35481802154.699997</v>
      </c>
      <c r="D10" s="379">
        <f t="shared" si="1"/>
        <v>1288</v>
      </c>
      <c r="E10" s="379">
        <f t="shared" si="1"/>
        <v>8268452822.6999998</v>
      </c>
      <c r="F10" s="379">
        <f t="shared" si="1"/>
        <v>2140</v>
      </c>
      <c r="G10" s="379">
        <f t="shared" si="1"/>
        <v>13667571154</v>
      </c>
      <c r="H10" s="379">
        <f t="shared" si="1"/>
        <v>501</v>
      </c>
      <c r="I10" s="379">
        <f t="shared" si="1"/>
        <v>3268874764</v>
      </c>
      <c r="J10" s="379">
        <f t="shared" si="1"/>
        <v>3545</v>
      </c>
      <c r="K10" s="379">
        <f t="shared" si="1"/>
        <v>21814231000.700001</v>
      </c>
      <c r="L10" s="379">
        <f t="shared" si="1"/>
        <v>787</v>
      </c>
      <c r="M10" s="379">
        <f t="shared" si="1"/>
        <v>4999578058.6999998</v>
      </c>
    </row>
    <row r="11" spans="1:13">
      <c r="A11" s="432">
        <v>2012</v>
      </c>
      <c r="B11" s="379">
        <f t="shared" si="1"/>
        <v>8806</v>
      </c>
      <c r="C11" s="379">
        <f t="shared" si="1"/>
        <v>63294134262</v>
      </c>
      <c r="D11" s="379">
        <f t="shared" si="1"/>
        <v>1099</v>
      </c>
      <c r="E11" s="379">
        <f t="shared" si="1"/>
        <v>7930653941</v>
      </c>
      <c r="F11" s="379">
        <f t="shared" si="1"/>
        <v>3474</v>
      </c>
      <c r="G11" s="379">
        <f t="shared" si="1"/>
        <v>25460667928</v>
      </c>
      <c r="H11" s="379">
        <f t="shared" si="1"/>
        <v>431</v>
      </c>
      <c r="I11" s="379">
        <f t="shared" si="1"/>
        <v>3285203435</v>
      </c>
      <c r="J11" s="379">
        <f t="shared" si="1"/>
        <v>5332</v>
      </c>
      <c r="K11" s="379">
        <f t="shared" si="1"/>
        <v>37833466334</v>
      </c>
      <c r="L11" s="379">
        <f t="shared" si="1"/>
        <v>668</v>
      </c>
      <c r="M11" s="379">
        <f t="shared" si="1"/>
        <v>4645450506</v>
      </c>
    </row>
    <row r="12" spans="1:13">
      <c r="A12" s="432">
        <v>2013</v>
      </c>
      <c r="B12" s="379">
        <f>SUM(B19+B26+B33+B40+B47)</f>
        <v>8121</v>
      </c>
      <c r="C12" s="379">
        <f t="shared" si="1"/>
        <v>62627607907</v>
      </c>
      <c r="D12" s="379">
        <f t="shared" si="1"/>
        <v>1508</v>
      </c>
      <c r="E12" s="379">
        <f t="shared" si="1"/>
        <v>10221048146</v>
      </c>
      <c r="F12" s="379">
        <f t="shared" si="1"/>
        <v>3209</v>
      </c>
      <c r="G12" s="379">
        <f t="shared" si="1"/>
        <v>25184607668</v>
      </c>
      <c r="H12" s="379">
        <f t="shared" si="1"/>
        <v>662</v>
      </c>
      <c r="I12" s="379">
        <f t="shared" si="1"/>
        <v>4420098433</v>
      </c>
      <c r="J12" s="379">
        <f>SUM(J19+J26+J33+J40+J47)</f>
        <v>4912</v>
      </c>
      <c r="K12" s="379">
        <f t="shared" si="1"/>
        <v>37443000239</v>
      </c>
      <c r="L12" s="379">
        <f t="shared" si="1"/>
        <v>846</v>
      </c>
      <c r="M12" s="379">
        <f t="shared" si="1"/>
        <v>5800949713</v>
      </c>
    </row>
    <row r="13" spans="1:13">
      <c r="A13" s="432">
        <v>2014</v>
      </c>
      <c r="B13" s="433">
        <f>SUM(B20+B27+B34+B41+B48)</f>
        <v>8698</v>
      </c>
      <c r="C13" s="433">
        <f t="shared" si="1"/>
        <v>66693819158</v>
      </c>
      <c r="D13" s="434">
        <f>SUM(D20+D27+D34+D41+D48)</f>
        <v>1663</v>
      </c>
      <c r="E13" s="433">
        <f t="shared" si="1"/>
        <v>11194625991.900002</v>
      </c>
      <c r="F13" s="433">
        <f>SUM(F20+F27+F34+F41+F48)</f>
        <v>3506</v>
      </c>
      <c r="G13" s="433">
        <f t="shared" si="1"/>
        <v>27319997233</v>
      </c>
      <c r="H13" s="433">
        <f>SUM(H20+H27+H34+H41+H48)</f>
        <v>695</v>
      </c>
      <c r="I13" s="433">
        <f t="shared" si="1"/>
        <v>4907567905.1499996</v>
      </c>
      <c r="J13" s="433">
        <f t="shared" si="1"/>
        <v>5192</v>
      </c>
      <c r="K13" s="433">
        <f t="shared" si="1"/>
        <v>39373821925</v>
      </c>
      <c r="L13" s="433">
        <f t="shared" si="1"/>
        <v>968</v>
      </c>
      <c r="M13" s="433">
        <f t="shared" si="1"/>
        <v>6287058086.75</v>
      </c>
    </row>
    <row r="14" spans="1:13">
      <c r="A14" s="435" t="s">
        <v>2530</v>
      </c>
      <c r="B14" s="436">
        <f t="shared" ref="B14:J14" si="2">SUM(B15:B20)</f>
        <v>8315</v>
      </c>
      <c r="C14" s="436">
        <f t="shared" si="2"/>
        <v>97108882484</v>
      </c>
      <c r="D14" s="436">
        <f t="shared" si="2"/>
        <v>1314</v>
      </c>
      <c r="E14" s="436">
        <f t="shared" si="2"/>
        <v>14950617898</v>
      </c>
      <c r="F14" s="436">
        <f t="shared" si="2"/>
        <v>4308</v>
      </c>
      <c r="G14" s="436">
        <f t="shared" si="2"/>
        <v>43900277143</v>
      </c>
      <c r="H14" s="436">
        <f t="shared" si="2"/>
        <v>699</v>
      </c>
      <c r="I14" s="436">
        <f t="shared" si="2"/>
        <v>6910707519</v>
      </c>
      <c r="J14" s="436">
        <f t="shared" si="2"/>
        <v>4007</v>
      </c>
      <c r="K14" s="436">
        <f>SUM(K15:K20)</f>
        <v>53208605341</v>
      </c>
      <c r="L14" s="436">
        <f>SUM(L15:L20)</f>
        <v>615</v>
      </c>
      <c r="M14" s="437">
        <f>SUM(M15:M20)</f>
        <v>8039910379</v>
      </c>
    </row>
    <row r="15" spans="1:13">
      <c r="A15" s="438">
        <v>2009</v>
      </c>
      <c r="B15" s="379">
        <f t="shared" ref="B15:E19" si="3">SUM(F15+J15)</f>
        <v>1167</v>
      </c>
      <c r="C15" s="379">
        <f t="shared" si="3"/>
        <v>11902553717</v>
      </c>
      <c r="D15" s="379">
        <f>SUM(H15+L15)</f>
        <v>222</v>
      </c>
      <c r="E15" s="379">
        <f t="shared" si="3"/>
        <v>2055834495</v>
      </c>
      <c r="F15" s="382">
        <v>609</v>
      </c>
      <c r="G15" s="382">
        <v>5325542649</v>
      </c>
      <c r="H15" s="382">
        <v>136</v>
      </c>
      <c r="I15" s="382">
        <v>1056210954</v>
      </c>
      <c r="J15" s="382">
        <v>558</v>
      </c>
      <c r="K15" s="382">
        <v>6577011068</v>
      </c>
      <c r="L15" s="382">
        <v>86</v>
      </c>
      <c r="M15" s="382">
        <v>999623541</v>
      </c>
    </row>
    <row r="16" spans="1:13">
      <c r="A16" s="438">
        <v>2010</v>
      </c>
      <c r="B16" s="379">
        <f t="shared" si="3"/>
        <v>1158</v>
      </c>
      <c r="C16" s="379">
        <f>SUM(G16+K16)</f>
        <v>15615915333</v>
      </c>
      <c r="D16" s="379">
        <f t="shared" si="3"/>
        <v>208</v>
      </c>
      <c r="E16" s="379">
        <f t="shared" si="3"/>
        <v>2386309480</v>
      </c>
      <c r="F16" s="382">
        <v>611</v>
      </c>
      <c r="G16" s="382">
        <v>6876236865</v>
      </c>
      <c r="H16" s="382">
        <v>109</v>
      </c>
      <c r="I16" s="382">
        <v>1015197443</v>
      </c>
      <c r="J16" s="382">
        <v>547</v>
      </c>
      <c r="K16" s="382">
        <v>8739678468</v>
      </c>
      <c r="L16" s="382">
        <v>99</v>
      </c>
      <c r="M16" s="382">
        <v>1371112037</v>
      </c>
    </row>
    <row r="17" spans="1:13">
      <c r="A17" s="438">
        <v>2011</v>
      </c>
      <c r="B17" s="379">
        <f t="shared" si="3"/>
        <v>938</v>
      </c>
      <c r="C17" s="379">
        <f t="shared" si="3"/>
        <v>9221265563</v>
      </c>
      <c r="D17" s="379">
        <f t="shared" si="3"/>
        <v>190</v>
      </c>
      <c r="E17" s="379">
        <f t="shared" si="3"/>
        <v>2096373020</v>
      </c>
      <c r="F17" s="382">
        <v>490</v>
      </c>
      <c r="G17" s="382">
        <v>4022399183</v>
      </c>
      <c r="H17" s="382">
        <v>104</v>
      </c>
      <c r="I17" s="382">
        <v>964652622</v>
      </c>
      <c r="J17" s="382">
        <v>448</v>
      </c>
      <c r="K17" s="382">
        <v>5198866380</v>
      </c>
      <c r="L17" s="382">
        <v>86</v>
      </c>
      <c r="M17" s="382">
        <v>1131720398</v>
      </c>
    </row>
    <row r="18" spans="1:13">
      <c r="A18" s="438">
        <v>2012</v>
      </c>
      <c r="B18" s="379">
        <f t="shared" si="3"/>
        <v>1587</v>
      </c>
      <c r="C18" s="379">
        <f t="shared" si="3"/>
        <v>21054540767</v>
      </c>
      <c r="D18" s="379">
        <f t="shared" si="3"/>
        <v>154</v>
      </c>
      <c r="E18" s="379">
        <f t="shared" si="3"/>
        <v>2224647267</v>
      </c>
      <c r="F18" s="382">
        <v>826</v>
      </c>
      <c r="G18" s="382">
        <v>9432142880</v>
      </c>
      <c r="H18" s="382">
        <v>71</v>
      </c>
      <c r="I18" s="382">
        <v>1017882854</v>
      </c>
      <c r="J18" s="382">
        <v>761</v>
      </c>
      <c r="K18" s="382">
        <v>11622397887</v>
      </c>
      <c r="L18" s="382">
        <v>83</v>
      </c>
      <c r="M18" s="382">
        <v>1206764413</v>
      </c>
    </row>
    <row r="19" spans="1:13">
      <c r="A19" s="438">
        <v>2013</v>
      </c>
      <c r="B19" s="379">
        <f t="shared" si="3"/>
        <v>1652</v>
      </c>
      <c r="C19" s="379">
        <f t="shared" si="3"/>
        <v>18864317086</v>
      </c>
      <c r="D19" s="379">
        <f t="shared" si="3"/>
        <v>257</v>
      </c>
      <c r="E19" s="379">
        <f t="shared" si="3"/>
        <v>3000468300</v>
      </c>
      <c r="F19" s="382">
        <v>823</v>
      </c>
      <c r="G19" s="382">
        <v>8716288688</v>
      </c>
      <c r="H19" s="382">
        <v>122</v>
      </c>
      <c r="I19" s="382">
        <v>1213480234</v>
      </c>
      <c r="J19" s="382">
        <v>829</v>
      </c>
      <c r="K19" s="382">
        <v>10148028398</v>
      </c>
      <c r="L19" s="382">
        <v>135</v>
      </c>
      <c r="M19" s="382">
        <v>1786988066</v>
      </c>
    </row>
    <row r="20" spans="1:13">
      <c r="A20" s="438">
        <v>2014</v>
      </c>
      <c r="B20" s="433">
        <f>SUM(F20+J20)</f>
        <v>1813</v>
      </c>
      <c r="C20" s="433">
        <f>SUM(G20+K20)</f>
        <v>20450290018</v>
      </c>
      <c r="D20" s="434">
        <f>SUM(H20+L20)</f>
        <v>283</v>
      </c>
      <c r="E20" s="433">
        <f>SUM(I20+M20)</f>
        <v>3186985336</v>
      </c>
      <c r="F20" s="439">
        <v>949</v>
      </c>
      <c r="G20" s="439">
        <v>9527666878</v>
      </c>
      <c r="H20" s="439">
        <v>157</v>
      </c>
      <c r="I20" s="439">
        <v>1643283412</v>
      </c>
      <c r="J20" s="439">
        <v>864</v>
      </c>
      <c r="K20" s="439">
        <v>10922623140</v>
      </c>
      <c r="L20" s="439">
        <v>126</v>
      </c>
      <c r="M20" s="439">
        <v>1543701924</v>
      </c>
    </row>
    <row r="21" spans="1:13">
      <c r="A21" s="435" t="s">
        <v>2531</v>
      </c>
      <c r="B21" s="436">
        <f>SUM(B22:B27)</f>
        <v>12207</v>
      </c>
      <c r="C21" s="436">
        <f>SUM(C22:C27)</f>
        <v>85584078182</v>
      </c>
      <c r="D21" s="436">
        <f>SUM(D22:D27)</f>
        <v>2815</v>
      </c>
      <c r="E21" s="436">
        <f>SUM(E22:E27)</f>
        <v>18100275412.799999</v>
      </c>
      <c r="F21" s="436">
        <f>SUM(F22:F27)</f>
        <v>5573</v>
      </c>
      <c r="G21" s="436">
        <f t="shared" ref="G21:L21" si="4">SUM(G22:G27)</f>
        <v>39586868285</v>
      </c>
      <c r="H21" s="436">
        <f>SUM(H22:H27)</f>
        <v>1314</v>
      </c>
      <c r="I21" s="436">
        <f t="shared" si="4"/>
        <v>8687414927.75</v>
      </c>
      <c r="J21" s="436">
        <f>SUM(J22:J27)</f>
        <v>6634</v>
      </c>
      <c r="K21" s="436">
        <f>SUM(K22:K27)</f>
        <v>45997209897</v>
      </c>
      <c r="L21" s="436">
        <f t="shared" si="4"/>
        <v>1501</v>
      </c>
      <c r="M21" s="437">
        <f>SUM(M22:M27)</f>
        <v>9412860485.0499992</v>
      </c>
    </row>
    <row r="22" spans="1:13">
      <c r="A22" s="438">
        <v>2009</v>
      </c>
      <c r="B22" s="379">
        <f t="shared" ref="B22:E26" si="5">SUM(F22+J22)</f>
        <v>1571</v>
      </c>
      <c r="C22" s="379">
        <f>SUM(G22+K22)</f>
        <v>10118713064</v>
      </c>
      <c r="D22" s="379">
        <f>SUM(H22+L22)</f>
        <v>415</v>
      </c>
      <c r="E22" s="379">
        <f>SUM(I22+M22)</f>
        <v>2500815839</v>
      </c>
      <c r="F22" s="382">
        <v>738</v>
      </c>
      <c r="G22" s="382">
        <v>4887271105</v>
      </c>
      <c r="H22" s="382">
        <v>181</v>
      </c>
      <c r="I22" s="382">
        <v>1114606857</v>
      </c>
      <c r="J22" s="382">
        <v>833</v>
      </c>
      <c r="K22" s="382">
        <v>5231441959</v>
      </c>
      <c r="L22" s="382">
        <v>234</v>
      </c>
      <c r="M22" s="382">
        <v>1386208982</v>
      </c>
    </row>
    <row r="23" spans="1:13">
      <c r="A23" s="438">
        <v>2010</v>
      </c>
      <c r="B23" s="379">
        <f t="shared" si="5"/>
        <v>1664</v>
      </c>
      <c r="C23" s="379">
        <f t="shared" si="5"/>
        <v>11882143805</v>
      </c>
      <c r="D23" s="379">
        <f t="shared" si="5"/>
        <v>401</v>
      </c>
      <c r="E23" s="379">
        <f t="shared" si="5"/>
        <v>2601725891</v>
      </c>
      <c r="F23" s="382">
        <v>722</v>
      </c>
      <c r="G23" s="382">
        <v>5177112435</v>
      </c>
      <c r="H23" s="382">
        <v>178</v>
      </c>
      <c r="I23" s="382">
        <v>1195206988</v>
      </c>
      <c r="J23" s="382">
        <v>942</v>
      </c>
      <c r="K23" s="382">
        <v>6705031370</v>
      </c>
      <c r="L23" s="382">
        <v>223</v>
      </c>
      <c r="M23" s="382">
        <v>1406518903</v>
      </c>
    </row>
    <row r="24" spans="1:13">
      <c r="A24" s="438">
        <v>2011</v>
      </c>
      <c r="B24" s="379">
        <f t="shared" si="5"/>
        <v>1460</v>
      </c>
      <c r="C24" s="379">
        <f t="shared" si="5"/>
        <v>9642484434</v>
      </c>
      <c r="D24" s="379">
        <f>SUM(H24+L24)</f>
        <v>446</v>
      </c>
      <c r="E24" s="379">
        <f>SUM(I24+M24)</f>
        <v>2780166391</v>
      </c>
      <c r="F24" s="382">
        <v>639</v>
      </c>
      <c r="G24" s="382">
        <v>4345314203</v>
      </c>
      <c r="H24" s="382">
        <v>208</v>
      </c>
      <c r="I24" s="382">
        <v>1299597035</v>
      </c>
      <c r="J24" s="382">
        <v>821</v>
      </c>
      <c r="K24" s="382">
        <v>5297170231</v>
      </c>
      <c r="L24" s="382">
        <v>238</v>
      </c>
      <c r="M24" s="382">
        <v>1480569356</v>
      </c>
    </row>
    <row r="25" spans="1:13">
      <c r="A25" s="438">
        <v>2012</v>
      </c>
      <c r="B25" s="379">
        <f t="shared" si="5"/>
        <v>2613</v>
      </c>
      <c r="C25" s="379">
        <f t="shared" si="5"/>
        <v>17040091976</v>
      </c>
      <c r="D25" s="379">
        <f t="shared" si="5"/>
        <v>435</v>
      </c>
      <c r="E25" s="379">
        <f>SUM(I25+M25)</f>
        <v>2930214260</v>
      </c>
      <c r="F25" s="382">
        <v>1174</v>
      </c>
      <c r="G25" s="382">
        <v>7911332679</v>
      </c>
      <c r="H25" s="382">
        <v>190</v>
      </c>
      <c r="I25" s="382">
        <v>1382869325</v>
      </c>
      <c r="J25" s="382">
        <v>1439</v>
      </c>
      <c r="K25" s="382">
        <v>9128759297</v>
      </c>
      <c r="L25" s="382">
        <v>245</v>
      </c>
      <c r="M25" s="382">
        <v>1547344935</v>
      </c>
    </row>
    <row r="26" spans="1:13">
      <c r="A26" s="438">
        <v>2013</v>
      </c>
      <c r="B26" s="379">
        <f t="shared" si="5"/>
        <v>2340</v>
      </c>
      <c r="C26" s="379">
        <f t="shared" si="5"/>
        <v>17056369059</v>
      </c>
      <c r="D26" s="379">
        <f t="shared" si="5"/>
        <v>572</v>
      </c>
      <c r="E26" s="379">
        <f>SUM(I26+M26)</f>
        <v>3630551026</v>
      </c>
      <c r="F26" s="382">
        <v>1105</v>
      </c>
      <c r="G26" s="382">
        <v>8087036333</v>
      </c>
      <c r="H26" s="382">
        <v>293</v>
      </c>
      <c r="I26" s="382">
        <v>1911235332</v>
      </c>
      <c r="J26" s="382">
        <v>1235</v>
      </c>
      <c r="K26" s="382">
        <v>8969332726</v>
      </c>
      <c r="L26" s="382">
        <v>279</v>
      </c>
      <c r="M26" s="382">
        <v>1719315694</v>
      </c>
    </row>
    <row r="27" spans="1:13">
      <c r="A27" s="438">
        <v>2014</v>
      </c>
      <c r="B27" s="433">
        <f>SUM(F27+J27)</f>
        <v>2559</v>
      </c>
      <c r="C27" s="433">
        <f>SUM(G27+K27)</f>
        <v>19844275844</v>
      </c>
      <c r="D27" s="434">
        <f>SUM(H27+L27)</f>
        <v>546</v>
      </c>
      <c r="E27" s="433">
        <f>SUM(I27+M27)</f>
        <v>3656802005.8000002</v>
      </c>
      <c r="F27" s="439">
        <v>1195</v>
      </c>
      <c r="G27" s="439">
        <v>9178801530</v>
      </c>
      <c r="H27" s="439">
        <v>264</v>
      </c>
      <c r="I27" s="439">
        <v>1783899390.75</v>
      </c>
      <c r="J27" s="439">
        <v>1364</v>
      </c>
      <c r="K27" s="439">
        <v>10665474314</v>
      </c>
      <c r="L27" s="439">
        <v>282</v>
      </c>
      <c r="M27" s="439">
        <v>1872902615.0500002</v>
      </c>
    </row>
    <row r="28" spans="1:13">
      <c r="A28" s="435" t="s">
        <v>2532</v>
      </c>
      <c r="B28" s="436">
        <f>SUM(B29:B34)</f>
        <v>9859</v>
      </c>
      <c r="C28" s="436">
        <f>SUM(C29:C34)</f>
        <v>46934522985</v>
      </c>
      <c r="D28" s="436">
        <f>SUM(D29:D34)</f>
        <v>1634</v>
      </c>
      <c r="E28" s="436">
        <f>SUM(E29:E34)</f>
        <v>7718276558</v>
      </c>
      <c r="F28" s="436">
        <f>SUM(F29:F34)</f>
        <v>3810</v>
      </c>
      <c r="G28" s="436">
        <f t="shared" ref="G28:M28" si="6">SUM(G29:G34)</f>
        <v>19347334223</v>
      </c>
      <c r="H28" s="436">
        <f>SUM(H29:H34)</f>
        <v>683</v>
      </c>
      <c r="I28" s="436">
        <f t="shared" si="6"/>
        <v>3265899240</v>
      </c>
      <c r="J28" s="436">
        <f t="shared" si="6"/>
        <v>6049</v>
      </c>
      <c r="K28" s="436">
        <f t="shared" si="6"/>
        <v>27587188762</v>
      </c>
      <c r="L28" s="436">
        <f>SUM(L29:L34)</f>
        <v>951</v>
      </c>
      <c r="M28" s="437">
        <f t="shared" si="6"/>
        <v>4452377318</v>
      </c>
    </row>
    <row r="29" spans="1:13">
      <c r="A29" s="438">
        <v>2009</v>
      </c>
      <c r="B29" s="379">
        <f t="shared" ref="B29:E33" si="7">SUM(F29+J29)</f>
        <v>1474</v>
      </c>
      <c r="C29" s="379">
        <f t="shared" si="7"/>
        <v>6530090407</v>
      </c>
      <c r="D29" s="379">
        <f t="shared" si="7"/>
        <v>291</v>
      </c>
      <c r="E29" s="379">
        <f t="shared" si="7"/>
        <v>1434405867</v>
      </c>
      <c r="F29" s="382">
        <v>506</v>
      </c>
      <c r="G29" s="382">
        <v>2333030378</v>
      </c>
      <c r="H29" s="382">
        <v>113</v>
      </c>
      <c r="I29" s="382">
        <v>552534125</v>
      </c>
      <c r="J29" s="382">
        <v>968</v>
      </c>
      <c r="K29" s="382">
        <v>4197060029</v>
      </c>
      <c r="L29" s="382">
        <v>178</v>
      </c>
      <c r="M29" s="382">
        <v>881871742</v>
      </c>
    </row>
    <row r="30" spans="1:13" ht="13.5">
      <c r="A30" s="440" t="s">
        <v>3452</v>
      </c>
      <c r="B30" s="379">
        <f t="shared" si="7"/>
        <v>835</v>
      </c>
      <c r="C30" s="379">
        <f t="shared" si="7"/>
        <v>5781928430</v>
      </c>
      <c r="D30" s="379">
        <f t="shared" si="7"/>
        <v>212</v>
      </c>
      <c r="E30" s="379">
        <f t="shared" si="7"/>
        <v>1401871126</v>
      </c>
      <c r="F30" s="382">
        <v>348</v>
      </c>
      <c r="G30" s="382">
        <v>2367547658</v>
      </c>
      <c r="H30" s="382">
        <v>105</v>
      </c>
      <c r="I30" s="382">
        <v>694214578</v>
      </c>
      <c r="J30" s="382">
        <v>487</v>
      </c>
      <c r="K30" s="382">
        <v>3414380772</v>
      </c>
      <c r="L30" s="382">
        <v>107</v>
      </c>
      <c r="M30" s="382">
        <v>707656548</v>
      </c>
    </row>
    <row r="31" spans="1:13">
      <c r="A31" s="438">
        <v>2011</v>
      </c>
      <c r="B31" s="379">
        <f t="shared" si="7"/>
        <v>1767</v>
      </c>
      <c r="C31" s="379">
        <f t="shared" si="7"/>
        <v>8039673887</v>
      </c>
      <c r="D31" s="379">
        <f t="shared" si="7"/>
        <v>315</v>
      </c>
      <c r="E31" s="379">
        <f t="shared" si="7"/>
        <v>1589602127</v>
      </c>
      <c r="F31" s="382">
        <v>650</v>
      </c>
      <c r="G31" s="382">
        <v>3258280361</v>
      </c>
      <c r="H31" s="382">
        <v>110</v>
      </c>
      <c r="I31" s="382">
        <v>576730477</v>
      </c>
      <c r="J31" s="382">
        <v>1117</v>
      </c>
      <c r="K31" s="382">
        <v>4781393526</v>
      </c>
      <c r="L31" s="382">
        <v>205</v>
      </c>
      <c r="M31" s="382">
        <v>1012871650</v>
      </c>
    </row>
    <row r="32" spans="1:13">
      <c r="A32" s="438">
        <v>2012</v>
      </c>
      <c r="B32" s="379">
        <f t="shared" si="7"/>
        <v>2248</v>
      </c>
      <c r="C32" s="379">
        <f t="shared" si="7"/>
        <v>10306171280</v>
      </c>
      <c r="D32" s="379">
        <f t="shared" si="7"/>
        <v>200</v>
      </c>
      <c r="E32" s="379">
        <f t="shared" si="7"/>
        <v>826930848</v>
      </c>
      <c r="F32" s="382">
        <v>863</v>
      </c>
      <c r="G32" s="382">
        <v>4176515925</v>
      </c>
      <c r="H32" s="382">
        <v>75</v>
      </c>
      <c r="I32" s="382">
        <v>300914608</v>
      </c>
      <c r="J32" s="382">
        <v>1385</v>
      </c>
      <c r="K32" s="382">
        <v>6129655355</v>
      </c>
      <c r="L32" s="382">
        <v>125</v>
      </c>
      <c r="M32" s="382">
        <v>526016240</v>
      </c>
    </row>
    <row r="33" spans="1:13">
      <c r="A33" s="438">
        <v>2013</v>
      </c>
      <c r="B33" s="379">
        <f t="shared" si="7"/>
        <v>1781</v>
      </c>
      <c r="C33" s="379">
        <f t="shared" si="7"/>
        <v>8061146805</v>
      </c>
      <c r="D33" s="379">
        <f t="shared" si="7"/>
        <v>294</v>
      </c>
      <c r="E33" s="379">
        <f t="shared" si="7"/>
        <v>1196926399</v>
      </c>
      <c r="F33" s="382">
        <v>701</v>
      </c>
      <c r="G33" s="382">
        <v>3511934333</v>
      </c>
      <c r="H33" s="382">
        <v>143</v>
      </c>
      <c r="I33" s="382">
        <v>609637825</v>
      </c>
      <c r="J33" s="382">
        <v>1080</v>
      </c>
      <c r="K33" s="382">
        <v>4549212472</v>
      </c>
      <c r="L33" s="382">
        <v>151</v>
      </c>
      <c r="M33" s="382">
        <v>587288574</v>
      </c>
    </row>
    <row r="34" spans="1:13">
      <c r="A34" s="438">
        <v>2014</v>
      </c>
      <c r="B34" s="433">
        <f>SUM(F34+J34)</f>
        <v>1754</v>
      </c>
      <c r="C34" s="433">
        <f>SUM(G34+K34)</f>
        <v>8215512176</v>
      </c>
      <c r="D34" s="434">
        <f>SUM(H34+L34)</f>
        <v>322</v>
      </c>
      <c r="E34" s="433">
        <f>SUM(I34+M34)</f>
        <v>1268540191</v>
      </c>
      <c r="F34" s="439">
        <v>742</v>
      </c>
      <c r="G34" s="439">
        <v>3700025568</v>
      </c>
      <c r="H34" s="439">
        <v>137</v>
      </c>
      <c r="I34" s="439">
        <v>531867627</v>
      </c>
      <c r="J34" s="439">
        <v>1012</v>
      </c>
      <c r="K34" s="439">
        <v>4515486608</v>
      </c>
      <c r="L34" s="439">
        <v>185</v>
      </c>
      <c r="M34" s="439">
        <v>736672564</v>
      </c>
    </row>
    <row r="35" spans="1:13">
      <c r="A35" s="435" t="s">
        <v>2533</v>
      </c>
      <c r="B35" s="436">
        <f t="shared" ref="B35:M35" si="8">SUM(B36:B41)</f>
        <v>7451</v>
      </c>
      <c r="C35" s="436">
        <f t="shared" si="8"/>
        <v>42862654267.699997</v>
      </c>
      <c r="D35" s="436">
        <f t="shared" si="8"/>
        <v>1603</v>
      </c>
      <c r="E35" s="436">
        <f t="shared" si="8"/>
        <v>7767675096.8000002</v>
      </c>
      <c r="F35" s="436">
        <f t="shared" si="8"/>
        <v>1597</v>
      </c>
      <c r="G35" s="436">
        <f t="shared" si="8"/>
        <v>9291518472</v>
      </c>
      <c r="H35" s="436">
        <f t="shared" si="8"/>
        <v>383</v>
      </c>
      <c r="I35" s="436">
        <f t="shared" si="8"/>
        <v>1892630377.4000001</v>
      </c>
      <c r="J35" s="436">
        <f t="shared" si="8"/>
        <v>5854</v>
      </c>
      <c r="K35" s="436">
        <f t="shared" si="8"/>
        <v>33571135795.700001</v>
      </c>
      <c r="L35" s="436">
        <f t="shared" si="8"/>
        <v>1220</v>
      </c>
      <c r="M35" s="437">
        <f t="shared" si="8"/>
        <v>5875044719.3999996</v>
      </c>
    </row>
    <row r="36" spans="1:13">
      <c r="A36" s="438">
        <v>2009</v>
      </c>
      <c r="B36" s="379">
        <f t="shared" ref="B36:E40" si="9">SUM(F36+J36)</f>
        <v>1219</v>
      </c>
      <c r="C36" s="379">
        <f t="shared" si="9"/>
        <v>7397148313</v>
      </c>
      <c r="D36" s="379">
        <f t="shared" si="9"/>
        <v>291</v>
      </c>
      <c r="E36" s="379">
        <f t="shared" si="9"/>
        <v>1597057279</v>
      </c>
      <c r="F36" s="382">
        <v>260</v>
      </c>
      <c r="G36" s="382">
        <v>1356923107</v>
      </c>
      <c r="H36" s="382">
        <v>64</v>
      </c>
      <c r="I36" s="382">
        <v>364184348</v>
      </c>
      <c r="J36" s="382">
        <v>959</v>
      </c>
      <c r="K36" s="382">
        <v>6040225206</v>
      </c>
      <c r="L36" s="382">
        <v>227</v>
      </c>
      <c r="M36" s="382">
        <v>1232872931</v>
      </c>
    </row>
    <row r="37" spans="1:13">
      <c r="A37" s="438">
        <v>2010</v>
      </c>
      <c r="B37" s="379">
        <f t="shared" si="9"/>
        <v>776</v>
      </c>
      <c r="C37" s="379">
        <f t="shared" si="9"/>
        <v>3908876194</v>
      </c>
      <c r="D37" s="379">
        <f t="shared" si="9"/>
        <v>227</v>
      </c>
      <c r="E37" s="379">
        <f t="shared" si="9"/>
        <v>856509774</v>
      </c>
      <c r="F37" s="382">
        <v>182</v>
      </c>
      <c r="G37" s="382">
        <v>942013386</v>
      </c>
      <c r="H37" s="382">
        <v>53</v>
      </c>
      <c r="I37" s="382">
        <v>195020522</v>
      </c>
      <c r="J37" s="382">
        <v>594</v>
      </c>
      <c r="K37" s="382">
        <v>2966862808</v>
      </c>
      <c r="L37" s="382">
        <v>174</v>
      </c>
      <c r="M37" s="382">
        <v>661489252</v>
      </c>
    </row>
    <row r="38" spans="1:13">
      <c r="A38" s="438">
        <v>2011</v>
      </c>
      <c r="B38" s="379">
        <f t="shared" si="9"/>
        <v>1000</v>
      </c>
      <c r="C38" s="379">
        <f t="shared" si="9"/>
        <v>4681501685.6999998</v>
      </c>
      <c r="D38" s="379">
        <f t="shared" si="9"/>
        <v>231</v>
      </c>
      <c r="E38" s="379">
        <f t="shared" si="9"/>
        <v>1050907860.7</v>
      </c>
      <c r="F38" s="382">
        <v>197</v>
      </c>
      <c r="G38" s="382">
        <v>949706258</v>
      </c>
      <c r="H38" s="382">
        <v>47</v>
      </c>
      <c r="I38" s="382">
        <v>200284343</v>
      </c>
      <c r="J38" s="382">
        <v>803</v>
      </c>
      <c r="K38" s="382">
        <v>3731795427.6999998</v>
      </c>
      <c r="L38" s="382">
        <v>184</v>
      </c>
      <c r="M38" s="382">
        <v>850623517.70000005</v>
      </c>
    </row>
    <row r="39" spans="1:13">
      <c r="A39" s="438">
        <v>2012</v>
      </c>
      <c r="B39" s="379">
        <f t="shared" si="9"/>
        <v>1385</v>
      </c>
      <c r="C39" s="379">
        <f t="shared" si="9"/>
        <v>8227521959</v>
      </c>
      <c r="D39" s="379">
        <f t="shared" si="9"/>
        <v>239</v>
      </c>
      <c r="E39" s="379">
        <f t="shared" si="9"/>
        <v>1210872308</v>
      </c>
      <c r="F39" s="382">
        <v>313</v>
      </c>
      <c r="G39" s="382">
        <v>1841943624</v>
      </c>
      <c r="H39" s="382">
        <v>67</v>
      </c>
      <c r="I39" s="382">
        <v>331056343</v>
      </c>
      <c r="J39" s="382">
        <v>1072</v>
      </c>
      <c r="K39" s="382">
        <v>6385578335</v>
      </c>
      <c r="L39" s="382">
        <v>172</v>
      </c>
      <c r="M39" s="382">
        <v>879815965</v>
      </c>
    </row>
    <row r="40" spans="1:13">
      <c r="A40" s="438">
        <v>2013</v>
      </c>
      <c r="B40" s="379">
        <f t="shared" si="9"/>
        <v>1446</v>
      </c>
      <c r="C40" s="379">
        <f t="shared" si="9"/>
        <v>9440446359</v>
      </c>
      <c r="D40" s="379">
        <f t="shared" si="9"/>
        <v>269</v>
      </c>
      <c r="E40" s="379">
        <f t="shared" si="9"/>
        <v>1385119981</v>
      </c>
      <c r="F40" s="382">
        <v>311</v>
      </c>
      <c r="G40" s="382">
        <v>2042762302</v>
      </c>
      <c r="H40" s="382">
        <v>65</v>
      </c>
      <c r="I40" s="382">
        <v>345578406</v>
      </c>
      <c r="J40" s="382">
        <v>1135</v>
      </c>
      <c r="K40" s="382">
        <v>7397684057</v>
      </c>
      <c r="L40" s="382">
        <v>204</v>
      </c>
      <c r="M40" s="382">
        <v>1039541575</v>
      </c>
    </row>
    <row r="41" spans="1:13">
      <c r="A41" s="438">
        <v>2014</v>
      </c>
      <c r="B41" s="433">
        <f>SUM(F41+J41)</f>
        <v>1625</v>
      </c>
      <c r="C41" s="433">
        <f>SUM(G41+K41)</f>
        <v>9207159757</v>
      </c>
      <c r="D41" s="434">
        <f>SUM(H41+L41)</f>
        <v>346</v>
      </c>
      <c r="E41" s="433">
        <f>SUM(I41+M41)</f>
        <v>1667207894.1000004</v>
      </c>
      <c r="F41" s="439">
        <v>334</v>
      </c>
      <c r="G41" s="439">
        <v>2158169795</v>
      </c>
      <c r="H41" s="439">
        <v>87</v>
      </c>
      <c r="I41" s="439">
        <v>456506415.40000004</v>
      </c>
      <c r="J41" s="439">
        <v>1291</v>
      </c>
      <c r="K41" s="439">
        <v>7048989962</v>
      </c>
      <c r="L41" s="439">
        <v>259</v>
      </c>
      <c r="M41" s="439">
        <v>1210701478.7000003</v>
      </c>
    </row>
    <row r="42" spans="1:13">
      <c r="A42" s="435" t="s">
        <v>2513</v>
      </c>
      <c r="B42" s="436">
        <f t="shared" ref="B42:M42" si="10">SUM(B43:B48)</f>
        <v>4895</v>
      </c>
      <c r="C42" s="436">
        <f t="shared" si="10"/>
        <v>47058437902</v>
      </c>
      <c r="D42" s="436">
        <f t="shared" si="10"/>
        <v>751</v>
      </c>
      <c r="E42" s="436">
        <f t="shared" si="10"/>
        <v>7094000351.441</v>
      </c>
      <c r="F42" s="436">
        <f t="shared" si="10"/>
        <v>1416</v>
      </c>
      <c r="G42" s="436">
        <f t="shared" si="10"/>
        <v>12540648116</v>
      </c>
      <c r="H42" s="436">
        <f t="shared" si="10"/>
        <v>243</v>
      </c>
      <c r="I42" s="436">
        <f t="shared" si="10"/>
        <v>2275544007.441</v>
      </c>
      <c r="J42" s="436">
        <f t="shared" si="10"/>
        <v>3479</v>
      </c>
      <c r="K42" s="436">
        <f t="shared" si="10"/>
        <v>34517789786</v>
      </c>
      <c r="L42" s="436">
        <f t="shared" si="10"/>
        <v>508</v>
      </c>
      <c r="M42" s="437">
        <f t="shared" si="10"/>
        <v>4818456344</v>
      </c>
    </row>
    <row r="43" spans="1:13">
      <c r="A43" s="438">
        <v>2009</v>
      </c>
      <c r="B43" s="379">
        <f t="shared" ref="B43:E47" si="11">SUM(F43+J43)</f>
        <v>902</v>
      </c>
      <c r="C43" s="379">
        <f t="shared" si="11"/>
        <v>9362538330</v>
      </c>
      <c r="D43" s="379">
        <f t="shared" si="11"/>
        <v>133</v>
      </c>
      <c r="E43" s="379">
        <f t="shared" si="11"/>
        <v>1312029107.441</v>
      </c>
      <c r="F43" s="382">
        <v>237</v>
      </c>
      <c r="G43" s="382">
        <v>2201661240</v>
      </c>
      <c r="H43" s="382">
        <v>49</v>
      </c>
      <c r="I43" s="382">
        <v>520122900.44099998</v>
      </c>
      <c r="J43" s="382">
        <v>665</v>
      </c>
      <c r="K43" s="382">
        <v>7160877090</v>
      </c>
      <c r="L43" s="382">
        <v>84</v>
      </c>
      <c r="M43" s="382">
        <v>791906207</v>
      </c>
    </row>
    <row r="44" spans="1:13" ht="13.5">
      <c r="A44" s="440" t="s">
        <v>3452</v>
      </c>
      <c r="B44" s="379">
        <f t="shared" si="11"/>
        <v>651</v>
      </c>
      <c r="C44" s="379">
        <f t="shared" si="11"/>
        <v>8951304746</v>
      </c>
      <c r="D44" s="379">
        <f t="shared" si="11"/>
        <v>159</v>
      </c>
      <c r="E44" s="379">
        <f t="shared" si="11"/>
        <v>1869505557</v>
      </c>
      <c r="F44" s="382">
        <v>162</v>
      </c>
      <c r="G44" s="382">
        <v>1566463433</v>
      </c>
      <c r="H44" s="382">
        <v>45</v>
      </c>
      <c r="I44" s="382">
        <v>443152819</v>
      </c>
      <c r="J44" s="382">
        <v>489</v>
      </c>
      <c r="K44" s="382">
        <v>7384841313</v>
      </c>
      <c r="L44" s="382">
        <v>114</v>
      </c>
      <c r="M44" s="382">
        <v>1426352738</v>
      </c>
    </row>
    <row r="45" spans="1:13">
      <c r="A45" s="438">
        <v>2011</v>
      </c>
      <c r="B45" s="379">
        <f t="shared" si="11"/>
        <v>520</v>
      </c>
      <c r="C45" s="379">
        <f t="shared" si="11"/>
        <v>3896876585</v>
      </c>
      <c r="D45" s="379">
        <f t="shared" si="11"/>
        <v>106</v>
      </c>
      <c r="E45" s="379">
        <f t="shared" si="11"/>
        <v>751403424</v>
      </c>
      <c r="F45" s="382">
        <v>164</v>
      </c>
      <c r="G45" s="382">
        <v>1091871149</v>
      </c>
      <c r="H45" s="382">
        <v>32</v>
      </c>
      <c r="I45" s="382">
        <v>227610287</v>
      </c>
      <c r="J45" s="382">
        <v>356</v>
      </c>
      <c r="K45" s="382">
        <v>2805005436</v>
      </c>
      <c r="L45" s="382">
        <v>74</v>
      </c>
      <c r="M45" s="382">
        <v>523793137</v>
      </c>
    </row>
    <row r="46" spans="1:13">
      <c r="A46" s="438">
        <v>2012</v>
      </c>
      <c r="B46" s="379">
        <f t="shared" si="11"/>
        <v>973</v>
      </c>
      <c r="C46" s="379">
        <f t="shared" si="11"/>
        <v>6665808280</v>
      </c>
      <c r="D46" s="379">
        <f t="shared" si="11"/>
        <v>71</v>
      </c>
      <c r="E46" s="379">
        <f t="shared" si="11"/>
        <v>737989258</v>
      </c>
      <c r="F46" s="382">
        <v>298</v>
      </c>
      <c r="G46" s="382">
        <v>2098732820</v>
      </c>
      <c r="H46" s="382">
        <v>28</v>
      </c>
      <c r="I46" s="382">
        <v>252480305</v>
      </c>
      <c r="J46" s="382">
        <v>675</v>
      </c>
      <c r="K46" s="382">
        <v>4567075460</v>
      </c>
      <c r="L46" s="382">
        <v>43</v>
      </c>
      <c r="M46" s="382">
        <v>485508953</v>
      </c>
    </row>
    <row r="47" spans="1:13">
      <c r="A47" s="438">
        <v>2013</v>
      </c>
      <c r="B47" s="379">
        <f t="shared" si="11"/>
        <v>902</v>
      </c>
      <c r="C47" s="379">
        <f t="shared" si="11"/>
        <v>9205328598</v>
      </c>
      <c r="D47" s="379">
        <f t="shared" si="11"/>
        <v>116</v>
      </c>
      <c r="E47" s="379">
        <f t="shared" si="11"/>
        <v>1007982440</v>
      </c>
      <c r="F47" s="382">
        <v>269</v>
      </c>
      <c r="G47" s="382">
        <v>2826586012</v>
      </c>
      <c r="H47" s="382">
        <v>39</v>
      </c>
      <c r="I47" s="382">
        <v>340166636</v>
      </c>
      <c r="J47" s="382">
        <v>633</v>
      </c>
      <c r="K47" s="382">
        <v>6378742586</v>
      </c>
      <c r="L47" s="382">
        <v>77</v>
      </c>
      <c r="M47" s="382">
        <v>667815804</v>
      </c>
    </row>
    <row r="48" spans="1:13">
      <c r="A48" s="438">
        <v>2014</v>
      </c>
      <c r="B48" s="433">
        <f>SUM(F48+J48)</f>
        <v>947</v>
      </c>
      <c r="C48" s="433">
        <f>SUM(G48+K48)</f>
        <v>8976581363</v>
      </c>
      <c r="D48" s="434">
        <f>SUM(H48+L48)</f>
        <v>166</v>
      </c>
      <c r="E48" s="433">
        <f>SUM(I48+M48)</f>
        <v>1415090565</v>
      </c>
      <c r="F48" s="439">
        <v>286</v>
      </c>
      <c r="G48" s="439">
        <v>2755333462</v>
      </c>
      <c r="H48" s="439">
        <v>50</v>
      </c>
      <c r="I48" s="439">
        <v>492011060</v>
      </c>
      <c r="J48" s="439">
        <v>661</v>
      </c>
      <c r="K48" s="439">
        <v>6221247901</v>
      </c>
      <c r="L48" s="439">
        <v>116</v>
      </c>
      <c r="M48" s="439">
        <v>923079505</v>
      </c>
    </row>
    <row r="49" spans="1:13">
      <c r="A49" s="441"/>
      <c r="B49" s="379"/>
      <c r="C49" s="379"/>
      <c r="D49" s="379"/>
      <c r="E49" s="379"/>
      <c r="F49" s="379"/>
      <c r="G49" s="379"/>
      <c r="H49" s="379"/>
      <c r="I49" s="379"/>
      <c r="J49" s="379"/>
      <c r="K49" s="379"/>
      <c r="L49" s="379"/>
      <c r="M49" s="379"/>
    </row>
    <row r="50" spans="1:13">
      <c r="A50" s="442" t="s">
        <v>3453</v>
      </c>
      <c r="B50" s="379"/>
      <c r="C50" s="379"/>
      <c r="D50" s="379"/>
      <c r="E50" s="379"/>
      <c r="F50" s="382"/>
      <c r="G50" s="382"/>
      <c r="H50" s="382"/>
      <c r="I50" s="382"/>
      <c r="J50" s="382"/>
      <c r="K50" s="382"/>
      <c r="L50" s="379"/>
      <c r="M50" s="379"/>
    </row>
    <row r="51" spans="1:13">
      <c r="A51" s="428" t="s">
        <v>1218</v>
      </c>
      <c r="B51" s="429"/>
      <c r="C51" s="60"/>
      <c r="D51" s="430"/>
      <c r="E51" s="60"/>
      <c r="F51" s="61"/>
      <c r="G51" s="61"/>
      <c r="H51" s="61"/>
      <c r="I51" s="61"/>
      <c r="J51" s="61"/>
      <c r="K51" s="61"/>
      <c r="L51" s="61"/>
      <c r="M51" s="61"/>
    </row>
    <row r="54" spans="1:13">
      <c r="B54" s="443"/>
      <c r="C54" s="443"/>
      <c r="E54" s="443"/>
    </row>
  </sheetData>
  <mergeCells count="10">
    <mergeCell ref="A4:A6"/>
    <mergeCell ref="B4:E4"/>
    <mergeCell ref="F4:I4"/>
    <mergeCell ref="J4:M4"/>
    <mergeCell ref="B5:C5"/>
    <mergeCell ref="D5:E5"/>
    <mergeCell ref="F5:G5"/>
    <mergeCell ref="H5:I5"/>
    <mergeCell ref="J5:K5"/>
    <mergeCell ref="L5:M5"/>
  </mergeCells>
  <pageMargins left="0.7" right="0.7" top="0.75" bottom="0.75" header="0.3" footer="0.3"/>
  <pageSetup orientation="portrait" r:id="rId1"/>
</worksheet>
</file>

<file path=xl/worksheets/sheet281.xml><?xml version="1.0" encoding="utf-8"?>
<worksheet xmlns="http://schemas.openxmlformats.org/spreadsheetml/2006/main" xmlns:r="http://schemas.openxmlformats.org/officeDocument/2006/relationships">
  <sheetPr>
    <pageSetUpPr fitToPage="1"/>
  </sheetPr>
  <dimension ref="A1:H30"/>
  <sheetViews>
    <sheetView zoomScaleNormal="100" workbookViewId="0">
      <selection activeCell="F9" sqref="F9"/>
    </sheetView>
  </sheetViews>
  <sheetFormatPr baseColWidth="10" defaultRowHeight="11.25"/>
  <cols>
    <col min="1" max="1" width="40.42578125" style="59" bestFit="1" customWidth="1"/>
    <col min="2" max="2" width="12.7109375" style="59" customWidth="1"/>
    <col min="3" max="3" width="16.140625" style="59" customWidth="1"/>
    <col min="4" max="4" width="14.140625" style="59" customWidth="1"/>
    <col min="5" max="5" width="14" style="59" customWidth="1"/>
    <col min="6" max="6" width="16.85546875" style="59" customWidth="1"/>
    <col min="7" max="16384" width="11.42578125" style="59"/>
  </cols>
  <sheetData>
    <row r="1" spans="1:8" ht="7.5" customHeight="1"/>
    <row r="2" spans="1:8" ht="27.75" customHeight="1">
      <c r="A2" s="2745" t="s">
        <v>2534</v>
      </c>
      <c r="B2" s="2745"/>
      <c r="C2" s="2745"/>
      <c r="D2" s="2745"/>
      <c r="E2" s="2745"/>
      <c r="F2" s="64"/>
      <c r="G2" s="64"/>
    </row>
    <row r="3" spans="1:8" ht="14.25" customHeight="1">
      <c r="A3" s="2594"/>
      <c r="B3" s="2594"/>
      <c r="C3" s="2594"/>
      <c r="D3" s="2594"/>
      <c r="E3" s="2594"/>
      <c r="F3" s="2594"/>
    </row>
    <row r="4" spans="1:8" ht="67.5">
      <c r="A4" s="418" t="s">
        <v>2535</v>
      </c>
      <c r="B4" s="418" t="s">
        <v>2536</v>
      </c>
      <c r="C4" s="418" t="s">
        <v>2537</v>
      </c>
      <c r="D4" s="418" t="s">
        <v>2538</v>
      </c>
      <c r="E4" s="418" t="s">
        <v>2539</v>
      </c>
    </row>
    <row r="5" spans="1:8" ht="12.75">
      <c r="A5" s="402" t="s">
        <v>3428</v>
      </c>
      <c r="B5" s="396">
        <v>492628</v>
      </c>
      <c r="C5" s="423">
        <f t="shared" ref="C5:C16" si="0">B5/B$5</f>
        <v>1</v>
      </c>
      <c r="D5" s="396">
        <v>5594519</v>
      </c>
      <c r="E5" s="423">
        <f t="shared" ref="E5:E16" si="1">D5/D$5</f>
        <v>1</v>
      </c>
      <c r="G5" s="382"/>
    </row>
    <row r="6" spans="1:8" ht="12.75">
      <c r="A6" s="402" t="s">
        <v>3429</v>
      </c>
      <c r="B6" s="396">
        <f>SUM(B7:B16)</f>
        <v>13884</v>
      </c>
      <c r="C6" s="424">
        <f t="shared" si="0"/>
        <v>2.8183538085533099E-2</v>
      </c>
      <c r="D6" s="396">
        <f>SUM(D7:D16)</f>
        <v>115036.41666666669</v>
      </c>
      <c r="E6" s="424">
        <f t="shared" si="1"/>
        <v>2.0562342654778128E-2</v>
      </c>
    </row>
    <row r="7" spans="1:8" ht="12.75">
      <c r="A7" s="403" t="s">
        <v>3430</v>
      </c>
      <c r="B7" s="399">
        <v>101</v>
      </c>
      <c r="C7" s="425">
        <f t="shared" si="0"/>
        <v>2.0502285700366198E-4</v>
      </c>
      <c r="D7" s="399">
        <v>1456.4166666666667</v>
      </c>
      <c r="E7" s="425">
        <f t="shared" si="1"/>
        <v>2.6032920196833128E-4</v>
      </c>
    </row>
    <row r="8" spans="1:8" ht="12.75">
      <c r="A8" s="403" t="s">
        <v>3431</v>
      </c>
      <c r="B8" s="399">
        <v>803</v>
      </c>
      <c r="C8" s="425">
        <f t="shared" si="0"/>
        <v>1.6300332096429761E-3</v>
      </c>
      <c r="D8" s="399">
        <v>1310.2500000000011</v>
      </c>
      <c r="E8" s="425">
        <f t="shared" si="1"/>
        <v>2.3420243992378989E-4</v>
      </c>
    </row>
    <row r="9" spans="1:8" ht="12.75">
      <c r="A9" s="403" t="s">
        <v>3432</v>
      </c>
      <c r="B9" s="399">
        <v>668</v>
      </c>
      <c r="C9" s="425">
        <f t="shared" si="0"/>
        <v>1.3559927572123387E-3</v>
      </c>
      <c r="D9" s="399">
        <v>4625.4166666666706</v>
      </c>
      <c r="E9" s="425">
        <f t="shared" si="1"/>
        <v>8.2677646937416257E-4</v>
      </c>
    </row>
    <row r="10" spans="1:8" ht="12.75">
      <c r="A10" s="403" t="s">
        <v>3433</v>
      </c>
      <c r="B10" s="399">
        <v>192</v>
      </c>
      <c r="C10" s="425">
        <f t="shared" si="0"/>
        <v>3.8974642123468418E-4</v>
      </c>
      <c r="D10" s="399">
        <v>2418.9999999999991</v>
      </c>
      <c r="E10" s="425">
        <f t="shared" si="1"/>
        <v>4.3238748496519523E-4</v>
      </c>
    </row>
    <row r="11" spans="1:8" ht="12.75">
      <c r="A11" s="403" t="s">
        <v>3434</v>
      </c>
      <c r="B11" s="399">
        <v>774</v>
      </c>
      <c r="C11" s="425">
        <f t="shared" si="0"/>
        <v>1.5711652606023206E-3</v>
      </c>
      <c r="D11" s="399">
        <v>2642.5833333333339</v>
      </c>
      <c r="E11" s="425">
        <f t="shared" si="1"/>
        <v>4.723521956638871E-4</v>
      </c>
    </row>
    <row r="12" spans="1:8" ht="12.75">
      <c r="A12" s="403" t="s">
        <v>3435</v>
      </c>
      <c r="B12" s="399">
        <v>1884</v>
      </c>
      <c r="C12" s="425">
        <f t="shared" si="0"/>
        <v>3.8243867583653383E-3</v>
      </c>
      <c r="D12" s="399">
        <v>18749.916666666672</v>
      </c>
      <c r="E12" s="425">
        <f t="shared" si="1"/>
        <v>3.3514796654844988E-3</v>
      </c>
    </row>
    <row r="13" spans="1:8" ht="12.75">
      <c r="A13" s="403" t="s">
        <v>3436</v>
      </c>
      <c r="B13" s="399">
        <v>1108</v>
      </c>
      <c r="C13" s="425">
        <f t="shared" si="0"/>
        <v>2.2491616392084899E-3</v>
      </c>
      <c r="D13" s="399">
        <v>16063.91666666667</v>
      </c>
      <c r="E13" s="425">
        <f t="shared" si="1"/>
        <v>2.8713668979704369E-3</v>
      </c>
    </row>
    <row r="14" spans="1:8" ht="12.75">
      <c r="A14" s="403" t="s">
        <v>3437</v>
      </c>
      <c r="B14" s="399">
        <v>5114</v>
      </c>
      <c r="C14" s="425">
        <f t="shared" si="0"/>
        <v>1.0381058323927994E-2</v>
      </c>
      <c r="D14" s="399">
        <v>48482.583333333321</v>
      </c>
      <c r="E14" s="425">
        <f t="shared" si="1"/>
        <v>8.6660860984355079E-3</v>
      </c>
    </row>
    <row r="15" spans="1:8" ht="12.75">
      <c r="A15" s="403" t="s">
        <v>3438</v>
      </c>
      <c r="B15" s="399">
        <v>2440</v>
      </c>
      <c r="C15" s="425">
        <f t="shared" si="0"/>
        <v>4.9530274365241116E-3</v>
      </c>
      <c r="D15" s="399">
        <v>11601.583333333339</v>
      </c>
      <c r="E15" s="425">
        <f t="shared" si="1"/>
        <v>2.0737409835114226E-3</v>
      </c>
    </row>
    <row r="16" spans="1:8" ht="12.75">
      <c r="A16" s="403" t="s">
        <v>3439</v>
      </c>
      <c r="B16" s="399">
        <v>800</v>
      </c>
      <c r="C16" s="425">
        <f t="shared" si="0"/>
        <v>1.6239434218111842E-3</v>
      </c>
      <c r="D16" s="399">
        <v>7684.7499999999964</v>
      </c>
      <c r="E16" s="425">
        <f t="shared" si="1"/>
        <v>1.3736212174808944E-3</v>
      </c>
      <c r="G16" s="396"/>
      <c r="H16" s="396"/>
    </row>
    <row r="18" spans="1:6" ht="33.75" customHeight="1">
      <c r="A18" s="2831" t="s">
        <v>3440</v>
      </c>
      <c r="B18" s="2831"/>
      <c r="C18" s="2831"/>
      <c r="D18" s="2831"/>
      <c r="E18" s="2831"/>
      <c r="F18" s="426"/>
    </row>
    <row r="19" spans="1:6" ht="58.5" customHeight="1">
      <c r="A19" s="2832" t="s">
        <v>3441</v>
      </c>
      <c r="B19" s="2832"/>
      <c r="C19" s="2832"/>
      <c r="D19" s="2832"/>
      <c r="E19" s="2832"/>
      <c r="F19" s="426"/>
    </row>
    <row r="20" spans="1:6" ht="26.25" customHeight="1">
      <c r="A20" s="2833" t="s">
        <v>3442</v>
      </c>
      <c r="B20" s="2833"/>
      <c r="C20" s="2833"/>
      <c r="D20" s="2833"/>
      <c r="E20" s="2833"/>
      <c r="F20" s="426"/>
    </row>
    <row r="21" spans="1:6" ht="16.5" customHeight="1">
      <c r="A21" s="2832" t="s">
        <v>3443</v>
      </c>
      <c r="B21" s="2832"/>
      <c r="C21" s="2832"/>
      <c r="D21" s="2832"/>
      <c r="E21" s="2832"/>
      <c r="F21" s="426"/>
    </row>
    <row r="22" spans="1:6" ht="51" customHeight="1">
      <c r="A22" s="2832" t="s">
        <v>3444</v>
      </c>
      <c r="B22" s="2832"/>
      <c r="C22" s="2832"/>
      <c r="D22" s="2832"/>
      <c r="E22" s="2832"/>
      <c r="F22" s="426"/>
    </row>
    <row r="23" spans="1:6" ht="22.5" customHeight="1">
      <c r="A23" s="2832" t="s">
        <v>3445</v>
      </c>
      <c r="B23" s="2832"/>
      <c r="C23" s="2832"/>
      <c r="D23" s="2832"/>
      <c r="E23" s="2832"/>
      <c r="F23" s="426"/>
    </row>
    <row r="24" spans="1:6" ht="67.5" customHeight="1">
      <c r="A24" s="2832" t="s">
        <v>3446</v>
      </c>
      <c r="B24" s="2832"/>
      <c r="C24" s="2832"/>
      <c r="D24" s="2832"/>
      <c r="E24" s="2832"/>
      <c r="F24" s="427"/>
    </row>
    <row r="25" spans="1:6" ht="42.75" customHeight="1">
      <c r="A25" s="2832" t="s">
        <v>3447</v>
      </c>
      <c r="B25" s="2832"/>
      <c r="C25" s="2832"/>
      <c r="D25" s="2832"/>
      <c r="E25" s="2832"/>
      <c r="F25" s="426"/>
    </row>
    <row r="26" spans="1:6" ht="75" customHeight="1">
      <c r="A26" s="2832" t="s">
        <v>3448</v>
      </c>
      <c r="B26" s="2832"/>
      <c r="C26" s="2832"/>
      <c r="D26" s="2832"/>
      <c r="E26" s="2832"/>
      <c r="F26" s="426"/>
    </row>
    <row r="27" spans="1:6" ht="33.75" customHeight="1">
      <c r="A27" s="2832" t="s">
        <v>3449</v>
      </c>
      <c r="B27" s="2832"/>
      <c r="C27" s="2832"/>
      <c r="D27" s="2832"/>
      <c r="E27" s="2832"/>
      <c r="F27" s="426"/>
    </row>
    <row r="28" spans="1:6" ht="27" customHeight="1">
      <c r="A28" s="2832" t="s">
        <v>3450</v>
      </c>
      <c r="B28" s="2832"/>
      <c r="C28" s="2832"/>
      <c r="D28" s="2832"/>
      <c r="E28" s="2832"/>
      <c r="F28" s="426"/>
    </row>
    <row r="29" spans="1:6" ht="34.5" customHeight="1">
      <c r="A29" s="2832" t="s">
        <v>3451</v>
      </c>
      <c r="B29" s="2832"/>
      <c r="C29" s="2832"/>
      <c r="D29" s="2832"/>
      <c r="E29" s="2832"/>
      <c r="F29" s="426"/>
    </row>
    <row r="30" spans="1:6" ht="45.75" customHeight="1">
      <c r="A30" s="2593" t="s">
        <v>3200</v>
      </c>
      <c r="B30" s="2593"/>
      <c r="C30" s="2593"/>
      <c r="D30" s="2593"/>
      <c r="E30" s="2593"/>
      <c r="F30" s="426"/>
    </row>
  </sheetData>
  <mergeCells count="15">
    <mergeCell ref="A29:E29"/>
    <mergeCell ref="A30:E30"/>
    <mergeCell ref="A2:E2"/>
    <mergeCell ref="A3:F3"/>
    <mergeCell ref="A18:E18"/>
    <mergeCell ref="A19:E19"/>
    <mergeCell ref="A20:E20"/>
    <mergeCell ref="A21:E21"/>
    <mergeCell ref="A22:E22"/>
    <mergeCell ref="A23:E23"/>
    <mergeCell ref="A24:E24"/>
    <mergeCell ref="A25:E25"/>
    <mergeCell ref="A26:E26"/>
    <mergeCell ref="A27:E27"/>
    <mergeCell ref="A28:E28"/>
  </mergeCells>
  <pageMargins left="0.70866141732283472" right="0.70866141732283472" top="0.74803149606299213" bottom="0.74803149606299213" header="0.31496062992125984" footer="0.31496062992125984"/>
  <pageSetup paperSize="9" orientation="portrait" r:id="rId1"/>
</worksheet>
</file>

<file path=xl/worksheets/sheet282.xml><?xml version="1.0" encoding="utf-8"?>
<worksheet xmlns="http://schemas.openxmlformats.org/spreadsheetml/2006/main" xmlns:r="http://schemas.openxmlformats.org/officeDocument/2006/relationships">
  <sheetPr>
    <pageSetUpPr fitToPage="1"/>
  </sheetPr>
  <dimension ref="A2:F43"/>
  <sheetViews>
    <sheetView zoomScaleNormal="100" workbookViewId="0">
      <selection activeCell="F10" sqref="F10"/>
    </sheetView>
  </sheetViews>
  <sheetFormatPr baseColWidth="10" defaultRowHeight="11.25"/>
  <cols>
    <col min="1" max="1" width="35" style="59" customWidth="1"/>
    <col min="2" max="2" width="13.85546875" style="59" customWidth="1"/>
    <col min="3" max="3" width="13.5703125" style="59" customWidth="1"/>
    <col min="4" max="4" width="16.28515625" style="59" customWidth="1"/>
    <col min="5" max="5" width="18" style="59" customWidth="1"/>
    <col min="6" max="16384" width="11.42578125" style="59"/>
  </cols>
  <sheetData>
    <row r="2" spans="1:6" ht="42" customHeight="1">
      <c r="A2" s="2595" t="s">
        <v>2540</v>
      </c>
      <c r="B2" s="2595"/>
      <c r="C2" s="2595"/>
      <c r="D2" s="2595"/>
      <c r="E2" s="2595"/>
    </row>
    <row r="3" spans="1:6" ht="9.75" customHeight="1">
      <c r="A3" s="417"/>
      <c r="B3" s="417"/>
      <c r="C3" s="417"/>
      <c r="D3" s="417"/>
      <c r="E3" s="417"/>
    </row>
    <row r="4" spans="1:6" ht="57.75">
      <c r="A4" s="418" t="s">
        <v>2061</v>
      </c>
      <c r="B4" s="418" t="s">
        <v>3423</v>
      </c>
      <c r="C4" s="419" t="s">
        <v>3424</v>
      </c>
      <c r="D4" s="418" t="s">
        <v>2541</v>
      </c>
      <c r="E4" s="418" t="s">
        <v>3425</v>
      </c>
    </row>
    <row r="5" spans="1:6">
      <c r="A5" s="402" t="s">
        <v>6</v>
      </c>
      <c r="B5" s="396">
        <f>SUM(B6,B8,B10,B14,B18,B21,B25,B31,B35,B37)</f>
        <v>13884</v>
      </c>
      <c r="C5" s="396">
        <f>SUM(C6,C8,C10,C14,C18,C21,C25,C31,C35,C37)</f>
        <v>115036.41666666661</v>
      </c>
      <c r="D5" s="420">
        <f t="shared" ref="D5:D38" si="0">C5/B5</f>
        <v>8.2855385095553604</v>
      </c>
      <c r="E5" s="396">
        <v>630078.15605493146</v>
      </c>
    </row>
    <row r="6" spans="1:6">
      <c r="A6" s="402" t="s">
        <v>2068</v>
      </c>
      <c r="B6" s="396">
        <f>SUM(B7)</f>
        <v>101</v>
      </c>
      <c r="C6" s="396">
        <f>SUM(C7)</f>
        <v>1456.4166666666667</v>
      </c>
      <c r="D6" s="420">
        <f t="shared" si="0"/>
        <v>14.419966996699671</v>
      </c>
      <c r="E6" s="396">
        <v>741600.18613034277</v>
      </c>
    </row>
    <row r="7" spans="1:6">
      <c r="A7" s="403" t="s">
        <v>2068</v>
      </c>
      <c r="B7" s="399">
        <v>101</v>
      </c>
      <c r="C7" s="399">
        <v>1456.4166666666667</v>
      </c>
      <c r="D7" s="421">
        <f t="shared" si="0"/>
        <v>14.419966996699671</v>
      </c>
      <c r="E7" s="399">
        <v>741600.18613034277</v>
      </c>
    </row>
    <row r="8" spans="1:6">
      <c r="A8" s="402" t="s">
        <v>2542</v>
      </c>
      <c r="B8" s="396">
        <f>SUM(B9)</f>
        <v>803</v>
      </c>
      <c r="C8" s="396">
        <f>SUM(C9)</f>
        <v>1310.2500000000011</v>
      </c>
      <c r="D8" s="420">
        <f t="shared" si="0"/>
        <v>1.631693648816938</v>
      </c>
      <c r="E8" s="396">
        <v>297770.70749856863</v>
      </c>
    </row>
    <row r="9" spans="1:6">
      <c r="A9" s="403" t="s">
        <v>2543</v>
      </c>
      <c r="B9" s="399">
        <v>803</v>
      </c>
      <c r="C9" s="399">
        <v>1310.2500000000011</v>
      </c>
      <c r="D9" s="421">
        <f t="shared" si="0"/>
        <v>1.631693648816938</v>
      </c>
      <c r="E9" s="399">
        <v>297770.70749856863</v>
      </c>
    </row>
    <row r="10" spans="1:6">
      <c r="A10" s="402" t="s">
        <v>2056</v>
      </c>
      <c r="B10" s="396">
        <f>SUM(B11:B13)</f>
        <v>668</v>
      </c>
      <c r="C10" s="396">
        <f>SUM(C11:C13)</f>
        <v>4625.4166666666679</v>
      </c>
      <c r="D10" s="420">
        <f t="shared" si="0"/>
        <v>6.9242764471057905</v>
      </c>
      <c r="E10" s="396">
        <v>512242.42489865766</v>
      </c>
    </row>
    <row r="11" spans="1:6">
      <c r="A11" s="403" t="s">
        <v>2056</v>
      </c>
      <c r="B11" s="399">
        <v>142</v>
      </c>
      <c r="C11" s="399">
        <v>404.58333333333343</v>
      </c>
      <c r="D11" s="421">
        <f t="shared" si="0"/>
        <v>2.8491784037558694</v>
      </c>
      <c r="E11" s="399">
        <v>512055.91513903171</v>
      </c>
      <c r="F11" s="422"/>
    </row>
    <row r="12" spans="1:6">
      <c r="A12" s="403" t="s">
        <v>2544</v>
      </c>
      <c r="B12" s="399">
        <v>23</v>
      </c>
      <c r="C12" s="399">
        <v>1074.4999999999998</v>
      </c>
      <c r="D12" s="421">
        <f t="shared" si="0"/>
        <v>46.717391304347814</v>
      </c>
      <c r="E12" s="399">
        <v>647855.56274236087</v>
      </c>
    </row>
    <row r="13" spans="1:6">
      <c r="A13" s="403" t="s">
        <v>2075</v>
      </c>
      <c r="B13" s="399">
        <v>503</v>
      </c>
      <c r="C13" s="399">
        <v>3146.3333333333348</v>
      </c>
      <c r="D13" s="421">
        <f t="shared" si="0"/>
        <v>6.2551358515573261</v>
      </c>
      <c r="E13" s="399">
        <v>465953.35046085395</v>
      </c>
    </row>
    <row r="14" spans="1:6">
      <c r="A14" s="402" t="s">
        <v>2545</v>
      </c>
      <c r="B14" s="396">
        <f>SUM(B15:B17)</f>
        <v>192</v>
      </c>
      <c r="C14" s="396">
        <f>SUM(C15:C17)</f>
        <v>2418.9999999999991</v>
      </c>
      <c r="D14" s="420">
        <f t="shared" si="0"/>
        <v>12.598958333333329</v>
      </c>
      <c r="E14" s="396">
        <v>928229.46179550816</v>
      </c>
    </row>
    <row r="15" spans="1:6">
      <c r="A15" s="403" t="s">
        <v>1120</v>
      </c>
      <c r="B15" s="399">
        <v>22</v>
      </c>
      <c r="C15" s="399">
        <v>96.25</v>
      </c>
      <c r="D15" s="421">
        <f t="shared" si="0"/>
        <v>4.375</v>
      </c>
      <c r="E15" s="399">
        <v>231526.99826839825</v>
      </c>
    </row>
    <row r="16" spans="1:6">
      <c r="A16" s="403" t="s">
        <v>2077</v>
      </c>
      <c r="B16" s="399">
        <v>17</v>
      </c>
      <c r="C16" s="399">
        <v>24.75</v>
      </c>
      <c r="D16" s="421">
        <f t="shared" si="0"/>
        <v>1.4558823529411764</v>
      </c>
      <c r="E16" s="399">
        <v>217188.43434343435</v>
      </c>
    </row>
    <row r="17" spans="1:5">
      <c r="A17" s="403" t="s">
        <v>1921</v>
      </c>
      <c r="B17" s="399">
        <v>153</v>
      </c>
      <c r="C17" s="399">
        <v>2297.9999999999991</v>
      </c>
      <c r="D17" s="421">
        <f t="shared" si="0"/>
        <v>15.01960784313725</v>
      </c>
      <c r="E17" s="399">
        <v>965068.3989338557</v>
      </c>
    </row>
    <row r="18" spans="1:5">
      <c r="A18" s="402" t="s">
        <v>2546</v>
      </c>
      <c r="B18" s="396">
        <f>SUM(B19:B20)</f>
        <v>774</v>
      </c>
      <c r="C18" s="396">
        <f>SUM(C19:C20)</f>
        <v>2642.5833333333339</v>
      </c>
      <c r="D18" s="420">
        <f t="shared" si="0"/>
        <v>3.4141903531438422</v>
      </c>
      <c r="E18" s="396">
        <v>596767.76424584491</v>
      </c>
    </row>
    <row r="19" spans="1:5">
      <c r="A19" s="403" t="s">
        <v>2544</v>
      </c>
      <c r="B19" s="399">
        <v>20</v>
      </c>
      <c r="C19" s="399">
        <v>41.25</v>
      </c>
      <c r="D19" s="421">
        <f t="shared" si="0"/>
        <v>2.0625</v>
      </c>
      <c r="E19" s="399">
        <v>297413.83030303032</v>
      </c>
    </row>
    <row r="20" spans="1:5">
      <c r="A20" s="403" t="s">
        <v>1830</v>
      </c>
      <c r="B20" s="399">
        <v>754</v>
      </c>
      <c r="C20" s="399">
        <v>2601.3333333333339</v>
      </c>
      <c r="D20" s="421">
        <f t="shared" si="0"/>
        <v>3.4500442086648992</v>
      </c>
      <c r="E20" s="399">
        <v>601514.69522039942</v>
      </c>
    </row>
    <row r="21" spans="1:5">
      <c r="A21" s="402" t="s">
        <v>2547</v>
      </c>
      <c r="B21" s="396">
        <f>SUM(B22:B24)</f>
        <v>1884</v>
      </c>
      <c r="C21" s="396">
        <f>SUM(C22:C24)</f>
        <v>18749.916666666664</v>
      </c>
      <c r="D21" s="420">
        <f t="shared" si="0"/>
        <v>9.9521850672328362</v>
      </c>
      <c r="E21" s="396">
        <v>729915.44117084926</v>
      </c>
    </row>
    <row r="22" spans="1:5">
      <c r="A22" s="403" t="s">
        <v>2548</v>
      </c>
      <c r="B22" s="399">
        <v>1312</v>
      </c>
      <c r="C22" s="399">
        <v>13703.75</v>
      </c>
      <c r="D22" s="421">
        <f t="shared" si="0"/>
        <v>10.444931402439025</v>
      </c>
      <c r="E22" s="399">
        <v>684812.96116026631</v>
      </c>
    </row>
    <row r="23" spans="1:5">
      <c r="A23" s="403" t="s">
        <v>2549</v>
      </c>
      <c r="B23" s="399">
        <v>329</v>
      </c>
      <c r="C23" s="399">
        <v>2229.2500000000005</v>
      </c>
      <c r="D23" s="421">
        <f t="shared" si="0"/>
        <v>6.7758358662613993</v>
      </c>
      <c r="E23" s="399">
        <v>622580.70161863137</v>
      </c>
    </row>
    <row r="24" spans="1:5">
      <c r="A24" s="403" t="s">
        <v>2550</v>
      </c>
      <c r="B24" s="399">
        <v>243</v>
      </c>
      <c r="C24" s="399">
        <v>2816.9166666666661</v>
      </c>
      <c r="D24" s="421">
        <f t="shared" si="0"/>
        <v>11.592249657064469</v>
      </c>
      <c r="E24" s="399">
        <v>1034272.7154690415</v>
      </c>
    </row>
    <row r="25" spans="1:5">
      <c r="A25" s="402" t="s">
        <v>2551</v>
      </c>
      <c r="B25" s="396">
        <f>SUM(B26:B30)</f>
        <v>1108</v>
      </c>
      <c r="C25" s="396">
        <f>SUM(C26:C30)</f>
        <v>16063.916666666661</v>
      </c>
      <c r="D25" s="420">
        <f t="shared" si="0"/>
        <v>14.498119735258719</v>
      </c>
      <c r="E25" s="396">
        <v>669638.36068414198</v>
      </c>
    </row>
    <row r="26" spans="1:5">
      <c r="A26" s="403" t="s">
        <v>2086</v>
      </c>
      <c r="B26" s="399">
        <v>369</v>
      </c>
      <c r="C26" s="399">
        <v>5866.4166666666633</v>
      </c>
      <c r="D26" s="421">
        <f t="shared" si="0"/>
        <v>15.89814814814814</v>
      </c>
      <c r="E26" s="399">
        <v>474618.1648365705</v>
      </c>
    </row>
    <row r="27" spans="1:5">
      <c r="A27" s="403" t="s">
        <v>2544</v>
      </c>
      <c r="B27" s="399">
        <v>51</v>
      </c>
      <c r="C27" s="399">
        <v>823.66666666666674</v>
      </c>
      <c r="D27" s="421">
        <f t="shared" si="0"/>
        <v>16.150326797385624</v>
      </c>
      <c r="E27" s="399">
        <v>545254.48168757581</v>
      </c>
    </row>
    <row r="28" spans="1:5">
      <c r="A28" s="403" t="s">
        <v>2552</v>
      </c>
      <c r="B28" s="399">
        <v>105</v>
      </c>
      <c r="C28" s="399">
        <v>324.91666666666663</v>
      </c>
      <c r="D28" s="421">
        <f t="shared" si="0"/>
        <v>3.0944444444444441</v>
      </c>
      <c r="E28" s="399">
        <v>478399.47627596813</v>
      </c>
    </row>
    <row r="29" spans="1:5">
      <c r="A29" s="403" t="s">
        <v>1222</v>
      </c>
      <c r="B29" s="399">
        <v>292</v>
      </c>
      <c r="C29" s="399">
        <v>1671.9999999999995</v>
      </c>
      <c r="D29" s="421">
        <f t="shared" si="0"/>
        <v>5.726027397260272</v>
      </c>
      <c r="E29" s="399">
        <v>513038.43321371614</v>
      </c>
    </row>
    <row r="30" spans="1:5">
      <c r="A30" s="403" t="s">
        <v>1223</v>
      </c>
      <c r="B30" s="399">
        <v>291</v>
      </c>
      <c r="C30" s="399">
        <v>7376.9166666666642</v>
      </c>
      <c r="D30" s="421">
        <f t="shared" si="0"/>
        <v>25.350229095074447</v>
      </c>
      <c r="E30" s="399">
        <v>882531.14947527752</v>
      </c>
    </row>
    <row r="31" spans="1:5">
      <c r="A31" s="402" t="s">
        <v>2553</v>
      </c>
      <c r="B31" s="396">
        <f>SUM(B32:B34)</f>
        <v>5114</v>
      </c>
      <c r="C31" s="396">
        <f>SUM(C32:C34)</f>
        <v>48482.58333333327</v>
      </c>
      <c r="D31" s="420">
        <f t="shared" si="0"/>
        <v>9.4803643592751801</v>
      </c>
      <c r="E31" s="396">
        <v>511844.067060164</v>
      </c>
    </row>
    <row r="32" spans="1:5">
      <c r="A32" s="403" t="s">
        <v>2091</v>
      </c>
      <c r="B32" s="399">
        <v>1837</v>
      </c>
      <c r="C32" s="399">
        <v>4505.7499999999891</v>
      </c>
      <c r="D32" s="421">
        <f t="shared" si="0"/>
        <v>2.452776265650511</v>
      </c>
      <c r="E32" s="399">
        <v>853737.22632192413</v>
      </c>
    </row>
    <row r="33" spans="1:5">
      <c r="A33" s="403" t="s">
        <v>2092</v>
      </c>
      <c r="B33" s="399">
        <v>562</v>
      </c>
      <c r="C33" s="399">
        <v>2076.9999999999991</v>
      </c>
      <c r="D33" s="421">
        <f t="shared" si="0"/>
        <v>3.6957295373665464</v>
      </c>
      <c r="E33" s="399">
        <v>563654.76416305616</v>
      </c>
    </row>
    <row r="34" spans="1:5">
      <c r="A34" s="403" t="s">
        <v>1833</v>
      </c>
      <c r="B34" s="399">
        <v>2715</v>
      </c>
      <c r="C34" s="399">
        <v>41899.833333333285</v>
      </c>
      <c r="D34" s="421">
        <f t="shared" si="0"/>
        <v>15.432719459791265</v>
      </c>
      <c r="E34" s="399">
        <v>472509.87909060915</v>
      </c>
    </row>
    <row r="35" spans="1:5">
      <c r="A35" s="402" t="s">
        <v>2554</v>
      </c>
      <c r="B35" s="396">
        <f>SUM(B36)</f>
        <v>2440</v>
      </c>
      <c r="C35" s="396">
        <f>SUM(C36)</f>
        <v>11601.583333333339</v>
      </c>
      <c r="D35" s="420">
        <f t="shared" si="0"/>
        <v>4.7547472677595657</v>
      </c>
      <c r="E35" s="396">
        <f>E36</f>
        <v>842717.85536457016</v>
      </c>
    </row>
    <row r="36" spans="1:5">
      <c r="A36" s="403" t="s">
        <v>2555</v>
      </c>
      <c r="B36" s="399">
        <v>2440</v>
      </c>
      <c r="C36" s="399">
        <v>11601.583333333339</v>
      </c>
      <c r="D36" s="421">
        <f t="shared" si="0"/>
        <v>4.7547472677595657</v>
      </c>
      <c r="E36" s="399">
        <v>842717.85536457016</v>
      </c>
    </row>
    <row r="37" spans="1:5">
      <c r="A37" s="402" t="s">
        <v>2097</v>
      </c>
      <c r="B37" s="396">
        <f>SUM(B38)</f>
        <v>800</v>
      </c>
      <c r="C37" s="396">
        <f>SUM(C38)</f>
        <v>7684.7499999999964</v>
      </c>
      <c r="D37" s="420">
        <f t="shared" si="0"/>
        <v>9.605937499999996</v>
      </c>
      <c r="E37" s="396">
        <f>E38</f>
        <v>752752.85568821419</v>
      </c>
    </row>
    <row r="38" spans="1:5">
      <c r="A38" s="403" t="s">
        <v>1523</v>
      </c>
      <c r="B38" s="399">
        <v>800</v>
      </c>
      <c r="C38" s="399">
        <v>7684.7499999999964</v>
      </c>
      <c r="D38" s="421">
        <f t="shared" si="0"/>
        <v>9.605937499999996</v>
      </c>
      <c r="E38" s="399">
        <v>752752.85568821419</v>
      </c>
    </row>
    <row r="39" spans="1:5">
      <c r="A39" s="403"/>
      <c r="B39" s="399"/>
      <c r="C39" s="399"/>
      <c r="D39" s="421"/>
      <c r="E39" s="399"/>
    </row>
    <row r="40" spans="1:5" ht="48" customHeight="1">
      <c r="A40" s="2596" t="s">
        <v>3420</v>
      </c>
      <c r="B40" s="2594"/>
      <c r="C40" s="2594"/>
      <c r="D40" s="2594"/>
      <c r="E40" s="2594"/>
    </row>
    <row r="41" spans="1:5" ht="45" customHeight="1">
      <c r="A41" s="2596" t="s">
        <v>3426</v>
      </c>
      <c r="B41" s="2594"/>
      <c r="C41" s="2594"/>
      <c r="D41" s="2594"/>
      <c r="E41" s="2594"/>
    </row>
    <row r="42" spans="1:5" ht="67.5" customHeight="1">
      <c r="A42" s="2596" t="s">
        <v>3427</v>
      </c>
      <c r="B42" s="2597"/>
      <c r="C42" s="2597"/>
      <c r="D42" s="2597"/>
      <c r="E42" s="2597"/>
    </row>
    <row r="43" spans="1:5" ht="49.5" customHeight="1">
      <c r="A43" s="2596" t="s">
        <v>3201</v>
      </c>
      <c r="B43" s="2596"/>
      <c r="C43" s="2596"/>
      <c r="D43" s="2596"/>
      <c r="E43" s="2598"/>
    </row>
  </sheetData>
  <mergeCells count="5">
    <mergeCell ref="A2:E2"/>
    <mergeCell ref="A40:E40"/>
    <mergeCell ref="A41:E41"/>
    <mergeCell ref="A42:E42"/>
    <mergeCell ref="A43:E43"/>
  </mergeCells>
  <pageMargins left="0.70866141732283472" right="0.70866141732283472" top="0.74803149606299213" bottom="0.74803149606299213" header="0.31496062992125984" footer="0.31496062992125984"/>
  <pageSetup paperSize="9" scale="69" fitToHeight="2" orientation="landscape" r:id="rId1"/>
</worksheet>
</file>

<file path=xl/worksheets/sheet283.xml><?xml version="1.0" encoding="utf-8"?>
<worksheet xmlns="http://schemas.openxmlformats.org/spreadsheetml/2006/main" xmlns:r="http://schemas.openxmlformats.org/officeDocument/2006/relationships">
  <dimension ref="A2:F25"/>
  <sheetViews>
    <sheetView zoomScaleNormal="100" workbookViewId="0">
      <selection activeCell="F23" sqref="F23"/>
    </sheetView>
  </sheetViews>
  <sheetFormatPr baseColWidth="10" defaultRowHeight="11.25"/>
  <cols>
    <col min="1" max="1" width="20.5703125" style="62" customWidth="1"/>
    <col min="2" max="2" width="17" style="62" customWidth="1"/>
    <col min="3" max="3" width="16.42578125" style="62" customWidth="1"/>
    <col min="4" max="4" width="17" style="62" customWidth="1"/>
    <col min="5" max="5" width="23" style="62" customWidth="1"/>
    <col min="6" max="6" width="19" style="62" customWidth="1"/>
    <col min="7" max="16384" width="11.42578125" style="62"/>
  </cols>
  <sheetData>
    <row r="2" spans="1:6" ht="27.75" customHeight="1">
      <c r="A2" s="2746" t="s">
        <v>2556</v>
      </c>
      <c r="B2" s="2746"/>
      <c r="C2" s="2746"/>
      <c r="D2" s="2746"/>
      <c r="E2" s="2746"/>
      <c r="F2" s="63"/>
    </row>
    <row r="3" spans="1:6">
      <c r="A3" s="318"/>
      <c r="B3" s="318"/>
      <c r="C3" s="318"/>
      <c r="D3" s="318"/>
      <c r="E3" s="318"/>
      <c r="F3" s="63"/>
    </row>
    <row r="4" spans="1:6" ht="48.75" customHeight="1">
      <c r="A4" s="317" t="s">
        <v>2557</v>
      </c>
      <c r="B4" s="413" t="s">
        <v>3409</v>
      </c>
      <c r="C4" s="414" t="s">
        <v>3418</v>
      </c>
      <c r="D4" s="414" t="s">
        <v>2558</v>
      </c>
      <c r="E4" s="414" t="s">
        <v>3419</v>
      </c>
    </row>
    <row r="5" spans="1:6">
      <c r="A5" s="415" t="s">
        <v>6</v>
      </c>
      <c r="B5" s="390">
        <f>SUM(B6:B20)</f>
        <v>13884</v>
      </c>
      <c r="C5" s="390">
        <f>SUM(C6:C20)</f>
        <v>115036.41666666664</v>
      </c>
      <c r="D5" s="390">
        <f t="shared" ref="D5:D20" si="0">C5/B5</f>
        <v>8.2855385095553622</v>
      </c>
      <c r="E5" s="390">
        <v>630078.15605493053</v>
      </c>
    </row>
    <row r="6" spans="1:6">
      <c r="A6" s="416" t="s">
        <v>7</v>
      </c>
      <c r="B6" s="391">
        <v>121</v>
      </c>
      <c r="C6" s="391">
        <v>298.24999999999994</v>
      </c>
      <c r="D6" s="391">
        <f t="shared" si="0"/>
        <v>2.464876033057851</v>
      </c>
      <c r="E6" s="391">
        <v>375044.37440625869</v>
      </c>
    </row>
    <row r="7" spans="1:6">
      <c r="A7" s="416" t="s">
        <v>8</v>
      </c>
      <c r="B7" s="391">
        <v>188</v>
      </c>
      <c r="C7" s="391">
        <v>463.33333333333348</v>
      </c>
      <c r="D7" s="391">
        <f t="shared" si="0"/>
        <v>2.4645390070921995</v>
      </c>
      <c r="E7" s="391">
        <v>478949.77158273355</v>
      </c>
    </row>
    <row r="8" spans="1:6">
      <c r="A8" s="416" t="s">
        <v>9</v>
      </c>
      <c r="B8" s="391">
        <v>325</v>
      </c>
      <c r="C8" s="391">
        <v>1278.166666666667</v>
      </c>
      <c r="D8" s="391">
        <f t="shared" si="0"/>
        <v>3.9328205128205136</v>
      </c>
      <c r="E8" s="391">
        <v>444258.56519754842</v>
      </c>
    </row>
    <row r="9" spans="1:6">
      <c r="A9" s="416" t="s">
        <v>10</v>
      </c>
      <c r="B9" s="391">
        <v>137</v>
      </c>
      <c r="C9" s="391">
        <v>307.16666666666663</v>
      </c>
      <c r="D9" s="391">
        <f t="shared" si="0"/>
        <v>2.2420924574209242</v>
      </c>
      <c r="E9" s="391">
        <v>424350.63619099301</v>
      </c>
    </row>
    <row r="10" spans="1:6">
      <c r="A10" s="416" t="s">
        <v>11</v>
      </c>
      <c r="B10" s="391">
        <v>320</v>
      </c>
      <c r="C10" s="391">
        <v>1084.9166666666667</v>
      </c>
      <c r="D10" s="391">
        <f t="shared" si="0"/>
        <v>3.3903645833333336</v>
      </c>
      <c r="E10" s="391">
        <v>606911.80428604351</v>
      </c>
    </row>
    <row r="11" spans="1:6">
      <c r="A11" s="416" t="s">
        <v>12</v>
      </c>
      <c r="B11" s="391">
        <v>1113</v>
      </c>
      <c r="C11" s="391">
        <v>3404.5000000000036</v>
      </c>
      <c r="D11" s="391">
        <f t="shared" si="0"/>
        <v>3.0588499550763735</v>
      </c>
      <c r="E11" s="391">
        <v>501941.05994516995</v>
      </c>
    </row>
    <row r="12" spans="1:6">
      <c r="A12" s="416" t="s">
        <v>13</v>
      </c>
      <c r="B12" s="391">
        <v>8584</v>
      </c>
      <c r="C12" s="391">
        <v>97207.58333333327</v>
      </c>
      <c r="D12" s="391">
        <f t="shared" si="0"/>
        <v>11.324275784405087</v>
      </c>
      <c r="E12" s="391">
        <v>660965.66433602956</v>
      </c>
    </row>
    <row r="13" spans="1:6">
      <c r="A13" s="416" t="s">
        <v>14</v>
      </c>
      <c r="B13" s="391">
        <v>407</v>
      </c>
      <c r="C13" s="391">
        <v>1108.9166666666663</v>
      </c>
      <c r="D13" s="391">
        <f t="shared" si="0"/>
        <v>2.7246109746109739</v>
      </c>
      <c r="E13" s="391">
        <v>444032.5960021044</v>
      </c>
    </row>
    <row r="14" spans="1:6">
      <c r="A14" s="416" t="s">
        <v>15</v>
      </c>
      <c r="B14" s="391">
        <v>505</v>
      </c>
      <c r="C14" s="391">
        <v>1431.4166666666656</v>
      </c>
      <c r="D14" s="391">
        <f t="shared" si="0"/>
        <v>2.8344884488448825</v>
      </c>
      <c r="E14" s="391">
        <v>384149.61681318056</v>
      </c>
    </row>
    <row r="15" spans="1:6">
      <c r="A15" s="416" t="s">
        <v>16</v>
      </c>
      <c r="B15" s="391">
        <v>909</v>
      </c>
      <c r="C15" s="391">
        <v>4290.3333333333367</v>
      </c>
      <c r="D15" s="391">
        <f t="shared" si="0"/>
        <v>4.7198386505317238</v>
      </c>
      <c r="E15" s="391">
        <v>489348.88893636811</v>
      </c>
    </row>
    <row r="16" spans="1:6">
      <c r="A16" s="416" t="s">
        <v>379</v>
      </c>
      <c r="B16" s="391">
        <v>481</v>
      </c>
      <c r="C16" s="391">
        <v>1579.0000000000005</v>
      </c>
      <c r="D16" s="391">
        <f t="shared" si="0"/>
        <v>3.2827442827442836</v>
      </c>
      <c r="E16" s="391">
        <v>328441.17299978872</v>
      </c>
    </row>
    <row r="17" spans="1:6">
      <c r="A17" s="416" t="s">
        <v>276</v>
      </c>
      <c r="B17" s="391">
        <v>170</v>
      </c>
      <c r="C17" s="391">
        <v>553.91666666666663</v>
      </c>
      <c r="D17" s="391">
        <f t="shared" si="0"/>
        <v>3.2583333333333333</v>
      </c>
      <c r="E17" s="391">
        <v>495565.00270798872</v>
      </c>
    </row>
    <row r="18" spans="1:6">
      <c r="A18" s="416" t="s">
        <v>280</v>
      </c>
      <c r="B18" s="391">
        <v>415</v>
      </c>
      <c r="C18" s="391">
        <v>1252.3333333333326</v>
      </c>
      <c r="D18" s="391">
        <f t="shared" si="0"/>
        <v>3.0176706827309219</v>
      </c>
      <c r="E18" s="391">
        <v>390496.62476710154</v>
      </c>
    </row>
    <row r="19" spans="1:6">
      <c r="A19" s="416" t="s">
        <v>20</v>
      </c>
      <c r="B19" s="391">
        <v>65</v>
      </c>
      <c r="C19" s="391">
        <v>167.91666666666663</v>
      </c>
      <c r="D19" s="391">
        <f t="shared" si="0"/>
        <v>2.5833333333333326</v>
      </c>
      <c r="E19" s="391">
        <v>339742.45756823831</v>
      </c>
    </row>
    <row r="20" spans="1:6">
      <c r="A20" s="416" t="s">
        <v>21</v>
      </c>
      <c r="B20" s="391">
        <v>144</v>
      </c>
      <c r="C20" s="391">
        <v>608.66666666666674</v>
      </c>
      <c r="D20" s="391">
        <f t="shared" si="0"/>
        <v>4.2268518518518521</v>
      </c>
      <c r="E20" s="391">
        <v>576447.27231653861</v>
      </c>
    </row>
    <row r="21" spans="1:6">
      <c r="B21" s="349"/>
    </row>
    <row r="22" spans="1:6" ht="42" customHeight="1">
      <c r="A22" s="2580" t="s">
        <v>3420</v>
      </c>
      <c r="B22" s="2580"/>
      <c r="C22" s="2580"/>
      <c r="D22" s="2580"/>
      <c r="E22" s="2580"/>
      <c r="F22" s="56"/>
    </row>
    <row r="23" spans="1:6" ht="40.5" customHeight="1">
      <c r="A23" s="2580" t="s">
        <v>3421</v>
      </c>
      <c r="B23" s="2580"/>
      <c r="C23" s="2580"/>
      <c r="D23" s="2580"/>
      <c r="E23" s="2580"/>
      <c r="F23" s="56"/>
    </row>
    <row r="24" spans="1:6" ht="65.25" customHeight="1">
      <c r="A24" s="2580" t="s">
        <v>3422</v>
      </c>
      <c r="B24" s="2580"/>
      <c r="C24" s="2580"/>
      <c r="D24" s="2580"/>
      <c r="E24" s="2580"/>
      <c r="F24" s="63"/>
    </row>
    <row r="25" spans="1:6" ht="51.75" customHeight="1">
      <c r="A25" s="2580" t="s">
        <v>3201</v>
      </c>
      <c r="B25" s="2580"/>
      <c r="C25" s="2580"/>
      <c r="D25" s="2580"/>
      <c r="E25" s="2580"/>
      <c r="F25" s="63"/>
    </row>
  </sheetData>
  <mergeCells count="5">
    <mergeCell ref="A2:E2"/>
    <mergeCell ref="A22:E22"/>
    <mergeCell ref="A23:E23"/>
    <mergeCell ref="A24:E24"/>
    <mergeCell ref="A25:E25"/>
  </mergeCells>
  <pageMargins left="0.7" right="0.7" top="0.75" bottom="0.75" header="0.3" footer="0.3"/>
</worksheet>
</file>

<file path=xl/worksheets/sheet284.xml><?xml version="1.0" encoding="utf-8"?>
<worksheet xmlns="http://schemas.openxmlformats.org/spreadsheetml/2006/main" xmlns:r="http://schemas.openxmlformats.org/officeDocument/2006/relationships">
  <dimension ref="A2:H44"/>
  <sheetViews>
    <sheetView topLeftCell="A16" zoomScaleNormal="100" workbookViewId="0">
      <selection activeCell="B50" sqref="B50"/>
    </sheetView>
  </sheetViews>
  <sheetFormatPr baseColWidth="10" defaultRowHeight="11.25"/>
  <cols>
    <col min="1" max="1" width="41.42578125" style="1" customWidth="1"/>
    <col min="2" max="2" width="11.42578125" style="1"/>
    <col min="3" max="3" width="14.42578125" style="1" customWidth="1"/>
    <col min="4" max="4" width="13.7109375" style="1" customWidth="1"/>
    <col min="5" max="6" width="11.42578125" style="1"/>
    <col min="7" max="7" width="20.140625" style="1" customWidth="1"/>
    <col min="8" max="8" width="17.28515625" style="1" customWidth="1"/>
    <col min="9" max="16384" width="11.42578125" style="1"/>
  </cols>
  <sheetData>
    <row r="2" spans="1:8" ht="28.5" customHeight="1">
      <c r="A2" s="2102" t="s">
        <v>2559</v>
      </c>
      <c r="B2" s="2102"/>
      <c r="C2" s="2102"/>
      <c r="D2" s="2102"/>
      <c r="E2" s="2102"/>
      <c r="F2" s="2102"/>
      <c r="G2" s="2102"/>
      <c r="H2" s="2102"/>
    </row>
    <row r="3" spans="1:8" ht="8.25" customHeight="1"/>
    <row r="4" spans="1:8" ht="69">
      <c r="A4" s="40" t="s">
        <v>2560</v>
      </c>
      <c r="B4" s="317" t="s">
        <v>3409</v>
      </c>
      <c r="C4" s="404" t="s">
        <v>3410</v>
      </c>
      <c r="D4" s="404" t="s">
        <v>3411</v>
      </c>
      <c r="E4" s="404" t="s">
        <v>2561</v>
      </c>
      <c r="F4" s="404" t="s">
        <v>2562</v>
      </c>
      <c r="G4" s="333" t="s">
        <v>3412</v>
      </c>
      <c r="H4" s="333" t="s">
        <v>3413</v>
      </c>
    </row>
    <row r="5" spans="1:8">
      <c r="A5" s="405" t="s">
        <v>679</v>
      </c>
      <c r="B5" s="406">
        <f>SUM(B6,B8,B10,B14,B18,B21,B25,B31,B35,B37)</f>
        <v>13884</v>
      </c>
      <c r="C5" s="406">
        <f>SUM(C6,C8,C10,C14,C18,C21,C25,C31,C35,C37)</f>
        <v>65538.166666666657</v>
      </c>
      <c r="D5" s="406">
        <f>SUM(D6,D8,D10,D14,D18,D21,D25,D31,D35,D37)</f>
        <v>41734.833333333372</v>
      </c>
      <c r="E5" s="407">
        <f t="shared" ref="E5:E34" si="0">C5/B5</f>
        <v>4.7204095841736287</v>
      </c>
      <c r="F5" s="407">
        <f t="shared" ref="F5:F34" si="1">D5/B5</f>
        <v>3.0059661000672264</v>
      </c>
      <c r="G5" s="408">
        <v>681430.32754451002</v>
      </c>
      <c r="H5" s="408">
        <v>566184.81239092827</v>
      </c>
    </row>
    <row r="6" spans="1:8">
      <c r="A6" s="405" t="s">
        <v>2068</v>
      </c>
      <c r="B6" s="406">
        <f>SUM(B7)</f>
        <v>101</v>
      </c>
      <c r="C6" s="406">
        <f>SUM(C7)</f>
        <v>905.3333333333328</v>
      </c>
      <c r="D6" s="406">
        <f>SUM(D7)</f>
        <v>516.58333333333337</v>
      </c>
      <c r="E6" s="407">
        <f t="shared" si="0"/>
        <v>8.963696369636958</v>
      </c>
      <c r="F6" s="407">
        <f t="shared" si="1"/>
        <v>5.1146864686468652</v>
      </c>
      <c r="G6" s="408">
        <v>695968.75699558214</v>
      </c>
      <c r="H6" s="408">
        <v>844475.62848846591</v>
      </c>
    </row>
    <row r="7" spans="1:8">
      <c r="A7" s="1" t="s">
        <v>2068</v>
      </c>
      <c r="B7" s="409">
        <v>101</v>
      </c>
      <c r="C7" s="409">
        <v>905.3333333333328</v>
      </c>
      <c r="D7" s="409">
        <v>516.58333333333337</v>
      </c>
      <c r="E7" s="410">
        <f t="shared" si="0"/>
        <v>8.963696369636958</v>
      </c>
      <c r="F7" s="410">
        <f t="shared" si="1"/>
        <v>5.1146864686468652</v>
      </c>
      <c r="G7" s="411">
        <v>695968.75699558214</v>
      </c>
      <c r="H7" s="411">
        <v>844475.62848846591</v>
      </c>
    </row>
    <row r="8" spans="1:8">
      <c r="A8" s="405" t="s">
        <v>2542</v>
      </c>
      <c r="B8" s="406">
        <f>SUM(B9)</f>
        <v>803</v>
      </c>
      <c r="C8" s="406">
        <f>SUM(C9)</f>
        <v>425.08333333333326</v>
      </c>
      <c r="D8" s="406">
        <f>SUM(D9)</f>
        <v>783.58333333333383</v>
      </c>
      <c r="E8" s="407">
        <f t="shared" si="0"/>
        <v>0.52936903279369019</v>
      </c>
      <c r="F8" s="407">
        <f t="shared" si="1"/>
        <v>0.97581984225819907</v>
      </c>
      <c r="G8" s="408">
        <v>304846.53793373861</v>
      </c>
      <c r="H8" s="408">
        <v>297715.59108795051</v>
      </c>
    </row>
    <row r="9" spans="1:8">
      <c r="A9" s="1" t="s">
        <v>2543</v>
      </c>
      <c r="B9" s="409">
        <v>803</v>
      </c>
      <c r="C9" s="409">
        <v>425.08333333333326</v>
      </c>
      <c r="D9" s="409">
        <v>783.58333333333383</v>
      </c>
      <c r="E9" s="410">
        <f t="shared" si="0"/>
        <v>0.52936903279369019</v>
      </c>
      <c r="F9" s="410">
        <f t="shared" si="1"/>
        <v>0.97581984225819907</v>
      </c>
      <c r="G9" s="411">
        <v>304846.53793373861</v>
      </c>
      <c r="H9" s="411">
        <v>297715.59108795051</v>
      </c>
    </row>
    <row r="10" spans="1:8">
      <c r="A10" s="405" t="s">
        <v>2056</v>
      </c>
      <c r="B10" s="406">
        <f>SUM(B11:B13)</f>
        <v>668</v>
      </c>
      <c r="C10" s="406">
        <f>SUM(C11:C13)</f>
        <v>1732.0833333333339</v>
      </c>
      <c r="D10" s="406">
        <f>SUM(D11:D13)</f>
        <v>2725.7500000000005</v>
      </c>
      <c r="E10" s="407">
        <f t="shared" si="0"/>
        <v>2.5929391217564879</v>
      </c>
      <c r="F10" s="407">
        <f t="shared" si="1"/>
        <v>4.0804640718562881</v>
      </c>
      <c r="G10" s="408">
        <v>586963.32812124118</v>
      </c>
      <c r="H10" s="408">
        <v>466078.17927787441</v>
      </c>
    </row>
    <row r="11" spans="1:8">
      <c r="A11" s="1" t="s">
        <v>2056</v>
      </c>
      <c r="B11" s="409">
        <v>142</v>
      </c>
      <c r="C11" s="409">
        <v>228.91666666666671</v>
      </c>
      <c r="D11" s="409">
        <v>156.83333333333329</v>
      </c>
      <c r="E11" s="410">
        <f t="shared" si="0"/>
        <v>1.6120892018779347</v>
      </c>
      <c r="F11" s="410">
        <f t="shared" si="1"/>
        <v>1.1044600938967133</v>
      </c>
      <c r="G11" s="411">
        <v>517590.40043684031</v>
      </c>
      <c r="H11" s="411">
        <v>494992.13655685436</v>
      </c>
    </row>
    <row r="12" spans="1:8">
      <c r="A12" s="1" t="s">
        <v>2544</v>
      </c>
      <c r="B12" s="409">
        <v>23</v>
      </c>
      <c r="C12" s="409">
        <v>315.24999999999994</v>
      </c>
      <c r="D12" s="409">
        <v>758.3333333333336</v>
      </c>
      <c r="E12" s="410">
        <f t="shared" si="0"/>
        <v>13.706521739130432</v>
      </c>
      <c r="F12" s="410">
        <f t="shared" si="1"/>
        <v>32.971014492753632</v>
      </c>
      <c r="G12" s="411">
        <v>782832.88025376713</v>
      </c>
      <c r="H12" s="411">
        <v>591977.00637362618</v>
      </c>
    </row>
    <row r="13" spans="1:8">
      <c r="A13" s="1" t="s">
        <v>2075</v>
      </c>
      <c r="B13" s="409">
        <v>503</v>
      </c>
      <c r="C13" s="409">
        <v>1187.9166666666674</v>
      </c>
      <c r="D13" s="409">
        <v>1810.5833333333337</v>
      </c>
      <c r="E13" s="410">
        <f t="shared" si="0"/>
        <v>2.3616633532140505</v>
      </c>
      <c r="F13" s="410">
        <f t="shared" si="1"/>
        <v>3.5995692511597093</v>
      </c>
      <c r="G13" s="411">
        <v>548351.81753770576</v>
      </c>
      <c r="H13" s="411">
        <v>410842.96989920392</v>
      </c>
    </row>
    <row r="14" spans="1:8">
      <c r="A14" s="405" t="s">
        <v>2545</v>
      </c>
      <c r="B14" s="406">
        <f>SUM(B15:B17)</f>
        <v>192</v>
      </c>
      <c r="C14" s="406">
        <f>SUM(C15:C17)</f>
        <v>1588.2499999999998</v>
      </c>
      <c r="D14" s="406">
        <f>SUM(D15:D17)</f>
        <v>778.66666666666663</v>
      </c>
      <c r="E14" s="407">
        <f t="shared" si="0"/>
        <v>8.2721354166666661</v>
      </c>
      <c r="F14" s="407">
        <f t="shared" si="1"/>
        <v>4.0555555555555554</v>
      </c>
      <c r="G14" s="408">
        <v>943714.18857232807</v>
      </c>
      <c r="H14" s="408">
        <v>926964.29227311688</v>
      </c>
    </row>
    <row r="15" spans="1:8">
      <c r="A15" s="1" t="s">
        <v>1120</v>
      </c>
      <c r="B15" s="409">
        <v>22</v>
      </c>
      <c r="C15" s="409">
        <v>61.083333333333329</v>
      </c>
      <c r="D15" s="409">
        <v>22.999999999999996</v>
      </c>
      <c r="E15" s="410">
        <f t="shared" si="0"/>
        <v>2.7765151515151514</v>
      </c>
      <c r="F15" s="410">
        <f t="shared" si="1"/>
        <v>1.0454545454545452</v>
      </c>
      <c r="G15" s="411">
        <v>252613.65757162348</v>
      </c>
      <c r="H15" s="411">
        <v>196713.74637681158</v>
      </c>
    </row>
    <row r="16" spans="1:8">
      <c r="A16" s="1" t="s">
        <v>2077</v>
      </c>
      <c r="B16" s="409">
        <v>17</v>
      </c>
      <c r="C16" s="409">
        <v>6.833333333333333</v>
      </c>
      <c r="D16" s="409">
        <v>17.75</v>
      </c>
      <c r="E16" s="410">
        <f t="shared" si="0"/>
        <v>0.40196078431372545</v>
      </c>
      <c r="F16" s="410">
        <f t="shared" si="1"/>
        <v>1.0441176470588236</v>
      </c>
      <c r="G16" s="411">
        <v>149402.43902439025</v>
      </c>
      <c r="H16" s="411">
        <v>243351.94835680755</v>
      </c>
    </row>
    <row r="17" spans="1:8">
      <c r="A17" s="1" t="s">
        <v>1921</v>
      </c>
      <c r="B17" s="409">
        <v>153</v>
      </c>
      <c r="C17" s="409">
        <v>1520.333333333333</v>
      </c>
      <c r="D17" s="409">
        <v>737.91666666666663</v>
      </c>
      <c r="E17" s="410">
        <f t="shared" si="0"/>
        <v>9.936819172113287</v>
      </c>
      <c r="F17" s="410">
        <f t="shared" si="1"/>
        <v>4.8229847494553377</v>
      </c>
      <c r="G17" s="411">
        <v>975051.08030037268</v>
      </c>
      <c r="H17" s="411">
        <v>966169.10084697953</v>
      </c>
    </row>
    <row r="18" spans="1:8">
      <c r="A18" s="405" t="s">
        <v>2546</v>
      </c>
      <c r="B18" s="406">
        <f>SUM(B19:B20)</f>
        <v>774</v>
      </c>
      <c r="C18" s="406">
        <f>SUM(C19:C20)</f>
        <v>1625.583333333333</v>
      </c>
      <c r="D18" s="406">
        <f>SUM(D19:D20)</f>
        <v>844.74999999999977</v>
      </c>
      <c r="E18" s="407">
        <f t="shared" si="0"/>
        <v>2.1002368647717482</v>
      </c>
      <c r="F18" s="407">
        <f t="shared" si="1"/>
        <v>1.0914082687338498</v>
      </c>
      <c r="G18" s="408">
        <v>639112.39688316965</v>
      </c>
      <c r="H18" s="408">
        <v>528510.36904409598</v>
      </c>
    </row>
    <row r="19" spans="1:8">
      <c r="A19" s="1" t="s">
        <v>2544</v>
      </c>
      <c r="B19" s="409">
        <v>20</v>
      </c>
      <c r="C19" s="409">
        <v>29.666666666666664</v>
      </c>
      <c r="D19" s="409">
        <v>9.0833333333333321</v>
      </c>
      <c r="E19" s="410">
        <f t="shared" si="0"/>
        <v>1.4833333333333332</v>
      </c>
      <c r="F19" s="410">
        <f t="shared" si="1"/>
        <v>0.45416666666666661</v>
      </c>
      <c r="G19" s="411">
        <v>304432.82303370791</v>
      </c>
      <c r="H19" s="411">
        <v>288815.59633027529</v>
      </c>
    </row>
    <row r="20" spans="1:8">
      <c r="A20" s="1" t="s">
        <v>1830</v>
      </c>
      <c r="B20" s="409">
        <v>754</v>
      </c>
      <c r="C20" s="409">
        <v>1595.9166666666663</v>
      </c>
      <c r="D20" s="409">
        <v>835.6666666666664</v>
      </c>
      <c r="E20" s="410">
        <f t="shared" si="0"/>
        <v>2.1166003536693188</v>
      </c>
      <c r="F20" s="410">
        <f t="shared" si="1"/>
        <v>1.1083112290008839</v>
      </c>
      <c r="G20" s="411">
        <v>645333.79149913799</v>
      </c>
      <c r="H20" s="411">
        <v>531115.74700837664</v>
      </c>
    </row>
    <row r="21" spans="1:8">
      <c r="A21" s="405" t="s">
        <v>2547</v>
      </c>
      <c r="B21" s="406">
        <f>SUM(B22:B24)</f>
        <v>1884</v>
      </c>
      <c r="C21" s="406">
        <f>SUM(C22:C24)</f>
        <v>11731.250000000018</v>
      </c>
      <c r="D21" s="406">
        <f>SUM(D22:D24)</f>
        <v>5775.8333333333321</v>
      </c>
      <c r="E21" s="407">
        <f t="shared" si="0"/>
        <v>6.2267781316348296</v>
      </c>
      <c r="F21" s="407">
        <f t="shared" si="1"/>
        <v>3.0657289455060148</v>
      </c>
      <c r="G21" s="408">
        <v>755060.92398508091</v>
      </c>
      <c r="H21" s="408">
        <v>715974.79949502205</v>
      </c>
    </row>
    <row r="22" spans="1:8">
      <c r="A22" s="1" t="s">
        <v>2548</v>
      </c>
      <c r="B22" s="409">
        <v>1312</v>
      </c>
      <c r="C22" s="409">
        <v>8555.8333333333521</v>
      </c>
      <c r="D22" s="409">
        <v>4149.5833333333321</v>
      </c>
      <c r="E22" s="410">
        <f t="shared" si="0"/>
        <v>6.5212144308943234</v>
      </c>
      <c r="F22" s="410">
        <f t="shared" si="1"/>
        <v>3.1627921747967469</v>
      </c>
      <c r="G22" s="411">
        <v>710827.75726112549</v>
      </c>
      <c r="H22" s="411">
        <v>655802.75750577427</v>
      </c>
    </row>
    <row r="23" spans="1:8">
      <c r="A23" s="1" t="s">
        <v>2549</v>
      </c>
      <c r="B23" s="409">
        <v>329</v>
      </c>
      <c r="C23" s="409">
        <v>1489.4166666666663</v>
      </c>
      <c r="D23" s="409">
        <v>615.41666666666629</v>
      </c>
      <c r="E23" s="410">
        <f t="shared" si="0"/>
        <v>4.5271023302938183</v>
      </c>
      <c r="F23" s="410">
        <f t="shared" si="1"/>
        <v>1.8705673758865238</v>
      </c>
      <c r="G23" s="411">
        <v>633684.43271974509</v>
      </c>
      <c r="H23" s="411">
        <v>627395.85253893083</v>
      </c>
    </row>
    <row r="24" spans="1:8">
      <c r="A24" s="1" t="s">
        <v>2550</v>
      </c>
      <c r="B24" s="409">
        <v>243</v>
      </c>
      <c r="C24" s="409">
        <v>1686.0000000000005</v>
      </c>
      <c r="D24" s="409">
        <v>1010.8333333333339</v>
      </c>
      <c r="E24" s="410">
        <f t="shared" si="0"/>
        <v>6.9382716049382731</v>
      </c>
      <c r="F24" s="410">
        <f t="shared" si="1"/>
        <v>4.1598079561042551</v>
      </c>
      <c r="G24" s="411">
        <v>1086752.3660537757</v>
      </c>
      <c r="H24" s="411">
        <v>1016916.4610057696</v>
      </c>
    </row>
    <row r="25" spans="1:8">
      <c r="A25" s="405" t="s">
        <v>2551</v>
      </c>
      <c r="B25" s="406">
        <f>SUM(B26:B30)</f>
        <v>1108</v>
      </c>
      <c r="C25" s="406">
        <f>SUM(C26:C30)</f>
        <v>9741.1666666666642</v>
      </c>
      <c r="D25" s="406">
        <f>SUM(D26:D30)</f>
        <v>5402.4166666666661</v>
      </c>
      <c r="E25" s="407">
        <f t="shared" si="0"/>
        <v>8.7916666666666643</v>
      </c>
      <c r="F25" s="407">
        <f t="shared" si="1"/>
        <v>4.875827316486161</v>
      </c>
      <c r="G25" s="408">
        <v>711032.42905538366</v>
      </c>
      <c r="H25" s="408">
        <v>618017.41368831939</v>
      </c>
    </row>
    <row r="26" spans="1:8">
      <c r="A26" s="1" t="s">
        <v>2086</v>
      </c>
      <c r="B26" s="409">
        <v>369</v>
      </c>
      <c r="C26" s="409">
        <v>3120.1666666666656</v>
      </c>
      <c r="D26" s="409">
        <v>2330.4999999999995</v>
      </c>
      <c r="E26" s="410">
        <f t="shared" si="0"/>
        <v>8.4557362240289038</v>
      </c>
      <c r="F26" s="410">
        <f t="shared" si="1"/>
        <v>6.3157181571815704</v>
      </c>
      <c r="G26" s="411">
        <v>526838.67245339474</v>
      </c>
      <c r="H26" s="411">
        <v>440680.3487806624</v>
      </c>
    </row>
    <row r="27" spans="1:8">
      <c r="A27" s="1" t="s">
        <v>2544</v>
      </c>
      <c r="B27" s="409">
        <v>51</v>
      </c>
      <c r="C27" s="409">
        <v>545.49999999999966</v>
      </c>
      <c r="D27" s="409">
        <v>181.66666666666669</v>
      </c>
      <c r="E27" s="410">
        <f t="shared" si="0"/>
        <v>10.696078431372543</v>
      </c>
      <c r="F27" s="410">
        <f t="shared" si="1"/>
        <v>3.5620915032679741</v>
      </c>
      <c r="G27" s="411">
        <v>453074.97219676164</v>
      </c>
      <c r="H27" s="411">
        <v>433277.55275229353</v>
      </c>
    </row>
    <row r="28" spans="1:8">
      <c r="A28" s="1" t="s">
        <v>2552</v>
      </c>
      <c r="B28" s="409">
        <v>105</v>
      </c>
      <c r="C28" s="409">
        <v>163.08333333333334</v>
      </c>
      <c r="D28" s="409">
        <v>154.75000000000003</v>
      </c>
      <c r="E28" s="410">
        <f t="shared" si="0"/>
        <v>1.5531746031746032</v>
      </c>
      <c r="F28" s="410">
        <f t="shared" si="1"/>
        <v>1.4738095238095241</v>
      </c>
      <c r="G28" s="411">
        <v>629273.29943791521</v>
      </c>
      <c r="H28" s="411">
        <v>327138.05600430787</v>
      </c>
    </row>
    <row r="29" spans="1:8">
      <c r="A29" s="1" t="s">
        <v>1222</v>
      </c>
      <c r="B29" s="409">
        <v>292</v>
      </c>
      <c r="C29" s="409">
        <v>1066.4999999999995</v>
      </c>
      <c r="D29" s="409">
        <v>436.25</v>
      </c>
      <c r="E29" s="410">
        <f t="shared" si="0"/>
        <v>3.6523972602739709</v>
      </c>
      <c r="F29" s="410">
        <f t="shared" si="1"/>
        <v>1.4940068493150684</v>
      </c>
      <c r="G29" s="411">
        <v>521855.85036724509</v>
      </c>
      <c r="H29" s="411">
        <v>530799.06704871042</v>
      </c>
    </row>
    <row r="30" spans="1:8">
      <c r="A30" s="1" t="s">
        <v>1223</v>
      </c>
      <c r="B30" s="409">
        <v>291</v>
      </c>
      <c r="C30" s="409">
        <v>4845.9166666666652</v>
      </c>
      <c r="D30" s="409">
        <v>2299.25</v>
      </c>
      <c r="E30" s="410">
        <f t="shared" si="0"/>
        <v>16.652634593356236</v>
      </c>
      <c r="F30" s="410">
        <f t="shared" si="1"/>
        <v>7.9012027491408938</v>
      </c>
      <c r="G30" s="411">
        <v>903054.17619645386</v>
      </c>
      <c r="H30" s="411">
        <v>848487.21420028212</v>
      </c>
    </row>
    <row r="31" spans="1:8">
      <c r="A31" s="405" t="s">
        <v>2553</v>
      </c>
      <c r="B31" s="406">
        <f>SUM(B32:B34)</f>
        <v>5114</v>
      </c>
      <c r="C31" s="406">
        <f>SUM(C32:C34)</f>
        <v>26543.499999999989</v>
      </c>
      <c r="D31" s="406">
        <f>SUM(D32:D34)</f>
        <v>18115.416666666693</v>
      </c>
      <c r="E31" s="407">
        <f t="shared" si="0"/>
        <v>5.1903597966366819</v>
      </c>
      <c r="F31" s="407">
        <f t="shared" si="1"/>
        <v>3.5423184721679104</v>
      </c>
      <c r="G31" s="408">
        <v>546116.64464934985</v>
      </c>
      <c r="H31" s="408">
        <v>468533.30667249364</v>
      </c>
    </row>
    <row r="32" spans="1:8">
      <c r="A32" s="1" t="s">
        <v>2091</v>
      </c>
      <c r="B32" s="409">
        <v>1837</v>
      </c>
      <c r="C32" s="409">
        <v>2569.6666666666674</v>
      </c>
      <c r="D32" s="409">
        <v>1288.7499999999995</v>
      </c>
      <c r="E32" s="410">
        <f t="shared" si="0"/>
        <v>1.3988386862638365</v>
      </c>
      <c r="F32" s="410">
        <f t="shared" si="1"/>
        <v>0.70155144256940638</v>
      </c>
      <c r="G32" s="411">
        <v>906385.38967440603</v>
      </c>
      <c r="H32" s="411">
        <v>810656.61635952233</v>
      </c>
    </row>
    <row r="33" spans="1:8">
      <c r="A33" s="1" t="s">
        <v>2092</v>
      </c>
      <c r="B33" s="409">
        <v>562</v>
      </c>
      <c r="C33" s="409">
        <v>1133.0833333333333</v>
      </c>
      <c r="D33" s="409">
        <v>788.24999999999886</v>
      </c>
      <c r="E33" s="410">
        <f t="shared" si="0"/>
        <v>2.0161625148279949</v>
      </c>
      <c r="F33" s="410">
        <f t="shared" si="1"/>
        <v>1.4025800711743752</v>
      </c>
      <c r="G33" s="411">
        <v>569098.84937853937</v>
      </c>
      <c r="H33" s="411">
        <v>546888.52183106146</v>
      </c>
    </row>
    <row r="34" spans="1:8">
      <c r="A34" s="1" t="s">
        <v>1833</v>
      </c>
      <c r="B34" s="409">
        <v>2715</v>
      </c>
      <c r="C34" s="409">
        <v>22840.749999999989</v>
      </c>
      <c r="D34" s="409">
        <v>16038.416666666693</v>
      </c>
      <c r="E34" s="410">
        <f t="shared" si="0"/>
        <v>8.4127992633517454</v>
      </c>
      <c r="F34" s="410">
        <f t="shared" si="1"/>
        <v>5.9073357888275115</v>
      </c>
      <c r="G34" s="411">
        <v>504445.01222595602</v>
      </c>
      <c r="H34" s="411">
        <v>437191.37784278271</v>
      </c>
    </row>
    <row r="35" spans="1:8">
      <c r="A35" s="405" t="s">
        <v>2554</v>
      </c>
      <c r="B35" s="406">
        <f>SUM(B36)</f>
        <v>2440</v>
      </c>
      <c r="C35" s="406">
        <f>SUM(C36)</f>
        <v>7496.8333333333194</v>
      </c>
      <c r="D35" s="406">
        <f>SUM(D36)</f>
        <v>3210.9166666666752</v>
      </c>
      <c r="E35" s="407">
        <f>E36</f>
        <v>3.0724726775956226</v>
      </c>
      <c r="F35" s="407">
        <f>F36</f>
        <v>1.3159494535519161</v>
      </c>
      <c r="G35" s="408">
        <f>G36</f>
        <v>921184.79611391702</v>
      </c>
      <c r="H35" s="408">
        <f>H36</f>
        <v>660247.73076224187</v>
      </c>
    </row>
    <row r="36" spans="1:8">
      <c r="A36" s="1" t="s">
        <v>2555</v>
      </c>
      <c r="B36" s="409">
        <v>2440</v>
      </c>
      <c r="C36" s="409">
        <v>7496.8333333333194</v>
      </c>
      <c r="D36" s="409">
        <v>3210.9166666666752</v>
      </c>
      <c r="E36" s="410">
        <f>C36/B36</f>
        <v>3.0724726775956226</v>
      </c>
      <c r="F36" s="410">
        <f>D36/B36</f>
        <v>1.3159494535519161</v>
      </c>
      <c r="G36" s="411">
        <v>921184.79611391702</v>
      </c>
      <c r="H36" s="411">
        <v>660247.73076224187</v>
      </c>
    </row>
    <row r="37" spans="1:8">
      <c r="A37" s="405" t="s">
        <v>2097</v>
      </c>
      <c r="B37" s="406">
        <f>SUM(B38)</f>
        <v>800</v>
      </c>
      <c r="C37" s="406">
        <f>SUM(C38)</f>
        <v>3749.0833333333353</v>
      </c>
      <c r="D37" s="406">
        <f>SUM(D38)</f>
        <v>3580.9166666666706</v>
      </c>
      <c r="E37" s="407">
        <f>E38</f>
        <v>4.6863541666666695</v>
      </c>
      <c r="F37" s="407">
        <f>F38</f>
        <v>4.4761458333333382</v>
      </c>
      <c r="G37" s="408">
        <f>G38</f>
        <v>842782.455755851</v>
      </c>
      <c r="H37" s="408">
        <f>H38</f>
        <v>681283.27648879436</v>
      </c>
    </row>
    <row r="38" spans="1:8">
      <c r="A38" s="1" t="s">
        <v>1523</v>
      </c>
      <c r="B38" s="409">
        <v>800</v>
      </c>
      <c r="C38" s="409">
        <v>3749.0833333333353</v>
      </c>
      <c r="D38" s="409">
        <v>3580.9166666666706</v>
      </c>
      <c r="E38" s="410">
        <f>C38/B38</f>
        <v>4.6863541666666695</v>
      </c>
      <c r="F38" s="410">
        <f>D38/B38</f>
        <v>4.4761458333333382</v>
      </c>
      <c r="G38" s="411">
        <v>842782.455755851</v>
      </c>
      <c r="H38" s="411">
        <v>681283.27648879436</v>
      </c>
    </row>
    <row r="39" spans="1:8">
      <c r="D39" s="412"/>
    </row>
    <row r="40" spans="1:8" ht="23.25" customHeight="1">
      <c r="A40" s="2596" t="s">
        <v>3414</v>
      </c>
      <c r="B40" s="2599"/>
      <c r="C40" s="2599"/>
      <c r="D40" s="2599"/>
      <c r="E40" s="2599"/>
      <c r="F40" s="2600"/>
      <c r="G40" s="2600"/>
      <c r="H40" s="2600"/>
    </row>
    <row r="41" spans="1:8" ht="45.75" customHeight="1">
      <c r="A41" s="2596" t="s">
        <v>3415</v>
      </c>
      <c r="B41" s="2599"/>
      <c r="C41" s="2599"/>
      <c r="D41" s="2599"/>
      <c r="E41" s="2599"/>
      <c r="F41" s="2600"/>
      <c r="G41" s="2600"/>
      <c r="H41" s="2600"/>
    </row>
    <row r="42" spans="1:8" ht="23.25" customHeight="1">
      <c r="A42" s="2580" t="s">
        <v>3416</v>
      </c>
      <c r="B42" s="2580"/>
      <c r="C42" s="2580"/>
      <c r="D42" s="2580"/>
      <c r="E42" s="2580"/>
      <c r="F42" s="2580"/>
      <c r="G42" s="2580"/>
      <c r="H42" s="2580"/>
    </row>
    <row r="43" spans="1:8" ht="47.25" customHeight="1">
      <c r="A43" s="2596" t="s">
        <v>3417</v>
      </c>
      <c r="B43" s="2600"/>
      <c r="C43" s="2600"/>
      <c r="D43" s="2600"/>
      <c r="E43" s="2600"/>
      <c r="F43" s="2600"/>
      <c r="G43" s="2600"/>
      <c r="H43" s="2600"/>
    </row>
    <row r="44" spans="1:8" ht="36" customHeight="1">
      <c r="A44" s="2596" t="s">
        <v>3201</v>
      </c>
      <c r="B44" s="2596"/>
      <c r="C44" s="2596"/>
      <c r="D44" s="2596"/>
      <c r="E44" s="2598"/>
      <c r="F44" s="2598"/>
      <c r="G44" s="2598"/>
      <c r="H44" s="2598"/>
    </row>
  </sheetData>
  <mergeCells count="6">
    <mergeCell ref="A44:H44"/>
    <mergeCell ref="A2:H2"/>
    <mergeCell ref="A40:H40"/>
    <mergeCell ref="A41:H41"/>
    <mergeCell ref="A42:H42"/>
    <mergeCell ref="A43:H43"/>
  </mergeCells>
  <pageMargins left="0.7" right="0.7" top="0.75" bottom="0.75" header="0.3" footer="0.3"/>
</worksheet>
</file>

<file path=xl/worksheets/sheet285.xml><?xml version="1.0" encoding="utf-8"?>
<worksheet xmlns="http://schemas.openxmlformats.org/spreadsheetml/2006/main" xmlns:r="http://schemas.openxmlformats.org/officeDocument/2006/relationships">
  <dimension ref="A2:F43"/>
  <sheetViews>
    <sheetView topLeftCell="A13" zoomScaleNormal="100" workbookViewId="0">
      <selection activeCell="B48" sqref="B48"/>
    </sheetView>
  </sheetViews>
  <sheetFormatPr baseColWidth="10" defaultRowHeight="11.25"/>
  <cols>
    <col min="1" max="1" width="41.85546875" style="392" customWidth="1"/>
    <col min="2" max="2" width="12.85546875" style="59" customWidth="1"/>
    <col min="3" max="3" width="17.7109375" style="59" customWidth="1"/>
    <col min="4" max="4" width="19.5703125" style="59" customWidth="1"/>
    <col min="5" max="5" width="19.42578125" style="59" customWidth="1"/>
    <col min="6" max="6" width="20" style="59" customWidth="1"/>
    <col min="7" max="16384" width="11.42578125" style="59"/>
  </cols>
  <sheetData>
    <row r="2" spans="1:6" ht="30" customHeight="1">
      <c r="A2" s="2500" t="s">
        <v>3252</v>
      </c>
      <c r="B2" s="2500"/>
      <c r="C2" s="2500"/>
      <c r="D2" s="2500"/>
      <c r="E2" s="2500"/>
      <c r="F2" s="2500"/>
    </row>
    <row r="3" spans="1:6" ht="3.75" customHeight="1"/>
    <row r="4" spans="1:6" ht="56.25">
      <c r="A4" s="393" t="s">
        <v>2061</v>
      </c>
      <c r="B4" s="394" t="s">
        <v>2563</v>
      </c>
      <c r="C4" s="394" t="s">
        <v>2564</v>
      </c>
      <c r="D4" s="394" t="s">
        <v>2558</v>
      </c>
      <c r="E4" s="394" t="s">
        <v>2565</v>
      </c>
      <c r="F4" s="394" t="s">
        <v>3406</v>
      </c>
    </row>
    <row r="5" spans="1:6">
      <c r="A5" s="395" t="s">
        <v>6</v>
      </c>
      <c r="B5" s="396">
        <f>SUM(B6,B8,B10,B14,B18,B21,B25,B31,B35,B37)</f>
        <v>13723</v>
      </c>
      <c r="C5" s="396">
        <f>SUM(C6,C8,C10,C14,C18,C21,C25,C31,C35,C37)</f>
        <v>115772.74999999999</v>
      </c>
      <c r="D5" s="397">
        <f t="shared" ref="D5:D38" si="0">C5/B5</f>
        <v>8.4364023901479257</v>
      </c>
      <c r="E5" s="398">
        <v>579554.62962889904</v>
      </c>
      <c r="F5" s="398">
        <v>610097.15861034207</v>
      </c>
    </row>
    <row r="6" spans="1:6">
      <c r="A6" s="395" t="s">
        <v>2068</v>
      </c>
      <c r="B6" s="396">
        <f>SUM(B7)</f>
        <v>101</v>
      </c>
      <c r="C6" s="396">
        <f>SUM(C7)</f>
        <v>1424.3333333333337</v>
      </c>
      <c r="D6" s="397">
        <f t="shared" si="0"/>
        <v>14.102310231023106</v>
      </c>
      <c r="E6" s="398">
        <v>662646.91235665826</v>
      </c>
      <c r="F6" s="398">
        <v>697568.4046378542</v>
      </c>
    </row>
    <row r="7" spans="1:6">
      <c r="A7" s="392" t="s">
        <v>2068</v>
      </c>
      <c r="B7" s="399">
        <v>101</v>
      </c>
      <c r="C7" s="399">
        <v>1424.3333333333337</v>
      </c>
      <c r="D7" s="400">
        <f t="shared" si="0"/>
        <v>14.102310231023106</v>
      </c>
      <c r="E7" s="401">
        <v>662646.91235665826</v>
      </c>
      <c r="F7" s="401">
        <v>697568.4046378542</v>
      </c>
    </row>
    <row r="8" spans="1:6">
      <c r="A8" s="395" t="s">
        <v>2542</v>
      </c>
      <c r="B8" s="396">
        <f>SUM(B9)</f>
        <v>956</v>
      </c>
      <c r="C8" s="396">
        <f>SUM(C9)</f>
        <v>1330.749999999995</v>
      </c>
      <c r="D8" s="397">
        <f t="shared" si="0"/>
        <v>1.3919979079497855</v>
      </c>
      <c r="E8" s="398">
        <v>281394.49001189903</v>
      </c>
      <c r="F8" s="398">
        <v>296223.97963552614</v>
      </c>
    </row>
    <row r="9" spans="1:6">
      <c r="A9" s="392" t="s">
        <v>2543</v>
      </c>
      <c r="B9" s="399">
        <v>956</v>
      </c>
      <c r="C9" s="399">
        <v>1330.749999999995</v>
      </c>
      <c r="D9" s="400">
        <f t="shared" si="0"/>
        <v>1.3919979079497855</v>
      </c>
      <c r="E9" s="401">
        <v>281394.49001189903</v>
      </c>
      <c r="F9" s="401">
        <v>296223.97963552614</v>
      </c>
    </row>
    <row r="10" spans="1:6">
      <c r="A10" s="395" t="s">
        <v>2056</v>
      </c>
      <c r="B10" s="396">
        <f>SUM(B11:B13)</f>
        <v>680</v>
      </c>
      <c r="C10" s="396">
        <f>SUM(C11:C13)</f>
        <v>4577.583333333333</v>
      </c>
      <c r="D10" s="397">
        <f t="shared" si="0"/>
        <v>6.7317401960784311</v>
      </c>
      <c r="E10" s="398">
        <v>465096.95390580874</v>
      </c>
      <c r="F10" s="398">
        <v>489607.56337664486</v>
      </c>
    </row>
    <row r="11" spans="1:6">
      <c r="A11" s="392" t="s">
        <v>2056</v>
      </c>
      <c r="B11" s="399">
        <v>139</v>
      </c>
      <c r="C11" s="399">
        <v>364.16666666666669</v>
      </c>
      <c r="D11" s="400">
        <f t="shared" si="0"/>
        <v>2.6199040767386093</v>
      </c>
      <c r="E11" s="401">
        <v>434878.88260869565</v>
      </c>
      <c r="F11" s="401">
        <v>457796.9997221739</v>
      </c>
    </row>
    <row r="12" spans="1:6">
      <c r="A12" s="392" t="s">
        <v>2544</v>
      </c>
      <c r="B12" s="399">
        <v>32</v>
      </c>
      <c r="C12" s="399">
        <v>1057.416666666667</v>
      </c>
      <c r="D12" s="400">
        <f t="shared" si="0"/>
        <v>33.044270833333343</v>
      </c>
      <c r="E12" s="401">
        <v>583562.71889037709</v>
      </c>
      <c r="F12" s="401">
        <v>614316.47417589999</v>
      </c>
    </row>
    <row r="13" spans="1:6">
      <c r="A13" s="392" t="s">
        <v>2075</v>
      </c>
      <c r="B13" s="399">
        <v>509</v>
      </c>
      <c r="C13" s="399">
        <v>3155.9999999999995</v>
      </c>
      <c r="D13" s="400">
        <f t="shared" si="0"/>
        <v>6.2003929273084468</v>
      </c>
      <c r="E13" s="401">
        <v>428891.86517743941</v>
      </c>
      <c r="F13" s="401">
        <v>451494.46647229046</v>
      </c>
    </row>
    <row r="14" spans="1:6">
      <c r="A14" s="395" t="s">
        <v>2545</v>
      </c>
      <c r="B14" s="396">
        <f>SUM(B15:B17)</f>
        <v>188</v>
      </c>
      <c r="C14" s="396">
        <f>SUM(C15:C17)</f>
        <v>2330.4999999999991</v>
      </c>
      <c r="D14" s="397">
        <f t="shared" si="0"/>
        <v>12.396276595744675</v>
      </c>
      <c r="E14" s="398">
        <v>847520.14735750598</v>
      </c>
      <c r="F14" s="398">
        <v>892184.45912324649</v>
      </c>
    </row>
    <row r="15" spans="1:6">
      <c r="A15" s="392" t="s">
        <v>1120</v>
      </c>
      <c r="B15" s="399">
        <v>20</v>
      </c>
      <c r="C15" s="399">
        <v>130.16666666666666</v>
      </c>
      <c r="D15" s="400">
        <f t="shared" si="0"/>
        <v>6.5083333333333329</v>
      </c>
      <c r="E15" s="401">
        <v>200954.3719590269</v>
      </c>
      <c r="F15" s="401">
        <v>211544.66736126761</v>
      </c>
    </row>
    <row r="16" spans="1:6">
      <c r="A16" s="392" t="s">
        <v>2077</v>
      </c>
      <c r="B16" s="399">
        <v>18</v>
      </c>
      <c r="C16" s="399">
        <v>20.583333333333329</v>
      </c>
      <c r="D16" s="400">
        <f t="shared" si="0"/>
        <v>1.1435185185185182</v>
      </c>
      <c r="E16" s="401">
        <v>270396.81376518228</v>
      </c>
      <c r="F16" s="401">
        <v>284646.72585060738</v>
      </c>
    </row>
    <row r="17" spans="1:6">
      <c r="A17" s="392" t="s">
        <v>1921</v>
      </c>
      <c r="B17" s="399">
        <v>150</v>
      </c>
      <c r="C17" s="399">
        <v>2179.7499999999991</v>
      </c>
      <c r="D17" s="400">
        <f t="shared" si="0"/>
        <v>14.531666666666661</v>
      </c>
      <c r="E17" s="401">
        <v>891580.44496693101</v>
      </c>
      <c r="F17" s="401">
        <v>938566.73441668833</v>
      </c>
    </row>
    <row r="18" spans="1:6">
      <c r="A18" s="395" t="s">
        <v>2546</v>
      </c>
      <c r="B18" s="396">
        <f>SUM(B19:B20)</f>
        <v>727</v>
      </c>
      <c r="C18" s="396">
        <f>SUM(C19:C20)</f>
        <v>3414.2500000000009</v>
      </c>
      <c r="D18" s="397">
        <f t="shared" si="0"/>
        <v>4.696354883081157</v>
      </c>
      <c r="E18" s="398">
        <v>565566.48346391297</v>
      </c>
      <c r="F18" s="398">
        <v>595371.83714246121</v>
      </c>
    </row>
    <row r="19" spans="1:6">
      <c r="A19" s="392" t="s">
        <v>2544</v>
      </c>
      <c r="B19" s="399">
        <v>21</v>
      </c>
      <c r="C19" s="399">
        <v>33.166666666666664</v>
      </c>
      <c r="D19" s="400">
        <f t="shared" si="0"/>
        <v>1.5793650793650793</v>
      </c>
      <c r="E19" s="401">
        <v>271462.4748743719</v>
      </c>
      <c r="F19" s="401">
        <v>285768.54730025132</v>
      </c>
    </row>
    <row r="20" spans="1:6">
      <c r="A20" s="392" t="s">
        <v>1830</v>
      </c>
      <c r="B20" s="399">
        <v>706</v>
      </c>
      <c r="C20" s="399">
        <v>3381.0833333333344</v>
      </c>
      <c r="D20" s="400">
        <f t="shared" si="0"/>
        <v>4.7890698772426834</v>
      </c>
      <c r="E20" s="401">
        <v>568451.49062184151</v>
      </c>
      <c r="F20" s="401">
        <v>598408.88417761261</v>
      </c>
    </row>
    <row r="21" spans="1:6">
      <c r="A21" s="395" t="s">
        <v>2547</v>
      </c>
      <c r="B21" s="396">
        <f>SUM(B22:B24)</f>
        <v>1998</v>
      </c>
      <c r="C21" s="396">
        <f>SUM(C22:C24)</f>
        <v>19541.083333333328</v>
      </c>
      <c r="D21" s="397">
        <f t="shared" si="0"/>
        <v>9.7803219886553201</v>
      </c>
      <c r="E21" s="398">
        <v>690925.41253460676</v>
      </c>
      <c r="F21" s="398">
        <v>727337.18177518051</v>
      </c>
    </row>
    <row r="22" spans="1:6">
      <c r="A22" s="392" t="s">
        <v>2548</v>
      </c>
      <c r="B22" s="399">
        <v>1360</v>
      </c>
      <c r="C22" s="399">
        <v>14295.249999999996</v>
      </c>
      <c r="D22" s="400">
        <f t="shared" si="0"/>
        <v>10.511213235294115</v>
      </c>
      <c r="E22" s="401">
        <v>654409.7104835381</v>
      </c>
      <c r="F22" s="401">
        <v>688897.10222602054</v>
      </c>
    </row>
    <row r="23" spans="1:6">
      <c r="A23" s="392" t="s">
        <v>2549</v>
      </c>
      <c r="B23" s="399">
        <v>340</v>
      </c>
      <c r="C23" s="399">
        <v>2401.4999999999986</v>
      </c>
      <c r="D23" s="400">
        <f t="shared" si="0"/>
        <v>7.0632352941176428</v>
      </c>
      <c r="E23" s="401">
        <v>576479.02626830421</v>
      </c>
      <c r="F23" s="401">
        <v>606859.4709526439</v>
      </c>
    </row>
    <row r="24" spans="1:6">
      <c r="A24" s="392" t="s">
        <v>2550</v>
      </c>
      <c r="B24" s="399">
        <v>298</v>
      </c>
      <c r="C24" s="399">
        <v>2844.3333333333339</v>
      </c>
      <c r="D24" s="400">
        <f t="shared" si="0"/>
        <v>9.5447427293064901</v>
      </c>
      <c r="E24" s="401">
        <v>971076.85506269732</v>
      </c>
      <c r="F24" s="401">
        <v>1022252.6053245014</v>
      </c>
    </row>
    <row r="25" spans="1:6">
      <c r="A25" s="395" t="s">
        <v>2551</v>
      </c>
      <c r="B25" s="396">
        <f>SUM(B26:B30)</f>
        <v>1181</v>
      </c>
      <c r="C25" s="396">
        <f>SUM(C26:C30)</f>
        <v>16150.416666666668</v>
      </c>
      <c r="D25" s="397">
        <f t="shared" si="0"/>
        <v>13.675204628845613</v>
      </c>
      <c r="E25" s="398">
        <v>632571.69960151811</v>
      </c>
      <c r="F25" s="398">
        <v>665908.22817051806</v>
      </c>
    </row>
    <row r="26" spans="1:6">
      <c r="A26" s="392" t="s">
        <v>2086</v>
      </c>
      <c r="B26" s="399">
        <v>365</v>
      </c>
      <c r="C26" s="399">
        <v>5665.6666666666688</v>
      </c>
      <c r="D26" s="400">
        <f t="shared" si="0"/>
        <v>15.522374429223751</v>
      </c>
      <c r="E26" s="401">
        <v>473224.42293103581</v>
      </c>
      <c r="F26" s="401">
        <v>498163.35001950141</v>
      </c>
    </row>
    <row r="27" spans="1:6">
      <c r="A27" s="392" t="s">
        <v>2544</v>
      </c>
      <c r="B27" s="399">
        <v>142</v>
      </c>
      <c r="C27" s="399">
        <v>933.66666666666697</v>
      </c>
      <c r="D27" s="400">
        <f t="shared" si="0"/>
        <v>6.5751173708920208</v>
      </c>
      <c r="E27" s="401">
        <v>592600.58479114587</v>
      </c>
      <c r="F27" s="401">
        <v>623830.63560963923</v>
      </c>
    </row>
    <row r="28" spans="1:6">
      <c r="A28" s="392" t="s">
        <v>2552</v>
      </c>
      <c r="B28" s="399">
        <v>108</v>
      </c>
      <c r="C28" s="399">
        <v>338.66666666666663</v>
      </c>
      <c r="D28" s="400">
        <f t="shared" si="0"/>
        <v>3.1358024691358022</v>
      </c>
      <c r="E28" s="401">
        <v>389989.81988188968</v>
      </c>
      <c r="F28" s="401">
        <v>410542.28338966524</v>
      </c>
    </row>
    <row r="29" spans="1:6">
      <c r="A29" s="392" t="s">
        <v>1222</v>
      </c>
      <c r="B29" s="399">
        <v>285</v>
      </c>
      <c r="C29" s="399">
        <v>1576.3333333333323</v>
      </c>
      <c r="D29" s="400">
        <f t="shared" si="0"/>
        <v>5.5309941520467802</v>
      </c>
      <c r="E29" s="401">
        <v>501153.19269401551</v>
      </c>
      <c r="F29" s="401">
        <v>527563.96594899008</v>
      </c>
    </row>
    <row r="30" spans="1:6">
      <c r="A30" s="392" t="s">
        <v>1223</v>
      </c>
      <c r="B30" s="399">
        <v>281</v>
      </c>
      <c r="C30" s="399">
        <v>7636.083333333333</v>
      </c>
      <c r="D30" s="400">
        <f t="shared" si="0"/>
        <v>27.174673784104389</v>
      </c>
      <c r="E30" s="401">
        <v>793575.96937824739</v>
      </c>
      <c r="F30" s="401">
        <v>835397.42296448105</v>
      </c>
    </row>
    <row r="31" spans="1:6">
      <c r="A31" s="395" t="s">
        <v>2553</v>
      </c>
      <c r="B31" s="396">
        <f>SUM(B32:B34)</f>
        <v>4631</v>
      </c>
      <c r="C31" s="396">
        <f>SUM(C32:C34)</f>
        <v>49130.91666666665</v>
      </c>
      <c r="D31" s="397">
        <f t="shared" si="0"/>
        <v>10.609137695242204</v>
      </c>
      <c r="E31" s="398">
        <v>462708.51766623586</v>
      </c>
      <c r="F31" s="398">
        <v>487093.25654724648</v>
      </c>
    </row>
    <row r="32" spans="1:6">
      <c r="A32" s="392" t="s">
        <v>2091</v>
      </c>
      <c r="B32" s="399">
        <v>1711</v>
      </c>
      <c r="C32" s="399">
        <v>4779.7500000000082</v>
      </c>
      <c r="D32" s="400">
        <f t="shared" si="0"/>
        <v>2.7935417884278246</v>
      </c>
      <c r="E32" s="401">
        <v>788981.92968600092</v>
      </c>
      <c r="F32" s="401">
        <v>830561.27738045319</v>
      </c>
    </row>
    <row r="33" spans="1:6">
      <c r="A33" s="392" t="s">
        <v>2092</v>
      </c>
      <c r="B33" s="399">
        <v>510</v>
      </c>
      <c r="C33" s="399">
        <v>1937.7499999999991</v>
      </c>
      <c r="D33" s="400">
        <f t="shared" si="0"/>
        <v>3.7995098039215667</v>
      </c>
      <c r="E33" s="401">
        <v>537114.19395346905</v>
      </c>
      <c r="F33" s="401">
        <v>565420.11197481689</v>
      </c>
    </row>
    <row r="34" spans="1:6">
      <c r="A34" s="392" t="s">
        <v>1833</v>
      </c>
      <c r="B34" s="399">
        <v>2410</v>
      </c>
      <c r="C34" s="399">
        <v>42413.416666666642</v>
      </c>
      <c r="D34" s="400">
        <f t="shared" si="0"/>
        <v>17.598928077455039</v>
      </c>
      <c r="E34" s="401">
        <v>422539.97963694728</v>
      </c>
      <c r="F34" s="401">
        <v>444807.83656381437</v>
      </c>
    </row>
    <row r="35" spans="1:6">
      <c r="A35" s="402" t="s">
        <v>2554</v>
      </c>
      <c r="B35" s="396">
        <f>SUM(B36)</f>
        <v>2435</v>
      </c>
      <c r="C35" s="396">
        <f>SUM(C36)</f>
        <v>10501.916666666668</v>
      </c>
      <c r="D35" s="397">
        <f t="shared" si="0"/>
        <v>4.3129021218343606</v>
      </c>
      <c r="E35" s="398">
        <v>770233.46022551483</v>
      </c>
      <c r="F35" s="398">
        <v>810824.76357939944</v>
      </c>
    </row>
    <row r="36" spans="1:6">
      <c r="A36" s="403" t="s">
        <v>2555</v>
      </c>
      <c r="B36" s="399">
        <v>2435</v>
      </c>
      <c r="C36" s="399">
        <v>10501.916666666668</v>
      </c>
      <c r="D36" s="400">
        <f t="shared" si="0"/>
        <v>4.3129021218343606</v>
      </c>
      <c r="E36" s="401">
        <v>770233.46022551483</v>
      </c>
      <c r="F36" s="401">
        <v>810824.76357939944</v>
      </c>
    </row>
    <row r="37" spans="1:6">
      <c r="A37" s="402" t="s">
        <v>2097</v>
      </c>
      <c r="B37" s="396">
        <f>SUM(B38)</f>
        <v>826</v>
      </c>
      <c r="C37" s="396">
        <f>SUM(C38)</f>
        <v>7371</v>
      </c>
      <c r="D37" s="397">
        <f t="shared" si="0"/>
        <v>8.9237288135593218</v>
      </c>
      <c r="E37" s="398">
        <v>705913.73498853773</v>
      </c>
      <c r="F37" s="398">
        <v>743115.38882243366</v>
      </c>
    </row>
    <row r="38" spans="1:6">
      <c r="A38" s="403" t="s">
        <v>1523</v>
      </c>
      <c r="B38" s="399">
        <v>826</v>
      </c>
      <c r="C38" s="399">
        <v>7371</v>
      </c>
      <c r="D38" s="400">
        <f t="shared" si="0"/>
        <v>8.9237288135593218</v>
      </c>
      <c r="E38" s="401">
        <v>705913.73498853773</v>
      </c>
      <c r="F38" s="401">
        <v>743115.38882243366</v>
      </c>
    </row>
    <row r="39" spans="1:6" ht="15" customHeight="1">
      <c r="A39" s="395"/>
      <c r="B39" s="396"/>
      <c r="C39" s="396"/>
      <c r="D39" s="397"/>
      <c r="E39" s="397"/>
      <c r="F39" s="50"/>
    </row>
    <row r="40" spans="1:6" ht="29.25" customHeight="1">
      <c r="A40" s="2085" t="s">
        <v>3407</v>
      </c>
      <c r="B40" s="2085"/>
      <c r="C40" s="2085"/>
      <c r="D40" s="2085"/>
      <c r="E40" s="2085"/>
      <c r="F40" s="2085"/>
    </row>
    <row r="41" spans="1:6" ht="16.5" customHeight="1">
      <c r="A41" s="2580" t="s">
        <v>3408</v>
      </c>
      <c r="B41" s="2580"/>
      <c r="C41" s="2580"/>
      <c r="D41" s="2580"/>
      <c r="E41" s="2580"/>
      <c r="F41" s="2580"/>
    </row>
    <row r="42" spans="1:6" ht="40.5" customHeight="1">
      <c r="A42" s="2580" t="s">
        <v>3201</v>
      </c>
      <c r="B42" s="2580"/>
      <c r="C42" s="2580"/>
      <c r="D42" s="2580"/>
      <c r="E42" s="2580"/>
      <c r="F42" s="2580"/>
    </row>
    <row r="43" spans="1:6">
      <c r="A43" s="59"/>
    </row>
  </sheetData>
  <mergeCells count="4">
    <mergeCell ref="A2:F2"/>
    <mergeCell ref="A40:F40"/>
    <mergeCell ref="A41:F41"/>
    <mergeCell ref="A42:F42"/>
  </mergeCells>
  <pageMargins left="0.7" right="0.7" top="0.75" bottom="0.75" header="0.3" footer="0.3"/>
</worksheet>
</file>

<file path=xl/worksheets/sheet286.xml><?xml version="1.0" encoding="utf-8"?>
<worksheet xmlns="http://schemas.openxmlformats.org/spreadsheetml/2006/main" xmlns:r="http://schemas.openxmlformats.org/officeDocument/2006/relationships">
  <dimension ref="A2:G24"/>
  <sheetViews>
    <sheetView zoomScaleNormal="100" workbookViewId="0">
      <selection activeCell="B30" sqref="B30"/>
    </sheetView>
  </sheetViews>
  <sheetFormatPr baseColWidth="10" defaultRowHeight="11.25"/>
  <cols>
    <col min="1" max="1" width="26" style="62" customWidth="1"/>
    <col min="2" max="2" width="15.140625" style="62" customWidth="1"/>
    <col min="3" max="3" width="16" style="62" customWidth="1"/>
    <col min="4" max="4" width="17.7109375" style="62" customWidth="1"/>
    <col min="5" max="5" width="19.42578125" style="62" customWidth="1"/>
    <col min="6" max="6" width="19.28515625" style="62" customWidth="1"/>
    <col min="7" max="16384" width="11.42578125" style="62"/>
  </cols>
  <sheetData>
    <row r="2" spans="1:7" ht="31.5" customHeight="1">
      <c r="A2" s="2502" t="s">
        <v>3251</v>
      </c>
      <c r="B2" s="2502"/>
      <c r="C2" s="2502"/>
      <c r="D2" s="2502"/>
      <c r="E2" s="2502"/>
      <c r="F2" s="2502"/>
    </row>
    <row r="3" spans="1:7" ht="8.25" customHeight="1">
      <c r="A3" s="318"/>
      <c r="B3" s="318"/>
      <c r="C3" s="318"/>
      <c r="D3" s="318"/>
      <c r="E3" s="63"/>
    </row>
    <row r="4" spans="1:7" ht="56.25">
      <c r="A4" s="2018" t="s">
        <v>2557</v>
      </c>
      <c r="B4" s="2018" t="s">
        <v>2566</v>
      </c>
      <c r="C4" s="2018" t="s">
        <v>2567</v>
      </c>
      <c r="D4" s="2018" t="s">
        <v>2568</v>
      </c>
      <c r="E4" s="2018" t="s">
        <v>2569</v>
      </c>
      <c r="F4" s="2018" t="s">
        <v>3403</v>
      </c>
    </row>
    <row r="5" spans="1:7">
      <c r="A5" s="390" t="s">
        <v>6</v>
      </c>
      <c r="B5" s="390">
        <f>SUM(B6:B20)</f>
        <v>13723</v>
      </c>
      <c r="C5" s="390">
        <f>SUM(C6:C20)</f>
        <v>115772.33333333305</v>
      </c>
      <c r="D5" s="390">
        <f t="shared" ref="D5:D20" si="0">C5/B5</f>
        <v>8.4363720274963967</v>
      </c>
      <c r="E5" s="390">
        <v>579554.62962890242</v>
      </c>
      <c r="F5" s="390">
        <v>610097.15861034556</v>
      </c>
    </row>
    <row r="6" spans="1:7">
      <c r="A6" s="391" t="s">
        <v>7</v>
      </c>
      <c r="B6" s="391">
        <v>140</v>
      </c>
      <c r="C6" s="391">
        <v>266.9166666666668</v>
      </c>
      <c r="D6" s="391">
        <f t="shared" si="0"/>
        <v>1.90654761904762</v>
      </c>
      <c r="E6" s="391">
        <v>303426.90134249133</v>
      </c>
      <c r="F6" s="391">
        <v>319417.49904324062</v>
      </c>
      <c r="G6" s="349"/>
    </row>
    <row r="7" spans="1:7">
      <c r="A7" s="391" t="s">
        <v>8</v>
      </c>
      <c r="B7" s="391">
        <v>187</v>
      </c>
      <c r="C7" s="391">
        <v>472.24999999999994</v>
      </c>
      <c r="D7" s="391">
        <f t="shared" si="0"/>
        <v>2.5254010695187161</v>
      </c>
      <c r="E7" s="391">
        <v>427833.62643373926</v>
      </c>
      <c r="F7" s="391">
        <v>450380.45854679734</v>
      </c>
    </row>
    <row r="8" spans="1:7">
      <c r="A8" s="391" t="s">
        <v>9</v>
      </c>
      <c r="B8" s="391">
        <v>299</v>
      </c>
      <c r="C8" s="391">
        <v>1222.1666666666667</v>
      </c>
      <c r="D8" s="391">
        <f t="shared" si="0"/>
        <v>4.0875139353400227</v>
      </c>
      <c r="E8" s="391">
        <v>592113.29817264457</v>
      </c>
      <c r="F8" s="391">
        <v>623317.66898634296</v>
      </c>
    </row>
    <row r="9" spans="1:7">
      <c r="A9" s="391" t="s">
        <v>10</v>
      </c>
      <c r="B9" s="391">
        <v>148</v>
      </c>
      <c r="C9" s="391">
        <v>314.25</v>
      </c>
      <c r="D9" s="391">
        <f t="shared" si="0"/>
        <v>2.123310810810811</v>
      </c>
      <c r="E9" s="391">
        <v>400005.23316096544</v>
      </c>
      <c r="F9" s="391">
        <v>421085.50894854829</v>
      </c>
    </row>
    <row r="10" spans="1:7">
      <c r="A10" s="391" t="s">
        <v>11</v>
      </c>
      <c r="B10" s="391">
        <v>332</v>
      </c>
      <c r="C10" s="391">
        <v>1127.9166666666672</v>
      </c>
      <c r="D10" s="391">
        <f t="shared" si="0"/>
        <v>3.3973393574297206</v>
      </c>
      <c r="E10" s="391">
        <v>542526.31052825891</v>
      </c>
      <c r="F10" s="391">
        <v>571117.44709309819</v>
      </c>
    </row>
    <row r="11" spans="1:7">
      <c r="A11" s="391" t="s">
        <v>12</v>
      </c>
      <c r="B11" s="391">
        <v>1088</v>
      </c>
      <c r="C11" s="391">
        <v>3428.0000000000032</v>
      </c>
      <c r="D11" s="391">
        <f t="shared" si="0"/>
        <v>3.1507352941176499</v>
      </c>
      <c r="E11" s="391">
        <v>440703.22291909822</v>
      </c>
      <c r="F11" s="391">
        <v>463928.28276693472</v>
      </c>
    </row>
    <row r="12" spans="1:7">
      <c r="A12" s="391" t="s">
        <v>13</v>
      </c>
      <c r="B12" s="391">
        <v>8361</v>
      </c>
      <c r="C12" s="391">
        <v>97779.66666666638</v>
      </c>
      <c r="D12" s="391">
        <f t="shared" si="0"/>
        <v>11.694733484830328</v>
      </c>
      <c r="E12" s="391">
        <v>604517.514405692</v>
      </c>
      <c r="F12" s="391">
        <v>636375.58741487202</v>
      </c>
    </row>
    <row r="13" spans="1:7">
      <c r="A13" s="391" t="s">
        <v>14</v>
      </c>
      <c r="B13" s="391">
        <v>437</v>
      </c>
      <c r="C13" s="391">
        <v>1215.0833333333328</v>
      </c>
      <c r="D13" s="391">
        <f t="shared" si="0"/>
        <v>2.7805110602593426</v>
      </c>
      <c r="E13" s="391">
        <v>419621.27734723297</v>
      </c>
      <c r="F13" s="391">
        <v>441735.31866343215</v>
      </c>
    </row>
    <row r="14" spans="1:7">
      <c r="A14" s="391" t="s">
        <v>15</v>
      </c>
      <c r="B14" s="391">
        <v>491</v>
      </c>
      <c r="C14" s="391">
        <v>1363.1666666666681</v>
      </c>
      <c r="D14" s="391">
        <f t="shared" si="0"/>
        <v>2.7763068567549247</v>
      </c>
      <c r="E14" s="391">
        <v>363542.75345396681</v>
      </c>
      <c r="F14" s="391">
        <v>382701.45656099089</v>
      </c>
    </row>
    <row r="15" spans="1:7">
      <c r="A15" s="391" t="s">
        <v>16</v>
      </c>
      <c r="B15" s="391">
        <v>919</v>
      </c>
      <c r="C15" s="391">
        <v>4440.0833333333294</v>
      </c>
      <c r="D15" s="391">
        <f t="shared" si="0"/>
        <v>4.83142908959013</v>
      </c>
      <c r="E15" s="391">
        <v>438447.10550595069</v>
      </c>
      <c r="F15" s="391">
        <v>461553.26796611428</v>
      </c>
    </row>
    <row r="16" spans="1:7">
      <c r="A16" s="391" t="s">
        <v>379</v>
      </c>
      <c r="B16" s="391">
        <v>504</v>
      </c>
      <c r="C16" s="391">
        <v>1642.9166666666654</v>
      </c>
      <c r="D16" s="391">
        <f t="shared" si="0"/>
        <v>3.2597552910052885</v>
      </c>
      <c r="E16" s="391">
        <v>423415.71194522025</v>
      </c>
      <c r="F16" s="391">
        <v>445729.71996473335</v>
      </c>
    </row>
    <row r="17" spans="1:6">
      <c r="A17" s="391" t="s">
        <v>276</v>
      </c>
      <c r="B17" s="391">
        <v>173</v>
      </c>
      <c r="C17" s="391">
        <v>602.16666666666652</v>
      </c>
      <c r="D17" s="391">
        <f t="shared" si="0"/>
        <v>3.4807321772639681</v>
      </c>
      <c r="E17" s="391">
        <v>393030.7347815184</v>
      </c>
      <c r="F17" s="391">
        <v>413743.45450450445</v>
      </c>
    </row>
    <row r="18" spans="1:6">
      <c r="A18" s="391" t="s">
        <v>280</v>
      </c>
      <c r="B18" s="391">
        <v>428</v>
      </c>
      <c r="C18" s="391">
        <v>1138.7499999999998</v>
      </c>
      <c r="D18" s="391">
        <f t="shared" si="0"/>
        <v>2.6606308411214949</v>
      </c>
      <c r="E18" s="391">
        <v>395222.75045737304</v>
      </c>
      <c r="F18" s="391">
        <v>416050.98940647661</v>
      </c>
    </row>
    <row r="19" spans="1:6">
      <c r="A19" s="391" t="s">
        <v>20</v>
      </c>
      <c r="B19" s="391">
        <v>65</v>
      </c>
      <c r="C19" s="391">
        <v>162.16666666666671</v>
      </c>
      <c r="D19" s="391">
        <f t="shared" si="0"/>
        <v>2.4948717948717958</v>
      </c>
      <c r="E19" s="391">
        <v>366132.25179856113</v>
      </c>
      <c r="F19" s="391">
        <v>385427.42146834533</v>
      </c>
    </row>
    <row r="20" spans="1:6">
      <c r="A20" s="391" t="s">
        <v>21</v>
      </c>
      <c r="B20" s="391">
        <v>151</v>
      </c>
      <c r="C20" s="391">
        <v>596.83333333333314</v>
      </c>
      <c r="D20" s="391">
        <f t="shared" si="0"/>
        <v>3.9525386313465769</v>
      </c>
      <c r="E20" s="391">
        <v>566140.8472545431</v>
      </c>
      <c r="F20" s="391">
        <v>595976.46990485757</v>
      </c>
    </row>
    <row r="22" spans="1:6" ht="27" customHeight="1">
      <c r="A22" s="2580" t="s">
        <v>3404</v>
      </c>
      <c r="B22" s="2580"/>
      <c r="C22" s="2580"/>
      <c r="D22" s="2580"/>
      <c r="E22" s="2580"/>
      <c r="F22" s="2580"/>
    </row>
    <row r="23" spans="1:6" ht="15.75" customHeight="1">
      <c r="A23" s="62" t="s">
        <v>3405</v>
      </c>
      <c r="B23" s="56"/>
      <c r="C23" s="56"/>
      <c r="D23" s="56"/>
      <c r="E23" s="56"/>
    </row>
    <row r="24" spans="1:6" ht="36" customHeight="1">
      <c r="A24" s="2580" t="s">
        <v>3201</v>
      </c>
      <c r="B24" s="2580"/>
      <c r="C24" s="2580"/>
      <c r="D24" s="2580"/>
      <c r="E24" s="2580"/>
      <c r="F24" s="2580"/>
    </row>
  </sheetData>
  <mergeCells count="3">
    <mergeCell ref="A2:F2"/>
    <mergeCell ref="A22:F22"/>
    <mergeCell ref="A24:F24"/>
  </mergeCells>
  <pageMargins left="0.7" right="0.7" top="0.75" bottom="0.75" header="0.3" footer="0.3"/>
  <pageSetup orientation="portrait" r:id="rId1"/>
</worksheet>
</file>

<file path=xl/worksheets/sheet287.xml><?xml version="1.0" encoding="utf-8"?>
<worksheet xmlns="http://schemas.openxmlformats.org/spreadsheetml/2006/main" xmlns:r="http://schemas.openxmlformats.org/officeDocument/2006/relationships">
  <dimension ref="A2:E28"/>
  <sheetViews>
    <sheetView zoomScaleNormal="100" workbookViewId="0">
      <selection activeCell="A38" sqref="A38"/>
    </sheetView>
  </sheetViews>
  <sheetFormatPr baseColWidth="10" defaultRowHeight="11.25"/>
  <cols>
    <col min="1" max="1" width="36.140625" style="61" customWidth="1"/>
    <col min="2" max="2" width="20.42578125" style="61" customWidth="1"/>
    <col min="3" max="3" width="18.7109375" style="61" customWidth="1"/>
    <col min="4" max="4" width="20.140625" style="61" customWidth="1"/>
    <col min="5" max="5" width="18.5703125" style="61" customWidth="1"/>
    <col min="6" max="16384" width="11.42578125" style="61"/>
  </cols>
  <sheetData>
    <row r="2" spans="1:5" ht="24" customHeight="1">
      <c r="A2" s="2281" t="s">
        <v>3250</v>
      </c>
      <c r="B2" s="2281"/>
      <c r="C2" s="2281"/>
      <c r="D2" s="2281"/>
      <c r="E2" s="2281"/>
    </row>
    <row r="4" spans="1:5" ht="39" customHeight="1">
      <c r="A4" s="316" t="s">
        <v>2535</v>
      </c>
      <c r="B4" s="317" t="s">
        <v>2570</v>
      </c>
      <c r="C4" s="317" t="s">
        <v>2571</v>
      </c>
      <c r="D4" s="317" t="s">
        <v>2572</v>
      </c>
      <c r="E4" s="317" t="s">
        <v>2573</v>
      </c>
    </row>
    <row r="5" spans="1:5" ht="12.75">
      <c r="A5" s="326" t="s">
        <v>3400</v>
      </c>
      <c r="B5" s="348">
        <f>74204.17993192*1000000</f>
        <v>74204179931.920013</v>
      </c>
      <c r="C5" s="306">
        <f t="shared" ref="C5:C15" si="0">B5/B$5</f>
        <v>1</v>
      </c>
      <c r="D5" s="348">
        <f>65692.80046831*1000000</f>
        <v>65692800468.309998</v>
      </c>
      <c r="E5" s="385">
        <f t="shared" ref="E5:E15" si="1">D5/D$5</f>
        <v>1</v>
      </c>
    </row>
    <row r="6" spans="1:5">
      <c r="A6" s="386" t="s">
        <v>2574</v>
      </c>
      <c r="B6" s="348">
        <f>SUM(B7:B15)</f>
        <v>221496327.49000007</v>
      </c>
      <c r="C6" s="306">
        <f t="shared" si="0"/>
        <v>2.984957554860332E-3</v>
      </c>
      <c r="D6" s="348">
        <f>SUM(D7:D15)</f>
        <v>3254648308.0599937</v>
      </c>
      <c r="E6" s="306">
        <f t="shared" si="1"/>
        <v>4.9543455064456052E-2</v>
      </c>
    </row>
    <row r="7" spans="1:5">
      <c r="A7" s="349" t="s">
        <v>2068</v>
      </c>
      <c r="B7" s="352">
        <v>510185.95</v>
      </c>
      <c r="C7" s="387">
        <f t="shared" si="0"/>
        <v>6.8754341125807126E-6</v>
      </c>
      <c r="D7" s="352">
        <v>10333244.810000001</v>
      </c>
      <c r="E7" s="387">
        <f t="shared" si="1"/>
        <v>1.5729645769911615E-4</v>
      </c>
    </row>
    <row r="8" spans="1:5">
      <c r="A8" s="349" t="s">
        <v>2072</v>
      </c>
      <c r="B8" s="352">
        <v>81508967.660000026</v>
      </c>
      <c r="C8" s="387">
        <f t="shared" si="0"/>
        <v>1.0984417284145168E-3</v>
      </c>
      <c r="D8" s="352">
        <v>137107869.47999951</v>
      </c>
      <c r="E8" s="387">
        <f t="shared" si="1"/>
        <v>2.0871064789837954E-3</v>
      </c>
    </row>
    <row r="9" spans="1:5">
      <c r="A9" s="349" t="s">
        <v>2076</v>
      </c>
      <c r="B9" s="352">
        <v>0</v>
      </c>
      <c r="C9" s="387">
        <f t="shared" si="0"/>
        <v>0</v>
      </c>
      <c r="D9" s="352">
        <v>143181.29</v>
      </c>
      <c r="E9" s="387">
        <f t="shared" si="1"/>
        <v>2.1795583226668835E-6</v>
      </c>
    </row>
    <row r="10" spans="1:5">
      <c r="A10" s="349" t="s">
        <v>2575</v>
      </c>
      <c r="B10" s="352">
        <v>4864045.41</v>
      </c>
      <c r="C10" s="387">
        <f t="shared" si="0"/>
        <v>6.5549480022050082E-5</v>
      </c>
      <c r="D10" s="352">
        <v>160609218.33999994</v>
      </c>
      <c r="E10" s="387">
        <f t="shared" si="1"/>
        <v>2.4448526656658111E-3</v>
      </c>
    </row>
    <row r="11" spans="1:5">
      <c r="A11" s="349" t="s">
        <v>2546</v>
      </c>
      <c r="B11" s="352">
        <v>5842735.0099999998</v>
      </c>
      <c r="C11" s="387">
        <f t="shared" si="0"/>
        <v>7.8738623826319815E-5</v>
      </c>
      <c r="D11" s="352">
        <v>130990063.03999987</v>
      </c>
      <c r="E11" s="387">
        <f t="shared" si="1"/>
        <v>1.9939789764814343E-3</v>
      </c>
    </row>
    <row r="12" spans="1:5">
      <c r="A12" s="349" t="s">
        <v>2576</v>
      </c>
      <c r="B12" s="352">
        <v>48061358.029999979</v>
      </c>
      <c r="C12" s="387">
        <f t="shared" si="0"/>
        <v>6.4769071060545049E-4</v>
      </c>
      <c r="D12" s="352">
        <v>395548419.02000034</v>
      </c>
      <c r="E12" s="387">
        <f t="shared" si="1"/>
        <v>6.0211836944112571E-3</v>
      </c>
    </row>
    <row r="13" spans="1:5">
      <c r="A13" s="349" t="s">
        <v>2551</v>
      </c>
      <c r="B13" s="352">
        <v>12230165</v>
      </c>
      <c r="C13" s="387">
        <f t="shared" si="0"/>
        <v>1.6481773683397336E-4</v>
      </c>
      <c r="D13" s="352">
        <v>911321599</v>
      </c>
      <c r="E13" s="387">
        <f t="shared" si="1"/>
        <v>1.3872472972736468E-2</v>
      </c>
    </row>
    <row r="14" spans="1:5">
      <c r="A14" s="349" t="s">
        <v>2553</v>
      </c>
      <c r="B14" s="352">
        <v>23175385.540000021</v>
      </c>
      <c r="C14" s="387">
        <f t="shared" si="0"/>
        <v>3.1231913837283433E-4</v>
      </c>
      <c r="D14" s="352">
        <v>26057246.699999999</v>
      </c>
      <c r="E14" s="387">
        <f t="shared" si="1"/>
        <v>3.9665300480788506E-4</v>
      </c>
    </row>
    <row r="15" spans="1:5">
      <c r="A15" s="349" t="s">
        <v>2554</v>
      </c>
      <c r="B15" s="352">
        <v>45303484.890000053</v>
      </c>
      <c r="C15" s="387">
        <f t="shared" si="0"/>
        <v>6.1052470267260639E-4</v>
      </c>
      <c r="D15" s="352">
        <v>1482537466.3799939</v>
      </c>
      <c r="E15" s="387">
        <f t="shared" si="1"/>
        <v>2.2567731255347615E-2</v>
      </c>
    </row>
    <row r="16" spans="1:5">
      <c r="A16" s="62"/>
      <c r="B16" s="352"/>
      <c r="C16" s="387"/>
      <c r="D16" s="352"/>
      <c r="E16" s="387"/>
    </row>
    <row r="17" spans="1:5">
      <c r="A17" s="326" t="s">
        <v>2577</v>
      </c>
      <c r="B17" s="388">
        <v>1264042701.3199995</v>
      </c>
      <c r="C17" s="306">
        <f t="shared" ref="C17:C23" si="2">B17/B$17</f>
        <v>1</v>
      </c>
      <c r="D17" s="348" t="s">
        <v>55</v>
      </c>
      <c r="E17" s="348" t="s">
        <v>55</v>
      </c>
    </row>
    <row r="18" spans="1:5">
      <c r="A18" s="349" t="s">
        <v>2578</v>
      </c>
      <c r="B18" s="348">
        <f>SUM(B19:B23)</f>
        <v>224392423.42000002</v>
      </c>
      <c r="C18" s="306">
        <f t="shared" si="2"/>
        <v>0.17751965434844422</v>
      </c>
      <c r="D18" s="348" t="s">
        <v>55</v>
      </c>
      <c r="E18" s="348" t="s">
        <v>55</v>
      </c>
    </row>
    <row r="19" spans="1:5">
      <c r="A19" s="349" t="s">
        <v>2078</v>
      </c>
      <c r="B19" s="352">
        <v>4000</v>
      </c>
      <c r="C19" s="387">
        <f t="shared" si="2"/>
        <v>3.1644500583903753E-6</v>
      </c>
      <c r="D19" s="352" t="s">
        <v>55</v>
      </c>
      <c r="E19" s="352" t="s">
        <v>55</v>
      </c>
    </row>
    <row r="20" spans="1:5">
      <c r="A20" s="349" t="s">
        <v>2082</v>
      </c>
      <c r="B20" s="352">
        <v>6368984.1899999995</v>
      </c>
      <c r="C20" s="387">
        <f t="shared" si="2"/>
        <v>5.0385830979832189E-3</v>
      </c>
      <c r="D20" s="352" t="s">
        <v>55</v>
      </c>
      <c r="E20" s="352" t="s">
        <v>55</v>
      </c>
    </row>
    <row r="21" spans="1:5">
      <c r="A21" s="349" t="s">
        <v>2084</v>
      </c>
      <c r="B21" s="352">
        <v>15453989.65</v>
      </c>
      <c r="C21" s="387">
        <f t="shared" si="2"/>
        <v>1.2225844612576689E-2</v>
      </c>
      <c r="D21" s="352" t="s">
        <v>55</v>
      </c>
      <c r="E21" s="352" t="s">
        <v>55</v>
      </c>
    </row>
    <row r="22" spans="1:5">
      <c r="A22" s="349" t="s">
        <v>2553</v>
      </c>
      <c r="B22" s="352">
        <v>31028332.580000006</v>
      </c>
      <c r="C22" s="387">
        <f t="shared" si="2"/>
        <v>2.4546902211134251E-2</v>
      </c>
      <c r="D22" s="352" t="s">
        <v>55</v>
      </c>
      <c r="E22" s="352" t="s">
        <v>55</v>
      </c>
    </row>
    <row r="23" spans="1:5">
      <c r="A23" s="349" t="s">
        <v>2554</v>
      </c>
      <c r="B23" s="352">
        <v>171537117</v>
      </c>
      <c r="C23" s="387">
        <f t="shared" si="2"/>
        <v>0.13570515997669166</v>
      </c>
      <c r="D23" s="352" t="s">
        <v>55</v>
      </c>
      <c r="E23" s="352" t="s">
        <v>55</v>
      </c>
    </row>
    <row r="24" spans="1:5">
      <c r="A24" s="62"/>
    </row>
    <row r="25" spans="1:5" ht="22.5" customHeight="1">
      <c r="A25" s="2124" t="s">
        <v>3401</v>
      </c>
      <c r="B25" s="2124"/>
      <c r="C25" s="2124"/>
      <c r="D25" s="2124"/>
      <c r="E25" s="2124"/>
    </row>
    <row r="26" spans="1:5">
      <c r="A26" s="61" t="s">
        <v>3402</v>
      </c>
    </row>
    <row r="27" spans="1:5">
      <c r="A27" s="61" t="s">
        <v>160</v>
      </c>
    </row>
    <row r="28" spans="1:5">
      <c r="A28" s="61" t="s">
        <v>2579</v>
      </c>
    </row>
  </sheetData>
  <mergeCells count="2">
    <mergeCell ref="A25:E25"/>
    <mergeCell ref="A2:E2"/>
  </mergeCells>
  <pageMargins left="0.7" right="0.7" top="0.75" bottom="0.75" header="0.3" footer="0.3"/>
  <pageSetup paperSize="9" orientation="portrait" r:id="rId1"/>
</worksheet>
</file>

<file path=xl/worksheets/sheet288.xml><?xml version="1.0" encoding="utf-8"?>
<worksheet xmlns="http://schemas.openxmlformats.org/spreadsheetml/2006/main" xmlns:r="http://schemas.openxmlformats.org/officeDocument/2006/relationships">
  <dimension ref="A2:O44"/>
  <sheetViews>
    <sheetView zoomScaleNormal="100" workbookViewId="0">
      <selection activeCell="B52" sqref="B52"/>
    </sheetView>
  </sheetViews>
  <sheetFormatPr baseColWidth="10" defaultRowHeight="11.25"/>
  <cols>
    <col min="1" max="1" width="29.5703125" style="59" customWidth="1"/>
    <col min="2" max="5" width="21.140625" style="59" customWidth="1"/>
    <col min="6" max="16384" width="11.42578125" style="59"/>
  </cols>
  <sheetData>
    <row r="2" spans="1:5" ht="28.5" customHeight="1">
      <c r="A2" s="2602" t="s">
        <v>3202</v>
      </c>
      <c r="B2" s="2603"/>
      <c r="C2" s="2603"/>
      <c r="D2" s="2603"/>
      <c r="E2" s="2603"/>
    </row>
    <row r="3" spans="1:5" ht="12.75" customHeight="1">
      <c r="A3" s="64"/>
      <c r="B3" s="369"/>
      <c r="C3" s="369"/>
      <c r="D3" s="369"/>
      <c r="E3" s="369"/>
    </row>
    <row r="4" spans="1:5" ht="54" customHeight="1">
      <c r="A4" s="394" t="s">
        <v>2580</v>
      </c>
      <c r="B4" s="2020" t="s">
        <v>2581</v>
      </c>
      <c r="C4" s="2020" t="s">
        <v>2582</v>
      </c>
      <c r="D4" s="2020" t="s">
        <v>2583</v>
      </c>
      <c r="E4" s="2020" t="s">
        <v>2584</v>
      </c>
    </row>
    <row r="5" spans="1:5" ht="12.75" customHeight="1">
      <c r="A5" s="332" t="s">
        <v>6</v>
      </c>
      <c r="B5" s="379">
        <f>+B24+B10+B17+B15+B12+B8+B28+B20+B6</f>
        <v>3871384304.6500006</v>
      </c>
      <c r="C5" s="379">
        <f>+C24+C10+C17+C15+C12+C8+C28+C20+C6</f>
        <v>221264938.97999999</v>
      </c>
      <c r="D5" s="379">
        <f>+D24+D10+D17+D15+D12+D8+D28+D20+D6</f>
        <v>3254648308.3499913</v>
      </c>
      <c r="E5" s="379">
        <f>+E24+E10+E17+E15+E12+E8+E28+E20+E6</f>
        <v>221496327.27000007</v>
      </c>
    </row>
    <row r="6" spans="1:5" ht="12.75">
      <c r="A6" s="380" t="s">
        <v>3379</v>
      </c>
      <c r="B6" s="379">
        <f>SUM(B7)</f>
        <v>12655472.760000002</v>
      </c>
      <c r="C6" s="379">
        <v>375271.19999999995</v>
      </c>
      <c r="D6" s="379">
        <v>10333244.810000001</v>
      </c>
      <c r="E6" s="379">
        <v>510185.95</v>
      </c>
    </row>
    <row r="7" spans="1:5" ht="12.75">
      <c r="A7" s="381" t="s">
        <v>3380</v>
      </c>
      <c r="B7" s="382">
        <v>12655472.760000002</v>
      </c>
      <c r="C7" s="382">
        <v>375271.19999999995</v>
      </c>
      <c r="D7" s="382">
        <v>10333244.810000001</v>
      </c>
      <c r="E7" s="382">
        <v>510185.95</v>
      </c>
    </row>
    <row r="8" spans="1:5" ht="12.75">
      <c r="A8" s="380" t="s">
        <v>3381</v>
      </c>
      <c r="B8" s="379">
        <f>SUM(B9)</f>
        <v>130667787.18000001</v>
      </c>
      <c r="C8" s="379">
        <f>SUM(C9)</f>
        <v>58961659.039999999</v>
      </c>
      <c r="D8" s="379">
        <f>SUM(D9)</f>
        <v>137107869.47999951</v>
      </c>
      <c r="E8" s="379">
        <f>SUM(E9)</f>
        <v>81508967.660000026</v>
      </c>
    </row>
    <row r="9" spans="1:5" ht="12.75">
      <c r="A9" s="381" t="s">
        <v>3382</v>
      </c>
      <c r="B9" s="382">
        <v>130667787.18000001</v>
      </c>
      <c r="C9" s="382">
        <v>58961659.039999999</v>
      </c>
      <c r="D9" s="382">
        <v>137107869.47999951</v>
      </c>
      <c r="E9" s="382">
        <v>81508967.660000026</v>
      </c>
    </row>
    <row r="10" spans="1:5">
      <c r="A10" s="332" t="s">
        <v>2076</v>
      </c>
      <c r="B10" s="379">
        <f>SUM(B11)</f>
        <v>115576.68</v>
      </c>
      <c r="C10" s="379">
        <f>SUM(C11)</f>
        <v>5000</v>
      </c>
      <c r="D10" s="379">
        <f>SUM(D11)</f>
        <v>143181.29</v>
      </c>
      <c r="E10" s="379">
        <f>SUM(E11)</f>
        <v>0</v>
      </c>
    </row>
    <row r="11" spans="1:5" ht="12.75">
      <c r="A11" s="381" t="s">
        <v>3383</v>
      </c>
      <c r="B11" s="382">
        <v>115576.68</v>
      </c>
      <c r="C11" s="382">
        <v>5000</v>
      </c>
      <c r="D11" s="382">
        <v>143181.29</v>
      </c>
      <c r="E11" s="382">
        <v>0</v>
      </c>
    </row>
    <row r="12" spans="1:5" ht="12.75">
      <c r="A12" s="380" t="s">
        <v>3384</v>
      </c>
      <c r="B12" s="379">
        <f>SUM(B13:B14)</f>
        <v>195644362.46000004</v>
      </c>
      <c r="C12" s="379">
        <f>SUM(C13:C14)</f>
        <v>6314607.5299999993</v>
      </c>
      <c r="D12" s="379">
        <f>SUM(D13:D14)</f>
        <v>160609218.33999994</v>
      </c>
      <c r="E12" s="379">
        <f>SUM(E13:E14)</f>
        <v>4864045.41</v>
      </c>
    </row>
    <row r="13" spans="1:5" ht="12.75">
      <c r="A13" s="381" t="s">
        <v>3385</v>
      </c>
      <c r="B13" s="382">
        <v>23461141.120000001</v>
      </c>
      <c r="C13" s="382">
        <v>1954007.5799999996</v>
      </c>
      <c r="D13" s="382">
        <v>25393836.230000008</v>
      </c>
      <c r="E13" s="382">
        <v>1456862.8100000003</v>
      </c>
    </row>
    <row r="14" spans="1:5" ht="12.75">
      <c r="A14" s="381" t="s">
        <v>3386</v>
      </c>
      <c r="B14" s="382">
        <v>172183221.34000003</v>
      </c>
      <c r="C14" s="382">
        <v>4360599.9499999993</v>
      </c>
      <c r="D14" s="382">
        <v>135215382.10999992</v>
      </c>
      <c r="E14" s="382">
        <v>3407182.6</v>
      </c>
    </row>
    <row r="15" spans="1:5">
      <c r="A15" s="332" t="s">
        <v>2546</v>
      </c>
      <c r="B15" s="379">
        <f>SUM(B16)</f>
        <v>145503361.35999998</v>
      </c>
      <c r="C15" s="379">
        <f>SUM(C16)</f>
        <v>2206193.4299999997</v>
      </c>
      <c r="D15" s="379">
        <f>SUM(D16)</f>
        <v>130990063.03999987</v>
      </c>
      <c r="E15" s="379">
        <f>SUM(E16)</f>
        <v>5842735.0099999998</v>
      </c>
    </row>
    <row r="16" spans="1:5" ht="12.75">
      <c r="A16" s="381" t="s">
        <v>3387</v>
      </c>
      <c r="B16" s="382">
        <v>145503361.35999998</v>
      </c>
      <c r="C16" s="382">
        <v>2206193.4299999997</v>
      </c>
      <c r="D16" s="382">
        <v>130990063.03999987</v>
      </c>
      <c r="E16" s="382">
        <v>5842735.0099999998</v>
      </c>
    </row>
    <row r="17" spans="1:15" ht="18" customHeight="1">
      <c r="A17" s="332" t="s">
        <v>2576</v>
      </c>
      <c r="B17" s="379">
        <f>SUM(B18:B19)</f>
        <v>501583258.14000005</v>
      </c>
      <c r="C17" s="379">
        <f>SUM(C18:C19)</f>
        <v>81056488.800000012</v>
      </c>
      <c r="D17" s="379">
        <f>SUM(D18:D19)</f>
        <v>395548419.02000034</v>
      </c>
      <c r="E17" s="379">
        <f>SUM(E18:E19)</f>
        <v>48061358.029999979</v>
      </c>
    </row>
    <row r="18" spans="1:15" ht="12.75">
      <c r="A18" s="381" t="s">
        <v>3388</v>
      </c>
      <c r="B18" s="382">
        <v>7397846.5099999998</v>
      </c>
      <c r="C18" s="382">
        <v>65867151.70000001</v>
      </c>
      <c r="D18" s="382">
        <v>8664072.4600000009</v>
      </c>
      <c r="E18" s="382">
        <v>37027992.149999976</v>
      </c>
    </row>
    <row r="19" spans="1:15" ht="12.75">
      <c r="A19" s="381" t="s">
        <v>3389</v>
      </c>
      <c r="B19" s="382">
        <v>494185411.63000005</v>
      </c>
      <c r="C19" s="382">
        <v>15189337.100000001</v>
      </c>
      <c r="D19" s="382">
        <v>386884346.56000036</v>
      </c>
      <c r="E19" s="382">
        <v>11033365.880000005</v>
      </c>
    </row>
    <row r="20" spans="1:15" ht="22.5">
      <c r="A20" s="332" t="s">
        <v>2551</v>
      </c>
      <c r="B20" s="379">
        <f>SUM(B21:B23)</f>
        <v>1009747159.34</v>
      </c>
      <c r="C20" s="379">
        <f>SUM(C21:C23)</f>
        <v>12244439.680000002</v>
      </c>
      <c r="D20" s="379">
        <f>SUM(D21:D23)</f>
        <v>911321599.28999829</v>
      </c>
      <c r="E20" s="379">
        <f>SUM(E21:E23)</f>
        <v>12230164.780000009</v>
      </c>
    </row>
    <row r="21" spans="1:15" ht="12.75">
      <c r="A21" s="381" t="s">
        <v>3390</v>
      </c>
      <c r="B21" s="382">
        <v>77665065.50999999</v>
      </c>
      <c r="C21" s="382">
        <v>1736217.79</v>
      </c>
      <c r="D21" s="382">
        <v>62896274.100000016</v>
      </c>
      <c r="E21" s="382">
        <v>2076439.3399999999</v>
      </c>
    </row>
    <row r="22" spans="1:15" ht="12.75">
      <c r="A22" s="381" t="s">
        <v>3391</v>
      </c>
      <c r="B22" s="382">
        <v>853080997.61000001</v>
      </c>
      <c r="C22" s="382">
        <v>9949557.8100000024</v>
      </c>
      <c r="D22" s="382">
        <v>766042663.66999841</v>
      </c>
      <c r="E22" s="382">
        <v>9381274.3700000085</v>
      </c>
    </row>
    <row r="23" spans="1:15">
      <c r="A23" s="337" t="s">
        <v>2585</v>
      </c>
      <c r="B23" s="382">
        <v>79001096.220000014</v>
      </c>
      <c r="C23" s="382">
        <v>558664.07999999996</v>
      </c>
      <c r="D23" s="382">
        <v>82382661.519999921</v>
      </c>
      <c r="E23" s="382">
        <v>772451.07</v>
      </c>
    </row>
    <row r="24" spans="1:15" ht="22.5">
      <c r="A24" s="332" t="s">
        <v>2553</v>
      </c>
      <c r="B24" s="379">
        <f>SUM(B25:B27)</f>
        <v>28604690.240000002</v>
      </c>
      <c r="C24" s="379">
        <f>SUM(C25:C27)</f>
        <v>23277827.580000002</v>
      </c>
      <c r="D24" s="379">
        <f>SUM(D25:D27)</f>
        <v>26057246.699999996</v>
      </c>
      <c r="E24" s="379">
        <f>SUM(E25:E27)</f>
        <v>23175385.540000021</v>
      </c>
    </row>
    <row r="25" spans="1:15" ht="12.75">
      <c r="A25" s="381" t="s">
        <v>3392</v>
      </c>
      <c r="B25" s="382">
        <v>79491.710000000006</v>
      </c>
      <c r="C25" s="382">
        <v>9215.7099999999991</v>
      </c>
      <c r="D25" s="382">
        <v>66539.39</v>
      </c>
      <c r="E25" s="382">
        <v>1000</v>
      </c>
    </row>
    <row r="26" spans="1:15" ht="12.75">
      <c r="A26" s="381" t="s">
        <v>3393</v>
      </c>
      <c r="B26" s="382">
        <v>2432588.27</v>
      </c>
      <c r="C26" s="382">
        <v>1401631.73</v>
      </c>
      <c r="D26" s="382">
        <v>2493304.8200000003</v>
      </c>
      <c r="E26" s="382">
        <v>1344557.26</v>
      </c>
    </row>
    <row r="27" spans="1:15" ht="12.75">
      <c r="A27" s="381" t="s">
        <v>3394</v>
      </c>
      <c r="B27" s="382">
        <v>26092610.260000002</v>
      </c>
      <c r="C27" s="382">
        <v>21866980.140000001</v>
      </c>
      <c r="D27" s="382">
        <v>23497402.489999995</v>
      </c>
      <c r="E27" s="382">
        <v>21829828.28000002</v>
      </c>
    </row>
    <row r="28" spans="1:15" ht="22.5">
      <c r="A28" s="332" t="s">
        <v>2554</v>
      </c>
      <c r="B28" s="379">
        <f>SUM(B29)</f>
        <v>1846862636.49</v>
      </c>
      <c r="C28" s="379">
        <f>SUM(C29)</f>
        <v>36823451.719999999</v>
      </c>
      <c r="D28" s="379">
        <f>SUM(D29)</f>
        <v>1482537466.3799939</v>
      </c>
      <c r="E28" s="379">
        <f>SUM(E29)</f>
        <v>45303484.890000053</v>
      </c>
    </row>
    <row r="29" spans="1:15">
      <c r="A29" s="337" t="s">
        <v>2555</v>
      </c>
      <c r="B29" s="382">
        <v>1846862636.49</v>
      </c>
      <c r="C29" s="382">
        <v>36823451.719999999</v>
      </c>
      <c r="D29" s="382">
        <v>1482537466.3799939</v>
      </c>
      <c r="E29" s="382">
        <v>45303484.890000053</v>
      </c>
    </row>
    <row r="31" spans="1:15" ht="38.25" customHeight="1">
      <c r="A31" s="2834" t="s">
        <v>4653</v>
      </c>
      <c r="B31" s="2834"/>
      <c r="C31" s="2834"/>
      <c r="D31" s="2834"/>
      <c r="E31" s="2834"/>
      <c r="F31" s="383"/>
      <c r="G31" s="383"/>
      <c r="H31" s="383"/>
      <c r="I31" s="383"/>
      <c r="J31" s="346"/>
      <c r="K31" s="346"/>
      <c r="L31" s="346"/>
      <c r="M31" s="346"/>
      <c r="N31" s="346"/>
      <c r="O31" s="346"/>
    </row>
    <row r="32" spans="1:15" ht="149.25" customHeight="1">
      <c r="A32" s="2834" t="s">
        <v>4652</v>
      </c>
      <c r="B32" s="2834"/>
      <c r="C32" s="2834"/>
      <c r="D32" s="2834"/>
      <c r="E32" s="2834"/>
      <c r="F32" s="383"/>
      <c r="G32" s="383"/>
      <c r="H32" s="383"/>
      <c r="I32" s="383"/>
      <c r="J32" s="346"/>
      <c r="K32" s="346"/>
      <c r="L32" s="346"/>
      <c r="M32" s="346"/>
      <c r="N32" s="346"/>
      <c r="O32" s="346"/>
    </row>
    <row r="33" spans="1:15" ht="14.25" customHeight="1">
      <c r="A33" s="2601" t="s">
        <v>4651</v>
      </c>
      <c r="B33" s="2601"/>
      <c r="C33" s="2601"/>
      <c r="D33" s="2601"/>
      <c r="E33" s="2601"/>
      <c r="F33" s="383"/>
      <c r="G33" s="383"/>
      <c r="H33" s="383"/>
      <c r="I33" s="383"/>
      <c r="J33" s="346"/>
      <c r="K33" s="346"/>
      <c r="L33" s="346"/>
      <c r="M33" s="346"/>
      <c r="N33" s="346"/>
      <c r="O33" s="346"/>
    </row>
    <row r="34" spans="1:15" ht="84" customHeight="1">
      <c r="A34" s="2834" t="s">
        <v>3395</v>
      </c>
      <c r="B34" s="2834"/>
      <c r="C34" s="2834"/>
      <c r="D34" s="2834"/>
      <c r="E34" s="2834"/>
      <c r="F34" s="383"/>
      <c r="G34" s="383"/>
      <c r="H34" s="383"/>
      <c r="I34" s="383"/>
      <c r="J34" s="346"/>
      <c r="K34" s="346"/>
      <c r="L34" s="346"/>
      <c r="M34" s="346"/>
      <c r="N34" s="346"/>
      <c r="O34" s="346"/>
    </row>
    <row r="35" spans="1:15" ht="79.5" customHeight="1">
      <c r="A35" s="2834" t="s">
        <v>3396</v>
      </c>
      <c r="B35" s="2834"/>
      <c r="C35" s="2834"/>
      <c r="D35" s="2834"/>
      <c r="E35" s="2834"/>
      <c r="F35" s="383"/>
      <c r="G35" s="383"/>
      <c r="H35" s="383"/>
      <c r="I35" s="383"/>
      <c r="J35" s="346"/>
      <c r="K35" s="346"/>
      <c r="L35" s="346"/>
      <c r="M35" s="346"/>
      <c r="N35" s="346"/>
      <c r="O35" s="346"/>
    </row>
    <row r="36" spans="1:15" ht="174" customHeight="1">
      <c r="A36" s="2834" t="s">
        <v>3397</v>
      </c>
      <c r="B36" s="2834"/>
      <c r="C36" s="2834"/>
      <c r="D36" s="2834"/>
      <c r="E36" s="2834"/>
      <c r="F36" s="383"/>
      <c r="G36" s="383"/>
      <c r="H36" s="383"/>
      <c r="I36" s="383"/>
      <c r="J36" s="346"/>
      <c r="K36" s="346"/>
      <c r="L36" s="346"/>
      <c r="M36" s="346"/>
      <c r="N36" s="346"/>
      <c r="O36" s="346"/>
    </row>
    <row r="37" spans="1:15" ht="21" customHeight="1">
      <c r="A37" s="2834" t="s">
        <v>3398</v>
      </c>
      <c r="B37" s="2834"/>
      <c r="C37" s="2834"/>
      <c r="D37" s="2834"/>
      <c r="E37" s="2834"/>
      <c r="F37" s="383"/>
      <c r="G37" s="383"/>
      <c r="H37" s="383"/>
      <c r="I37" s="383"/>
      <c r="J37" s="346"/>
      <c r="K37" s="346"/>
      <c r="L37" s="346"/>
      <c r="M37" s="346"/>
      <c r="N37" s="346"/>
      <c r="O37" s="346"/>
    </row>
    <row r="38" spans="1:15" ht="109.5" customHeight="1">
      <c r="A38" s="2834" t="s">
        <v>4659</v>
      </c>
      <c r="B38" s="2834"/>
      <c r="C38" s="2834"/>
      <c r="D38" s="2834"/>
      <c r="E38" s="2834"/>
      <c r="F38" s="383"/>
      <c r="G38" s="383"/>
      <c r="H38" s="383"/>
      <c r="I38" s="383"/>
      <c r="J38" s="346"/>
      <c r="K38" s="346"/>
      <c r="L38" s="346"/>
      <c r="M38" s="346"/>
      <c r="N38" s="346"/>
      <c r="O38" s="346"/>
    </row>
    <row r="39" spans="1:15" ht="40.5" customHeight="1">
      <c r="A39" s="2834" t="s">
        <v>4655</v>
      </c>
      <c r="B39" s="2834"/>
      <c r="C39" s="2834"/>
      <c r="D39" s="2834"/>
      <c r="E39" s="2834"/>
      <c r="F39" s="383"/>
      <c r="G39" s="383"/>
      <c r="H39" s="383"/>
      <c r="I39" s="383"/>
      <c r="J39" s="346"/>
      <c r="K39" s="346"/>
      <c r="L39" s="346"/>
      <c r="M39" s="346"/>
      <c r="N39" s="346"/>
      <c r="O39" s="346"/>
    </row>
    <row r="40" spans="1:15" ht="51.75" customHeight="1">
      <c r="A40" s="2834" t="s">
        <v>4654</v>
      </c>
      <c r="B40" s="2834"/>
      <c r="C40" s="2834"/>
      <c r="D40" s="2834"/>
      <c r="E40" s="2834"/>
      <c r="F40" s="383"/>
      <c r="G40" s="383"/>
      <c r="H40" s="383"/>
      <c r="I40" s="383"/>
      <c r="J40" s="346"/>
      <c r="K40" s="346"/>
      <c r="L40" s="346"/>
      <c r="M40" s="346"/>
      <c r="N40" s="346"/>
      <c r="O40" s="346"/>
    </row>
    <row r="41" spans="1:15" ht="34.5" customHeight="1">
      <c r="A41" s="2834" t="s">
        <v>3399</v>
      </c>
      <c r="B41" s="2834"/>
      <c r="C41" s="2834"/>
      <c r="D41" s="2834"/>
      <c r="E41" s="2834"/>
      <c r="F41" s="383"/>
      <c r="G41" s="383"/>
      <c r="H41" s="383"/>
      <c r="I41" s="383"/>
      <c r="J41" s="346"/>
      <c r="K41" s="346"/>
      <c r="L41" s="346"/>
      <c r="M41" s="346"/>
      <c r="N41" s="346"/>
      <c r="O41" s="346"/>
    </row>
    <row r="42" spans="1:15" ht="22.5" customHeight="1">
      <c r="A42" s="2834" t="s">
        <v>4657</v>
      </c>
      <c r="B42" s="2834"/>
      <c r="C42" s="2834"/>
      <c r="D42" s="2834"/>
      <c r="E42" s="2834"/>
      <c r="F42" s="383"/>
      <c r="G42" s="383"/>
      <c r="H42" s="383"/>
      <c r="I42" s="383"/>
      <c r="J42" s="346"/>
      <c r="K42" s="346"/>
      <c r="L42" s="346"/>
      <c r="M42" s="346"/>
      <c r="N42" s="346"/>
      <c r="O42" s="346"/>
    </row>
    <row r="43" spans="1:15" ht="19.5" customHeight="1">
      <c r="A43" s="2834" t="s">
        <v>4656</v>
      </c>
      <c r="B43" s="2834"/>
      <c r="C43" s="2834"/>
      <c r="D43" s="2834"/>
      <c r="E43" s="2834"/>
      <c r="F43" s="383"/>
      <c r="G43" s="383"/>
      <c r="H43" s="383"/>
      <c r="I43" s="383"/>
      <c r="J43" s="346"/>
      <c r="K43" s="346"/>
      <c r="L43" s="346"/>
      <c r="M43" s="346"/>
      <c r="N43" s="346"/>
      <c r="O43" s="346"/>
    </row>
    <row r="44" spans="1:15" ht="29.25" customHeight="1">
      <c r="A44" s="2835" t="s">
        <v>4658</v>
      </c>
      <c r="B44" s="2835"/>
      <c r="C44" s="2835"/>
      <c r="D44" s="2835"/>
      <c r="E44" s="2835"/>
      <c r="F44" s="384"/>
      <c r="G44" s="384"/>
      <c r="H44" s="384"/>
      <c r="I44" s="384"/>
    </row>
  </sheetData>
  <mergeCells count="15">
    <mergeCell ref="A2:E2"/>
    <mergeCell ref="A31:E31"/>
    <mergeCell ref="A32:E32"/>
    <mergeCell ref="A33:E33"/>
    <mergeCell ref="A34:E34"/>
    <mergeCell ref="A35:E35"/>
    <mergeCell ref="A36:E36"/>
    <mergeCell ref="A37:E37"/>
    <mergeCell ref="A43:E43"/>
    <mergeCell ref="A44:E44"/>
    <mergeCell ref="A38:E38"/>
    <mergeCell ref="A39:E39"/>
    <mergeCell ref="A40:E40"/>
    <mergeCell ref="A41:E41"/>
    <mergeCell ref="A42:E42"/>
  </mergeCells>
  <pageMargins left="0.7" right="0.7" top="0.75" bottom="0.75" header="0.3" footer="0.3"/>
  <pageSetup paperSize="9" orientation="portrait" r:id="rId1"/>
</worksheet>
</file>

<file path=xl/worksheets/sheet289.xml><?xml version="1.0" encoding="utf-8"?>
<worksheet xmlns="http://schemas.openxmlformats.org/spreadsheetml/2006/main" xmlns:r="http://schemas.openxmlformats.org/officeDocument/2006/relationships">
  <dimension ref="A2:E35"/>
  <sheetViews>
    <sheetView zoomScaleNormal="100" workbookViewId="0">
      <selection activeCell="B40" sqref="B40"/>
    </sheetView>
  </sheetViews>
  <sheetFormatPr baseColWidth="10" defaultRowHeight="11.25"/>
  <cols>
    <col min="1" max="1" width="39.28515625" style="61" customWidth="1"/>
    <col min="2" max="2" width="22" style="61" customWidth="1"/>
    <col min="3" max="3" width="20.28515625" style="61" bestFit="1" customWidth="1"/>
    <col min="4" max="4" width="22.28515625" style="61" bestFit="1" customWidth="1"/>
    <col min="5" max="5" width="21.42578125" style="61" customWidth="1"/>
    <col min="6" max="16384" width="11.42578125" style="61"/>
  </cols>
  <sheetData>
    <row r="2" spans="1:5" ht="26.25" customHeight="1">
      <c r="A2" s="2037" t="s">
        <v>4660</v>
      </c>
      <c r="B2" s="2037"/>
      <c r="C2" s="2037"/>
      <c r="D2" s="2037"/>
      <c r="E2" s="2037"/>
    </row>
    <row r="4" spans="1:5" ht="22.5">
      <c r="A4" s="317" t="s">
        <v>2580</v>
      </c>
      <c r="B4" s="317" t="s">
        <v>2581</v>
      </c>
      <c r="C4" s="317" t="s">
        <v>2582</v>
      </c>
      <c r="D4" s="317" t="s">
        <v>2583</v>
      </c>
      <c r="E4" s="317" t="s">
        <v>2584</v>
      </c>
    </row>
    <row r="5" spans="1:5" s="60" customFormat="1">
      <c r="A5" s="60" t="s">
        <v>6</v>
      </c>
      <c r="B5" s="344">
        <f>SUM(B6,B8,B10,B12,B15,B17,B20,B24,B28)</f>
        <v>2027676243403.4839</v>
      </c>
      <c r="C5" s="344">
        <f>SUM(C6,C8,C10,C12,C15,C17,C20,C24,C28)</f>
        <v>115889724440.16481</v>
      </c>
      <c r="D5" s="344">
        <f>SUM(D6,D8,D10,D12,D15,D17,D20,D24,D28)</f>
        <v>1976808289525.6182</v>
      </c>
      <c r="E5" s="344">
        <f>SUM(E6,E8,E10,E12,E15,E17,E20,E24,E28)</f>
        <v>134532439257.25266</v>
      </c>
    </row>
    <row r="6" spans="1:5">
      <c r="A6" s="60" t="s">
        <v>2068</v>
      </c>
      <c r="B6" s="344">
        <f>SUM(B7)</f>
        <v>6628430412.7776003</v>
      </c>
      <c r="C6" s="344">
        <f>SUM(C7)</f>
        <v>196552043.71199998</v>
      </c>
      <c r="D6" s="344">
        <f>SUM(D7)</f>
        <v>6276206232.6978006</v>
      </c>
      <c r="E6" s="344">
        <f>SUM(E7)</f>
        <v>309876742.31099999</v>
      </c>
    </row>
    <row r="7" spans="1:5">
      <c r="A7" s="61" t="s">
        <v>2068</v>
      </c>
      <c r="B7" s="345">
        <v>6628430412.7776003</v>
      </c>
      <c r="C7" s="345">
        <v>196552043.71199998</v>
      </c>
      <c r="D7" s="345">
        <v>6276206232.6978006</v>
      </c>
      <c r="E7" s="345">
        <v>309876742.31099999</v>
      </c>
    </row>
    <row r="8" spans="1:5">
      <c r="A8" s="60" t="s">
        <v>2072</v>
      </c>
      <c r="B8" s="344">
        <f>SUM(B9)</f>
        <v>68438560213.396805</v>
      </c>
      <c r="C8" s="344">
        <f>SUM(C9)</f>
        <v>30881758538.790398</v>
      </c>
      <c r="D8" s="344">
        <f>SUM(D9)</f>
        <v>83276577764.7621</v>
      </c>
      <c r="E8" s="344">
        <f>SUM(E9)</f>
        <v>49506916777.330818</v>
      </c>
    </row>
    <row r="9" spans="1:5">
      <c r="A9" s="61" t="s">
        <v>2072</v>
      </c>
      <c r="B9" s="345">
        <v>68438560213.396805</v>
      </c>
      <c r="C9" s="345">
        <v>30881758538.790398</v>
      </c>
      <c r="D9" s="345">
        <v>83276577764.7621</v>
      </c>
      <c r="E9" s="345">
        <v>49506916777.330818</v>
      </c>
    </row>
    <row r="10" spans="1:5">
      <c r="A10" s="60" t="s">
        <v>2076</v>
      </c>
      <c r="B10" s="344">
        <f>SUM(B11)</f>
        <v>60534441.916799992</v>
      </c>
      <c r="C10" s="344">
        <f>SUM(C11)</f>
        <v>2618800</v>
      </c>
      <c r="D10" s="344">
        <f>SUM(D11)</f>
        <v>86965451.920200005</v>
      </c>
      <c r="E10" s="344">
        <f>SUM(E11)</f>
        <v>0</v>
      </c>
    </row>
    <row r="11" spans="1:5">
      <c r="A11" s="61" t="s">
        <v>1120</v>
      </c>
      <c r="B11" s="345">
        <v>60534441.916799992</v>
      </c>
      <c r="C11" s="345">
        <v>2618800</v>
      </c>
      <c r="D11" s="345">
        <v>86965451.920200005</v>
      </c>
      <c r="E11" s="345">
        <v>0</v>
      </c>
    </row>
    <row r="12" spans="1:5">
      <c r="A12" s="60" t="s">
        <v>2575</v>
      </c>
      <c r="B12" s="344">
        <f>SUM(B13:B14)</f>
        <v>102470691282.04962</v>
      </c>
      <c r="C12" s="344">
        <f>SUM(C13:C14)</f>
        <v>3307338839.9127998</v>
      </c>
      <c r="D12" s="344">
        <f>SUM(D13:D14)</f>
        <v>97550827035.349167</v>
      </c>
      <c r="E12" s="344">
        <f>SUM(E13:E14)</f>
        <v>2954323901.1258001</v>
      </c>
    </row>
    <row r="13" spans="1:5">
      <c r="A13" s="61" t="s">
        <v>2056</v>
      </c>
      <c r="B13" s="345">
        <v>12288007273.0112</v>
      </c>
      <c r="C13" s="345">
        <v>1023431010.1007998</v>
      </c>
      <c r="D13" s="345">
        <v>15423708249.377405</v>
      </c>
      <c r="E13" s="345">
        <v>884869333.53780019</v>
      </c>
    </row>
    <row r="14" spans="1:5">
      <c r="A14" s="61" t="s">
        <v>2075</v>
      </c>
      <c r="B14" s="345">
        <v>90182684009.038422</v>
      </c>
      <c r="C14" s="345">
        <v>2283907829.8119998</v>
      </c>
      <c r="D14" s="345">
        <v>82127118785.971756</v>
      </c>
      <c r="E14" s="345">
        <v>2069454567.5880001</v>
      </c>
    </row>
    <row r="15" spans="1:5">
      <c r="A15" s="60" t="s">
        <v>2546</v>
      </c>
      <c r="B15" s="344">
        <f>SUM(B16)</f>
        <v>76208840545.913589</v>
      </c>
      <c r="C15" s="344">
        <f>SUM(C16)</f>
        <v>1155515870.8967998</v>
      </c>
      <c r="D15" s="344">
        <f>SUM(D16)</f>
        <v>79560744489.235123</v>
      </c>
      <c r="E15" s="344">
        <f>SUM(E16)</f>
        <v>3548760390.3737998</v>
      </c>
    </row>
    <row r="16" spans="1:5">
      <c r="A16" s="61" t="s">
        <v>1830</v>
      </c>
      <c r="B16" s="345">
        <v>76208840545.913589</v>
      </c>
      <c r="C16" s="345">
        <v>1155515870.8967998</v>
      </c>
      <c r="D16" s="345">
        <v>79560744489.235123</v>
      </c>
      <c r="E16" s="345">
        <v>3548760390.3737998</v>
      </c>
    </row>
    <row r="17" spans="1:5">
      <c r="A17" s="60" t="s">
        <v>2576</v>
      </c>
      <c r="B17" s="344">
        <f>SUM(B18:B19)</f>
        <v>262709247283.40643</v>
      </c>
      <c r="C17" s="344">
        <f>SUM(C18:C19)</f>
        <v>42454146573.888008</v>
      </c>
      <c r="D17" s="344">
        <f>SUM(D18:D19)</f>
        <v>240248198744.3678</v>
      </c>
      <c r="E17" s="344">
        <f>SUM(E18:E19)</f>
        <v>29191507640.261391</v>
      </c>
    </row>
    <row r="18" spans="1:5">
      <c r="A18" s="61" t="s">
        <v>2586</v>
      </c>
      <c r="B18" s="345">
        <v>3874696088.0776</v>
      </c>
      <c r="C18" s="345">
        <v>34498579374.392006</v>
      </c>
      <c r="D18" s="345">
        <v>5262384330.7548008</v>
      </c>
      <c r="E18" s="345">
        <v>22490061872.066986</v>
      </c>
    </row>
    <row r="19" spans="1:5">
      <c r="A19" s="61" t="s">
        <v>2083</v>
      </c>
      <c r="B19" s="345">
        <v>258834551195.32883</v>
      </c>
      <c r="C19" s="345">
        <v>7955567199.4960003</v>
      </c>
      <c r="D19" s="345">
        <v>234985814413.61301</v>
      </c>
      <c r="E19" s="345">
        <v>6701445768.1944027</v>
      </c>
    </row>
    <row r="20" spans="1:5">
      <c r="A20" s="60" t="s">
        <v>2551</v>
      </c>
      <c r="B20" s="344">
        <f>SUM(B21:B23)</f>
        <v>528865172175.9184</v>
      </c>
      <c r="C20" s="344">
        <f>SUM(C21:C23)</f>
        <v>6413147726.7968016</v>
      </c>
      <c r="D20" s="344">
        <f>SUM(D21:D23)</f>
        <v>553518512976.75916</v>
      </c>
      <c r="E20" s="344">
        <f>SUM(E21:E23)</f>
        <v>7428357484.0764046</v>
      </c>
    </row>
    <row r="21" spans="1:5">
      <c r="A21" s="61" t="s">
        <v>2086</v>
      </c>
      <c r="B21" s="345">
        <v>40677854711.517593</v>
      </c>
      <c r="C21" s="345">
        <v>909361429.6904</v>
      </c>
      <c r="D21" s="345">
        <v>38201938962.858009</v>
      </c>
      <c r="E21" s="345">
        <v>1261187726.3291998</v>
      </c>
    </row>
    <row r="22" spans="1:5">
      <c r="A22" s="61" t="s">
        <v>2587</v>
      </c>
      <c r="B22" s="345">
        <v>446809703308.21362</v>
      </c>
      <c r="C22" s="345">
        <v>5211180398.5656013</v>
      </c>
      <c r="D22" s="345">
        <v>465278993059.88361</v>
      </c>
      <c r="E22" s="345">
        <v>5697998426.850605</v>
      </c>
    </row>
    <row r="23" spans="1:5">
      <c r="A23" s="61" t="s">
        <v>2585</v>
      </c>
      <c r="B23" s="345">
        <v>41377614156.18721</v>
      </c>
      <c r="C23" s="345">
        <v>292605898.54079998</v>
      </c>
      <c r="D23" s="345">
        <v>50037580954.017555</v>
      </c>
      <c r="E23" s="345">
        <v>469171330.89659995</v>
      </c>
    </row>
    <row r="24" spans="1:5">
      <c r="A24" s="60" t="s">
        <v>2553</v>
      </c>
      <c r="B24" s="344">
        <f>SUM(B25:B27)</f>
        <v>14981992560.102402</v>
      </c>
      <c r="C24" s="344">
        <f>SUM(C25:C27)</f>
        <v>12191994973.3008</v>
      </c>
      <c r="D24" s="344">
        <f>SUM(D25:D27)</f>
        <v>15826650500.645996</v>
      </c>
      <c r="E24" s="344">
        <f>SUM(E25:E27)</f>
        <v>14076265669.285212</v>
      </c>
    </row>
    <row r="25" spans="1:5">
      <c r="A25" s="61" t="s">
        <v>2091</v>
      </c>
      <c r="B25" s="345">
        <v>41634578.029600002</v>
      </c>
      <c r="C25" s="345">
        <v>4826820.2695999993</v>
      </c>
      <c r="D25" s="345">
        <v>40414694.698200002</v>
      </c>
      <c r="E25" s="345">
        <v>607380</v>
      </c>
    </row>
    <row r="26" spans="1:5">
      <c r="A26" s="61" t="s">
        <v>2092</v>
      </c>
      <c r="B26" s="345">
        <v>1274092432.2951999</v>
      </c>
      <c r="C26" s="345">
        <v>734118634.90479994</v>
      </c>
      <c r="D26" s="345">
        <v>1514383481.5716002</v>
      </c>
      <c r="E26" s="345">
        <v>816657188.57879996</v>
      </c>
    </row>
    <row r="27" spans="1:5">
      <c r="A27" s="61" t="s">
        <v>1833</v>
      </c>
      <c r="B27" s="345">
        <v>13666265549.777601</v>
      </c>
      <c r="C27" s="345">
        <v>11453049518.1264</v>
      </c>
      <c r="D27" s="345">
        <v>14271852324.376196</v>
      </c>
      <c r="E27" s="345">
        <v>13259001100.706411</v>
      </c>
    </row>
    <row r="28" spans="1:5">
      <c r="A28" s="60" t="s">
        <v>2554</v>
      </c>
      <c r="B28" s="344">
        <f>SUM(B29)</f>
        <v>967312774488.00244</v>
      </c>
      <c r="C28" s="344">
        <f>SUM(C29)</f>
        <v>19286651072.867199</v>
      </c>
      <c r="D28" s="344">
        <f>SUM(D29)</f>
        <v>900463606329.88074</v>
      </c>
      <c r="E28" s="344">
        <f>SUM(E29)</f>
        <v>27516430652.488232</v>
      </c>
    </row>
    <row r="29" spans="1:5">
      <c r="A29" s="61" t="s">
        <v>2555</v>
      </c>
      <c r="B29" s="345">
        <v>967312774488.00244</v>
      </c>
      <c r="C29" s="345">
        <v>19286651072.867199</v>
      </c>
      <c r="D29" s="345">
        <v>900463606329.88074</v>
      </c>
      <c r="E29" s="345">
        <v>27516430652.488232</v>
      </c>
    </row>
    <row r="32" spans="1:5" ht="12.75" customHeight="1">
      <c r="A32" s="2000" t="s">
        <v>4661</v>
      </c>
    </row>
    <row r="33" spans="1:5" s="147" customFormat="1">
      <c r="A33" s="346" t="s">
        <v>3204</v>
      </c>
      <c r="B33" s="378"/>
      <c r="C33" s="378"/>
      <c r="D33" s="378"/>
      <c r="E33" s="378"/>
    </row>
    <row r="34" spans="1:5" s="62" customFormat="1">
      <c r="A34" s="346" t="s">
        <v>3203</v>
      </c>
    </row>
    <row r="35" spans="1:5" ht="25.5" customHeight="1">
      <c r="A35" s="2124" t="s">
        <v>4638</v>
      </c>
      <c r="B35" s="2124"/>
      <c r="C35" s="2124"/>
      <c r="D35" s="2124"/>
      <c r="E35" s="2124"/>
    </row>
  </sheetData>
  <mergeCells count="2">
    <mergeCell ref="A2:E2"/>
    <mergeCell ref="A35:E3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dimension ref="A2:I49"/>
  <sheetViews>
    <sheetView topLeftCell="A10" zoomScaleNormal="100" workbookViewId="0">
      <selection activeCell="D50" sqref="D50"/>
    </sheetView>
  </sheetViews>
  <sheetFormatPr baseColWidth="10" defaultRowHeight="11.25"/>
  <cols>
    <col min="1" max="1" width="60" style="1" customWidth="1"/>
    <col min="2" max="16384" width="11.42578125" style="1"/>
  </cols>
  <sheetData>
    <row r="2" spans="1:9" ht="25.5" customHeight="1">
      <c r="A2" s="2075" t="s">
        <v>985</v>
      </c>
      <c r="B2" s="2075"/>
      <c r="C2" s="2075"/>
      <c r="D2" s="2075"/>
      <c r="E2" s="2075"/>
      <c r="F2" s="2075"/>
      <c r="G2" s="2075"/>
    </row>
    <row r="3" spans="1:9" ht="6" customHeight="1"/>
    <row r="4" spans="1:9" s="1432" customFormat="1" ht="21" customHeight="1">
      <c r="A4" s="2084" t="s">
        <v>981</v>
      </c>
      <c r="B4" s="2084" t="s">
        <v>671</v>
      </c>
      <c r="C4" s="2084"/>
      <c r="D4" s="2084"/>
      <c r="E4" s="2084"/>
      <c r="F4" s="2084"/>
      <c r="G4" s="2084"/>
      <c r="I4" s="1959"/>
    </row>
    <row r="5" spans="1:9" s="1432" customFormat="1" ht="21" customHeight="1">
      <c r="A5" s="2084"/>
      <c r="B5" s="1960" t="s">
        <v>799</v>
      </c>
      <c r="C5" s="1960" t="s">
        <v>800</v>
      </c>
      <c r="D5" s="1960" t="s">
        <v>801</v>
      </c>
      <c r="E5" s="1960" t="s">
        <v>802</v>
      </c>
      <c r="F5" s="1960" t="s">
        <v>803</v>
      </c>
      <c r="G5" s="1960" t="s">
        <v>804</v>
      </c>
      <c r="I5" s="1961"/>
    </row>
    <row r="6" spans="1:9" ht="12.75">
      <c r="A6" s="1962" t="s">
        <v>3758</v>
      </c>
      <c r="B6" s="1963">
        <f>+B11+B16+B21+B26+B31</f>
        <v>76</v>
      </c>
      <c r="C6" s="1963">
        <f t="shared" ref="B6:G10" si="0">+C11+C16+C21+C26+C31</f>
        <v>69</v>
      </c>
      <c r="D6" s="1963">
        <f t="shared" si="0"/>
        <v>109</v>
      </c>
      <c r="E6" s="1963">
        <f>+E11+E16+E21+E26+E31</f>
        <v>143</v>
      </c>
      <c r="F6" s="1963">
        <f t="shared" si="0"/>
        <v>102</v>
      </c>
      <c r="G6" s="1963">
        <f>+G11+G16+G21+G26+G31</f>
        <v>79</v>
      </c>
      <c r="H6" s="412"/>
      <c r="I6" s="1964"/>
    </row>
    <row r="7" spans="1:9">
      <c r="A7" s="1965" t="s">
        <v>982</v>
      </c>
      <c r="B7" s="1963">
        <f>+B12+B17+B22+B27+B32</f>
        <v>4</v>
      </c>
      <c r="C7" s="1963">
        <f t="shared" si="0"/>
        <v>7</v>
      </c>
      <c r="D7" s="1963">
        <f t="shared" si="0"/>
        <v>25</v>
      </c>
      <c r="E7" s="1963">
        <f t="shared" si="0"/>
        <v>28</v>
      </c>
      <c r="F7" s="1963">
        <f t="shared" si="0"/>
        <v>14</v>
      </c>
      <c r="G7" s="1963">
        <f t="shared" si="0"/>
        <v>6</v>
      </c>
      <c r="I7" s="1964"/>
    </row>
    <row r="8" spans="1:9">
      <c r="A8" s="1965" t="s">
        <v>805</v>
      </c>
      <c r="B8" s="1963">
        <f t="shared" si="0"/>
        <v>68</v>
      </c>
      <c r="C8" s="1963">
        <f t="shared" si="0"/>
        <v>59</v>
      </c>
      <c r="D8" s="1963">
        <f t="shared" si="0"/>
        <v>49</v>
      </c>
      <c r="E8" s="1963">
        <f t="shared" si="0"/>
        <v>79</v>
      </c>
      <c r="F8" s="1963">
        <f t="shared" si="0"/>
        <v>56</v>
      </c>
      <c r="G8" s="1963">
        <f t="shared" si="0"/>
        <v>47</v>
      </c>
      <c r="I8" s="1964"/>
    </row>
    <row r="9" spans="1:9">
      <c r="A9" s="1965" t="s">
        <v>806</v>
      </c>
      <c r="B9" s="1963">
        <f t="shared" si="0"/>
        <v>0</v>
      </c>
      <c r="C9" s="1963">
        <f t="shared" si="0"/>
        <v>0</v>
      </c>
      <c r="D9" s="1963">
        <f t="shared" si="0"/>
        <v>28</v>
      </c>
      <c r="E9" s="1963">
        <f t="shared" si="0"/>
        <v>28</v>
      </c>
      <c r="F9" s="1963">
        <f t="shared" si="0"/>
        <v>24</v>
      </c>
      <c r="G9" s="1963">
        <f t="shared" si="0"/>
        <v>24</v>
      </c>
      <c r="I9" s="1964"/>
    </row>
    <row r="10" spans="1:9">
      <c r="A10" s="1966" t="s">
        <v>807</v>
      </c>
      <c r="B10" s="1963">
        <f t="shared" si="0"/>
        <v>4</v>
      </c>
      <c r="C10" s="1963">
        <f t="shared" si="0"/>
        <v>3</v>
      </c>
      <c r="D10" s="1963">
        <f t="shared" si="0"/>
        <v>7</v>
      </c>
      <c r="E10" s="1963">
        <f t="shared" si="0"/>
        <v>8</v>
      </c>
      <c r="F10" s="1963">
        <f t="shared" si="0"/>
        <v>8</v>
      </c>
      <c r="G10" s="1963">
        <f t="shared" si="0"/>
        <v>2</v>
      </c>
      <c r="I10" s="1964"/>
    </row>
    <row r="11" spans="1:9" ht="22.5">
      <c r="A11" s="1967" t="s">
        <v>808</v>
      </c>
      <c r="B11" s="1968">
        <f t="shared" ref="B11:G11" si="1">SUM(B12:B15)</f>
        <v>4</v>
      </c>
      <c r="C11" s="1968">
        <f t="shared" si="1"/>
        <v>0</v>
      </c>
      <c r="D11" s="1968">
        <f t="shared" si="1"/>
        <v>7</v>
      </c>
      <c r="E11" s="1968">
        <f t="shared" si="1"/>
        <v>11</v>
      </c>
      <c r="F11" s="1968">
        <f t="shared" si="1"/>
        <v>1</v>
      </c>
      <c r="G11" s="1968">
        <f t="shared" si="1"/>
        <v>3</v>
      </c>
      <c r="H11" s="1964"/>
      <c r="I11" s="1964"/>
    </row>
    <row r="12" spans="1:9">
      <c r="A12" s="1965" t="s">
        <v>982</v>
      </c>
      <c r="B12" s="1969">
        <v>0</v>
      </c>
      <c r="C12" s="1969">
        <v>0</v>
      </c>
      <c r="D12" s="1969">
        <v>3</v>
      </c>
      <c r="E12" s="1969">
        <v>2</v>
      </c>
      <c r="F12" s="1969">
        <v>1</v>
      </c>
      <c r="G12" s="1969">
        <v>0</v>
      </c>
      <c r="I12" s="1970"/>
    </row>
    <row r="13" spans="1:9">
      <c r="A13" s="1965" t="s">
        <v>805</v>
      </c>
      <c r="B13" s="1969">
        <v>4</v>
      </c>
      <c r="C13" s="1969">
        <v>0</v>
      </c>
      <c r="D13" s="1969">
        <v>2</v>
      </c>
      <c r="E13" s="1969">
        <v>5</v>
      </c>
      <c r="F13" s="1969">
        <v>0</v>
      </c>
      <c r="G13" s="1969">
        <v>2</v>
      </c>
    </row>
    <row r="14" spans="1:9">
      <c r="A14" s="1965" t="s">
        <v>806</v>
      </c>
      <c r="B14" s="1969">
        <v>0</v>
      </c>
      <c r="C14" s="1969">
        <v>0</v>
      </c>
      <c r="D14" s="1969">
        <v>2</v>
      </c>
      <c r="E14" s="1969">
        <v>3</v>
      </c>
      <c r="F14" s="1969">
        <v>0</v>
      </c>
      <c r="G14" s="1969">
        <v>1</v>
      </c>
    </row>
    <row r="15" spans="1:9">
      <c r="A15" s="1965" t="s">
        <v>807</v>
      </c>
      <c r="B15" s="1969">
        <v>0</v>
      </c>
      <c r="C15" s="1969">
        <v>0</v>
      </c>
      <c r="D15" s="1969">
        <v>0</v>
      </c>
      <c r="E15" s="1969">
        <v>1</v>
      </c>
      <c r="F15" s="1969">
        <v>0</v>
      </c>
      <c r="G15" s="1969">
        <v>0</v>
      </c>
    </row>
    <row r="16" spans="1:9">
      <c r="A16" s="1967" t="s">
        <v>810</v>
      </c>
      <c r="B16" s="1968">
        <f t="shared" ref="B16:G16" si="2">SUM(B17:B20)</f>
        <v>12</v>
      </c>
      <c r="C16" s="1968">
        <f t="shared" si="2"/>
        <v>21</v>
      </c>
      <c r="D16" s="1968">
        <f t="shared" si="2"/>
        <v>24</v>
      </c>
      <c r="E16" s="1968">
        <f t="shared" si="2"/>
        <v>59</v>
      </c>
      <c r="F16" s="1968">
        <f t="shared" si="2"/>
        <v>25</v>
      </c>
      <c r="G16" s="1968">
        <f t="shared" si="2"/>
        <v>17</v>
      </c>
    </row>
    <row r="17" spans="1:7">
      <c r="A17" s="1965" t="s">
        <v>982</v>
      </c>
      <c r="B17" s="1969">
        <v>0</v>
      </c>
      <c r="C17" s="1969">
        <v>3</v>
      </c>
      <c r="D17" s="1969">
        <v>6</v>
      </c>
      <c r="E17" s="1969">
        <v>6</v>
      </c>
      <c r="F17" s="1969">
        <v>2</v>
      </c>
      <c r="G17" s="1969">
        <v>1</v>
      </c>
    </row>
    <row r="18" spans="1:7">
      <c r="A18" s="1965" t="s">
        <v>805</v>
      </c>
      <c r="B18" s="1969">
        <v>12</v>
      </c>
      <c r="C18" s="1969">
        <v>17</v>
      </c>
      <c r="D18" s="1969">
        <v>8</v>
      </c>
      <c r="E18" s="1969">
        <v>36</v>
      </c>
      <c r="F18" s="1969">
        <v>13</v>
      </c>
      <c r="G18" s="1969">
        <v>7</v>
      </c>
    </row>
    <row r="19" spans="1:7">
      <c r="A19" s="1965" t="s">
        <v>806</v>
      </c>
      <c r="B19" s="1969">
        <v>0</v>
      </c>
      <c r="C19" s="1969">
        <v>0</v>
      </c>
      <c r="D19" s="1969">
        <v>7</v>
      </c>
      <c r="E19" s="1969">
        <v>13</v>
      </c>
      <c r="F19" s="1969">
        <v>9</v>
      </c>
      <c r="G19" s="1969">
        <v>8</v>
      </c>
    </row>
    <row r="20" spans="1:7">
      <c r="A20" s="1965" t="s">
        <v>807</v>
      </c>
      <c r="B20" s="1969">
        <v>0</v>
      </c>
      <c r="C20" s="1969">
        <v>1</v>
      </c>
      <c r="D20" s="1969">
        <v>3</v>
      </c>
      <c r="E20" s="1969">
        <v>4</v>
      </c>
      <c r="F20" s="1969">
        <v>1</v>
      </c>
      <c r="G20" s="1969">
        <v>1</v>
      </c>
    </row>
    <row r="21" spans="1:7">
      <c r="A21" s="1967" t="s">
        <v>811</v>
      </c>
      <c r="B21" s="1968">
        <f t="shared" ref="B21:G21" si="3">SUM(B22:B25)</f>
        <v>4</v>
      </c>
      <c r="C21" s="1968">
        <f t="shared" si="3"/>
        <v>5</v>
      </c>
      <c r="D21" s="1968">
        <f t="shared" si="3"/>
        <v>8</v>
      </c>
      <c r="E21" s="1968">
        <f t="shared" si="3"/>
        <v>36</v>
      </c>
      <c r="F21" s="1968">
        <f t="shared" si="3"/>
        <v>17</v>
      </c>
      <c r="G21" s="1968">
        <f t="shared" si="3"/>
        <v>12</v>
      </c>
    </row>
    <row r="22" spans="1:7">
      <c r="A22" s="1965" t="s">
        <v>982</v>
      </c>
      <c r="B22" s="1969">
        <v>0</v>
      </c>
      <c r="C22" s="1969">
        <v>1</v>
      </c>
      <c r="D22" s="1969">
        <v>2</v>
      </c>
      <c r="E22" s="1969">
        <v>14</v>
      </c>
      <c r="F22" s="1969">
        <v>8</v>
      </c>
      <c r="G22" s="1969">
        <v>2</v>
      </c>
    </row>
    <row r="23" spans="1:7">
      <c r="A23" s="1965" t="s">
        <v>805</v>
      </c>
      <c r="B23" s="1969">
        <v>4</v>
      </c>
      <c r="C23" s="1969">
        <v>4</v>
      </c>
      <c r="D23" s="1969">
        <v>6</v>
      </c>
      <c r="E23" s="1969">
        <v>14</v>
      </c>
      <c r="F23" s="1969">
        <v>6</v>
      </c>
      <c r="G23" s="1969">
        <v>9</v>
      </c>
    </row>
    <row r="24" spans="1:7">
      <c r="A24" s="1965" t="s">
        <v>806</v>
      </c>
      <c r="B24" s="1969">
        <v>0</v>
      </c>
      <c r="C24" s="1969">
        <v>0</v>
      </c>
      <c r="D24" s="1969">
        <v>0</v>
      </c>
      <c r="E24" s="1969">
        <v>8</v>
      </c>
      <c r="F24" s="1969">
        <v>3</v>
      </c>
      <c r="G24" s="1969">
        <v>1</v>
      </c>
    </row>
    <row r="25" spans="1:7">
      <c r="A25" s="1965" t="s">
        <v>807</v>
      </c>
      <c r="B25" s="1969">
        <v>0</v>
      </c>
      <c r="C25" s="1969">
        <v>0</v>
      </c>
      <c r="D25" s="1969">
        <v>0</v>
      </c>
      <c r="E25" s="1969">
        <v>0</v>
      </c>
      <c r="F25" s="1969">
        <v>0</v>
      </c>
      <c r="G25" s="1969">
        <v>0</v>
      </c>
    </row>
    <row r="26" spans="1:7">
      <c r="A26" s="1967" t="s">
        <v>819</v>
      </c>
      <c r="B26" s="1968">
        <f t="shared" ref="B26:G26" si="4">SUM(B27:B30)</f>
        <v>17</v>
      </c>
      <c r="C26" s="1968">
        <f t="shared" si="4"/>
        <v>9</v>
      </c>
      <c r="D26" s="1968">
        <f t="shared" si="4"/>
        <v>21</v>
      </c>
      <c r="E26" s="1968">
        <f t="shared" si="4"/>
        <v>16</v>
      </c>
      <c r="F26" s="1968">
        <f t="shared" si="4"/>
        <v>8</v>
      </c>
      <c r="G26" s="1968">
        <f t="shared" si="4"/>
        <v>8</v>
      </c>
    </row>
    <row r="27" spans="1:7">
      <c r="A27" s="1965" t="s">
        <v>982</v>
      </c>
      <c r="B27" s="1969">
        <v>0</v>
      </c>
      <c r="C27" s="1969">
        <v>2</v>
      </c>
      <c r="D27" s="1969">
        <v>6</v>
      </c>
      <c r="E27" s="1969">
        <v>2</v>
      </c>
      <c r="F27" s="1969">
        <v>1</v>
      </c>
      <c r="G27" s="1969">
        <v>0</v>
      </c>
    </row>
    <row r="28" spans="1:7">
      <c r="A28" s="1965" t="s">
        <v>805</v>
      </c>
      <c r="B28" s="1969">
        <v>15</v>
      </c>
      <c r="C28" s="1969">
        <v>7</v>
      </c>
      <c r="D28" s="1969">
        <v>8</v>
      </c>
      <c r="E28" s="1969">
        <v>10</v>
      </c>
      <c r="F28" s="1969">
        <v>3</v>
      </c>
      <c r="G28" s="1969">
        <v>6</v>
      </c>
    </row>
    <row r="29" spans="1:7">
      <c r="A29" s="1965" t="s">
        <v>806</v>
      </c>
      <c r="B29" s="1969">
        <v>0</v>
      </c>
      <c r="C29" s="1969">
        <v>0</v>
      </c>
      <c r="D29" s="1969">
        <v>5</v>
      </c>
      <c r="E29" s="1969">
        <v>1</v>
      </c>
      <c r="F29" s="1969">
        <v>3</v>
      </c>
      <c r="G29" s="1969">
        <v>2</v>
      </c>
    </row>
    <row r="30" spans="1:7">
      <c r="A30" s="1965" t="s">
        <v>807</v>
      </c>
      <c r="B30" s="1969">
        <v>2</v>
      </c>
      <c r="C30" s="1969">
        <v>0</v>
      </c>
      <c r="D30" s="1969">
        <v>2</v>
      </c>
      <c r="E30" s="1969">
        <v>3</v>
      </c>
      <c r="F30" s="1969">
        <v>1</v>
      </c>
      <c r="G30" s="1969">
        <v>0</v>
      </c>
    </row>
    <row r="31" spans="1:7" ht="12.75">
      <c r="A31" s="57" t="s">
        <v>4612</v>
      </c>
      <c r="B31" s="1968">
        <f t="shared" ref="B31:G31" si="5">SUM(B32:B35)</f>
        <v>39</v>
      </c>
      <c r="C31" s="1968">
        <f t="shared" si="5"/>
        <v>34</v>
      </c>
      <c r="D31" s="1968">
        <f t="shared" si="5"/>
        <v>49</v>
      </c>
      <c r="E31" s="1968">
        <f t="shared" si="5"/>
        <v>21</v>
      </c>
      <c r="F31" s="1968">
        <f t="shared" si="5"/>
        <v>51</v>
      </c>
      <c r="G31" s="1968">
        <f t="shared" si="5"/>
        <v>39</v>
      </c>
    </row>
    <row r="32" spans="1:7">
      <c r="A32" s="1965" t="s">
        <v>982</v>
      </c>
      <c r="B32" s="412">
        <v>4</v>
      </c>
      <c r="C32" s="412">
        <v>1</v>
      </c>
      <c r="D32" s="412">
        <v>8</v>
      </c>
      <c r="E32" s="412">
        <v>4</v>
      </c>
      <c r="F32" s="412">
        <v>2</v>
      </c>
      <c r="G32" s="412">
        <v>3</v>
      </c>
    </row>
    <row r="33" spans="1:7">
      <c r="A33" s="1965" t="s">
        <v>805</v>
      </c>
      <c r="B33" s="412">
        <v>33</v>
      </c>
      <c r="C33" s="412">
        <v>31</v>
      </c>
      <c r="D33" s="412">
        <v>25</v>
      </c>
      <c r="E33" s="412">
        <v>14</v>
      </c>
      <c r="F33" s="412">
        <v>34</v>
      </c>
      <c r="G33" s="412">
        <v>23</v>
      </c>
    </row>
    <row r="34" spans="1:7">
      <c r="A34" s="1965" t="s">
        <v>806</v>
      </c>
      <c r="B34" s="412">
        <v>0</v>
      </c>
      <c r="C34" s="412">
        <v>0</v>
      </c>
      <c r="D34" s="412">
        <v>14</v>
      </c>
      <c r="E34" s="412">
        <v>3</v>
      </c>
      <c r="F34" s="412">
        <v>9</v>
      </c>
      <c r="G34" s="412">
        <v>12</v>
      </c>
    </row>
    <row r="35" spans="1:7">
      <c r="A35" s="1965" t="s">
        <v>807</v>
      </c>
      <c r="B35" s="412">
        <v>2</v>
      </c>
      <c r="C35" s="412">
        <v>2</v>
      </c>
      <c r="D35" s="412">
        <v>2</v>
      </c>
      <c r="E35" s="412">
        <v>0</v>
      </c>
      <c r="F35" s="412">
        <v>6</v>
      </c>
      <c r="G35" s="412">
        <v>1</v>
      </c>
    </row>
    <row r="36" spans="1:7">
      <c r="A36" s="1971"/>
    </row>
    <row r="37" spans="1:7" ht="27" customHeight="1">
      <c r="A37" s="2649" t="s">
        <v>4613</v>
      </c>
      <c r="B37" s="2649"/>
      <c r="C37" s="2649"/>
      <c r="D37" s="2649"/>
      <c r="E37" s="2649"/>
      <c r="F37" s="2649"/>
      <c r="G37" s="2649"/>
    </row>
    <row r="38" spans="1:7">
      <c r="A38" s="2650" t="s">
        <v>4614</v>
      </c>
      <c r="B38" s="2650"/>
      <c r="C38" s="2650"/>
      <c r="D38" s="2650"/>
      <c r="E38" s="2650"/>
      <c r="F38" s="2650"/>
      <c r="G38" s="2650"/>
    </row>
    <row r="39" spans="1:7">
      <c r="A39" s="2650" t="s">
        <v>4615</v>
      </c>
      <c r="B39" s="2650"/>
      <c r="C39" s="2650"/>
      <c r="D39" s="2650"/>
      <c r="E39" s="2650"/>
      <c r="F39" s="2650"/>
      <c r="G39" s="2650"/>
    </row>
    <row r="40" spans="1:7">
      <c r="A40" s="2651" t="s">
        <v>861</v>
      </c>
      <c r="B40" s="2651"/>
      <c r="C40" s="2651"/>
      <c r="D40" s="2651"/>
      <c r="E40" s="2651"/>
      <c r="F40" s="2651"/>
      <c r="G40" s="2651"/>
    </row>
    <row r="49" ht="11.25" customHeight="1"/>
  </sheetData>
  <mergeCells count="7">
    <mergeCell ref="A39:G39"/>
    <mergeCell ref="A40:G40"/>
    <mergeCell ref="A2:G2"/>
    <mergeCell ref="A4:A5"/>
    <mergeCell ref="B4:G4"/>
    <mergeCell ref="A37:G37"/>
    <mergeCell ref="A38:G38"/>
  </mergeCells>
  <pageMargins left="0.7" right="0.7" top="0.75" bottom="0.75" header="0.3" footer="0.3"/>
</worksheet>
</file>

<file path=xl/worksheets/sheet290.xml><?xml version="1.0" encoding="utf-8"?>
<worksheet xmlns="http://schemas.openxmlformats.org/spreadsheetml/2006/main" xmlns:r="http://schemas.openxmlformats.org/officeDocument/2006/relationships">
  <dimension ref="A2:E34"/>
  <sheetViews>
    <sheetView zoomScaleNormal="100" workbookViewId="0">
      <selection activeCell="D10" sqref="D10"/>
    </sheetView>
  </sheetViews>
  <sheetFormatPr baseColWidth="10" defaultRowHeight="11.25"/>
  <cols>
    <col min="1" max="1" width="41.140625" style="61" bestFit="1" customWidth="1"/>
    <col min="2" max="2" width="22.28515625" style="61" bestFit="1" customWidth="1"/>
    <col min="3" max="3" width="21.140625" style="61" customWidth="1"/>
    <col min="4" max="4" width="22.28515625" style="61" bestFit="1" customWidth="1"/>
    <col min="5" max="5" width="21.140625" style="61" customWidth="1"/>
    <col min="6" max="16384" width="11.42578125" style="61"/>
  </cols>
  <sheetData>
    <row r="2" spans="1:5" ht="30" customHeight="1">
      <c r="A2" s="2281" t="s">
        <v>4662</v>
      </c>
      <c r="B2" s="2281"/>
      <c r="C2" s="2281"/>
      <c r="D2" s="2281"/>
      <c r="E2" s="2281"/>
    </row>
    <row r="4" spans="1:5" ht="22.5">
      <c r="A4" s="376" t="s">
        <v>2580</v>
      </c>
      <c r="B4" s="376" t="s">
        <v>2581</v>
      </c>
      <c r="C4" s="376" t="s">
        <v>2582</v>
      </c>
      <c r="D4" s="376" t="s">
        <v>2583</v>
      </c>
      <c r="E4" s="376" t="s">
        <v>2588</v>
      </c>
    </row>
    <row r="5" spans="1:5">
      <c r="A5" s="60" t="s">
        <v>6</v>
      </c>
      <c r="B5" s="344">
        <f>SUM(B6,B8,B10,B12,B15,B17,B20,B24,B28)</f>
        <v>2134586427892.1514</v>
      </c>
      <c r="C5" s="344">
        <f>SUM(C6,C8,C10,C12,C15,C17,C20,C24,C28)</f>
        <v>122000064717.8821</v>
      </c>
      <c r="D5" s="344">
        <f>SUM(D6,D8,D10,D12,D15,D17,D20,D24,D28)</f>
        <v>1976808289525.6182</v>
      </c>
      <c r="E5" s="344">
        <f>SUM(E6,E8,E10,E12,E15,E17,E20,E24,E28)</f>
        <v>134532439257.25266</v>
      </c>
    </row>
    <row r="6" spans="1:5">
      <c r="A6" s="60" t="s">
        <v>2068</v>
      </c>
      <c r="B6" s="344">
        <f>SUM(B7)</f>
        <v>6977917526.7119589</v>
      </c>
      <c r="C6" s="344">
        <f>SUM(C7)</f>
        <v>206915342.74617082</v>
      </c>
      <c r="D6" s="344">
        <f>SUM(D7)</f>
        <v>6276206232.6978006</v>
      </c>
      <c r="E6" s="344">
        <f>SUM(E7)</f>
        <v>309876742.31099999</v>
      </c>
    </row>
    <row r="7" spans="1:5">
      <c r="A7" s="61" t="s">
        <v>2068</v>
      </c>
      <c r="B7" s="345">
        <v>6977917526.7119589</v>
      </c>
      <c r="C7" s="345">
        <v>206915342.74617082</v>
      </c>
      <c r="D7" s="345">
        <v>6276206232.6978006</v>
      </c>
      <c r="E7" s="345">
        <v>309876742.31099999</v>
      </c>
    </row>
    <row r="8" spans="1:5">
      <c r="A8" s="60" t="s">
        <v>2072</v>
      </c>
      <c r="B8" s="344">
        <f>SUM(B9)</f>
        <v>72047015518.999084</v>
      </c>
      <c r="C8" s="344">
        <f>SUM(C9)</f>
        <v>32510013795.741486</v>
      </c>
      <c r="D8" s="344">
        <f>SUM(D9)</f>
        <v>83276577764.7621</v>
      </c>
      <c r="E8" s="344">
        <f>SUM(E9)</f>
        <v>49506916777.330818</v>
      </c>
    </row>
    <row r="9" spans="1:5">
      <c r="A9" s="61" t="s">
        <v>2072</v>
      </c>
      <c r="B9" s="345">
        <v>72047015518.999084</v>
      </c>
      <c r="C9" s="345">
        <v>32510013795.741486</v>
      </c>
      <c r="D9" s="345">
        <v>83276577764.7621</v>
      </c>
      <c r="E9" s="345">
        <v>49506916777.330818</v>
      </c>
    </row>
    <row r="10" spans="1:5">
      <c r="A10" s="60" t="s">
        <v>2076</v>
      </c>
      <c r="B10" s="344">
        <f>SUM(B11)</f>
        <v>63726148.864246726</v>
      </c>
      <c r="C10" s="344">
        <v>2756877.4628344895</v>
      </c>
      <c r="D10" s="344">
        <v>86965451.920200005</v>
      </c>
      <c r="E10" s="344">
        <v>0</v>
      </c>
    </row>
    <row r="11" spans="1:5">
      <c r="A11" s="61" t="s">
        <v>1120</v>
      </c>
      <c r="B11" s="345">
        <v>63726148.864246726</v>
      </c>
      <c r="C11" s="345">
        <v>2756877.4628344895</v>
      </c>
      <c r="D11" s="345">
        <v>86965451.920200005</v>
      </c>
      <c r="E11" s="345">
        <v>0</v>
      </c>
    </row>
    <row r="12" spans="1:5">
      <c r="A12" s="60" t="s">
        <v>2575</v>
      </c>
      <c r="B12" s="344">
        <f>SUM(B13:B14)</f>
        <v>107873506719.31921</v>
      </c>
      <c r="C12" s="344">
        <f>SUM(C13:C14)</f>
        <v>3481719837.2203918</v>
      </c>
      <c r="D12" s="344">
        <f>SUM(D13:D14)</f>
        <v>97550827035.349167</v>
      </c>
      <c r="E12" s="344">
        <f>SUM(E13:E14)</f>
        <v>2954323901.1258001</v>
      </c>
    </row>
    <row r="13" spans="1:5">
      <c r="A13" s="61" t="s">
        <v>2056</v>
      </c>
      <c r="B13" s="345">
        <v>12935898241.221502</v>
      </c>
      <c r="C13" s="345">
        <v>1077391891.9019518</v>
      </c>
      <c r="D13" s="345">
        <v>15423708249.377405</v>
      </c>
      <c r="E13" s="345">
        <v>884869333.53780019</v>
      </c>
    </row>
    <row r="14" spans="1:5">
      <c r="A14" s="61" t="s">
        <v>2075</v>
      </c>
      <c r="B14" s="345">
        <v>94937608478.097717</v>
      </c>
      <c r="C14" s="345">
        <v>2404327945.31844</v>
      </c>
      <c r="D14" s="345">
        <v>82127118785.971756</v>
      </c>
      <c r="E14" s="345">
        <v>2069454567.5880001</v>
      </c>
    </row>
    <row r="15" spans="1:5">
      <c r="A15" s="60" t="s">
        <v>2546</v>
      </c>
      <c r="B15" s="344">
        <f>SUM(B16)</f>
        <v>80226987540.009323</v>
      </c>
      <c r="C15" s="344">
        <f>SUM(C16)</f>
        <v>1216440989.1641037</v>
      </c>
      <c r="D15" s="344">
        <f>SUM(D16)</f>
        <v>79560744489.235123</v>
      </c>
      <c r="E15" s="344">
        <f>SUM(E16)</f>
        <v>3548760390.3737998</v>
      </c>
    </row>
    <row r="16" spans="1:5">
      <c r="A16" s="61" t="s">
        <v>1830</v>
      </c>
      <c r="B16" s="345">
        <v>80226987540.009323</v>
      </c>
      <c r="C16" s="345">
        <v>1216440989.1641037</v>
      </c>
      <c r="D16" s="345">
        <v>79560744489.235123</v>
      </c>
      <c r="E16" s="345">
        <v>3548760390.3737998</v>
      </c>
    </row>
    <row r="17" spans="1:5">
      <c r="A17" s="60" t="s">
        <v>2576</v>
      </c>
      <c r="B17" s="344">
        <f>SUM(B18:B19)</f>
        <v>276560716020.25201</v>
      </c>
      <c r="C17" s="344">
        <f>SUM(C18:C19)</f>
        <v>44692561437.843246</v>
      </c>
      <c r="D17" s="344">
        <f>SUM(D18:D19)</f>
        <v>240248198744.3678</v>
      </c>
      <c r="E17" s="344">
        <f>SUM(E18:E19)</f>
        <v>29191507640.261391</v>
      </c>
    </row>
    <row r="18" spans="1:5">
      <c r="A18" s="61" t="s">
        <v>2586</v>
      </c>
      <c r="B18" s="345">
        <v>4078991263.3855562</v>
      </c>
      <c r="C18" s="345">
        <v>36317533212.566093</v>
      </c>
      <c r="D18" s="345">
        <v>5262384330.7548008</v>
      </c>
      <c r="E18" s="345">
        <v>22490061872.066986</v>
      </c>
    </row>
    <row r="19" spans="1:5">
      <c r="A19" s="61" t="s">
        <v>2083</v>
      </c>
      <c r="B19" s="345">
        <v>272481724756.86646</v>
      </c>
      <c r="C19" s="345">
        <v>8375028225.2771568</v>
      </c>
      <c r="D19" s="345">
        <v>234985814413.61301</v>
      </c>
      <c r="E19" s="345">
        <v>6701445768.1944027</v>
      </c>
    </row>
    <row r="20" spans="1:5">
      <c r="A20" s="60" t="s">
        <v>2551</v>
      </c>
      <c r="B20" s="344">
        <f>SUM(B21:B23)</f>
        <v>556749837349.11853</v>
      </c>
      <c r="C20" s="344">
        <f>SUM(C21:C23)</f>
        <v>6751283959.7656708</v>
      </c>
      <c r="D20" s="344">
        <f>SUM(D21:D23)</f>
        <v>553518512976.75916</v>
      </c>
      <c r="E20" s="344">
        <f>SUM(E21:E23)</f>
        <v>7428357484.0764046</v>
      </c>
    </row>
    <row r="21" spans="1:5">
      <c r="A21" s="61" t="s">
        <v>2086</v>
      </c>
      <c r="B21" s="345">
        <v>42822613750.816635</v>
      </c>
      <c r="C21" s="345">
        <v>957307939.16466093</v>
      </c>
      <c r="D21" s="345">
        <v>38201938962.858009</v>
      </c>
      <c r="E21" s="345">
        <v>1261187726.3291998</v>
      </c>
    </row>
    <row r="22" spans="1:5">
      <c r="A22" s="61" t="s">
        <v>2587</v>
      </c>
      <c r="B22" s="345">
        <v>470367955256.67444</v>
      </c>
      <c r="C22" s="345">
        <v>5485942338.3115768</v>
      </c>
      <c r="D22" s="345">
        <v>465278993059.88361</v>
      </c>
      <c r="E22" s="345">
        <v>5697998426.850605</v>
      </c>
    </row>
    <row r="23" spans="1:5">
      <c r="A23" s="61" t="s">
        <v>2585</v>
      </c>
      <c r="B23" s="345">
        <v>43559268341.627403</v>
      </c>
      <c r="C23" s="345">
        <v>308033682.28943282</v>
      </c>
      <c r="D23" s="345">
        <v>50037580954.017555</v>
      </c>
      <c r="E23" s="345">
        <v>469171330.89659995</v>
      </c>
    </row>
    <row r="24" spans="1:5">
      <c r="A24" s="60" t="s">
        <v>2553</v>
      </c>
      <c r="B24" s="344">
        <f>SUM(B25:B27)</f>
        <v>15771925170.803537</v>
      </c>
      <c r="C24" s="344">
        <f>SUM(C25:C27)</f>
        <v>12834823647.80982</v>
      </c>
      <c r="D24" s="344">
        <f>SUM(D25:D27)</f>
        <v>15826650500.645996</v>
      </c>
      <c r="E24" s="344">
        <f>SUM(E25:E27)</f>
        <v>14076265669.285212</v>
      </c>
    </row>
    <row r="25" spans="1:5">
      <c r="A25" s="61" t="s">
        <v>2091</v>
      </c>
      <c r="B25" s="345">
        <v>43829780.756235003</v>
      </c>
      <c r="C25" s="345">
        <v>5081316.6406036858</v>
      </c>
      <c r="D25" s="345">
        <v>40414694.698200002</v>
      </c>
      <c r="E25" s="345">
        <v>607380</v>
      </c>
    </row>
    <row r="26" spans="1:5">
      <c r="A26" s="61" t="s">
        <v>2092</v>
      </c>
      <c r="B26" s="345">
        <v>1341269555.5837078</v>
      </c>
      <c r="C26" s="345">
        <v>772825385.52614319</v>
      </c>
      <c r="D26" s="345">
        <v>1514383481.5716002</v>
      </c>
      <c r="E26" s="345">
        <v>816657188.57879996</v>
      </c>
    </row>
    <row r="27" spans="1:5">
      <c r="A27" s="61" t="s">
        <v>1833</v>
      </c>
      <c r="B27" s="345">
        <v>14386825834.463594</v>
      </c>
      <c r="C27" s="345">
        <v>12056916945.643074</v>
      </c>
      <c r="D27" s="345">
        <v>14271852324.376196</v>
      </c>
      <c r="E27" s="345">
        <v>13259001100.706411</v>
      </c>
    </row>
    <row r="28" spans="1:5">
      <c r="A28" s="60" t="s">
        <v>2554</v>
      </c>
      <c r="B28" s="344">
        <f>SUM(B29)</f>
        <v>1018314795898.0735</v>
      </c>
      <c r="C28" s="344">
        <f>SUM(C29)</f>
        <v>20303548830.128384</v>
      </c>
      <c r="D28" s="344">
        <f>SUM(D29)</f>
        <v>900463606329.88074</v>
      </c>
      <c r="E28" s="344">
        <f>SUM(E29)</f>
        <v>27516430652.488232</v>
      </c>
    </row>
    <row r="29" spans="1:5">
      <c r="A29" s="61" t="s">
        <v>2555</v>
      </c>
      <c r="B29" s="345">
        <v>1018314795898.0735</v>
      </c>
      <c r="C29" s="345">
        <v>20303548830.128384</v>
      </c>
      <c r="D29" s="345">
        <v>900463606329.88074</v>
      </c>
      <c r="E29" s="345">
        <v>27516430652.488232</v>
      </c>
    </row>
    <row r="31" spans="1:5" ht="25.5" customHeight="1">
      <c r="A31" s="2124" t="s">
        <v>4663</v>
      </c>
      <c r="B31" s="2124"/>
      <c r="C31" s="2124"/>
      <c r="D31" s="2124"/>
      <c r="E31" s="2124"/>
    </row>
    <row r="32" spans="1:5">
      <c r="A32" s="346" t="s">
        <v>3205</v>
      </c>
      <c r="B32" s="346"/>
      <c r="C32" s="346"/>
      <c r="D32" s="346"/>
      <c r="E32" s="346"/>
    </row>
    <row r="33" spans="1:5">
      <c r="A33" s="377" t="s">
        <v>22</v>
      </c>
      <c r="B33" s="377"/>
      <c r="C33" s="346"/>
      <c r="D33" s="346"/>
      <c r="E33" s="346"/>
    </row>
    <row r="34" spans="1:5" s="62" customFormat="1" ht="27.75" customHeight="1">
      <c r="A34" s="2124" t="s">
        <v>4638</v>
      </c>
      <c r="B34" s="2124"/>
      <c r="C34" s="2124"/>
      <c r="D34" s="2124"/>
      <c r="E34" s="2124"/>
    </row>
  </sheetData>
  <mergeCells count="3">
    <mergeCell ref="A2:E2"/>
    <mergeCell ref="A31:E31"/>
    <mergeCell ref="A34:E34"/>
  </mergeCells>
  <pageMargins left="0.7" right="0.7" top="0.75" bottom="0.75" header="0.3" footer="0.3"/>
  <pageSetup paperSize="9" orientation="portrait" r:id="rId1"/>
</worksheet>
</file>

<file path=xl/worksheets/sheet291.xml><?xml version="1.0" encoding="utf-8"?>
<worksheet xmlns="http://schemas.openxmlformats.org/spreadsheetml/2006/main" xmlns:r="http://schemas.openxmlformats.org/officeDocument/2006/relationships">
  <sheetPr>
    <pageSetUpPr fitToPage="1"/>
  </sheetPr>
  <dimension ref="A2:N33"/>
  <sheetViews>
    <sheetView zoomScaleNormal="100" workbookViewId="0">
      <selection activeCell="A4" sqref="A4:A5"/>
    </sheetView>
  </sheetViews>
  <sheetFormatPr baseColWidth="10" defaultRowHeight="11.25"/>
  <cols>
    <col min="1" max="1" width="31.140625" style="62" customWidth="1"/>
    <col min="2" max="2" width="15.7109375" style="62" bestFit="1" customWidth="1"/>
    <col min="3" max="3" width="14.42578125" style="62" bestFit="1" customWidth="1"/>
    <col min="4" max="4" width="13.140625" style="62" bestFit="1" customWidth="1"/>
    <col min="5" max="5" width="14.42578125" style="62" bestFit="1" customWidth="1"/>
    <col min="6" max="6" width="13.140625" style="62" bestFit="1" customWidth="1"/>
    <col min="7" max="8" width="14.42578125" style="62" bestFit="1" customWidth="1"/>
    <col min="9" max="9" width="13.140625" style="62" bestFit="1" customWidth="1"/>
    <col min="10" max="10" width="14.42578125" style="62" bestFit="1" customWidth="1"/>
    <col min="11" max="11" width="11.28515625" style="62" bestFit="1" customWidth="1"/>
    <col min="12" max="12" width="13.140625" style="62" bestFit="1" customWidth="1"/>
    <col min="13" max="13" width="14.42578125" style="62" bestFit="1" customWidth="1"/>
    <col min="14" max="14" width="11.28515625" style="62" bestFit="1" customWidth="1"/>
    <col min="15" max="16384" width="11.42578125" style="62"/>
  </cols>
  <sheetData>
    <row r="2" spans="1:14" ht="12.75">
      <c r="A2" s="1998" t="s">
        <v>4664</v>
      </c>
    </row>
    <row r="3" spans="1:14">
      <c r="A3" s="60"/>
    </row>
    <row r="4" spans="1:14" s="350" customFormat="1" ht="21" customHeight="1">
      <c r="A4" s="2119" t="s">
        <v>2061</v>
      </c>
      <c r="B4" s="2119" t="s">
        <v>6</v>
      </c>
      <c r="C4" s="2579" t="s">
        <v>3378</v>
      </c>
      <c r="D4" s="2579"/>
      <c r="E4" s="2579"/>
      <c r="F4" s="2579"/>
      <c r="G4" s="2579"/>
      <c r="H4" s="2579"/>
      <c r="I4" s="2579"/>
      <c r="J4" s="2579"/>
      <c r="K4" s="2579"/>
      <c r="L4" s="2579"/>
      <c r="M4" s="2579"/>
      <c r="N4" s="2579"/>
    </row>
    <row r="5" spans="1:14" s="350" customFormat="1" ht="22.5">
      <c r="A5" s="2119"/>
      <c r="B5" s="2119"/>
      <c r="C5" s="317" t="s">
        <v>1971</v>
      </c>
      <c r="D5" s="317" t="s">
        <v>2256</v>
      </c>
      <c r="E5" s="317" t="s">
        <v>2254</v>
      </c>
      <c r="F5" s="317" t="s">
        <v>2257</v>
      </c>
      <c r="G5" s="317" t="s">
        <v>1970</v>
      </c>
      <c r="H5" s="317" t="s">
        <v>2589</v>
      </c>
      <c r="I5" s="317" t="s">
        <v>2258</v>
      </c>
      <c r="J5" s="317" t="s">
        <v>2590</v>
      </c>
      <c r="K5" s="317" t="s">
        <v>159</v>
      </c>
      <c r="L5" s="317" t="s">
        <v>2591</v>
      </c>
      <c r="M5" s="317" t="s">
        <v>2260</v>
      </c>
      <c r="N5" s="317" t="s">
        <v>154</v>
      </c>
    </row>
    <row r="6" spans="1:14">
      <c r="A6" s="318" t="s">
        <v>6</v>
      </c>
      <c r="B6" s="319">
        <f>+B7+B9+B11+B14+B16+B19+B23+B27</f>
        <v>221496327.27000007</v>
      </c>
      <c r="C6" s="319">
        <f t="shared" ref="C6:N6" si="0">+C7+C9+C11+C14+C16+C19+C23+C27</f>
        <v>13852324.060000002</v>
      </c>
      <c r="D6" s="319">
        <f t="shared" si="0"/>
        <v>2220075.1099999994</v>
      </c>
      <c r="E6" s="319">
        <f t="shared" si="0"/>
        <v>50885554.12000002</v>
      </c>
      <c r="F6" s="319">
        <f t="shared" si="0"/>
        <v>7269841.7099999972</v>
      </c>
      <c r="G6" s="319">
        <f t="shared" si="0"/>
        <v>30267428.030000072</v>
      </c>
      <c r="H6" s="319">
        <f t="shared" si="0"/>
        <v>57999035.749999993</v>
      </c>
      <c r="I6" s="319">
        <f t="shared" si="0"/>
        <v>2866040.3400000003</v>
      </c>
      <c r="J6" s="319">
        <f t="shared" si="0"/>
        <v>26629021.240000017</v>
      </c>
      <c r="K6" s="319">
        <f t="shared" si="0"/>
        <v>117369.77</v>
      </c>
      <c r="L6" s="319">
        <f t="shared" si="0"/>
        <v>5802343.4299999997</v>
      </c>
      <c r="M6" s="319">
        <f t="shared" si="0"/>
        <v>22935812.150000002</v>
      </c>
      <c r="N6" s="319">
        <f t="shared" si="0"/>
        <v>651481.55999999994</v>
      </c>
    </row>
    <row r="7" spans="1:14">
      <c r="A7" s="318" t="s">
        <v>2068</v>
      </c>
      <c r="B7" s="319">
        <f>SUM(B8)</f>
        <v>510185.95</v>
      </c>
      <c r="C7" s="319">
        <f t="shared" ref="C7:N7" si="1">SUM(C8)</f>
        <v>180809</v>
      </c>
      <c r="D7" s="319">
        <f t="shared" si="1"/>
        <v>0</v>
      </c>
      <c r="E7" s="319">
        <f t="shared" si="1"/>
        <v>221105.4</v>
      </c>
      <c r="F7" s="319">
        <f t="shared" si="1"/>
        <v>0</v>
      </c>
      <c r="G7" s="319">
        <f t="shared" si="1"/>
        <v>85295</v>
      </c>
      <c r="H7" s="319">
        <f t="shared" si="1"/>
        <v>14003.63</v>
      </c>
      <c r="I7" s="319">
        <f t="shared" si="1"/>
        <v>0</v>
      </c>
      <c r="J7" s="319">
        <f t="shared" si="1"/>
        <v>8972.92</v>
      </c>
      <c r="K7" s="319">
        <f t="shared" si="1"/>
        <v>0</v>
      </c>
      <c r="L7" s="319">
        <f t="shared" si="1"/>
        <v>0</v>
      </c>
      <c r="M7" s="319">
        <f t="shared" si="1"/>
        <v>0</v>
      </c>
      <c r="N7" s="319">
        <f t="shared" si="1"/>
        <v>0</v>
      </c>
    </row>
    <row r="8" spans="1:14">
      <c r="A8" s="55" t="s">
        <v>2068</v>
      </c>
      <c r="B8" s="320">
        <v>510185.95</v>
      </c>
      <c r="C8" s="320">
        <v>180809</v>
      </c>
      <c r="D8" s="320">
        <v>0</v>
      </c>
      <c r="E8" s="320">
        <v>221105.4</v>
      </c>
      <c r="F8" s="320">
        <v>0</v>
      </c>
      <c r="G8" s="320">
        <v>85295</v>
      </c>
      <c r="H8" s="320">
        <v>14003.63</v>
      </c>
      <c r="I8" s="320">
        <v>0</v>
      </c>
      <c r="J8" s="320">
        <v>8972.92</v>
      </c>
      <c r="K8" s="320">
        <v>0</v>
      </c>
      <c r="L8" s="320">
        <v>0</v>
      </c>
      <c r="M8" s="320">
        <v>0</v>
      </c>
      <c r="N8" s="320">
        <v>0</v>
      </c>
    </row>
    <row r="9" spans="1:14">
      <c r="A9" s="318" t="s">
        <v>2072</v>
      </c>
      <c r="B9" s="319">
        <f>SUM(B10)</f>
        <v>81508967.660000026</v>
      </c>
      <c r="C9" s="319">
        <f t="shared" ref="C9:N9" si="2">SUM(C10)</f>
        <v>4806031.8400000017</v>
      </c>
      <c r="D9" s="319">
        <f t="shared" si="2"/>
        <v>19704.730000000003</v>
      </c>
      <c r="E9" s="319">
        <f t="shared" si="2"/>
        <v>22394226.970000017</v>
      </c>
      <c r="F9" s="319">
        <f t="shared" si="2"/>
        <v>1043107.2400000002</v>
      </c>
      <c r="G9" s="319">
        <f t="shared" si="2"/>
        <v>6826600.810000008</v>
      </c>
      <c r="H9" s="319">
        <f t="shared" si="2"/>
        <v>5415567.2300000004</v>
      </c>
      <c r="I9" s="319">
        <f t="shared" si="2"/>
        <v>72300.630000000019</v>
      </c>
      <c r="J9" s="319">
        <f t="shared" si="2"/>
        <v>22408380.190000016</v>
      </c>
      <c r="K9" s="319">
        <f t="shared" si="2"/>
        <v>12993.88</v>
      </c>
      <c r="L9" s="319">
        <f t="shared" si="2"/>
        <v>3174296.1100000003</v>
      </c>
      <c r="M9" s="319">
        <f t="shared" si="2"/>
        <v>15331133.020000001</v>
      </c>
      <c r="N9" s="319">
        <f t="shared" si="2"/>
        <v>4625.01</v>
      </c>
    </row>
    <row r="10" spans="1:14">
      <c r="A10" s="55" t="s">
        <v>2072</v>
      </c>
      <c r="B10" s="320">
        <v>81508967.660000026</v>
      </c>
      <c r="C10" s="320">
        <v>4806031.8400000017</v>
      </c>
      <c r="D10" s="320">
        <v>19704.730000000003</v>
      </c>
      <c r="E10" s="320">
        <v>22394226.970000017</v>
      </c>
      <c r="F10" s="320">
        <v>1043107.2400000002</v>
      </c>
      <c r="G10" s="320">
        <v>6826600.810000008</v>
      </c>
      <c r="H10" s="320">
        <v>5415567.2300000004</v>
      </c>
      <c r="I10" s="320">
        <v>72300.630000000019</v>
      </c>
      <c r="J10" s="320">
        <v>22408380.190000016</v>
      </c>
      <c r="K10" s="320">
        <v>12993.88</v>
      </c>
      <c r="L10" s="320">
        <v>3174296.1100000003</v>
      </c>
      <c r="M10" s="320">
        <v>15331133.020000001</v>
      </c>
      <c r="N10" s="320">
        <v>4625.01</v>
      </c>
    </row>
    <row r="11" spans="1:14">
      <c r="A11" s="318" t="s">
        <v>2575</v>
      </c>
      <c r="B11" s="319">
        <f>SUM(B12:B13)</f>
        <v>4864045.41</v>
      </c>
      <c r="C11" s="319">
        <f t="shared" ref="C11:N11" si="3">SUM(C12:C13)</f>
        <v>500491.68999999994</v>
      </c>
      <c r="D11" s="319">
        <f t="shared" si="3"/>
        <v>198780.67</v>
      </c>
      <c r="E11" s="319">
        <f t="shared" si="3"/>
        <v>801038.36</v>
      </c>
      <c r="F11" s="319">
        <f t="shared" si="3"/>
        <v>91290.209999999992</v>
      </c>
      <c r="G11" s="319">
        <f t="shared" si="3"/>
        <v>1248846.2300000002</v>
      </c>
      <c r="H11" s="319">
        <f t="shared" si="3"/>
        <v>1720250.5900000003</v>
      </c>
      <c r="I11" s="319">
        <f t="shared" si="3"/>
        <v>12165.08</v>
      </c>
      <c r="J11" s="319">
        <f t="shared" si="3"/>
        <v>191895.32999999996</v>
      </c>
      <c r="K11" s="319">
        <f t="shared" si="3"/>
        <v>400</v>
      </c>
      <c r="L11" s="319">
        <f t="shared" si="3"/>
        <v>93654.9</v>
      </c>
      <c r="M11" s="319">
        <f t="shared" si="3"/>
        <v>5232.3500000000004</v>
      </c>
      <c r="N11" s="319">
        <f t="shared" si="3"/>
        <v>0</v>
      </c>
    </row>
    <row r="12" spans="1:14">
      <c r="A12" s="55" t="s">
        <v>2056</v>
      </c>
      <c r="B12" s="320">
        <v>1456862.8100000003</v>
      </c>
      <c r="C12" s="320">
        <v>427889.21999999991</v>
      </c>
      <c r="D12" s="320">
        <v>4353.5200000000004</v>
      </c>
      <c r="E12" s="320">
        <v>286744.88000000006</v>
      </c>
      <c r="F12" s="320">
        <v>46708.2</v>
      </c>
      <c r="G12" s="320">
        <v>38626.49</v>
      </c>
      <c r="H12" s="320">
        <v>507822.75000000017</v>
      </c>
      <c r="I12" s="320">
        <v>2878</v>
      </c>
      <c r="J12" s="320">
        <v>140083.74999999997</v>
      </c>
      <c r="K12" s="320">
        <v>400</v>
      </c>
      <c r="L12" s="320">
        <v>1356</v>
      </c>
      <c r="M12" s="320">
        <v>0</v>
      </c>
      <c r="N12" s="320">
        <v>0</v>
      </c>
    </row>
    <row r="13" spans="1:14">
      <c r="A13" s="55" t="s">
        <v>2075</v>
      </c>
      <c r="B13" s="320">
        <v>3407182.6</v>
      </c>
      <c r="C13" s="320">
        <v>72602.47</v>
      </c>
      <c r="D13" s="320">
        <v>194427.15000000002</v>
      </c>
      <c r="E13" s="320">
        <v>514293.47999999992</v>
      </c>
      <c r="F13" s="320">
        <v>44582.01</v>
      </c>
      <c r="G13" s="320">
        <v>1210219.7400000002</v>
      </c>
      <c r="H13" s="320">
        <v>1212427.8400000001</v>
      </c>
      <c r="I13" s="320">
        <v>9287.08</v>
      </c>
      <c r="J13" s="320">
        <v>51811.579999999994</v>
      </c>
      <c r="K13" s="320">
        <v>0</v>
      </c>
      <c r="L13" s="320">
        <v>92298.9</v>
      </c>
      <c r="M13" s="320">
        <v>5232.3500000000004</v>
      </c>
      <c r="N13" s="320">
        <v>0</v>
      </c>
    </row>
    <row r="14" spans="1:14">
      <c r="A14" s="318" t="s">
        <v>2546</v>
      </c>
      <c r="B14" s="319">
        <f>SUM(B15)</f>
        <v>5842735.0099999998</v>
      </c>
      <c r="C14" s="319">
        <f t="shared" ref="C14:N14" si="4">SUM(C15)</f>
        <v>93822.02</v>
      </c>
      <c r="D14" s="319">
        <f t="shared" si="4"/>
        <v>45736.02</v>
      </c>
      <c r="E14" s="319">
        <f t="shared" si="4"/>
        <v>673991.59999999905</v>
      </c>
      <c r="F14" s="319">
        <f t="shared" si="4"/>
        <v>9483.2000000000007</v>
      </c>
      <c r="G14" s="319">
        <f t="shared" si="4"/>
        <v>4181588.0200000005</v>
      </c>
      <c r="H14" s="319">
        <f t="shared" si="4"/>
        <v>616226.92999999993</v>
      </c>
      <c r="I14" s="319">
        <f t="shared" si="4"/>
        <v>69260.3</v>
      </c>
      <c r="J14" s="319">
        <f t="shared" si="4"/>
        <v>70987.350000000006</v>
      </c>
      <c r="K14" s="319">
        <f t="shared" si="4"/>
        <v>7199.52</v>
      </c>
      <c r="L14" s="319">
        <f t="shared" si="4"/>
        <v>74440.05</v>
      </c>
      <c r="M14" s="319">
        <f t="shared" si="4"/>
        <v>0</v>
      </c>
      <c r="N14" s="319">
        <f t="shared" si="4"/>
        <v>0</v>
      </c>
    </row>
    <row r="15" spans="1:14">
      <c r="A15" s="55" t="s">
        <v>1830</v>
      </c>
      <c r="B15" s="320">
        <v>5842735.0099999998</v>
      </c>
      <c r="C15" s="320">
        <v>93822.02</v>
      </c>
      <c r="D15" s="320">
        <v>45736.02</v>
      </c>
      <c r="E15" s="320">
        <v>673991.59999999905</v>
      </c>
      <c r="F15" s="320">
        <v>9483.2000000000007</v>
      </c>
      <c r="G15" s="320">
        <v>4181588.0200000005</v>
      </c>
      <c r="H15" s="320">
        <v>616226.92999999993</v>
      </c>
      <c r="I15" s="320">
        <v>69260.3</v>
      </c>
      <c r="J15" s="320">
        <v>70987.350000000006</v>
      </c>
      <c r="K15" s="320">
        <v>7199.52</v>
      </c>
      <c r="L15" s="320">
        <v>74440.05</v>
      </c>
      <c r="M15" s="320">
        <v>0</v>
      </c>
      <c r="N15" s="320">
        <v>0</v>
      </c>
    </row>
    <row r="16" spans="1:14" ht="22.5">
      <c r="A16" s="318" t="s">
        <v>2576</v>
      </c>
      <c r="B16" s="319">
        <f>SUM(B17:B18)</f>
        <v>48061358.029999979</v>
      </c>
      <c r="C16" s="319">
        <f>SUM(C17:C18)</f>
        <v>5688126.6900000004</v>
      </c>
      <c r="D16" s="319">
        <f t="shared" ref="D16:N16" si="5">SUM(D17:D18)</f>
        <v>1415185.7899999996</v>
      </c>
      <c r="E16" s="319">
        <f t="shared" si="5"/>
        <v>14090440.819999998</v>
      </c>
      <c r="F16" s="319">
        <f t="shared" si="5"/>
        <v>209674.2</v>
      </c>
      <c r="G16" s="319">
        <f t="shared" si="5"/>
        <v>288922.14000000007</v>
      </c>
      <c r="H16" s="319">
        <f t="shared" si="5"/>
        <v>24001984.80999998</v>
      </c>
      <c r="I16" s="319">
        <f t="shared" si="5"/>
        <v>87002.500000000029</v>
      </c>
      <c r="J16" s="319">
        <f t="shared" si="5"/>
        <v>1459435.3399999999</v>
      </c>
      <c r="K16" s="319">
        <f t="shared" si="5"/>
        <v>165.66</v>
      </c>
      <c r="L16" s="319">
        <f t="shared" si="5"/>
        <v>492956.08999999997</v>
      </c>
      <c r="M16" s="319">
        <f t="shared" si="5"/>
        <v>3962.4</v>
      </c>
      <c r="N16" s="319">
        <f t="shared" si="5"/>
        <v>323501.58999999997</v>
      </c>
    </row>
    <row r="17" spans="1:14">
      <c r="A17" s="55" t="s">
        <v>2586</v>
      </c>
      <c r="B17" s="320">
        <v>37027992.149999976</v>
      </c>
      <c r="C17" s="320">
        <v>4809113.8600000003</v>
      </c>
      <c r="D17" s="320">
        <v>2500</v>
      </c>
      <c r="E17" s="320">
        <v>13054174.409999998</v>
      </c>
      <c r="F17" s="320">
        <v>2600</v>
      </c>
      <c r="G17" s="320">
        <v>30952.2</v>
      </c>
      <c r="H17" s="320">
        <v>19128449.179999974</v>
      </c>
      <c r="I17" s="320">
        <v>0</v>
      </c>
      <c r="J17" s="320">
        <v>0</v>
      </c>
      <c r="K17" s="320">
        <v>0</v>
      </c>
      <c r="L17" s="320">
        <v>202.5</v>
      </c>
      <c r="M17" s="320">
        <v>0</v>
      </c>
      <c r="N17" s="320">
        <v>0</v>
      </c>
    </row>
    <row r="18" spans="1:14">
      <c r="A18" s="55" t="s">
        <v>2083</v>
      </c>
      <c r="B18" s="320">
        <v>11033365.880000005</v>
      </c>
      <c r="C18" s="320">
        <v>879012.83000000007</v>
      </c>
      <c r="D18" s="320">
        <v>1412685.7899999996</v>
      </c>
      <c r="E18" s="320">
        <v>1036266.4100000004</v>
      </c>
      <c r="F18" s="320">
        <v>207074.2</v>
      </c>
      <c r="G18" s="320">
        <v>257969.94000000006</v>
      </c>
      <c r="H18" s="320">
        <v>4873535.6300000045</v>
      </c>
      <c r="I18" s="320">
        <v>87002.500000000029</v>
      </c>
      <c r="J18" s="320">
        <v>1459435.3399999999</v>
      </c>
      <c r="K18" s="320">
        <v>165.66</v>
      </c>
      <c r="L18" s="320">
        <v>492753.58999999997</v>
      </c>
      <c r="M18" s="320">
        <v>3962.4</v>
      </c>
      <c r="N18" s="320">
        <v>323501.58999999997</v>
      </c>
    </row>
    <row r="19" spans="1:14" ht="22.5">
      <c r="A19" s="318" t="s">
        <v>2551</v>
      </c>
      <c r="B19" s="319">
        <f>SUM(B20:B22)</f>
        <v>12230164.780000009</v>
      </c>
      <c r="C19" s="319">
        <f t="shared" ref="C19:N19" si="6">SUM(C20:C22)</f>
        <v>1103763.1499999997</v>
      </c>
      <c r="D19" s="319">
        <f t="shared" si="6"/>
        <v>21414.86</v>
      </c>
      <c r="E19" s="319">
        <f t="shared" si="6"/>
        <v>5687440.0400000084</v>
      </c>
      <c r="F19" s="319">
        <f t="shared" si="6"/>
        <v>450129.24</v>
      </c>
      <c r="G19" s="319">
        <f t="shared" si="6"/>
        <v>1634168.0200000003</v>
      </c>
      <c r="H19" s="319">
        <f t="shared" si="6"/>
        <v>2869665.2299999995</v>
      </c>
      <c r="I19" s="319">
        <f t="shared" si="6"/>
        <v>18458.25</v>
      </c>
      <c r="J19" s="319">
        <f t="shared" si="6"/>
        <v>229969.30999999994</v>
      </c>
      <c r="K19" s="319">
        <f t="shared" si="6"/>
        <v>0</v>
      </c>
      <c r="L19" s="319">
        <f t="shared" si="6"/>
        <v>112999.39000000001</v>
      </c>
      <c r="M19" s="319">
        <f t="shared" si="6"/>
        <v>101957.29</v>
      </c>
      <c r="N19" s="319">
        <f t="shared" si="6"/>
        <v>200</v>
      </c>
    </row>
    <row r="20" spans="1:14">
      <c r="A20" s="55" t="s">
        <v>2086</v>
      </c>
      <c r="B20" s="320">
        <v>2076439.3399999999</v>
      </c>
      <c r="C20" s="320">
        <v>21510.149999999998</v>
      </c>
      <c r="D20" s="320">
        <v>16620</v>
      </c>
      <c r="E20" s="320">
        <v>1295692.9099999997</v>
      </c>
      <c r="F20" s="320">
        <v>0</v>
      </c>
      <c r="G20" s="320">
        <v>418920.31</v>
      </c>
      <c r="H20" s="320">
        <v>251982.52000000005</v>
      </c>
      <c r="I20" s="320">
        <v>6434.5</v>
      </c>
      <c r="J20" s="320">
        <v>61607.299999999996</v>
      </c>
      <c r="K20" s="320">
        <v>0</v>
      </c>
      <c r="L20" s="320">
        <v>700</v>
      </c>
      <c r="M20" s="320">
        <v>2971.65</v>
      </c>
      <c r="N20" s="320">
        <v>0</v>
      </c>
    </row>
    <row r="21" spans="1:14">
      <c r="A21" s="55" t="s">
        <v>2587</v>
      </c>
      <c r="B21" s="320">
        <v>9381274.3700000085</v>
      </c>
      <c r="C21" s="320">
        <v>1082252.9999999998</v>
      </c>
      <c r="D21" s="320">
        <v>4794.8599999999997</v>
      </c>
      <c r="E21" s="320">
        <v>4391747.1300000083</v>
      </c>
      <c r="F21" s="320">
        <v>41191.26</v>
      </c>
      <c r="G21" s="320">
        <v>1041928.9900000003</v>
      </c>
      <c r="H21" s="320">
        <v>2427488.3399999994</v>
      </c>
      <c r="I21" s="320">
        <v>12023.75</v>
      </c>
      <c r="J21" s="320">
        <v>168362.00999999995</v>
      </c>
      <c r="K21" s="320">
        <v>0</v>
      </c>
      <c r="L21" s="320">
        <v>112299.39000000001</v>
      </c>
      <c r="M21" s="320">
        <v>98985.64</v>
      </c>
      <c r="N21" s="320">
        <v>200</v>
      </c>
    </row>
    <row r="22" spans="1:14">
      <c r="A22" s="55" t="s">
        <v>2585</v>
      </c>
      <c r="B22" s="320">
        <v>772451.07</v>
      </c>
      <c r="C22" s="320">
        <v>0</v>
      </c>
      <c r="D22" s="320">
        <v>0</v>
      </c>
      <c r="E22" s="320">
        <v>0</v>
      </c>
      <c r="F22" s="320">
        <v>408937.98</v>
      </c>
      <c r="G22" s="320">
        <v>173318.72</v>
      </c>
      <c r="H22" s="320">
        <v>190194.37</v>
      </c>
      <c r="I22" s="320">
        <v>0</v>
      </c>
      <c r="J22" s="320">
        <v>0</v>
      </c>
      <c r="K22" s="320">
        <v>0</v>
      </c>
      <c r="L22" s="320">
        <v>0</v>
      </c>
      <c r="M22" s="320">
        <v>0</v>
      </c>
      <c r="N22" s="320">
        <v>0</v>
      </c>
    </row>
    <row r="23" spans="1:14" ht="22.5">
      <c r="A23" s="318" t="s">
        <v>2553</v>
      </c>
      <c r="B23" s="319">
        <f>SUM(B24:B26)</f>
        <v>23175385.540000021</v>
      </c>
      <c r="C23" s="319">
        <f t="shared" ref="C23:N23" si="7">SUM(C24:C26)</f>
        <v>600990.06999999983</v>
      </c>
      <c r="D23" s="319">
        <f t="shared" si="7"/>
        <v>312713.0500000001</v>
      </c>
      <c r="E23" s="319">
        <f t="shared" si="7"/>
        <v>1944328.8700000003</v>
      </c>
      <c r="F23" s="319">
        <f t="shared" si="7"/>
        <v>4167941.9899999979</v>
      </c>
      <c r="G23" s="319">
        <f t="shared" si="7"/>
        <v>169345.02999999997</v>
      </c>
      <c r="H23" s="319">
        <f t="shared" si="7"/>
        <v>15667063.53000002</v>
      </c>
      <c r="I23" s="319">
        <f t="shared" si="7"/>
        <v>69123.23000000001</v>
      </c>
      <c r="J23" s="319">
        <f t="shared" si="7"/>
        <v>9650.7699999999986</v>
      </c>
      <c r="K23" s="319">
        <f t="shared" si="7"/>
        <v>65206.99</v>
      </c>
      <c r="L23" s="319">
        <f t="shared" si="7"/>
        <v>167630.00999999998</v>
      </c>
      <c r="M23" s="319">
        <f t="shared" si="7"/>
        <v>0</v>
      </c>
      <c r="N23" s="319">
        <f t="shared" si="7"/>
        <v>1392</v>
      </c>
    </row>
    <row r="24" spans="1:14">
      <c r="A24" s="55" t="s">
        <v>2091</v>
      </c>
      <c r="B24" s="320">
        <v>1000</v>
      </c>
      <c r="C24" s="320">
        <v>0</v>
      </c>
      <c r="D24" s="320">
        <v>0</v>
      </c>
      <c r="E24" s="320">
        <v>0</v>
      </c>
      <c r="F24" s="320">
        <v>0</v>
      </c>
      <c r="G24" s="320">
        <v>1000</v>
      </c>
      <c r="H24" s="320">
        <v>0</v>
      </c>
      <c r="I24" s="320">
        <v>0</v>
      </c>
      <c r="J24" s="320">
        <v>0</v>
      </c>
      <c r="K24" s="320">
        <v>0</v>
      </c>
      <c r="L24" s="320">
        <v>0</v>
      </c>
      <c r="M24" s="320">
        <v>0</v>
      </c>
      <c r="N24" s="320">
        <v>0</v>
      </c>
    </row>
    <row r="25" spans="1:14">
      <c r="A25" s="55" t="s">
        <v>2092</v>
      </c>
      <c r="B25" s="320">
        <v>1344557.26</v>
      </c>
      <c r="C25" s="320">
        <v>451255.97</v>
      </c>
      <c r="D25" s="320">
        <v>0</v>
      </c>
      <c r="E25" s="320">
        <v>882621.59999999986</v>
      </c>
      <c r="F25" s="320">
        <v>0</v>
      </c>
      <c r="G25" s="320">
        <v>0</v>
      </c>
      <c r="H25" s="320">
        <v>10639.33</v>
      </c>
      <c r="I25" s="320">
        <v>0</v>
      </c>
      <c r="J25" s="320">
        <v>40.36</v>
      </c>
      <c r="K25" s="320">
        <v>0</v>
      </c>
      <c r="L25" s="320">
        <v>0</v>
      </c>
      <c r="M25" s="320">
        <v>0</v>
      </c>
      <c r="N25" s="320">
        <v>0</v>
      </c>
    </row>
    <row r="26" spans="1:14">
      <c r="A26" s="55" t="s">
        <v>1833</v>
      </c>
      <c r="B26" s="320">
        <v>21829828.28000002</v>
      </c>
      <c r="C26" s="320">
        <v>149734.09999999983</v>
      </c>
      <c r="D26" s="320">
        <v>312713.0500000001</v>
      </c>
      <c r="E26" s="320">
        <v>1061707.2700000005</v>
      </c>
      <c r="F26" s="320">
        <v>4167941.9899999979</v>
      </c>
      <c r="G26" s="320">
        <v>168345.02999999997</v>
      </c>
      <c r="H26" s="320">
        <v>15656424.20000002</v>
      </c>
      <c r="I26" s="320">
        <v>69123.23000000001</v>
      </c>
      <c r="J26" s="320">
        <v>9610.409999999998</v>
      </c>
      <c r="K26" s="320">
        <v>65206.99</v>
      </c>
      <c r="L26" s="320">
        <v>167630.00999999998</v>
      </c>
      <c r="M26" s="320">
        <v>0</v>
      </c>
      <c r="N26" s="320">
        <v>1392</v>
      </c>
    </row>
    <row r="27" spans="1:14">
      <c r="A27" s="318" t="s">
        <v>2554</v>
      </c>
      <c r="B27" s="319">
        <f>SUM(B28)</f>
        <v>45303484.890000053</v>
      </c>
      <c r="C27" s="319">
        <f t="shared" ref="C27:N27" si="8">SUM(C28)</f>
        <v>878289.59999999974</v>
      </c>
      <c r="D27" s="319">
        <f t="shared" si="8"/>
        <v>206539.9899999999</v>
      </c>
      <c r="E27" s="319">
        <f t="shared" si="8"/>
        <v>5072982.0599999987</v>
      </c>
      <c r="F27" s="319">
        <f t="shared" si="8"/>
        <v>1298215.6299999994</v>
      </c>
      <c r="G27" s="319">
        <f t="shared" si="8"/>
        <v>15832662.780000063</v>
      </c>
      <c r="H27" s="319">
        <f t="shared" si="8"/>
        <v>7694273.7999999886</v>
      </c>
      <c r="I27" s="319">
        <f t="shared" si="8"/>
        <v>2537730.35</v>
      </c>
      <c r="J27" s="319">
        <f t="shared" si="8"/>
        <v>2249730.0300000012</v>
      </c>
      <c r="K27" s="319">
        <f t="shared" si="8"/>
        <v>31403.719999999998</v>
      </c>
      <c r="L27" s="319">
        <f t="shared" si="8"/>
        <v>1686366.8800000004</v>
      </c>
      <c r="M27" s="319">
        <f t="shared" si="8"/>
        <v>7493527.0900000017</v>
      </c>
      <c r="N27" s="319">
        <f t="shared" si="8"/>
        <v>321762.95999999996</v>
      </c>
    </row>
    <row r="28" spans="1:14">
      <c r="A28" s="55" t="s">
        <v>2555</v>
      </c>
      <c r="B28" s="320">
        <v>45303484.890000053</v>
      </c>
      <c r="C28" s="320">
        <v>878289.59999999974</v>
      </c>
      <c r="D28" s="320">
        <v>206539.9899999999</v>
      </c>
      <c r="E28" s="320">
        <v>5072982.0599999987</v>
      </c>
      <c r="F28" s="320">
        <v>1298215.6299999994</v>
      </c>
      <c r="G28" s="320">
        <v>15832662.780000063</v>
      </c>
      <c r="H28" s="320">
        <v>7694273.7999999886</v>
      </c>
      <c r="I28" s="320">
        <v>2537730.35</v>
      </c>
      <c r="J28" s="320">
        <v>2249730.0300000012</v>
      </c>
      <c r="K28" s="320">
        <v>31403.719999999998</v>
      </c>
      <c r="L28" s="320">
        <v>1686366.8800000004</v>
      </c>
      <c r="M28" s="320">
        <v>7493527.0900000017</v>
      </c>
      <c r="N28" s="320">
        <v>321762.95999999996</v>
      </c>
    </row>
    <row r="30" spans="1:14">
      <c r="A30" s="374" t="s">
        <v>3377</v>
      </c>
    </row>
    <row r="31" spans="1:14">
      <c r="A31" s="330" t="s">
        <v>3373</v>
      </c>
    </row>
    <row r="32" spans="1:14">
      <c r="A32" s="321" t="s">
        <v>22</v>
      </c>
    </row>
    <row r="33" spans="1:1">
      <c r="A33" s="63" t="s">
        <v>49</v>
      </c>
    </row>
  </sheetData>
  <mergeCells count="3">
    <mergeCell ref="A4:A5"/>
    <mergeCell ref="B4:B5"/>
    <mergeCell ref="C4:N4"/>
  </mergeCells>
  <pageMargins left="0.70866141732283472" right="0.70866141732283472" top="0.74803149606299213" bottom="0.74803149606299213" header="0.31496062992125984" footer="0.31496062992125984"/>
  <pageSetup paperSize="9" scale="72" orientation="landscape" r:id="rId1"/>
</worksheet>
</file>

<file path=xl/worksheets/sheet292.xml><?xml version="1.0" encoding="utf-8"?>
<worksheet xmlns="http://schemas.openxmlformats.org/spreadsheetml/2006/main" xmlns:r="http://schemas.openxmlformats.org/officeDocument/2006/relationships">
  <sheetPr>
    <pageSetUpPr fitToPage="1"/>
  </sheetPr>
  <dimension ref="A2:O35"/>
  <sheetViews>
    <sheetView zoomScaleNormal="100" workbookViewId="0">
      <selection activeCell="A38" sqref="A38"/>
    </sheetView>
  </sheetViews>
  <sheetFormatPr baseColWidth="10" defaultRowHeight="11.25"/>
  <cols>
    <col min="1" max="1" width="22.85546875" style="61" customWidth="1"/>
    <col min="2" max="2" width="17.7109375" style="61" bestFit="1" customWidth="1"/>
    <col min="3" max="3" width="14.42578125" style="61" bestFit="1" customWidth="1"/>
    <col min="4" max="4" width="15.7109375" style="61" bestFit="1" customWidth="1"/>
    <col min="5" max="5" width="14.42578125" style="61" bestFit="1" customWidth="1"/>
    <col min="6" max="7" width="15.7109375" style="61" bestFit="1" customWidth="1"/>
    <col min="8" max="8" width="17.85546875" style="61" bestFit="1" customWidth="1"/>
    <col min="9" max="9" width="14.42578125" style="61" bestFit="1" customWidth="1"/>
    <col min="10" max="10" width="16.7109375" style="61" bestFit="1" customWidth="1"/>
    <col min="11" max="11" width="17.7109375" style="61" bestFit="1" customWidth="1"/>
    <col min="12" max="12" width="15.7109375" style="61" bestFit="1" customWidth="1"/>
    <col min="13" max="13" width="13.140625" style="61" bestFit="1" customWidth="1"/>
    <col min="14" max="14" width="11.28515625" style="61" bestFit="1" customWidth="1"/>
    <col min="15" max="15" width="15.7109375" style="61" bestFit="1" customWidth="1"/>
    <col min="16" max="16384" width="11.42578125" style="61"/>
  </cols>
  <sheetData>
    <row r="2" spans="1:15" ht="12.75">
      <c r="A2" s="1998" t="s">
        <v>4665</v>
      </c>
    </row>
    <row r="3" spans="1:15">
      <c r="A3" s="60"/>
    </row>
    <row r="4" spans="1:15" s="357" customFormat="1" ht="15.75" customHeight="1">
      <c r="A4" s="2237" t="s">
        <v>2061</v>
      </c>
      <c r="B4" s="2579" t="s">
        <v>3371</v>
      </c>
      <c r="C4" s="2604"/>
      <c r="D4" s="2604"/>
      <c r="E4" s="2604"/>
      <c r="F4" s="2604"/>
      <c r="G4" s="2604"/>
      <c r="H4" s="2604"/>
      <c r="I4" s="2604"/>
      <c r="J4" s="2604"/>
      <c r="K4" s="2604"/>
      <c r="L4" s="2604"/>
      <c r="M4" s="2604"/>
      <c r="N4" s="2604"/>
      <c r="O4" s="2605"/>
    </row>
    <row r="5" spans="1:15" s="373" customFormat="1" ht="21" customHeight="1">
      <c r="A5" s="2238"/>
      <c r="B5" s="316" t="s">
        <v>6</v>
      </c>
      <c r="C5" s="316" t="s">
        <v>1971</v>
      </c>
      <c r="D5" s="316" t="s">
        <v>2256</v>
      </c>
      <c r="E5" s="316" t="s">
        <v>2254</v>
      </c>
      <c r="F5" s="316" t="s">
        <v>2257</v>
      </c>
      <c r="G5" s="316" t="s">
        <v>2592</v>
      </c>
      <c r="H5" s="316" t="s">
        <v>2589</v>
      </c>
      <c r="I5" s="316" t="s">
        <v>2258</v>
      </c>
      <c r="J5" s="316" t="s">
        <v>2590</v>
      </c>
      <c r="K5" s="316" t="s">
        <v>2260</v>
      </c>
      <c r="L5" s="316" t="s">
        <v>2591</v>
      </c>
      <c r="M5" s="316" t="s">
        <v>159</v>
      </c>
      <c r="N5" s="316" t="s">
        <v>154</v>
      </c>
      <c r="O5" s="316" t="s">
        <v>2593</v>
      </c>
    </row>
    <row r="6" spans="1:15" s="62" customFormat="1">
      <c r="A6" s="318" t="s">
        <v>6</v>
      </c>
      <c r="B6" s="319">
        <f>+B7+B9+B11+B14+B16+B18+B21+B25+B29</f>
        <v>3254648308.3499918</v>
      </c>
      <c r="C6" s="319">
        <f t="shared" ref="C6:K6" si="0">+C7+C9+C11+C14+C16+C18+C21+C25+C29</f>
        <v>32609130.530000012</v>
      </c>
      <c r="D6" s="319">
        <f t="shared" si="0"/>
        <v>102702547.47000001</v>
      </c>
      <c r="E6" s="319">
        <f t="shared" si="0"/>
        <v>14461970.249999994</v>
      </c>
      <c r="F6" s="319">
        <f t="shared" si="0"/>
        <v>519410809.99999839</v>
      </c>
      <c r="G6" s="319">
        <f t="shared" si="0"/>
        <v>340707728.69999838</v>
      </c>
      <c r="H6" s="319">
        <f t="shared" si="0"/>
        <v>40567822.68</v>
      </c>
      <c r="I6" s="319">
        <f t="shared" si="0"/>
        <v>53551914.570000082</v>
      </c>
      <c r="J6" s="319">
        <f t="shared" si="0"/>
        <v>234019492.54000014</v>
      </c>
      <c r="K6" s="319">
        <f t="shared" si="0"/>
        <v>1483765724.2299933</v>
      </c>
      <c r="L6" s="319">
        <f>+L7+L9+L11+L14+L16+L18+L21+L25+L29</f>
        <v>288171360.29000014</v>
      </c>
      <c r="M6" s="319">
        <f>+M7+M9+M11+M14+M16+M18+M21+M25+M29</f>
        <v>5554146.1099999994</v>
      </c>
      <c r="N6" s="319">
        <f>+N7+N9+N11+N14+N16+N18+N21+N25+N29</f>
        <v>929908.6399999999</v>
      </c>
      <c r="O6" s="319">
        <f>+O7+O9+O11+O14+O16+O18+O21+O25+O29</f>
        <v>138195752.34000093</v>
      </c>
    </row>
    <row r="7" spans="1:15" s="62" customFormat="1">
      <c r="A7" s="351" t="s">
        <v>2068</v>
      </c>
      <c r="B7" s="319">
        <f>SUM(B8)</f>
        <v>10333244.810000001</v>
      </c>
      <c r="C7" s="319">
        <f t="shared" ref="C7:O7" si="1">SUM(C8)</f>
        <v>135754.77999999997</v>
      </c>
      <c r="D7" s="319">
        <f t="shared" si="1"/>
        <v>22392.699999999997</v>
      </c>
      <c r="E7" s="319">
        <f t="shared" si="1"/>
        <v>96007.449999999983</v>
      </c>
      <c r="F7" s="319">
        <f t="shared" si="1"/>
        <v>46755.57</v>
      </c>
      <c r="G7" s="319">
        <f t="shared" si="1"/>
        <v>290742.2699999999</v>
      </c>
      <c r="H7" s="319">
        <f t="shared" si="1"/>
        <v>40383.729999999996</v>
      </c>
      <c r="I7" s="319">
        <f t="shared" si="1"/>
        <v>148825.65000000002</v>
      </c>
      <c r="J7" s="319">
        <f t="shared" si="1"/>
        <v>438051.56999999995</v>
      </c>
      <c r="K7" s="319">
        <f t="shared" si="1"/>
        <v>8897447.2999999989</v>
      </c>
      <c r="L7" s="319">
        <f t="shared" si="1"/>
        <v>47415.709999999992</v>
      </c>
      <c r="M7" s="319">
        <f t="shared" si="1"/>
        <v>1423.17</v>
      </c>
      <c r="N7" s="319">
        <f t="shared" si="1"/>
        <v>32202.589999999997</v>
      </c>
      <c r="O7" s="319">
        <f t="shared" si="1"/>
        <v>135842.32</v>
      </c>
    </row>
    <row r="8" spans="1:15" s="62" customFormat="1">
      <c r="A8" s="56" t="s">
        <v>2068</v>
      </c>
      <c r="B8" s="320">
        <v>10333244.810000001</v>
      </c>
      <c r="C8" s="320">
        <v>135754.77999999997</v>
      </c>
      <c r="D8" s="320">
        <v>22392.699999999997</v>
      </c>
      <c r="E8" s="320">
        <v>96007.449999999983</v>
      </c>
      <c r="F8" s="320">
        <v>46755.57</v>
      </c>
      <c r="G8" s="320">
        <v>290742.2699999999</v>
      </c>
      <c r="H8" s="320">
        <v>40383.729999999996</v>
      </c>
      <c r="I8" s="320">
        <v>148825.65000000002</v>
      </c>
      <c r="J8" s="320">
        <v>438051.56999999995</v>
      </c>
      <c r="K8" s="320">
        <v>8897447.2999999989</v>
      </c>
      <c r="L8" s="320">
        <v>47415.709999999992</v>
      </c>
      <c r="M8" s="320">
        <v>1423.17</v>
      </c>
      <c r="N8" s="320">
        <v>32202.589999999997</v>
      </c>
      <c r="O8" s="320">
        <v>135842.32</v>
      </c>
    </row>
    <row r="9" spans="1:15" s="62" customFormat="1">
      <c r="A9" s="351" t="s">
        <v>2072</v>
      </c>
      <c r="B9" s="319">
        <f>SUM(B10)</f>
        <v>137107869.47999951</v>
      </c>
      <c r="C9" s="319">
        <f t="shared" ref="C9:O9" si="2">SUM(C10)</f>
        <v>7025777.8400000008</v>
      </c>
      <c r="D9" s="319">
        <f t="shared" si="2"/>
        <v>1767339.0999999999</v>
      </c>
      <c r="E9" s="319">
        <f t="shared" si="2"/>
        <v>4563021.629999998</v>
      </c>
      <c r="F9" s="319">
        <f t="shared" si="2"/>
        <v>2656003.9600000009</v>
      </c>
      <c r="G9" s="319">
        <f t="shared" si="2"/>
        <v>6997432.0599999921</v>
      </c>
      <c r="H9" s="319">
        <f t="shared" si="2"/>
        <v>5630333.6399999997</v>
      </c>
      <c r="I9" s="319">
        <f t="shared" si="2"/>
        <v>7333274.680000023</v>
      </c>
      <c r="J9" s="319">
        <f t="shared" si="2"/>
        <v>19096828.679999981</v>
      </c>
      <c r="K9" s="319">
        <f t="shared" si="2"/>
        <v>56479678.219999604</v>
      </c>
      <c r="L9" s="319">
        <f t="shared" si="2"/>
        <v>22135936.289999921</v>
      </c>
      <c r="M9" s="319">
        <f t="shared" si="2"/>
        <v>389754.75</v>
      </c>
      <c r="N9" s="319">
        <f t="shared" si="2"/>
        <v>219575.43999999997</v>
      </c>
      <c r="O9" s="319">
        <f t="shared" si="2"/>
        <v>2812913.1900000004</v>
      </c>
    </row>
    <row r="10" spans="1:15" s="62" customFormat="1">
      <c r="A10" s="56" t="s">
        <v>2072</v>
      </c>
      <c r="B10" s="320">
        <v>137107869.47999951</v>
      </c>
      <c r="C10" s="320">
        <v>7025777.8400000008</v>
      </c>
      <c r="D10" s="320">
        <v>1767339.0999999999</v>
      </c>
      <c r="E10" s="320">
        <v>4563021.629999998</v>
      </c>
      <c r="F10" s="320">
        <v>2656003.9600000009</v>
      </c>
      <c r="G10" s="320">
        <v>6997432.0599999921</v>
      </c>
      <c r="H10" s="320">
        <v>5630333.6399999997</v>
      </c>
      <c r="I10" s="320">
        <v>7333274.680000023</v>
      </c>
      <c r="J10" s="320">
        <v>19096828.679999981</v>
      </c>
      <c r="K10" s="320">
        <v>56479678.219999604</v>
      </c>
      <c r="L10" s="320">
        <v>22135936.289999921</v>
      </c>
      <c r="M10" s="320">
        <v>389754.75</v>
      </c>
      <c r="N10" s="320">
        <v>219575.43999999997</v>
      </c>
      <c r="O10" s="320">
        <v>2812913.1900000004</v>
      </c>
    </row>
    <row r="11" spans="1:15" s="62" customFormat="1">
      <c r="A11" s="351" t="s">
        <v>2575</v>
      </c>
      <c r="B11" s="319">
        <f>SUM(B12:B13)</f>
        <v>160609218.33999994</v>
      </c>
      <c r="C11" s="319">
        <f t="shared" ref="C11:O11" si="3">SUM(C12:C13)</f>
        <v>713398.02000000014</v>
      </c>
      <c r="D11" s="319">
        <f t="shared" si="3"/>
        <v>5340122.03</v>
      </c>
      <c r="E11" s="319">
        <f t="shared" si="3"/>
        <v>556961.38</v>
      </c>
      <c r="F11" s="319">
        <f t="shared" si="3"/>
        <v>610707.96</v>
      </c>
      <c r="G11" s="319">
        <f t="shared" si="3"/>
        <v>18739392.910000026</v>
      </c>
      <c r="H11" s="319">
        <f t="shared" si="3"/>
        <v>1852375.9699999997</v>
      </c>
      <c r="I11" s="319">
        <f t="shared" si="3"/>
        <v>1587755.5099999995</v>
      </c>
      <c r="J11" s="319">
        <f t="shared" si="3"/>
        <v>17888750.209999986</v>
      </c>
      <c r="K11" s="319">
        <f t="shared" si="3"/>
        <v>67977109.989999905</v>
      </c>
      <c r="L11" s="319">
        <f t="shared" si="3"/>
        <v>34751089.030000024</v>
      </c>
      <c r="M11" s="319">
        <f t="shared" si="3"/>
        <v>133049.85</v>
      </c>
      <c r="N11" s="319">
        <f t="shared" si="3"/>
        <v>71819.27</v>
      </c>
      <c r="O11" s="319">
        <f t="shared" si="3"/>
        <v>10386686.209999995</v>
      </c>
    </row>
    <row r="12" spans="1:15" s="62" customFormat="1">
      <c r="A12" s="56" t="s">
        <v>2056</v>
      </c>
      <c r="B12" s="320">
        <v>25393836.230000008</v>
      </c>
      <c r="C12" s="320">
        <v>616397.71000000008</v>
      </c>
      <c r="D12" s="320">
        <v>3543183.97</v>
      </c>
      <c r="E12" s="320">
        <v>507555.80000000005</v>
      </c>
      <c r="F12" s="320">
        <v>456619.30000000005</v>
      </c>
      <c r="G12" s="320">
        <v>1031628.9600000002</v>
      </c>
      <c r="H12" s="320">
        <v>85395.750000000015</v>
      </c>
      <c r="I12" s="320">
        <v>837427.20999999973</v>
      </c>
      <c r="J12" s="320">
        <v>3330799.2700000014</v>
      </c>
      <c r="K12" s="320">
        <v>13971527.680000003</v>
      </c>
      <c r="L12" s="320">
        <v>630260.11</v>
      </c>
      <c r="M12" s="320">
        <v>16523.89</v>
      </c>
      <c r="N12" s="320">
        <v>8507.64</v>
      </c>
      <c r="O12" s="320">
        <v>358008.94000000012</v>
      </c>
    </row>
    <row r="13" spans="1:15" s="62" customFormat="1">
      <c r="A13" s="56" t="s">
        <v>2075</v>
      </c>
      <c r="B13" s="320">
        <v>135215382.10999992</v>
      </c>
      <c r="C13" s="320">
        <v>97000.310000000027</v>
      </c>
      <c r="D13" s="320">
        <v>1796938.06</v>
      </c>
      <c r="E13" s="320">
        <v>49405.579999999994</v>
      </c>
      <c r="F13" s="320">
        <v>154088.65999999997</v>
      </c>
      <c r="G13" s="320">
        <v>17707763.950000025</v>
      </c>
      <c r="H13" s="320">
        <v>1766980.2199999997</v>
      </c>
      <c r="I13" s="320">
        <v>750328.29999999981</v>
      </c>
      <c r="J13" s="320">
        <v>14557950.939999983</v>
      </c>
      <c r="K13" s="320">
        <v>54005582.309999898</v>
      </c>
      <c r="L13" s="320">
        <v>34120828.920000024</v>
      </c>
      <c r="M13" s="320">
        <v>116525.96</v>
      </c>
      <c r="N13" s="320">
        <v>63311.630000000005</v>
      </c>
      <c r="O13" s="320">
        <v>10028677.269999996</v>
      </c>
    </row>
    <row r="14" spans="1:15" s="62" customFormat="1">
      <c r="A14" s="351" t="s">
        <v>2076</v>
      </c>
      <c r="B14" s="319">
        <f>SUM(B15)</f>
        <v>143181.29</v>
      </c>
      <c r="C14" s="319">
        <f t="shared" ref="C14:O14" si="4">SUM(C15)</f>
        <v>0</v>
      </c>
      <c r="D14" s="319">
        <f t="shared" si="4"/>
        <v>0</v>
      </c>
      <c r="E14" s="319">
        <f t="shared" si="4"/>
        <v>3134.35</v>
      </c>
      <c r="F14" s="319">
        <f t="shared" si="4"/>
        <v>139520.63</v>
      </c>
      <c r="G14" s="319">
        <f t="shared" si="4"/>
        <v>526.30999999999995</v>
      </c>
      <c r="H14" s="319">
        <f t="shared" si="4"/>
        <v>0</v>
      </c>
      <c r="I14" s="319">
        <f t="shared" si="4"/>
        <v>0</v>
      </c>
      <c r="J14" s="319">
        <f t="shared" si="4"/>
        <v>0</v>
      </c>
      <c r="K14" s="319">
        <f t="shared" si="4"/>
        <v>0</v>
      </c>
      <c r="L14" s="319">
        <f t="shared" si="4"/>
        <v>0</v>
      </c>
      <c r="M14" s="319">
        <f t="shared" si="4"/>
        <v>0</v>
      </c>
      <c r="N14" s="319">
        <f t="shared" si="4"/>
        <v>0</v>
      </c>
      <c r="O14" s="319">
        <f t="shared" si="4"/>
        <v>0</v>
      </c>
    </row>
    <row r="15" spans="1:15" s="62" customFormat="1">
      <c r="A15" s="56" t="s">
        <v>1120</v>
      </c>
      <c r="B15" s="320">
        <v>143181.29</v>
      </c>
      <c r="C15" s="320">
        <v>0</v>
      </c>
      <c r="D15" s="320">
        <v>0</v>
      </c>
      <c r="E15" s="320">
        <v>3134.35</v>
      </c>
      <c r="F15" s="320">
        <v>139520.63</v>
      </c>
      <c r="G15" s="320">
        <v>526.30999999999995</v>
      </c>
      <c r="H15" s="320">
        <v>0</v>
      </c>
      <c r="I15" s="320">
        <v>0</v>
      </c>
      <c r="J15" s="320">
        <v>0</v>
      </c>
      <c r="K15" s="320">
        <v>0</v>
      </c>
      <c r="L15" s="320">
        <v>0</v>
      </c>
      <c r="M15" s="320">
        <v>0</v>
      </c>
      <c r="N15" s="320">
        <v>0</v>
      </c>
      <c r="O15" s="320">
        <v>0</v>
      </c>
    </row>
    <row r="16" spans="1:15" s="62" customFormat="1">
      <c r="A16" s="351" t="s">
        <v>2546</v>
      </c>
      <c r="B16" s="319">
        <f>SUM(B17)</f>
        <v>130990063.03999987</v>
      </c>
      <c r="C16" s="319">
        <f t="shared" ref="C16:O16" si="5">SUM(C17)</f>
        <v>1192936.18</v>
      </c>
      <c r="D16" s="319">
        <f t="shared" si="5"/>
        <v>307162.07000000012</v>
      </c>
      <c r="E16" s="319">
        <f t="shared" si="5"/>
        <v>159031.25000000003</v>
      </c>
      <c r="F16" s="319">
        <f t="shared" si="5"/>
        <v>2167958.9800000004</v>
      </c>
      <c r="G16" s="319">
        <f t="shared" si="5"/>
        <v>13962589.840000032</v>
      </c>
      <c r="H16" s="319">
        <f t="shared" si="5"/>
        <v>1047994.7599999999</v>
      </c>
      <c r="I16" s="319">
        <f t="shared" si="5"/>
        <v>1056888.1200000008</v>
      </c>
      <c r="J16" s="319">
        <f t="shared" si="5"/>
        <v>8844632.960000027</v>
      </c>
      <c r="K16" s="319">
        <f t="shared" si="5"/>
        <v>88988946.989999816</v>
      </c>
      <c r="L16" s="319">
        <f t="shared" si="5"/>
        <v>9112579.3099999875</v>
      </c>
      <c r="M16" s="319">
        <f t="shared" si="5"/>
        <v>358035.76000000007</v>
      </c>
      <c r="N16" s="319">
        <f t="shared" si="5"/>
        <v>19395.949999999997</v>
      </c>
      <c r="O16" s="319">
        <f t="shared" si="5"/>
        <v>3771910.8699999969</v>
      </c>
    </row>
    <row r="17" spans="1:15" s="62" customFormat="1">
      <c r="A17" s="56" t="s">
        <v>1830</v>
      </c>
      <c r="B17" s="320">
        <v>130990063.03999987</v>
      </c>
      <c r="C17" s="320">
        <v>1192936.18</v>
      </c>
      <c r="D17" s="320">
        <v>307162.07000000012</v>
      </c>
      <c r="E17" s="320">
        <v>159031.25000000003</v>
      </c>
      <c r="F17" s="320">
        <v>2167958.9800000004</v>
      </c>
      <c r="G17" s="320">
        <v>13962589.840000032</v>
      </c>
      <c r="H17" s="320">
        <v>1047994.7599999999</v>
      </c>
      <c r="I17" s="320">
        <v>1056888.1200000008</v>
      </c>
      <c r="J17" s="320">
        <v>8844632.960000027</v>
      </c>
      <c r="K17" s="320">
        <v>88988946.989999816</v>
      </c>
      <c r="L17" s="320">
        <v>9112579.3099999875</v>
      </c>
      <c r="M17" s="320">
        <v>358035.76000000007</v>
      </c>
      <c r="N17" s="320">
        <v>19395.949999999997</v>
      </c>
      <c r="O17" s="320">
        <v>3771910.8699999969</v>
      </c>
    </row>
    <row r="18" spans="1:15" s="62" customFormat="1" ht="22.5">
      <c r="A18" s="351" t="s">
        <v>2576</v>
      </c>
      <c r="B18" s="319">
        <f>SUM(B19:B20)</f>
        <v>395548419.02000034</v>
      </c>
      <c r="C18" s="319">
        <f t="shared" ref="C18:O18" si="6">SUM(C19:C20)</f>
        <v>19487572.260000013</v>
      </c>
      <c r="D18" s="319">
        <f t="shared" si="6"/>
        <v>86332060.51000002</v>
      </c>
      <c r="E18" s="319">
        <f t="shared" si="6"/>
        <v>2464385.63</v>
      </c>
      <c r="F18" s="319">
        <f t="shared" si="6"/>
        <v>4267448.0299999975</v>
      </c>
      <c r="G18" s="319">
        <f t="shared" si="6"/>
        <v>41764542.64000009</v>
      </c>
      <c r="H18" s="319">
        <f t="shared" si="6"/>
        <v>14364858.749999996</v>
      </c>
      <c r="I18" s="319">
        <f t="shared" si="6"/>
        <v>37710937.660000063</v>
      </c>
      <c r="J18" s="319">
        <f t="shared" si="6"/>
        <v>125573213.88000014</v>
      </c>
      <c r="K18" s="319">
        <f t="shared" si="6"/>
        <v>30991882.37999998</v>
      </c>
      <c r="L18" s="319">
        <f t="shared" si="6"/>
        <v>22380384.219999991</v>
      </c>
      <c r="M18" s="319">
        <f t="shared" si="6"/>
        <v>2774314.7299999991</v>
      </c>
      <c r="N18" s="319">
        <f t="shared" si="6"/>
        <v>232958.56</v>
      </c>
      <c r="O18" s="319">
        <f t="shared" si="6"/>
        <v>7203859.7700000014</v>
      </c>
    </row>
    <row r="19" spans="1:15" s="62" customFormat="1">
      <c r="A19" s="56" t="s">
        <v>2586</v>
      </c>
      <c r="B19" s="320">
        <v>8664072.4600000009</v>
      </c>
      <c r="C19" s="320">
        <v>641096.80999999994</v>
      </c>
      <c r="D19" s="320">
        <v>3163.8100000000004</v>
      </c>
      <c r="E19" s="320">
        <v>517827.95000000007</v>
      </c>
      <c r="F19" s="320">
        <v>262645.83</v>
      </c>
      <c r="G19" s="320">
        <v>2463356.3100000015</v>
      </c>
      <c r="H19" s="320">
        <v>4199190.0999999996</v>
      </c>
      <c r="I19" s="320">
        <v>213716.65000000011</v>
      </c>
      <c r="J19" s="320">
        <v>351640.57000000007</v>
      </c>
      <c r="K19" s="320">
        <v>5328.1399999999994</v>
      </c>
      <c r="L19" s="320">
        <v>2485.8200000000006</v>
      </c>
      <c r="M19" s="320">
        <v>1723.05</v>
      </c>
      <c r="N19" s="320">
        <v>1790.8700000000001</v>
      </c>
      <c r="O19" s="320">
        <v>106.55</v>
      </c>
    </row>
    <row r="20" spans="1:15" s="62" customFormat="1">
      <c r="A20" s="56" t="s">
        <v>2083</v>
      </c>
      <c r="B20" s="320">
        <v>386884346.56000036</v>
      </c>
      <c r="C20" s="320">
        <v>18846475.450000014</v>
      </c>
      <c r="D20" s="320">
        <v>86328896.700000018</v>
      </c>
      <c r="E20" s="320">
        <v>1946557.6799999997</v>
      </c>
      <c r="F20" s="320">
        <v>4004802.1999999974</v>
      </c>
      <c r="G20" s="320">
        <v>39301186.330000088</v>
      </c>
      <c r="H20" s="320">
        <v>10165668.649999997</v>
      </c>
      <c r="I20" s="320">
        <v>37497221.010000065</v>
      </c>
      <c r="J20" s="320">
        <v>125221573.31000015</v>
      </c>
      <c r="K20" s="320">
        <v>30986554.23999998</v>
      </c>
      <c r="L20" s="320">
        <v>22377898.399999991</v>
      </c>
      <c r="M20" s="320">
        <v>2772591.6799999992</v>
      </c>
      <c r="N20" s="320">
        <v>231167.69</v>
      </c>
      <c r="O20" s="320">
        <v>7203753.2200000016</v>
      </c>
    </row>
    <row r="21" spans="1:15" s="62" customFormat="1" ht="22.5">
      <c r="A21" s="351" t="s">
        <v>2551</v>
      </c>
      <c r="B21" s="319">
        <f>SUM(B22:B24)</f>
        <v>911321599.28999829</v>
      </c>
      <c r="C21" s="319">
        <f t="shared" ref="C21:I21" si="7">SUM(C22:C24)</f>
        <v>666750.0299999998</v>
      </c>
      <c r="D21" s="319">
        <f t="shared" si="7"/>
        <v>356154.54999999993</v>
      </c>
      <c r="E21" s="319">
        <f t="shared" si="7"/>
        <v>107790.76</v>
      </c>
      <c r="F21" s="319">
        <f t="shared" si="7"/>
        <v>396258675.96999884</v>
      </c>
      <c r="G21" s="319">
        <f t="shared" si="7"/>
        <v>22655706.63000001</v>
      </c>
      <c r="H21" s="319">
        <f t="shared" si="7"/>
        <v>5935980.3799999971</v>
      </c>
      <c r="I21" s="319">
        <f t="shared" si="7"/>
        <v>1903051.3000000003</v>
      </c>
      <c r="J21" s="319">
        <f t="shared" ref="J21:O21" si="8">SUM(J22:J24)</f>
        <v>16047862.190000016</v>
      </c>
      <c r="K21" s="319">
        <f t="shared" si="8"/>
        <v>375107687.27999932</v>
      </c>
      <c r="L21" s="319">
        <f t="shared" si="8"/>
        <v>75621887.049999967</v>
      </c>
      <c r="M21" s="319">
        <f t="shared" si="8"/>
        <v>463932.51000000007</v>
      </c>
      <c r="N21" s="319">
        <f t="shared" si="8"/>
        <v>44212.88</v>
      </c>
      <c r="O21" s="319">
        <f t="shared" si="8"/>
        <v>16151907.759999994</v>
      </c>
    </row>
    <row r="22" spans="1:15" s="62" customFormat="1">
      <c r="A22" s="56" t="s">
        <v>2086</v>
      </c>
      <c r="B22" s="320">
        <v>62896274.100000016</v>
      </c>
      <c r="C22" s="320">
        <v>456237.3299999999</v>
      </c>
      <c r="D22" s="320">
        <v>26168.65</v>
      </c>
      <c r="E22" s="320">
        <v>75143.01999999999</v>
      </c>
      <c r="F22" s="320">
        <v>973484.06000000029</v>
      </c>
      <c r="G22" s="320">
        <v>7755321.6800000062</v>
      </c>
      <c r="H22" s="320">
        <v>527608.71000000008</v>
      </c>
      <c r="I22" s="320">
        <v>1460272.2200000002</v>
      </c>
      <c r="J22" s="320">
        <v>2494805.8799999985</v>
      </c>
      <c r="K22" s="320">
        <v>33636385.720000029</v>
      </c>
      <c r="L22" s="320">
        <v>13320016.119999984</v>
      </c>
      <c r="M22" s="320">
        <v>70309.070000000007</v>
      </c>
      <c r="N22" s="320">
        <v>7736.3499999999995</v>
      </c>
      <c r="O22" s="320">
        <v>2092785.2899999998</v>
      </c>
    </row>
    <row r="23" spans="1:15" s="62" customFormat="1">
      <c r="A23" s="56" t="s">
        <v>2587</v>
      </c>
      <c r="B23" s="320">
        <v>766042663.66999841</v>
      </c>
      <c r="C23" s="320">
        <v>210512.69999999995</v>
      </c>
      <c r="D23" s="320">
        <v>329985.89999999991</v>
      </c>
      <c r="E23" s="320">
        <v>32647.740000000005</v>
      </c>
      <c r="F23" s="320">
        <v>395274493.97999883</v>
      </c>
      <c r="G23" s="320">
        <v>12895605.210000005</v>
      </c>
      <c r="H23" s="320">
        <v>5399770.9099999974</v>
      </c>
      <c r="I23" s="320">
        <v>441406.53000000009</v>
      </c>
      <c r="J23" s="320">
        <v>13532541.190000018</v>
      </c>
      <c r="K23" s="320">
        <v>262329445.02999938</v>
      </c>
      <c r="L23" s="320">
        <v>61975041.079999983</v>
      </c>
      <c r="M23" s="320">
        <v>393623.44000000006</v>
      </c>
      <c r="N23" s="320">
        <v>29461.53</v>
      </c>
      <c r="O23" s="320">
        <v>13198128.429999996</v>
      </c>
    </row>
    <row r="24" spans="1:15" s="62" customFormat="1">
      <c r="A24" s="56" t="s">
        <v>2585</v>
      </c>
      <c r="B24" s="320">
        <v>82382661.519999921</v>
      </c>
      <c r="C24" s="320">
        <v>0</v>
      </c>
      <c r="D24" s="320">
        <v>0</v>
      </c>
      <c r="E24" s="320">
        <v>0</v>
      </c>
      <c r="F24" s="320">
        <v>10697.930000000002</v>
      </c>
      <c r="G24" s="320">
        <v>2004779.7399999979</v>
      </c>
      <c r="H24" s="320">
        <v>8600.76</v>
      </c>
      <c r="I24" s="320">
        <v>1372.55</v>
      </c>
      <c r="J24" s="320">
        <v>20515.120000000003</v>
      </c>
      <c r="K24" s="320">
        <v>79141856.529999912</v>
      </c>
      <c r="L24" s="320">
        <v>326829.84999999992</v>
      </c>
      <c r="M24" s="320">
        <v>0</v>
      </c>
      <c r="N24" s="320">
        <v>7015</v>
      </c>
      <c r="O24" s="320">
        <v>860994.04</v>
      </c>
    </row>
    <row r="25" spans="1:15" s="62" customFormat="1" ht="22.5">
      <c r="A25" s="351" t="s">
        <v>2553</v>
      </c>
      <c r="B25" s="319">
        <f>SUM(B26:B28)</f>
        <v>26057246.699999996</v>
      </c>
      <c r="C25" s="319">
        <f t="shared" ref="C25:O25" si="9">SUM(C26:C28)</f>
        <v>2206093.5999999992</v>
      </c>
      <c r="D25" s="319">
        <f t="shared" si="9"/>
        <v>379033.25000000006</v>
      </c>
      <c r="E25" s="319">
        <f t="shared" si="9"/>
        <v>6294234.5599999968</v>
      </c>
      <c r="F25" s="319">
        <f t="shared" si="9"/>
        <v>189026.46000000008</v>
      </c>
      <c r="G25" s="319">
        <f t="shared" si="9"/>
        <v>4832846.9700000007</v>
      </c>
      <c r="H25" s="319">
        <f t="shared" si="9"/>
        <v>1313538.3300000005</v>
      </c>
      <c r="I25" s="319">
        <f t="shared" si="9"/>
        <v>1219414.6000000001</v>
      </c>
      <c r="J25" s="319">
        <f t="shared" si="9"/>
        <v>4288460.8000000017</v>
      </c>
      <c r="K25" s="319">
        <f t="shared" si="9"/>
        <v>3339187.7199999965</v>
      </c>
      <c r="L25" s="319">
        <f t="shared" si="9"/>
        <v>1640949.0499999998</v>
      </c>
      <c r="M25" s="319">
        <f t="shared" si="9"/>
        <v>7490.9</v>
      </c>
      <c r="N25" s="319">
        <f t="shared" si="9"/>
        <v>1833.94</v>
      </c>
      <c r="O25" s="319">
        <f t="shared" si="9"/>
        <v>345136.51999999996</v>
      </c>
    </row>
    <row r="26" spans="1:15" s="62" customFormat="1">
      <c r="A26" s="56" t="s">
        <v>2091</v>
      </c>
      <c r="B26" s="320">
        <v>66539.39</v>
      </c>
      <c r="C26" s="320">
        <v>0</v>
      </c>
      <c r="D26" s="320">
        <v>0</v>
      </c>
      <c r="E26" s="320">
        <v>102.79</v>
      </c>
      <c r="F26" s="320">
        <v>0</v>
      </c>
      <c r="G26" s="320">
        <v>18471.78</v>
      </c>
      <c r="H26" s="320">
        <v>0</v>
      </c>
      <c r="I26" s="320">
        <v>0</v>
      </c>
      <c r="J26" s="320">
        <v>4266.3500000000004</v>
      </c>
      <c r="K26" s="320">
        <v>287</v>
      </c>
      <c r="L26" s="320">
        <v>39110.43</v>
      </c>
      <c r="M26" s="320">
        <v>0</v>
      </c>
      <c r="N26" s="320">
        <v>0</v>
      </c>
      <c r="O26" s="320">
        <v>4301.04</v>
      </c>
    </row>
    <row r="27" spans="1:15" s="62" customFormat="1">
      <c r="A27" s="56" t="s">
        <v>2092</v>
      </c>
      <c r="B27" s="320">
        <v>2493304.8200000003</v>
      </c>
      <c r="C27" s="320">
        <v>292018.38</v>
      </c>
      <c r="D27" s="320">
        <v>0</v>
      </c>
      <c r="E27" s="320">
        <v>37.409999999999997</v>
      </c>
      <c r="F27" s="320">
        <v>0</v>
      </c>
      <c r="G27" s="320">
        <v>458176.76999999996</v>
      </c>
      <c r="H27" s="320">
        <v>13901.11</v>
      </c>
      <c r="I27" s="320">
        <v>204254.47</v>
      </c>
      <c r="J27" s="320">
        <v>1233247.3100000003</v>
      </c>
      <c r="K27" s="320">
        <v>133979.29999999996</v>
      </c>
      <c r="L27" s="320">
        <v>146694.11000000002</v>
      </c>
      <c r="M27" s="320">
        <v>0</v>
      </c>
      <c r="N27" s="320">
        <v>0</v>
      </c>
      <c r="O27" s="320">
        <v>10995.96</v>
      </c>
    </row>
    <row r="28" spans="1:15" s="62" customFormat="1">
      <c r="A28" s="56" t="s">
        <v>1833</v>
      </c>
      <c r="B28" s="320">
        <v>23497402.489999995</v>
      </c>
      <c r="C28" s="320">
        <v>1914075.2199999993</v>
      </c>
      <c r="D28" s="320">
        <v>379033.25000000006</v>
      </c>
      <c r="E28" s="320">
        <v>6294094.3599999966</v>
      </c>
      <c r="F28" s="320">
        <v>189026.46000000008</v>
      </c>
      <c r="G28" s="320">
        <v>4356198.4200000009</v>
      </c>
      <c r="H28" s="320">
        <v>1299637.2200000004</v>
      </c>
      <c r="I28" s="320">
        <v>1015160.1300000001</v>
      </c>
      <c r="J28" s="320">
        <v>3050947.1400000011</v>
      </c>
      <c r="K28" s="320">
        <v>3204921.4199999967</v>
      </c>
      <c r="L28" s="320">
        <v>1455144.5099999998</v>
      </c>
      <c r="M28" s="320">
        <v>7490.9</v>
      </c>
      <c r="N28" s="320">
        <v>1833.94</v>
      </c>
      <c r="O28" s="320">
        <v>329839.51999999996</v>
      </c>
    </row>
    <row r="29" spans="1:15" s="62" customFormat="1" ht="22.5">
      <c r="A29" s="351" t="s">
        <v>2554</v>
      </c>
      <c r="B29" s="319">
        <f>SUM(B30)</f>
        <v>1482537466.3799939</v>
      </c>
      <c r="C29" s="319">
        <f t="shared" ref="C29:O29" si="10">SUM(C30)</f>
        <v>1180847.82</v>
      </c>
      <c r="D29" s="319">
        <f t="shared" si="10"/>
        <v>8198283.2599999951</v>
      </c>
      <c r="E29" s="319">
        <f t="shared" si="10"/>
        <v>217403.24000000005</v>
      </c>
      <c r="F29" s="319">
        <f t="shared" si="10"/>
        <v>113074712.43999958</v>
      </c>
      <c r="G29" s="319">
        <f t="shared" si="10"/>
        <v>231463949.06999826</v>
      </c>
      <c r="H29" s="319">
        <f t="shared" si="10"/>
        <v>10382357.120000008</v>
      </c>
      <c r="I29" s="319">
        <f t="shared" si="10"/>
        <v>2591767.0500000003</v>
      </c>
      <c r="J29" s="319">
        <f t="shared" si="10"/>
        <v>41841692.249999955</v>
      </c>
      <c r="K29" s="319">
        <f t="shared" si="10"/>
        <v>851983784.34999478</v>
      </c>
      <c r="L29" s="319">
        <f t="shared" si="10"/>
        <v>122481119.63000022</v>
      </c>
      <c r="M29" s="319">
        <f t="shared" si="10"/>
        <v>1426144.4400000009</v>
      </c>
      <c r="N29" s="319">
        <f t="shared" si="10"/>
        <v>307910.00999999995</v>
      </c>
      <c r="O29" s="319">
        <f t="shared" si="10"/>
        <v>97387495.700000942</v>
      </c>
    </row>
    <row r="30" spans="1:15" s="62" customFormat="1">
      <c r="A30" s="56" t="s">
        <v>2555</v>
      </c>
      <c r="B30" s="320">
        <v>1482537466.3799939</v>
      </c>
      <c r="C30" s="320">
        <v>1180847.82</v>
      </c>
      <c r="D30" s="320">
        <v>8198283.2599999951</v>
      </c>
      <c r="E30" s="320">
        <v>217403.24000000005</v>
      </c>
      <c r="F30" s="320">
        <v>113074712.43999958</v>
      </c>
      <c r="G30" s="320">
        <v>231463949.06999826</v>
      </c>
      <c r="H30" s="320">
        <v>10382357.120000008</v>
      </c>
      <c r="I30" s="320">
        <v>2591767.0500000003</v>
      </c>
      <c r="J30" s="320">
        <v>41841692.249999955</v>
      </c>
      <c r="K30" s="320">
        <v>851983784.34999478</v>
      </c>
      <c r="L30" s="320">
        <v>122481119.63000022</v>
      </c>
      <c r="M30" s="320">
        <v>1426144.4400000009</v>
      </c>
      <c r="N30" s="320">
        <v>307910.00999999995</v>
      </c>
      <c r="O30" s="320">
        <v>97387495.700000942</v>
      </c>
    </row>
    <row r="32" spans="1:15" s="62" customFormat="1">
      <c r="A32" s="374" t="s">
        <v>3377</v>
      </c>
    </row>
    <row r="33" spans="1:8" s="62" customFormat="1">
      <c r="A33" s="330" t="s">
        <v>3373</v>
      </c>
    </row>
    <row r="34" spans="1:8">
      <c r="A34" s="2606" t="s">
        <v>22</v>
      </c>
      <c r="B34" s="2606"/>
      <c r="C34" s="2606"/>
      <c r="D34" s="2606"/>
      <c r="E34" s="2606"/>
      <c r="F34" s="2606"/>
      <c r="G34" s="2606"/>
      <c r="H34" s="2606"/>
    </row>
    <row r="35" spans="1:8">
      <c r="A35" s="375" t="s">
        <v>49</v>
      </c>
    </row>
  </sheetData>
  <mergeCells count="3">
    <mergeCell ref="A4:A5"/>
    <mergeCell ref="B4:O4"/>
    <mergeCell ref="A34:H34"/>
  </mergeCells>
  <pageMargins left="0.70866141732283472" right="0.70866141732283472" top="0.74803149606299213" bottom="0.74803149606299213" header="0.31496062992125984" footer="0.31496062992125984"/>
  <pageSetup paperSize="9" scale="76" orientation="landscape" r:id="rId1"/>
</worksheet>
</file>

<file path=xl/worksheets/sheet293.xml><?xml version="1.0" encoding="utf-8"?>
<worksheet xmlns="http://schemas.openxmlformats.org/spreadsheetml/2006/main" xmlns:r="http://schemas.openxmlformats.org/officeDocument/2006/relationships">
  <sheetPr>
    <pageSetUpPr fitToPage="1"/>
  </sheetPr>
  <dimension ref="A1:C82"/>
  <sheetViews>
    <sheetView zoomScaleNormal="100" workbookViewId="0">
      <selection activeCell="A79" sqref="A79"/>
    </sheetView>
  </sheetViews>
  <sheetFormatPr baseColWidth="10" defaultRowHeight="11.25"/>
  <cols>
    <col min="1" max="1" width="54" style="2" customWidth="1"/>
    <col min="2" max="2" width="31.5703125" style="372" customWidth="1"/>
    <col min="3" max="3" width="33.7109375" style="372" customWidth="1"/>
    <col min="4" max="16384" width="11.42578125" style="2"/>
  </cols>
  <sheetData>
    <row r="1" spans="1:3">
      <c r="A1" s="59"/>
      <c r="B1" s="360"/>
      <c r="C1" s="360"/>
    </row>
    <row r="2" spans="1:3" ht="36" customHeight="1">
      <c r="A2" s="2595" t="s">
        <v>3249</v>
      </c>
      <c r="B2" s="2595"/>
      <c r="C2" s="2595"/>
    </row>
    <row r="3" spans="1:3">
      <c r="A3" s="361"/>
      <c r="B3" s="362"/>
      <c r="C3" s="362"/>
    </row>
    <row r="4" spans="1:3" ht="22.5">
      <c r="A4" s="363" t="s">
        <v>2594</v>
      </c>
      <c r="B4" s="364" t="s">
        <v>2595</v>
      </c>
      <c r="C4" s="364" t="s">
        <v>2596</v>
      </c>
    </row>
    <row r="5" spans="1:3">
      <c r="A5" s="365" t="s">
        <v>6</v>
      </c>
      <c r="B5" s="366">
        <f>+B6+B24+B40+B46+B56+B61+B66</f>
        <v>1101744390.7200015</v>
      </c>
      <c r="C5" s="366">
        <f>+C6+C24+C40+C46+C56+C61+C66</f>
        <v>129263399.40999997</v>
      </c>
    </row>
    <row r="6" spans="1:3">
      <c r="A6" s="365" t="s">
        <v>2072</v>
      </c>
      <c r="B6" s="366">
        <f>SUM(B7)</f>
        <v>22640249.009999998</v>
      </c>
      <c r="C6" s="366">
        <f>SUM(C7)</f>
        <v>57514572.259999968</v>
      </c>
    </row>
    <row r="7" spans="1:3">
      <c r="A7" s="365" t="s">
        <v>2072</v>
      </c>
      <c r="B7" s="366">
        <f>SUM(B8:B23)</f>
        <v>22640249.009999998</v>
      </c>
      <c r="C7" s="366">
        <f>SUM(C8:C23)</f>
        <v>57514572.259999968</v>
      </c>
    </row>
    <row r="8" spans="1:3">
      <c r="A8" s="367" t="s">
        <v>2597</v>
      </c>
      <c r="B8" s="368">
        <v>3882264.0299999993</v>
      </c>
      <c r="C8" s="368">
        <v>0</v>
      </c>
    </row>
    <row r="9" spans="1:3">
      <c r="A9" s="367" t="s">
        <v>2598</v>
      </c>
      <c r="B9" s="368">
        <v>7564321.96</v>
      </c>
      <c r="C9" s="368">
        <v>16406841.259999998</v>
      </c>
    </row>
    <row r="10" spans="1:3">
      <c r="A10" s="367" t="s">
        <v>2599</v>
      </c>
      <c r="B10" s="368">
        <v>3738.2299999999996</v>
      </c>
      <c r="C10" s="368">
        <v>35816584.139999971</v>
      </c>
    </row>
    <row r="11" spans="1:3" ht="22.5">
      <c r="A11" s="369" t="s">
        <v>2600</v>
      </c>
      <c r="B11" s="368">
        <v>0</v>
      </c>
      <c r="C11" s="368">
        <v>981802.37</v>
      </c>
    </row>
    <row r="12" spans="1:3">
      <c r="A12" s="367" t="s">
        <v>2601</v>
      </c>
      <c r="B12" s="368">
        <v>1264019.8699999996</v>
      </c>
      <c r="C12" s="368">
        <v>91474.84</v>
      </c>
    </row>
    <row r="13" spans="1:3">
      <c r="A13" s="367" t="s">
        <v>2602</v>
      </c>
      <c r="B13" s="368">
        <v>445646.91000000003</v>
      </c>
      <c r="C13" s="368">
        <v>0</v>
      </c>
    </row>
    <row r="14" spans="1:3">
      <c r="A14" s="367" t="s">
        <v>2603</v>
      </c>
      <c r="B14" s="368">
        <v>162055.25999999998</v>
      </c>
      <c r="C14" s="368">
        <v>37112.620000000003</v>
      </c>
    </row>
    <row r="15" spans="1:3">
      <c r="A15" s="367" t="s">
        <v>2604</v>
      </c>
      <c r="B15" s="368">
        <v>173001.22000000003</v>
      </c>
      <c r="C15" s="368">
        <v>607020.43999999983</v>
      </c>
    </row>
    <row r="16" spans="1:3">
      <c r="A16" s="367" t="s">
        <v>2605</v>
      </c>
      <c r="B16" s="368">
        <v>4235237.49</v>
      </c>
      <c r="C16" s="368">
        <v>360</v>
      </c>
    </row>
    <row r="17" spans="1:3">
      <c r="A17" s="367" t="s">
        <v>2606</v>
      </c>
      <c r="B17" s="368">
        <v>196258.48000000004</v>
      </c>
      <c r="C17" s="368">
        <v>45614.78</v>
      </c>
    </row>
    <row r="18" spans="1:3">
      <c r="A18" s="367" t="s">
        <v>2607</v>
      </c>
      <c r="B18" s="368">
        <v>179960.81</v>
      </c>
      <c r="C18" s="368">
        <v>869792</v>
      </c>
    </row>
    <row r="19" spans="1:3">
      <c r="A19" s="367" t="s">
        <v>2608</v>
      </c>
      <c r="B19" s="368">
        <v>3028195.4899999988</v>
      </c>
      <c r="C19" s="368">
        <v>3814.16</v>
      </c>
    </row>
    <row r="20" spans="1:3">
      <c r="A20" s="367" t="s">
        <v>2609</v>
      </c>
      <c r="B20" s="368">
        <v>737763.05999999994</v>
      </c>
      <c r="C20" s="368">
        <v>1282506.1000000001</v>
      </c>
    </row>
    <row r="21" spans="1:3">
      <c r="A21" s="367" t="s">
        <v>2610</v>
      </c>
      <c r="B21" s="368">
        <v>7657.87</v>
      </c>
      <c r="C21" s="368">
        <v>0</v>
      </c>
    </row>
    <row r="22" spans="1:3">
      <c r="A22" s="367" t="s">
        <v>2611</v>
      </c>
      <c r="B22" s="368">
        <v>99824.190000000031</v>
      </c>
      <c r="C22" s="368">
        <v>1371321.95</v>
      </c>
    </row>
    <row r="23" spans="1:3">
      <c r="A23" s="367" t="s">
        <v>2612</v>
      </c>
      <c r="B23" s="368">
        <v>660304.14000000013</v>
      </c>
      <c r="C23" s="368">
        <v>327.60000000000002</v>
      </c>
    </row>
    <row r="24" spans="1:3">
      <c r="A24" s="365" t="s">
        <v>2575</v>
      </c>
      <c r="B24" s="366">
        <f>+B25+B31</f>
        <v>154368295.91999987</v>
      </c>
      <c r="C24" s="366">
        <f>+C25+C31</f>
        <v>4651240.0399999991</v>
      </c>
    </row>
    <row r="25" spans="1:3">
      <c r="A25" s="365" t="s">
        <v>2056</v>
      </c>
      <c r="B25" s="366">
        <f>SUM(B26:B30)</f>
        <v>22910879.050000004</v>
      </c>
      <c r="C25" s="366">
        <f>SUM(C26:C30)</f>
        <v>1300226.17</v>
      </c>
    </row>
    <row r="26" spans="1:3">
      <c r="A26" s="367" t="s">
        <v>2613</v>
      </c>
      <c r="B26" s="368">
        <v>2646682.3600000008</v>
      </c>
      <c r="C26" s="368">
        <v>543984.06999999995</v>
      </c>
    </row>
    <row r="27" spans="1:3">
      <c r="A27" s="367" t="s">
        <v>2614</v>
      </c>
      <c r="B27" s="368">
        <v>596268.37</v>
      </c>
      <c r="C27" s="368">
        <v>29592.450000000004</v>
      </c>
    </row>
    <row r="28" spans="1:3">
      <c r="A28" s="367" t="s">
        <v>2615</v>
      </c>
      <c r="B28" s="368">
        <v>3996074.510000003</v>
      </c>
      <c r="C28" s="368">
        <v>270466.47000000009</v>
      </c>
    </row>
    <row r="29" spans="1:3">
      <c r="A29" s="367" t="s">
        <v>2616</v>
      </c>
      <c r="B29" s="368">
        <v>12619811.100000001</v>
      </c>
      <c r="C29" s="368">
        <v>298443.74999999988</v>
      </c>
    </row>
    <row r="30" spans="1:3">
      <c r="A30" s="367" t="s">
        <v>2617</v>
      </c>
      <c r="B30" s="368">
        <v>3052042.7100000023</v>
      </c>
      <c r="C30" s="368">
        <v>157739.43000000008</v>
      </c>
    </row>
    <row r="31" spans="1:3">
      <c r="A31" s="365" t="s">
        <v>2075</v>
      </c>
      <c r="B31" s="366">
        <f>SUM(B32:B39)</f>
        <v>131457416.86999986</v>
      </c>
      <c r="C31" s="366">
        <f>SUM(C32:C39)</f>
        <v>3351013.8699999996</v>
      </c>
    </row>
    <row r="32" spans="1:3">
      <c r="A32" s="367" t="s">
        <v>2618</v>
      </c>
      <c r="B32" s="368">
        <v>50344254.569999866</v>
      </c>
      <c r="C32" s="368">
        <v>954896.54999999981</v>
      </c>
    </row>
    <row r="33" spans="1:3">
      <c r="A33" s="367" t="s">
        <v>2619</v>
      </c>
      <c r="B33" s="368">
        <v>10090306.870000003</v>
      </c>
      <c r="C33" s="368">
        <v>175758.49</v>
      </c>
    </row>
    <row r="34" spans="1:3">
      <c r="A34" s="367" t="s">
        <v>2620</v>
      </c>
      <c r="B34" s="368">
        <v>3244006.5299999979</v>
      </c>
      <c r="C34" s="368">
        <v>24326.38</v>
      </c>
    </row>
    <row r="35" spans="1:3">
      <c r="A35" s="367" t="s">
        <v>2621</v>
      </c>
      <c r="B35" s="368">
        <v>5501260.6599999974</v>
      </c>
      <c r="C35" s="368">
        <v>55893.399999999994</v>
      </c>
    </row>
    <row r="36" spans="1:3">
      <c r="A36" s="367" t="s">
        <v>2622</v>
      </c>
      <c r="B36" s="368">
        <v>43854.98</v>
      </c>
      <c r="C36" s="368">
        <v>0</v>
      </c>
    </row>
    <row r="37" spans="1:3">
      <c r="A37" s="367" t="s">
        <v>2623</v>
      </c>
      <c r="B37" s="368">
        <v>19697524.500000007</v>
      </c>
      <c r="C37" s="368">
        <v>1479767.4600000002</v>
      </c>
    </row>
    <row r="38" spans="1:3">
      <c r="A38" s="367" t="s">
        <v>2624</v>
      </c>
      <c r="B38" s="368">
        <v>17470546.490000002</v>
      </c>
      <c r="C38" s="368">
        <v>134131.06000000006</v>
      </c>
    </row>
    <row r="39" spans="1:3">
      <c r="A39" s="367" t="s">
        <v>2625</v>
      </c>
      <c r="B39" s="368">
        <v>25065662.269999959</v>
      </c>
      <c r="C39" s="368">
        <v>526240.5299999998</v>
      </c>
    </row>
    <row r="40" spans="1:3">
      <c r="A40" s="365" t="s">
        <v>2546</v>
      </c>
      <c r="B40" s="366">
        <f>SUM(B41)</f>
        <v>123415065.35999964</v>
      </c>
      <c r="C40" s="366">
        <f>SUM(C41)</f>
        <v>5709669.7200000035</v>
      </c>
    </row>
    <row r="41" spans="1:3">
      <c r="A41" s="365" t="s">
        <v>1830</v>
      </c>
      <c r="B41" s="366">
        <f>SUM(B42:B45)</f>
        <v>123415065.35999964</v>
      </c>
      <c r="C41" s="366">
        <f>SUM(C42:C45)</f>
        <v>5709669.7200000035</v>
      </c>
    </row>
    <row r="42" spans="1:3">
      <c r="A42" s="367" t="s">
        <v>2626</v>
      </c>
      <c r="B42" s="368">
        <v>12112.260000000002</v>
      </c>
      <c r="C42" s="368">
        <v>0</v>
      </c>
    </row>
    <row r="43" spans="1:3">
      <c r="A43" s="367" t="s">
        <v>2627</v>
      </c>
      <c r="B43" s="368">
        <v>26132417.200000003</v>
      </c>
      <c r="C43" s="368">
        <v>345147.94999999995</v>
      </c>
    </row>
    <row r="44" spans="1:3">
      <c r="A44" s="367" t="s">
        <v>2628</v>
      </c>
      <c r="B44" s="368">
        <v>4691678.3299999982</v>
      </c>
      <c r="C44" s="368">
        <v>1013.05</v>
      </c>
    </row>
    <row r="45" spans="1:3">
      <c r="A45" s="367" t="s">
        <v>2629</v>
      </c>
      <c r="B45" s="368">
        <v>92578857.569999635</v>
      </c>
      <c r="C45" s="368">
        <v>5363508.7200000035</v>
      </c>
    </row>
    <row r="46" spans="1:3">
      <c r="A46" s="365" t="s">
        <v>2576</v>
      </c>
      <c r="B46" s="366">
        <f>+B47+B49</f>
        <v>331455903.05999994</v>
      </c>
      <c r="C46" s="366">
        <f>+C47+C49</f>
        <v>42961907.720000014</v>
      </c>
    </row>
    <row r="47" spans="1:3">
      <c r="A47" s="365" t="s">
        <v>2586</v>
      </c>
      <c r="B47" s="366">
        <f>SUM(B48)</f>
        <v>6292155.1900000013</v>
      </c>
      <c r="C47" s="366">
        <f>SUM(C48)</f>
        <v>36251890.400000013</v>
      </c>
    </row>
    <row r="48" spans="1:3">
      <c r="A48" s="367" t="s">
        <v>2630</v>
      </c>
      <c r="B48" s="368">
        <v>6292155.1900000013</v>
      </c>
      <c r="C48" s="368">
        <v>36251890.400000013</v>
      </c>
    </row>
    <row r="49" spans="1:3">
      <c r="A49" s="365" t="s">
        <v>2083</v>
      </c>
      <c r="B49" s="366">
        <f>SUM(B50:B55)</f>
        <v>325163747.86999995</v>
      </c>
      <c r="C49" s="366">
        <f>SUM(C50:C55)</f>
        <v>6710017.3199999984</v>
      </c>
    </row>
    <row r="50" spans="1:3">
      <c r="A50" s="367" t="s">
        <v>2631</v>
      </c>
      <c r="B50" s="368">
        <v>1975174.0899999994</v>
      </c>
      <c r="C50" s="368">
        <v>12569.39</v>
      </c>
    </row>
    <row r="51" spans="1:3">
      <c r="A51" s="367" t="s">
        <v>2632</v>
      </c>
      <c r="B51" s="368">
        <v>25706748.849999983</v>
      </c>
      <c r="C51" s="368">
        <v>2954351.2199999993</v>
      </c>
    </row>
    <row r="52" spans="1:3">
      <c r="A52" s="367" t="s">
        <v>2633</v>
      </c>
      <c r="B52" s="368">
        <v>2119890.0999999996</v>
      </c>
      <c r="C52" s="368">
        <v>3643.8999999999996</v>
      </c>
    </row>
    <row r="53" spans="1:3">
      <c r="A53" s="367" t="s">
        <v>2634</v>
      </c>
      <c r="B53" s="368">
        <v>20158198.300000016</v>
      </c>
      <c r="C53" s="368">
        <v>781634.62</v>
      </c>
    </row>
    <row r="54" spans="1:3">
      <c r="A54" s="367" t="s">
        <v>2635</v>
      </c>
      <c r="B54" s="368">
        <v>231620746.49999976</v>
      </c>
      <c r="C54" s="368">
        <v>1358643.2799999993</v>
      </c>
    </row>
    <row r="55" spans="1:3">
      <c r="A55" s="367" t="s">
        <v>2636</v>
      </c>
      <c r="B55" s="368">
        <v>43582990.030000143</v>
      </c>
      <c r="C55" s="368">
        <v>1599174.9099999997</v>
      </c>
    </row>
    <row r="56" spans="1:3">
      <c r="A56" s="365" t="s">
        <v>2551</v>
      </c>
      <c r="B56" s="366">
        <f>SUM(B57)</f>
        <v>25153413.730000027</v>
      </c>
      <c r="C56" s="366">
        <f>SUM(C57)</f>
        <v>512666.04999999993</v>
      </c>
    </row>
    <row r="57" spans="1:3">
      <c r="A57" s="365" t="s">
        <v>2086</v>
      </c>
      <c r="B57" s="366">
        <f>SUM(B58:B60)</f>
        <v>25153413.730000027</v>
      </c>
      <c r="C57" s="366">
        <f>SUM(C58:C60)</f>
        <v>512666.04999999993</v>
      </c>
    </row>
    <row r="58" spans="1:3">
      <c r="A58" s="367" t="s">
        <v>2637</v>
      </c>
      <c r="B58" s="368">
        <v>4595224.25</v>
      </c>
      <c r="C58" s="368">
        <v>69824.06</v>
      </c>
    </row>
    <row r="59" spans="1:3">
      <c r="A59" s="367" t="s">
        <v>2638</v>
      </c>
      <c r="B59" s="368">
        <v>19926034.420000028</v>
      </c>
      <c r="C59" s="368">
        <v>423632.73999999993</v>
      </c>
    </row>
    <row r="60" spans="1:3">
      <c r="A60" s="367" t="s">
        <v>2639</v>
      </c>
      <c r="B60" s="368">
        <v>632155.05999999982</v>
      </c>
      <c r="C60" s="368">
        <v>19209.25</v>
      </c>
    </row>
    <row r="61" spans="1:3">
      <c r="A61" s="365" t="s">
        <v>2553</v>
      </c>
      <c r="B61" s="366">
        <f>+B62+B64</f>
        <v>4448686.6000000024</v>
      </c>
      <c r="C61" s="366">
        <f>+C62+C64</f>
        <v>1377081.56</v>
      </c>
    </row>
    <row r="62" spans="1:3">
      <c r="A62" s="365" t="s">
        <v>2092</v>
      </c>
      <c r="B62" s="366">
        <f>SUM(B63)</f>
        <v>2493304.8200000008</v>
      </c>
      <c r="C62" s="366">
        <f>SUM(C63)</f>
        <v>1344557.26</v>
      </c>
    </row>
    <row r="63" spans="1:3">
      <c r="A63" s="367" t="s">
        <v>2640</v>
      </c>
      <c r="B63" s="368">
        <v>2493304.8200000008</v>
      </c>
      <c r="C63" s="368">
        <v>1344557.26</v>
      </c>
    </row>
    <row r="64" spans="1:3">
      <c r="A64" s="365" t="s">
        <v>1833</v>
      </c>
      <c r="B64" s="366">
        <f>SUM(B65)</f>
        <v>1955381.7800000017</v>
      </c>
      <c r="C64" s="366">
        <f>SUM(C65)</f>
        <v>32524.3</v>
      </c>
    </row>
    <row r="65" spans="1:3">
      <c r="A65" s="367" t="s">
        <v>2641</v>
      </c>
      <c r="B65" s="368">
        <v>1955381.7800000017</v>
      </c>
      <c r="C65" s="368">
        <v>32524.3</v>
      </c>
    </row>
    <row r="66" spans="1:3">
      <c r="A66" s="365" t="s">
        <v>2554</v>
      </c>
      <c r="B66" s="366">
        <f>SUM(B67)</f>
        <v>440262777.04000199</v>
      </c>
      <c r="C66" s="366">
        <f>SUM(C67)</f>
        <v>16536262.059999991</v>
      </c>
    </row>
    <row r="67" spans="1:3">
      <c r="A67" s="365" t="s">
        <v>2555</v>
      </c>
      <c r="B67" s="366">
        <f>SUM(B68:B70)</f>
        <v>440262777.04000199</v>
      </c>
      <c r="C67" s="366">
        <f>SUM(C68:C70)</f>
        <v>16536262.059999991</v>
      </c>
    </row>
    <row r="68" spans="1:3">
      <c r="A68" s="367" t="s">
        <v>2642</v>
      </c>
      <c r="B68" s="368">
        <v>40777514.969999917</v>
      </c>
      <c r="C68" s="368">
        <v>3960146.4600000004</v>
      </c>
    </row>
    <row r="69" spans="1:3">
      <c r="A69" s="367" t="s">
        <v>2643</v>
      </c>
      <c r="B69" s="368">
        <v>50933610.989999793</v>
      </c>
      <c r="C69" s="368">
        <v>5527824.3700000001</v>
      </c>
    </row>
    <row r="70" spans="1:3">
      <c r="A70" s="367" t="s">
        <v>2632</v>
      </c>
      <c r="B70" s="368">
        <v>348551651.08000225</v>
      </c>
      <c r="C70" s="368">
        <v>7048291.2299999921</v>
      </c>
    </row>
    <row r="72" spans="1:3">
      <c r="A72" s="2607" t="s">
        <v>3374</v>
      </c>
      <c r="B72" s="2607"/>
      <c r="C72" s="2607"/>
    </row>
    <row r="73" spans="1:3" ht="12" customHeight="1">
      <c r="A73" s="2607"/>
      <c r="B73" s="2607"/>
      <c r="C73" s="2607"/>
    </row>
    <row r="74" spans="1:3">
      <c r="A74" s="353" t="s">
        <v>22</v>
      </c>
      <c r="B74" s="341"/>
      <c r="C74" s="341"/>
    </row>
    <row r="75" spans="1:3" ht="22.5" customHeight="1">
      <c r="A75" s="2608" t="s">
        <v>2644</v>
      </c>
      <c r="B75" s="2601"/>
      <c r="C75" s="2601"/>
    </row>
    <row r="76" spans="1:3">
      <c r="A76" s="370"/>
      <c r="B76" s="371"/>
      <c r="C76" s="371"/>
    </row>
    <row r="77" spans="1:3">
      <c r="A77" s="370"/>
      <c r="B77" s="371"/>
      <c r="C77" s="371"/>
    </row>
    <row r="78" spans="1:3">
      <c r="A78" s="370"/>
      <c r="B78" s="371"/>
      <c r="C78" s="371"/>
    </row>
    <row r="79" spans="1:3">
      <c r="A79" s="370"/>
      <c r="B79" s="371"/>
      <c r="C79" s="371"/>
    </row>
    <row r="80" spans="1:3">
      <c r="A80" s="370"/>
      <c r="B80" s="371"/>
      <c r="C80" s="371"/>
    </row>
    <row r="81" spans="1:3">
      <c r="A81" s="370"/>
      <c r="B81" s="371"/>
      <c r="C81" s="371"/>
    </row>
    <row r="82" spans="1:3">
      <c r="A82" s="370"/>
      <c r="B82" s="371"/>
      <c r="C82" s="371"/>
    </row>
  </sheetData>
  <mergeCells count="3">
    <mergeCell ref="A2:C2"/>
    <mergeCell ref="A72:C73"/>
    <mergeCell ref="A75:C75"/>
  </mergeCells>
  <pageMargins left="0.70866141732283472" right="0.70866141732283472" top="0.74803149606299213" bottom="0.74803149606299213" header="0.31496062992125984" footer="0.31496062992125984"/>
  <pageSetup paperSize="9" scale="57" orientation="landscape" r:id="rId1"/>
</worksheet>
</file>

<file path=xl/worksheets/sheet294.xml><?xml version="1.0" encoding="utf-8"?>
<worksheet xmlns="http://schemas.openxmlformats.org/spreadsheetml/2006/main" xmlns:r="http://schemas.openxmlformats.org/officeDocument/2006/relationships">
  <sheetPr>
    <pageSetUpPr fitToPage="1"/>
  </sheetPr>
  <dimension ref="A2:C25"/>
  <sheetViews>
    <sheetView zoomScaleNormal="100" workbookViewId="0">
      <selection activeCell="A30" sqref="A30"/>
    </sheetView>
  </sheetViews>
  <sheetFormatPr baseColWidth="10" defaultRowHeight="11.25"/>
  <cols>
    <col min="1" max="1" width="50.140625" style="62" customWidth="1"/>
    <col min="2" max="2" width="20.140625" style="62" customWidth="1"/>
    <col min="3" max="3" width="20.7109375" style="62" customWidth="1"/>
    <col min="4" max="16384" width="11.42578125" style="62"/>
  </cols>
  <sheetData>
    <row r="2" spans="1:3" ht="40.5" customHeight="1">
      <c r="A2" s="2746" t="s">
        <v>4639</v>
      </c>
      <c r="B2" s="2746"/>
      <c r="C2" s="2746"/>
    </row>
    <row r="3" spans="1:3">
      <c r="A3" s="318"/>
      <c r="B3" s="318"/>
      <c r="C3" s="318"/>
    </row>
    <row r="4" spans="1:3" ht="22.5">
      <c r="A4" s="359" t="s">
        <v>2594</v>
      </c>
      <c r="B4" s="317" t="s">
        <v>2595</v>
      </c>
      <c r="C4" s="317" t="s">
        <v>2596</v>
      </c>
    </row>
    <row r="5" spans="1:3">
      <c r="A5" s="54" t="s">
        <v>6</v>
      </c>
      <c r="B5" s="348">
        <f>+B6+B9+B12+B20</f>
        <v>1844873765.3499973</v>
      </c>
      <c r="C5" s="348">
        <f>+C6+C9+C12+C20</f>
        <v>37280130.130000085</v>
      </c>
    </row>
    <row r="6" spans="1:3">
      <c r="A6" s="54" t="s">
        <v>2546</v>
      </c>
      <c r="B6" s="348">
        <f>SUM(B7)</f>
        <v>4597726.0500000082</v>
      </c>
      <c r="C6" s="348">
        <f>SUM(C7)</f>
        <v>41981.93</v>
      </c>
    </row>
    <row r="7" spans="1:3">
      <c r="A7" s="54" t="s">
        <v>1830</v>
      </c>
      <c r="B7" s="348">
        <f>SUM(B8)</f>
        <v>4597726.0500000082</v>
      </c>
      <c r="C7" s="348">
        <f>SUM(C8)</f>
        <v>41981.93</v>
      </c>
    </row>
    <row r="8" spans="1:3">
      <c r="A8" s="1206" t="s">
        <v>2645</v>
      </c>
      <c r="B8" s="352">
        <v>4597726.0500000082</v>
      </c>
      <c r="C8" s="352">
        <v>41981.93</v>
      </c>
    </row>
    <row r="9" spans="1:3">
      <c r="A9" s="54" t="s">
        <v>2575</v>
      </c>
      <c r="B9" s="348">
        <f>SUM(B10)</f>
        <v>226907.96999999997</v>
      </c>
      <c r="C9" s="348">
        <f>SUM(C10)</f>
        <v>4963.1100000000006</v>
      </c>
    </row>
    <row r="10" spans="1:3">
      <c r="A10" s="54" t="s">
        <v>2075</v>
      </c>
      <c r="B10" s="348">
        <f>SUM(B11)</f>
        <v>226907.96999999997</v>
      </c>
      <c r="C10" s="348">
        <f>SUM(C11)</f>
        <v>4963.1100000000006</v>
      </c>
    </row>
    <row r="11" spans="1:3">
      <c r="A11" s="1206" t="s">
        <v>2646</v>
      </c>
      <c r="B11" s="352">
        <v>226907.96999999997</v>
      </c>
      <c r="C11" s="352">
        <v>4963.1100000000006</v>
      </c>
    </row>
    <row r="12" spans="1:3">
      <c r="A12" s="54" t="s">
        <v>2551</v>
      </c>
      <c r="B12" s="348">
        <f>+B13+B16+B18</f>
        <v>884545848.08999872</v>
      </c>
      <c r="C12" s="348">
        <f>+C13+C16+C18</f>
        <v>11692021.110000009</v>
      </c>
    </row>
    <row r="13" spans="1:3">
      <c r="A13" s="54" t="s">
        <v>2086</v>
      </c>
      <c r="B13" s="348">
        <f>SUM(B14:B15)</f>
        <v>36120522.899999939</v>
      </c>
      <c r="C13" s="348">
        <f>SUM(C14:C15)</f>
        <v>1538295.6699999995</v>
      </c>
    </row>
    <row r="14" spans="1:3">
      <c r="A14" s="1206" t="s">
        <v>2637</v>
      </c>
      <c r="B14" s="352">
        <v>33815247.869999938</v>
      </c>
      <c r="C14" s="352">
        <v>1532900.4199999995</v>
      </c>
    </row>
    <row r="15" spans="1:3">
      <c r="A15" s="1206" t="s">
        <v>2639</v>
      </c>
      <c r="B15" s="352">
        <v>2305275.0300000003</v>
      </c>
      <c r="C15" s="352">
        <v>5395.25</v>
      </c>
    </row>
    <row r="16" spans="1:3">
      <c r="A16" s="54" t="s">
        <v>2587</v>
      </c>
      <c r="B16" s="348">
        <f>SUM(B17)</f>
        <v>766042663.66999876</v>
      </c>
      <c r="C16" s="348">
        <f>SUM(C17)</f>
        <v>9381274.3700000085</v>
      </c>
    </row>
    <row r="17" spans="1:3">
      <c r="A17" s="1206" t="s">
        <v>2647</v>
      </c>
      <c r="B17" s="352">
        <v>766042663.66999876</v>
      </c>
      <c r="C17" s="352">
        <v>9381274.3700000085</v>
      </c>
    </row>
    <row r="18" spans="1:3">
      <c r="A18" s="54" t="s">
        <v>2585</v>
      </c>
      <c r="B18" s="348">
        <f>SUM(B19)</f>
        <v>82382661.519999981</v>
      </c>
      <c r="C18" s="348">
        <f>SUM(C19)</f>
        <v>772451.07000000007</v>
      </c>
    </row>
    <row r="19" spans="1:3">
      <c r="A19" s="1206" t="s">
        <v>2648</v>
      </c>
      <c r="B19" s="352">
        <v>82382661.519999981</v>
      </c>
      <c r="C19" s="352">
        <v>772451.07000000007</v>
      </c>
    </row>
    <row r="20" spans="1:3">
      <c r="A20" s="54" t="s">
        <v>2554</v>
      </c>
      <c r="B20" s="348">
        <f>SUM(B21)</f>
        <v>955503283.23999858</v>
      </c>
      <c r="C20" s="348">
        <f>SUM(C21)</f>
        <v>25541163.980000075</v>
      </c>
    </row>
    <row r="21" spans="1:3">
      <c r="A21" s="54" t="s">
        <v>2555</v>
      </c>
      <c r="B21" s="348">
        <f>SUM(B22)</f>
        <v>955503283.23999858</v>
      </c>
      <c r="C21" s="348">
        <f>SUM(C22)</f>
        <v>25541163.980000075</v>
      </c>
    </row>
    <row r="22" spans="1:3">
      <c r="A22" s="1206" t="s">
        <v>2643</v>
      </c>
      <c r="B22" s="352">
        <v>955503283.23999858</v>
      </c>
      <c r="C22" s="352">
        <v>25541163.980000075</v>
      </c>
    </row>
    <row r="24" spans="1:3" ht="27.75" customHeight="1">
      <c r="A24" s="2609" t="s">
        <v>3376</v>
      </c>
      <c r="B24" s="2609"/>
      <c r="C24" s="2609"/>
    </row>
    <row r="25" spans="1:3" ht="39" customHeight="1">
      <c r="A25" s="2610" t="s">
        <v>2649</v>
      </c>
      <c r="B25" s="2611"/>
      <c r="C25" s="2611"/>
    </row>
  </sheetData>
  <mergeCells count="3">
    <mergeCell ref="A2:C2"/>
    <mergeCell ref="A24:C24"/>
    <mergeCell ref="A25:C25"/>
  </mergeCells>
  <pageMargins left="0.70866141732283472" right="0.70866141732283472" top="0.74803149606299213" bottom="0.74803149606299213" header="0.31496062992125984" footer="0.31496062992125984"/>
  <pageSetup paperSize="9" scale="74" orientation="landscape" r:id="rId1"/>
</worksheet>
</file>

<file path=xl/worksheets/sheet295.xml><?xml version="1.0" encoding="utf-8"?>
<worksheet xmlns="http://schemas.openxmlformats.org/spreadsheetml/2006/main" xmlns:r="http://schemas.openxmlformats.org/officeDocument/2006/relationships">
  <sheetPr>
    <pageSetUpPr fitToPage="1"/>
  </sheetPr>
  <dimension ref="A2:C101"/>
  <sheetViews>
    <sheetView zoomScaleNormal="100" workbookViewId="0">
      <selection activeCell="E21" sqref="E21"/>
    </sheetView>
  </sheetViews>
  <sheetFormatPr baseColWidth="10" defaultRowHeight="11.25"/>
  <cols>
    <col min="1" max="1" width="43.28515625" style="59" customWidth="1"/>
    <col min="2" max="2" width="20" style="59" customWidth="1"/>
    <col min="3" max="3" width="20.85546875" style="59" customWidth="1"/>
    <col min="4" max="16384" width="11.42578125" style="59"/>
  </cols>
  <sheetData>
    <row r="2" spans="1:3" ht="46.5" customHeight="1">
      <c r="A2" s="2595" t="s">
        <v>4640</v>
      </c>
      <c r="B2" s="2595"/>
      <c r="C2" s="2595"/>
    </row>
    <row r="3" spans="1:3">
      <c r="A3" s="1996"/>
      <c r="B3" s="1996"/>
      <c r="C3" s="1996"/>
    </row>
    <row r="4" spans="1:3" ht="27" customHeight="1">
      <c r="A4" s="2836" t="s">
        <v>2594</v>
      </c>
      <c r="B4" s="2837" t="s">
        <v>2595</v>
      </c>
      <c r="C4" s="2837" t="s">
        <v>2596</v>
      </c>
    </row>
    <row r="5" spans="1:3">
      <c r="A5" s="332" t="s">
        <v>6</v>
      </c>
      <c r="B5" s="336">
        <v>308030152.28000027</v>
      </c>
      <c r="C5" s="336">
        <v>54952797.730000019</v>
      </c>
    </row>
    <row r="6" spans="1:3">
      <c r="A6" s="332" t="s">
        <v>2068</v>
      </c>
      <c r="B6" s="336">
        <f>+B7</f>
        <v>10333244.810000014</v>
      </c>
      <c r="C6" s="336">
        <f>+C7</f>
        <v>510185.94999999995</v>
      </c>
    </row>
    <row r="7" spans="1:3">
      <c r="A7" s="332" t="s">
        <v>2068</v>
      </c>
      <c r="B7" s="336">
        <f>SUM(B8:B10)</f>
        <v>10333244.810000014</v>
      </c>
      <c r="C7" s="336">
        <f>SUM(C8:C10)</f>
        <v>510185.94999999995</v>
      </c>
    </row>
    <row r="8" spans="1:3">
      <c r="A8" s="337" t="s">
        <v>2650</v>
      </c>
      <c r="B8" s="338">
        <v>377845.77000000014</v>
      </c>
      <c r="C8" s="336">
        <v>0</v>
      </c>
    </row>
    <row r="9" spans="1:3">
      <c r="A9" s="337" t="s">
        <v>2651</v>
      </c>
      <c r="B9" s="338">
        <v>9566675.3800000139</v>
      </c>
      <c r="C9" s="338">
        <v>141887.37999999998</v>
      </c>
    </row>
    <row r="10" spans="1:3">
      <c r="A10" s="337" t="s">
        <v>2652</v>
      </c>
      <c r="B10" s="338">
        <v>388723.66000000003</v>
      </c>
      <c r="C10" s="338">
        <v>368298.57</v>
      </c>
    </row>
    <row r="11" spans="1:3">
      <c r="A11" s="332" t="s">
        <v>2072</v>
      </c>
      <c r="B11" s="336">
        <f>+B12</f>
        <v>114467620.47000004</v>
      </c>
      <c r="C11" s="336">
        <f>+C12</f>
        <v>23994395.399999995</v>
      </c>
    </row>
    <row r="12" spans="1:3">
      <c r="A12" s="332" t="s">
        <v>2072</v>
      </c>
      <c r="B12" s="336">
        <f>SUM(B13:B34)</f>
        <v>114467620.47000004</v>
      </c>
      <c r="C12" s="336">
        <f>SUM(C13:C34)</f>
        <v>23994395.399999995</v>
      </c>
    </row>
    <row r="13" spans="1:3">
      <c r="A13" s="337" t="s">
        <v>2653</v>
      </c>
      <c r="B13" s="338">
        <v>918984.12999999966</v>
      </c>
      <c r="C13" s="338">
        <v>28352.3</v>
      </c>
    </row>
    <row r="14" spans="1:3">
      <c r="A14" s="337" t="s">
        <v>2654</v>
      </c>
      <c r="B14" s="338">
        <v>3426160.8499999964</v>
      </c>
      <c r="C14" s="338">
        <v>42092.81</v>
      </c>
    </row>
    <row r="15" spans="1:3" ht="22.5">
      <c r="A15" s="337" t="s">
        <v>2655</v>
      </c>
      <c r="B15" s="338">
        <v>26433185.289999977</v>
      </c>
      <c r="C15" s="338">
        <v>270923.11</v>
      </c>
    </row>
    <row r="16" spans="1:3">
      <c r="A16" s="337" t="s">
        <v>2656</v>
      </c>
      <c r="B16" s="338">
        <v>3424717.2500000028</v>
      </c>
      <c r="C16" s="338">
        <v>167924.55000000005</v>
      </c>
    </row>
    <row r="17" spans="1:3">
      <c r="A17" s="337" t="s">
        <v>2657</v>
      </c>
      <c r="B17" s="338">
        <v>7723940.9299999978</v>
      </c>
      <c r="C17" s="338">
        <v>39153.880000000005</v>
      </c>
    </row>
    <row r="18" spans="1:3" ht="22.5">
      <c r="A18" s="337" t="s">
        <v>2658</v>
      </c>
      <c r="B18" s="338">
        <v>14872906.809999947</v>
      </c>
      <c r="C18" s="338">
        <v>594934.93999999971</v>
      </c>
    </row>
    <row r="19" spans="1:3">
      <c r="A19" s="337" t="s">
        <v>2659</v>
      </c>
      <c r="B19" s="338">
        <v>987173.47999999986</v>
      </c>
      <c r="C19" s="338">
        <v>4000</v>
      </c>
    </row>
    <row r="20" spans="1:3" ht="22.5">
      <c r="A20" s="337" t="s">
        <v>2660</v>
      </c>
      <c r="B20" s="338">
        <v>337437.27999999997</v>
      </c>
      <c r="C20" s="338">
        <v>1175.04</v>
      </c>
    </row>
    <row r="21" spans="1:3">
      <c r="A21" s="337" t="s">
        <v>2661</v>
      </c>
      <c r="B21" s="338">
        <v>722231.6100000001</v>
      </c>
      <c r="C21" s="338">
        <v>618.58999999999992</v>
      </c>
    </row>
    <row r="22" spans="1:3">
      <c r="A22" s="337" t="s">
        <v>2662</v>
      </c>
      <c r="B22" s="338">
        <v>4082144.5200000019</v>
      </c>
      <c r="C22" s="338">
        <v>73074.040000000023</v>
      </c>
    </row>
    <row r="23" spans="1:3" ht="22.5">
      <c r="A23" s="337" t="s">
        <v>2663</v>
      </c>
      <c r="B23" s="338">
        <v>606674.9</v>
      </c>
      <c r="C23" s="338">
        <v>236.16</v>
      </c>
    </row>
    <row r="24" spans="1:3">
      <c r="A24" s="337" t="s">
        <v>2664</v>
      </c>
      <c r="B24" s="338">
        <v>4431921.0600000024</v>
      </c>
      <c r="C24" s="338">
        <v>25980.290000000005</v>
      </c>
    </row>
    <row r="25" spans="1:3">
      <c r="A25" s="337" t="s">
        <v>2665</v>
      </c>
      <c r="B25" s="338">
        <v>198754.9500000001</v>
      </c>
      <c r="C25" s="338">
        <v>6370.5700000000006</v>
      </c>
    </row>
    <row r="26" spans="1:3" ht="22.5">
      <c r="A26" s="337" t="s">
        <v>2666</v>
      </c>
      <c r="B26" s="338">
        <v>2958865.169999999</v>
      </c>
      <c r="C26" s="338">
        <v>31222.51</v>
      </c>
    </row>
    <row r="27" spans="1:3">
      <c r="A27" s="337" t="s">
        <v>2667</v>
      </c>
      <c r="B27" s="338">
        <v>3841032.7500000005</v>
      </c>
      <c r="C27" s="338">
        <v>56095.220000000008</v>
      </c>
    </row>
    <row r="28" spans="1:3" ht="22.5">
      <c r="A28" s="337" t="s">
        <v>2668</v>
      </c>
      <c r="B28" s="338">
        <v>574757.14000000013</v>
      </c>
      <c r="C28" s="338">
        <v>22225.07</v>
      </c>
    </row>
    <row r="29" spans="1:3">
      <c r="A29" s="337" t="s">
        <v>2669</v>
      </c>
      <c r="B29" s="338">
        <v>6204.02</v>
      </c>
      <c r="C29" s="338">
        <v>65489.080000000009</v>
      </c>
    </row>
    <row r="30" spans="1:3">
      <c r="A30" s="337" t="s">
        <v>2670</v>
      </c>
      <c r="B30" s="338">
        <v>125079.55999999998</v>
      </c>
      <c r="C30" s="338">
        <v>1102.2</v>
      </c>
    </row>
    <row r="31" spans="1:3">
      <c r="A31" s="337" t="s">
        <v>2671</v>
      </c>
      <c r="B31" s="338">
        <v>1438.9</v>
      </c>
      <c r="C31" s="338">
        <v>0</v>
      </c>
    </row>
    <row r="32" spans="1:3">
      <c r="A32" s="337" t="s">
        <v>2672</v>
      </c>
      <c r="B32" s="338">
        <v>2413514.4199999995</v>
      </c>
      <c r="C32" s="338">
        <v>12764681.809999995</v>
      </c>
    </row>
    <row r="33" spans="1:3">
      <c r="A33" s="337" t="s">
        <v>2673</v>
      </c>
      <c r="B33" s="338">
        <v>2457.2500000000005</v>
      </c>
      <c r="C33" s="338">
        <v>0</v>
      </c>
    </row>
    <row r="34" spans="1:3">
      <c r="A34" s="337" t="s">
        <v>2674</v>
      </c>
      <c r="B34" s="338">
        <v>36378038.200000107</v>
      </c>
      <c r="C34" s="338">
        <v>9798743.2300000004</v>
      </c>
    </row>
    <row r="35" spans="1:3">
      <c r="A35" s="332" t="s">
        <v>2575</v>
      </c>
      <c r="B35" s="336">
        <f>SUM(B36,B40)</f>
        <v>6014014.4499999993</v>
      </c>
      <c r="C35" s="336">
        <f>SUM(C36,C40)</f>
        <v>207842.26</v>
      </c>
    </row>
    <row r="36" spans="1:3">
      <c r="A36" s="332" t="s">
        <v>2056</v>
      </c>
      <c r="B36" s="336">
        <f>SUM(B37:B39)</f>
        <v>2482957.1799999997</v>
      </c>
      <c r="C36" s="336">
        <f>SUM(C37:C39)</f>
        <v>156636.64000000001</v>
      </c>
    </row>
    <row r="37" spans="1:3" ht="22.5">
      <c r="A37" s="337" t="s">
        <v>2675</v>
      </c>
      <c r="B37" s="338">
        <v>9785.7199999999993</v>
      </c>
      <c r="C37" s="338">
        <v>0</v>
      </c>
    </row>
    <row r="38" spans="1:3">
      <c r="A38" s="337" t="s">
        <v>2676</v>
      </c>
      <c r="B38" s="338">
        <v>1451.3</v>
      </c>
      <c r="C38" s="338">
        <v>0</v>
      </c>
    </row>
    <row r="39" spans="1:3">
      <c r="A39" s="337" t="s">
        <v>2677</v>
      </c>
      <c r="B39" s="338">
        <v>2471720.1599999997</v>
      </c>
      <c r="C39" s="338">
        <v>156636.64000000001</v>
      </c>
    </row>
    <row r="40" spans="1:3">
      <c r="A40" s="332" t="s">
        <v>2075</v>
      </c>
      <c r="B40" s="336">
        <f>SUM(B41:B42)</f>
        <v>3531057.2699999996</v>
      </c>
      <c r="C40" s="336">
        <f>SUM(C41:C42)</f>
        <v>51205.619999999995</v>
      </c>
    </row>
    <row r="41" spans="1:3">
      <c r="A41" s="337" t="s">
        <v>2678</v>
      </c>
      <c r="B41" s="338">
        <v>3241478.2399999998</v>
      </c>
      <c r="C41" s="338">
        <v>27490.309999999998</v>
      </c>
    </row>
    <row r="42" spans="1:3" ht="22.5">
      <c r="A42" s="337" t="s">
        <v>2679</v>
      </c>
      <c r="B42" s="338">
        <v>289579.02999999991</v>
      </c>
      <c r="C42" s="338">
        <v>23715.31</v>
      </c>
    </row>
    <row r="43" spans="1:3">
      <c r="A43" s="332" t="s">
        <v>2076</v>
      </c>
      <c r="B43" s="336">
        <f>SUM(B44)</f>
        <v>143181.29</v>
      </c>
      <c r="C43" s="336">
        <f>SUM(C44)</f>
        <v>0</v>
      </c>
    </row>
    <row r="44" spans="1:3">
      <c r="A44" s="332" t="s">
        <v>1120</v>
      </c>
      <c r="B44" s="336">
        <f>SUM(B45)</f>
        <v>143181.29</v>
      </c>
      <c r="C44" s="336">
        <f>SUM(C45)</f>
        <v>0</v>
      </c>
    </row>
    <row r="45" spans="1:3">
      <c r="A45" s="337" t="s">
        <v>2680</v>
      </c>
      <c r="B45" s="338">
        <v>143181.29</v>
      </c>
      <c r="C45" s="338">
        <v>0</v>
      </c>
    </row>
    <row r="46" spans="1:3">
      <c r="A46" s="332" t="s">
        <v>2546</v>
      </c>
      <c r="B46" s="336">
        <f>+B47</f>
        <v>2977271.6299999994</v>
      </c>
      <c r="C46" s="336">
        <f>+C47</f>
        <v>91083.359999999957</v>
      </c>
    </row>
    <row r="47" spans="1:3">
      <c r="A47" s="332" t="s">
        <v>1830</v>
      </c>
      <c r="B47" s="336">
        <f>SUM(B48:B49)</f>
        <v>2977271.6299999994</v>
      </c>
      <c r="C47" s="336">
        <f>SUM(C48:C49)</f>
        <v>91083.359999999957</v>
      </c>
    </row>
    <row r="48" spans="1:3">
      <c r="A48" s="337" t="s">
        <v>2681</v>
      </c>
      <c r="B48" s="338">
        <v>2941622.1999999993</v>
      </c>
      <c r="C48" s="338">
        <v>91083.359999999957</v>
      </c>
    </row>
    <row r="49" spans="1:3" ht="22.5">
      <c r="A49" s="337" t="s">
        <v>2682</v>
      </c>
      <c r="B49" s="338">
        <v>35649.429999999993</v>
      </c>
      <c r="C49" s="338">
        <v>0</v>
      </c>
    </row>
    <row r="50" spans="1:3">
      <c r="A50" s="332" t="s">
        <v>2576</v>
      </c>
      <c r="B50" s="336">
        <f>+B51+B53</f>
        <v>64092515.959999964</v>
      </c>
      <c r="C50" s="336">
        <f>+C51+C53</f>
        <v>5099450.3099999987</v>
      </c>
    </row>
    <row r="51" spans="1:3">
      <c r="A51" s="332" t="s">
        <v>2586</v>
      </c>
      <c r="B51" s="336">
        <f>SUM(B52)</f>
        <v>2371917.2699999986</v>
      </c>
      <c r="C51" s="336">
        <f>SUM(C52)</f>
        <v>776101.74999999988</v>
      </c>
    </row>
    <row r="52" spans="1:3">
      <c r="A52" s="337" t="s">
        <v>2683</v>
      </c>
      <c r="B52" s="338">
        <v>2371917.2699999986</v>
      </c>
      <c r="C52" s="338">
        <v>776101.74999999988</v>
      </c>
    </row>
    <row r="53" spans="1:3">
      <c r="A53" s="332" t="s">
        <v>2083</v>
      </c>
      <c r="B53" s="336">
        <f>SUM(B54:B64)</f>
        <v>61720598.689999968</v>
      </c>
      <c r="C53" s="336">
        <f>SUM(C54:C64)</f>
        <v>4323348.5599999987</v>
      </c>
    </row>
    <row r="54" spans="1:3">
      <c r="A54" s="337" t="s">
        <v>2684</v>
      </c>
      <c r="B54" s="338">
        <v>373204.79000000004</v>
      </c>
      <c r="C54" s="338">
        <v>227396.59</v>
      </c>
    </row>
    <row r="55" spans="1:3">
      <c r="A55" s="337" t="s">
        <v>2685</v>
      </c>
      <c r="B55" s="338">
        <v>715452.55000000028</v>
      </c>
      <c r="C55" s="338">
        <v>225966.04999999996</v>
      </c>
    </row>
    <row r="56" spans="1:3">
      <c r="A56" s="337" t="s">
        <v>2686</v>
      </c>
      <c r="B56" s="338">
        <v>165210.00999999998</v>
      </c>
      <c r="C56" s="338">
        <v>0</v>
      </c>
    </row>
    <row r="57" spans="1:3">
      <c r="A57" s="337" t="s">
        <v>2687</v>
      </c>
      <c r="B57" s="338">
        <v>9560867.2699999902</v>
      </c>
      <c r="C57" s="338">
        <v>734192.93000000017</v>
      </c>
    </row>
    <row r="58" spans="1:3">
      <c r="A58" s="337" t="s">
        <v>2688</v>
      </c>
      <c r="B58" s="338">
        <v>12740324.659999991</v>
      </c>
      <c r="C58" s="338">
        <v>641090.87</v>
      </c>
    </row>
    <row r="59" spans="1:3">
      <c r="A59" s="337" t="s">
        <v>2689</v>
      </c>
      <c r="B59" s="338">
        <v>1991476.7000000002</v>
      </c>
      <c r="C59" s="338">
        <v>129930.84000000001</v>
      </c>
    </row>
    <row r="60" spans="1:3">
      <c r="A60" s="337" t="s">
        <v>2690</v>
      </c>
      <c r="B60" s="338">
        <v>28751464.049999993</v>
      </c>
      <c r="C60" s="338">
        <v>1548189.9199999988</v>
      </c>
    </row>
    <row r="61" spans="1:3">
      <c r="A61" s="337" t="s">
        <v>2691</v>
      </c>
      <c r="B61" s="338">
        <v>5996713.9899999956</v>
      </c>
      <c r="C61" s="338">
        <v>440020.13999999996</v>
      </c>
    </row>
    <row r="62" spans="1:3">
      <c r="A62" s="337" t="s">
        <v>2692</v>
      </c>
      <c r="B62" s="338">
        <v>578633.39</v>
      </c>
      <c r="C62" s="338">
        <v>99169.999999999985</v>
      </c>
    </row>
    <row r="63" spans="1:3">
      <c r="A63" s="337" t="s">
        <v>2693</v>
      </c>
      <c r="B63" s="338">
        <v>121495.20000000004</v>
      </c>
      <c r="C63" s="338">
        <v>6548.23</v>
      </c>
    </row>
    <row r="64" spans="1:3" ht="22.5">
      <c r="A64" s="337" t="s">
        <v>2694</v>
      </c>
      <c r="B64" s="338">
        <v>725756.08000000031</v>
      </c>
      <c r="C64" s="338">
        <v>270842.98999999993</v>
      </c>
    </row>
    <row r="65" spans="1:3">
      <c r="A65" s="332" t="s">
        <v>2551</v>
      </c>
      <c r="B65" s="336">
        <f>+B66</f>
        <v>1622337.47</v>
      </c>
      <c r="C65" s="336">
        <f>+C66</f>
        <v>25477.620000000003</v>
      </c>
    </row>
    <row r="66" spans="1:3">
      <c r="A66" s="332" t="s">
        <v>2086</v>
      </c>
      <c r="B66" s="336">
        <f>SUM(B67)</f>
        <v>1622337.47</v>
      </c>
      <c r="C66" s="336">
        <f>SUM(C67)</f>
        <v>25477.620000000003</v>
      </c>
    </row>
    <row r="67" spans="1:3" ht="22.5" customHeight="1">
      <c r="A67" s="337" t="s">
        <v>2695</v>
      </c>
      <c r="B67" s="338">
        <v>1622337.47</v>
      </c>
      <c r="C67" s="338">
        <v>25477.620000000003</v>
      </c>
    </row>
    <row r="68" spans="1:3">
      <c r="A68" s="332" t="s">
        <v>2553</v>
      </c>
      <c r="B68" s="336">
        <f>+B69+B71</f>
        <v>21608560.099999912</v>
      </c>
      <c r="C68" s="336">
        <f>+C69+C71</f>
        <v>21798303.980000027</v>
      </c>
    </row>
    <row r="69" spans="1:3">
      <c r="A69" s="332" t="s">
        <v>2091</v>
      </c>
      <c r="B69" s="336">
        <f>SUM(B70)</f>
        <v>66539.389999999985</v>
      </c>
      <c r="C69" s="336">
        <f>SUM(C70)</f>
        <v>1000</v>
      </c>
    </row>
    <row r="70" spans="1:3" ht="22.5">
      <c r="A70" s="337" t="s">
        <v>2696</v>
      </c>
      <c r="B70" s="338">
        <v>66539.389999999985</v>
      </c>
      <c r="C70" s="338">
        <v>1000</v>
      </c>
    </row>
    <row r="71" spans="1:3">
      <c r="A71" s="332" t="s">
        <v>1833</v>
      </c>
      <c r="B71" s="336">
        <f>SUM(B72:B73)</f>
        <v>21542020.709999911</v>
      </c>
      <c r="C71" s="336">
        <f>SUM(C72:C73)</f>
        <v>21797303.980000027</v>
      </c>
    </row>
    <row r="72" spans="1:3" ht="22.5">
      <c r="A72" s="337" t="s">
        <v>2697</v>
      </c>
      <c r="B72" s="338">
        <v>21010257.759999912</v>
      </c>
      <c r="C72" s="338">
        <v>21663336.330000028</v>
      </c>
    </row>
    <row r="73" spans="1:3">
      <c r="A73" s="337" t="s">
        <v>2698</v>
      </c>
      <c r="B73" s="338">
        <v>531762.94999999984</v>
      </c>
      <c r="C73" s="338">
        <v>133967.64999999997</v>
      </c>
    </row>
    <row r="74" spans="1:3">
      <c r="A74" s="332" t="s">
        <v>2554</v>
      </c>
      <c r="B74" s="336">
        <f>+B75</f>
        <v>86771406.100000337</v>
      </c>
      <c r="C74" s="336">
        <v>3226058.8499999987</v>
      </c>
    </row>
    <row r="75" spans="1:3">
      <c r="A75" s="332" t="s">
        <v>2555</v>
      </c>
      <c r="B75" s="336">
        <f>SUM(B76)</f>
        <v>86771406.100000337</v>
      </c>
      <c r="C75" s="336">
        <f>SUM(C76)</f>
        <v>3226058.8499999987</v>
      </c>
    </row>
    <row r="76" spans="1:3" ht="22.5">
      <c r="A76" s="337" t="s">
        <v>2642</v>
      </c>
      <c r="B76" s="338">
        <v>86771406.100000337</v>
      </c>
      <c r="C76" s="338">
        <v>3226058.8499999987</v>
      </c>
    </row>
    <row r="77" spans="1:3">
      <c r="A77" s="369"/>
    </row>
    <row r="78" spans="1:3" s="61" customFormat="1" ht="28.5" customHeight="1">
      <c r="A78" s="2607" t="s">
        <v>3374</v>
      </c>
      <c r="B78" s="2607"/>
      <c r="C78" s="2607"/>
    </row>
    <row r="79" spans="1:3" s="61" customFormat="1" ht="18.75" customHeight="1">
      <c r="A79" s="353" t="s">
        <v>22</v>
      </c>
      <c r="B79" s="341"/>
      <c r="C79" s="341"/>
    </row>
    <row r="80" spans="1:3" s="61" customFormat="1" ht="44.25" customHeight="1">
      <c r="A80" s="2608" t="s">
        <v>2699</v>
      </c>
      <c r="B80" s="2601"/>
      <c r="C80" s="2601"/>
    </row>
    <row r="81" spans="1:1">
      <c r="A81" s="369"/>
    </row>
    <row r="82" spans="1:1">
      <c r="A82" s="369"/>
    </row>
    <row r="83" spans="1:1">
      <c r="A83" s="369"/>
    </row>
    <row r="84" spans="1:1">
      <c r="A84" s="369"/>
    </row>
    <row r="85" spans="1:1">
      <c r="A85" s="369"/>
    </row>
    <row r="86" spans="1:1">
      <c r="A86" s="369"/>
    </row>
    <row r="87" spans="1:1">
      <c r="A87" s="369"/>
    </row>
    <row r="88" spans="1:1">
      <c r="A88" s="369"/>
    </row>
    <row r="89" spans="1:1">
      <c r="A89" s="369"/>
    </row>
    <row r="90" spans="1:1">
      <c r="A90" s="369"/>
    </row>
    <row r="91" spans="1:1">
      <c r="A91" s="369"/>
    </row>
    <row r="92" spans="1:1">
      <c r="A92" s="369"/>
    </row>
    <row r="93" spans="1:1">
      <c r="A93" s="369"/>
    </row>
    <row r="94" spans="1:1">
      <c r="A94" s="369"/>
    </row>
    <row r="95" spans="1:1">
      <c r="A95" s="369"/>
    </row>
    <row r="96" spans="1:1">
      <c r="A96" s="369"/>
    </row>
    <row r="97" spans="1:1">
      <c r="A97" s="369"/>
    </row>
    <row r="98" spans="1:1">
      <c r="A98" s="369"/>
    </row>
    <row r="99" spans="1:1">
      <c r="A99" s="369"/>
    </row>
    <row r="100" spans="1:1">
      <c r="A100" s="369"/>
    </row>
    <row r="101" spans="1:1">
      <c r="A101" s="369"/>
    </row>
  </sheetData>
  <mergeCells count="3">
    <mergeCell ref="A2:C2"/>
    <mergeCell ref="A78:C78"/>
    <mergeCell ref="A80:C80"/>
  </mergeCells>
  <pageMargins left="0.70866141732283472" right="0.70866141732283472" top="0.74803149606299213" bottom="0.74803149606299213" header="0.31496062992125984" footer="0.31496062992125984"/>
  <pageSetup paperSize="9" scale="44" orientation="portrait" r:id="rId1"/>
</worksheet>
</file>

<file path=xl/worksheets/sheet296.xml><?xml version="1.0" encoding="utf-8"?>
<worksheet xmlns="http://schemas.openxmlformats.org/spreadsheetml/2006/main" xmlns:r="http://schemas.openxmlformats.org/officeDocument/2006/relationships">
  <sheetPr>
    <pageSetUpPr fitToPage="1"/>
  </sheetPr>
  <dimension ref="A2:S32"/>
  <sheetViews>
    <sheetView zoomScaleNormal="100" workbookViewId="0"/>
  </sheetViews>
  <sheetFormatPr baseColWidth="10" defaultRowHeight="11.25"/>
  <cols>
    <col min="1" max="1" width="21.85546875" style="61" customWidth="1"/>
    <col min="2" max="2" width="15.7109375" style="61" bestFit="1" customWidth="1"/>
    <col min="3" max="4" width="11.5703125" style="61" bestFit="1" customWidth="1"/>
    <col min="5" max="5" width="13.42578125" style="61" customWidth="1"/>
    <col min="6" max="8" width="11.5703125" style="61" bestFit="1" customWidth="1"/>
    <col min="9" max="9" width="15.85546875" style="61" customWidth="1"/>
    <col min="10" max="10" width="13.140625" style="61" bestFit="1" customWidth="1"/>
    <col min="11" max="11" width="11.5703125" style="61" bestFit="1" customWidth="1"/>
    <col min="12" max="12" width="14.42578125" style="61" bestFit="1" customWidth="1"/>
    <col min="13" max="14" width="11.5703125" style="61" bestFit="1" customWidth="1"/>
    <col min="15" max="15" width="13.140625" style="61" bestFit="1" customWidth="1"/>
    <col min="16" max="16" width="11.5703125" style="61" bestFit="1" customWidth="1"/>
    <col min="17" max="17" width="14.42578125" style="61" bestFit="1" customWidth="1"/>
    <col min="18" max="18" width="17.42578125" style="61" customWidth="1"/>
    <col min="19" max="19" width="23" style="61" customWidth="1"/>
    <col min="20" max="16384" width="11.42578125" style="61"/>
  </cols>
  <sheetData>
    <row r="2" spans="1:19" ht="28.5" customHeight="1">
      <c r="A2" s="2581" t="s">
        <v>3206</v>
      </c>
      <c r="B2" s="2581"/>
      <c r="C2" s="2581"/>
      <c r="D2" s="2037"/>
      <c r="E2" s="2037"/>
      <c r="F2" s="2037"/>
      <c r="G2" s="2037"/>
      <c r="H2" s="2037"/>
      <c r="I2" s="2037"/>
      <c r="J2" s="2037"/>
      <c r="K2" s="2037"/>
      <c r="L2" s="2037"/>
      <c r="M2" s="2037"/>
      <c r="N2" s="2037"/>
      <c r="O2" s="2037"/>
      <c r="P2" s="2037"/>
      <c r="Q2" s="2037"/>
      <c r="R2" s="2037"/>
    </row>
    <row r="3" spans="1:19">
      <c r="A3" s="355"/>
      <c r="B3" s="355"/>
      <c r="C3" s="355"/>
      <c r="D3" s="356"/>
      <c r="E3" s="356"/>
      <c r="F3" s="356"/>
      <c r="G3" s="356"/>
      <c r="H3" s="356"/>
      <c r="I3" s="356"/>
      <c r="J3" s="356"/>
      <c r="K3" s="356"/>
      <c r="L3" s="356"/>
      <c r="M3" s="356"/>
      <c r="N3" s="356"/>
      <c r="O3" s="356"/>
      <c r="P3" s="356"/>
      <c r="Q3" s="356"/>
      <c r="R3" s="356"/>
    </row>
    <row r="4" spans="1:19" s="357" customFormat="1" ht="16.5" customHeight="1">
      <c r="A4" s="2237" t="s">
        <v>2580</v>
      </c>
      <c r="B4" s="2237" t="s">
        <v>6</v>
      </c>
      <c r="C4" s="2612" t="s">
        <v>190</v>
      </c>
      <c r="D4" s="2613"/>
      <c r="E4" s="2613"/>
      <c r="F4" s="2613"/>
      <c r="G4" s="2613"/>
      <c r="H4" s="2613"/>
      <c r="I4" s="2613"/>
      <c r="J4" s="2613"/>
      <c r="K4" s="2613"/>
      <c r="L4" s="2613"/>
      <c r="M4" s="2613"/>
      <c r="N4" s="2613"/>
      <c r="O4" s="2613"/>
      <c r="P4" s="2613"/>
      <c r="Q4" s="2613"/>
      <c r="R4" s="2614"/>
    </row>
    <row r="5" spans="1:19" s="350" customFormat="1" ht="31.5" customHeight="1">
      <c r="A5" s="2238"/>
      <c r="B5" s="2238"/>
      <c r="C5" s="317" t="s">
        <v>7</v>
      </c>
      <c r="D5" s="317" t="s">
        <v>8</v>
      </c>
      <c r="E5" s="317" t="s">
        <v>9</v>
      </c>
      <c r="F5" s="317" t="s">
        <v>10</v>
      </c>
      <c r="G5" s="317" t="s">
        <v>11</v>
      </c>
      <c r="H5" s="317" t="s">
        <v>12</v>
      </c>
      <c r="I5" s="317" t="s">
        <v>13</v>
      </c>
      <c r="J5" s="317" t="s">
        <v>14</v>
      </c>
      <c r="K5" s="317" t="s">
        <v>15</v>
      </c>
      <c r="L5" s="317" t="s">
        <v>16</v>
      </c>
      <c r="M5" s="317" t="s">
        <v>17</v>
      </c>
      <c r="N5" s="317" t="s">
        <v>18</v>
      </c>
      <c r="O5" s="317" t="s">
        <v>19</v>
      </c>
      <c r="P5" s="317" t="s">
        <v>20</v>
      </c>
      <c r="Q5" s="317" t="s">
        <v>21</v>
      </c>
      <c r="R5" s="317" t="s">
        <v>3375</v>
      </c>
      <c r="S5" s="358"/>
    </row>
    <row r="6" spans="1:19" s="62" customFormat="1">
      <c r="A6" s="351" t="s">
        <v>6</v>
      </c>
      <c r="B6" s="319">
        <f t="shared" ref="B6:R6" si="0">+B7+B9+B11+B14+B16+B19+B23+B27</f>
        <v>221496327.27000016</v>
      </c>
      <c r="C6" s="319">
        <f t="shared" si="0"/>
        <v>110013.15999999999</v>
      </c>
      <c r="D6" s="319">
        <f t="shared" si="0"/>
        <v>69303.509999999995</v>
      </c>
      <c r="E6" s="319">
        <f t="shared" si="0"/>
        <v>54146.57</v>
      </c>
      <c r="F6" s="319">
        <f t="shared" si="0"/>
        <v>0</v>
      </c>
      <c r="G6" s="319">
        <f t="shared" si="0"/>
        <v>88766.700000000012</v>
      </c>
      <c r="H6" s="319">
        <f t="shared" si="0"/>
        <v>808390.48</v>
      </c>
      <c r="I6" s="319">
        <f t="shared" si="0"/>
        <v>70624230.220000029</v>
      </c>
      <c r="J6" s="319">
        <f t="shared" si="0"/>
        <v>1381648.4000000001</v>
      </c>
      <c r="K6" s="319">
        <f t="shared" si="0"/>
        <v>136028.35999999999</v>
      </c>
      <c r="L6" s="319">
        <f t="shared" si="0"/>
        <v>69299740.709999993</v>
      </c>
      <c r="M6" s="319">
        <f t="shared" si="0"/>
        <v>219761.84000000003</v>
      </c>
      <c r="N6" s="319">
        <f t="shared" si="0"/>
        <v>324568</v>
      </c>
      <c r="O6" s="319">
        <f t="shared" si="0"/>
        <v>1534595.0200000007</v>
      </c>
      <c r="P6" s="319">
        <f t="shared" si="0"/>
        <v>239901.89</v>
      </c>
      <c r="Q6" s="319">
        <f t="shared" si="0"/>
        <v>29810033.579999998</v>
      </c>
      <c r="R6" s="319">
        <f t="shared" si="0"/>
        <v>46795198.830000132</v>
      </c>
    </row>
    <row r="7" spans="1:19" s="62" customFormat="1">
      <c r="A7" s="351" t="s">
        <v>2068</v>
      </c>
      <c r="B7" s="319">
        <f>SUM(B8)</f>
        <v>510185.95000000007</v>
      </c>
      <c r="C7" s="319">
        <f t="shared" ref="C7:R7" si="1">SUM(C8)</f>
        <v>0</v>
      </c>
      <c r="D7" s="319">
        <f t="shared" si="1"/>
        <v>0</v>
      </c>
      <c r="E7" s="319">
        <f t="shared" si="1"/>
        <v>0</v>
      </c>
      <c r="F7" s="319">
        <f t="shared" si="1"/>
        <v>0</v>
      </c>
      <c r="G7" s="319">
        <f t="shared" si="1"/>
        <v>0</v>
      </c>
      <c r="H7" s="319">
        <f t="shared" si="1"/>
        <v>0</v>
      </c>
      <c r="I7" s="319">
        <f t="shared" si="1"/>
        <v>461130.32000000007</v>
      </c>
      <c r="J7" s="319">
        <f t="shared" si="1"/>
        <v>0</v>
      </c>
      <c r="K7" s="319">
        <f t="shared" si="1"/>
        <v>0</v>
      </c>
      <c r="L7" s="319">
        <f t="shared" si="1"/>
        <v>0</v>
      </c>
      <c r="M7" s="319">
        <f t="shared" si="1"/>
        <v>0</v>
      </c>
      <c r="N7" s="319">
        <f t="shared" si="1"/>
        <v>0</v>
      </c>
      <c r="O7" s="319">
        <f t="shared" si="1"/>
        <v>0</v>
      </c>
      <c r="P7" s="319">
        <f t="shared" si="1"/>
        <v>0</v>
      </c>
      <c r="Q7" s="319">
        <f t="shared" si="1"/>
        <v>0</v>
      </c>
      <c r="R7" s="319">
        <f t="shared" si="1"/>
        <v>49055.63</v>
      </c>
    </row>
    <row r="8" spans="1:19" s="62" customFormat="1">
      <c r="A8" s="56" t="s">
        <v>2068</v>
      </c>
      <c r="B8" s="320">
        <v>510185.95000000007</v>
      </c>
      <c r="C8" s="320">
        <v>0</v>
      </c>
      <c r="D8" s="320">
        <v>0</v>
      </c>
      <c r="E8" s="320">
        <v>0</v>
      </c>
      <c r="F8" s="320">
        <v>0</v>
      </c>
      <c r="G8" s="320">
        <v>0</v>
      </c>
      <c r="H8" s="320">
        <v>0</v>
      </c>
      <c r="I8" s="320">
        <v>461130.32000000007</v>
      </c>
      <c r="J8" s="320">
        <v>0</v>
      </c>
      <c r="K8" s="320">
        <v>0</v>
      </c>
      <c r="L8" s="320">
        <v>0</v>
      </c>
      <c r="M8" s="320">
        <v>0</v>
      </c>
      <c r="N8" s="320">
        <v>0</v>
      </c>
      <c r="O8" s="320">
        <v>0</v>
      </c>
      <c r="P8" s="320">
        <v>0</v>
      </c>
      <c r="Q8" s="320">
        <v>0</v>
      </c>
      <c r="R8" s="320">
        <v>49055.63</v>
      </c>
    </row>
    <row r="9" spans="1:19" s="62" customFormat="1">
      <c r="A9" s="351" t="s">
        <v>2072</v>
      </c>
      <c r="B9" s="319">
        <f>SUM(B10)</f>
        <v>81508967.659999996</v>
      </c>
      <c r="C9" s="319">
        <f t="shared" ref="C9:R9" si="2">SUM(C10)</f>
        <v>1102.2</v>
      </c>
      <c r="D9" s="319">
        <f t="shared" si="2"/>
        <v>0</v>
      </c>
      <c r="E9" s="319">
        <f t="shared" si="2"/>
        <v>12000</v>
      </c>
      <c r="F9" s="319">
        <f t="shared" si="2"/>
        <v>0</v>
      </c>
      <c r="G9" s="319">
        <f t="shared" si="2"/>
        <v>10814.660000000002</v>
      </c>
      <c r="H9" s="319">
        <f t="shared" si="2"/>
        <v>148219.25</v>
      </c>
      <c r="I9" s="319">
        <f t="shared" si="2"/>
        <v>12863114.249999991</v>
      </c>
      <c r="J9" s="319">
        <f t="shared" si="2"/>
        <v>1280257.4500000002</v>
      </c>
      <c r="K9" s="319">
        <f t="shared" si="2"/>
        <v>113016.84</v>
      </c>
      <c r="L9" s="319">
        <f t="shared" si="2"/>
        <v>32887630.410000008</v>
      </c>
      <c r="M9" s="319">
        <f t="shared" si="2"/>
        <v>166337.84000000003</v>
      </c>
      <c r="N9" s="319">
        <f t="shared" si="2"/>
        <v>324568</v>
      </c>
      <c r="O9" s="319">
        <f t="shared" si="2"/>
        <v>1430876.9200000006</v>
      </c>
      <c r="P9" s="319">
        <f t="shared" si="2"/>
        <v>239901.89</v>
      </c>
      <c r="Q9" s="319">
        <f t="shared" si="2"/>
        <v>29802264.809999999</v>
      </c>
      <c r="R9" s="319">
        <f t="shared" si="2"/>
        <v>2228863.1399999987</v>
      </c>
    </row>
    <row r="10" spans="1:19" s="62" customFormat="1">
      <c r="A10" s="56" t="s">
        <v>2072</v>
      </c>
      <c r="B10" s="320">
        <v>81508967.659999996</v>
      </c>
      <c r="C10" s="320">
        <v>1102.2</v>
      </c>
      <c r="D10" s="320">
        <v>0</v>
      </c>
      <c r="E10" s="320">
        <v>12000</v>
      </c>
      <c r="F10" s="320">
        <v>0</v>
      </c>
      <c r="G10" s="320">
        <v>10814.660000000002</v>
      </c>
      <c r="H10" s="320">
        <v>148219.25</v>
      </c>
      <c r="I10" s="320">
        <v>12863114.249999991</v>
      </c>
      <c r="J10" s="320">
        <v>1280257.4500000002</v>
      </c>
      <c r="K10" s="320">
        <v>113016.84</v>
      </c>
      <c r="L10" s="320">
        <v>32887630.410000008</v>
      </c>
      <c r="M10" s="320">
        <v>166337.84000000003</v>
      </c>
      <c r="N10" s="320">
        <v>324568</v>
      </c>
      <c r="O10" s="320">
        <v>1430876.9200000006</v>
      </c>
      <c r="P10" s="320">
        <v>239901.89</v>
      </c>
      <c r="Q10" s="320">
        <v>29802264.809999999</v>
      </c>
      <c r="R10" s="320">
        <v>2228863.1399999987</v>
      </c>
    </row>
    <row r="11" spans="1:19" s="62" customFormat="1">
      <c r="A11" s="351" t="s">
        <v>2575</v>
      </c>
      <c r="B11" s="319">
        <f>SUM(B12:B13)</f>
        <v>4864045.4099999992</v>
      </c>
      <c r="C11" s="319">
        <f t="shared" ref="C11:R11" si="3">SUM(C12:C13)</f>
        <v>0</v>
      </c>
      <c r="D11" s="319">
        <f t="shared" si="3"/>
        <v>0</v>
      </c>
      <c r="E11" s="319">
        <f t="shared" si="3"/>
        <v>0</v>
      </c>
      <c r="F11" s="319">
        <f t="shared" si="3"/>
        <v>0</v>
      </c>
      <c r="G11" s="319">
        <f t="shared" si="3"/>
        <v>0</v>
      </c>
      <c r="H11" s="319">
        <f t="shared" si="3"/>
        <v>22275.8</v>
      </c>
      <c r="I11" s="319">
        <f t="shared" si="3"/>
        <v>2138990.5800000005</v>
      </c>
      <c r="J11" s="319">
        <f t="shared" si="3"/>
        <v>0</v>
      </c>
      <c r="K11" s="319">
        <f t="shared" si="3"/>
        <v>10103.269999999999</v>
      </c>
      <c r="L11" s="319">
        <f t="shared" si="3"/>
        <v>4980</v>
      </c>
      <c r="M11" s="319">
        <f t="shared" si="3"/>
        <v>0</v>
      </c>
      <c r="N11" s="319">
        <f t="shared" si="3"/>
        <v>0</v>
      </c>
      <c r="O11" s="319">
        <f t="shared" si="3"/>
        <v>6696.1</v>
      </c>
      <c r="P11" s="319">
        <f t="shared" si="3"/>
        <v>0</v>
      </c>
      <c r="Q11" s="319">
        <f t="shared" si="3"/>
        <v>0</v>
      </c>
      <c r="R11" s="319">
        <f t="shared" si="3"/>
        <v>2680999.6599999988</v>
      </c>
    </row>
    <row r="12" spans="1:19" s="62" customFormat="1">
      <c r="A12" s="56" t="s">
        <v>2056</v>
      </c>
      <c r="B12" s="320">
        <v>1456862.81</v>
      </c>
      <c r="C12" s="320">
        <v>0</v>
      </c>
      <c r="D12" s="320">
        <v>0</v>
      </c>
      <c r="E12" s="320">
        <v>0</v>
      </c>
      <c r="F12" s="320">
        <v>0</v>
      </c>
      <c r="G12" s="320">
        <v>0</v>
      </c>
      <c r="H12" s="320">
        <v>11152.8</v>
      </c>
      <c r="I12" s="320">
        <v>861969.01000000013</v>
      </c>
      <c r="J12" s="320">
        <v>0</v>
      </c>
      <c r="K12" s="320">
        <v>10103.269999999999</v>
      </c>
      <c r="L12" s="320">
        <v>2480</v>
      </c>
      <c r="M12" s="320">
        <v>0</v>
      </c>
      <c r="N12" s="320">
        <v>0</v>
      </c>
      <c r="O12" s="320">
        <v>0</v>
      </c>
      <c r="P12" s="320">
        <v>0</v>
      </c>
      <c r="Q12" s="320">
        <v>0</v>
      </c>
      <c r="R12" s="320">
        <v>571157.7300000001</v>
      </c>
    </row>
    <row r="13" spans="1:19" s="62" customFormat="1">
      <c r="A13" s="56" t="s">
        <v>2075</v>
      </c>
      <c r="B13" s="320">
        <v>3407182.5999999992</v>
      </c>
      <c r="C13" s="320">
        <v>0</v>
      </c>
      <c r="D13" s="320">
        <v>0</v>
      </c>
      <c r="E13" s="320">
        <v>0</v>
      </c>
      <c r="F13" s="320">
        <v>0</v>
      </c>
      <c r="G13" s="320">
        <v>0</v>
      </c>
      <c r="H13" s="320">
        <v>11123</v>
      </c>
      <c r="I13" s="320">
        <v>1277021.5700000003</v>
      </c>
      <c r="J13" s="320">
        <v>0</v>
      </c>
      <c r="K13" s="320">
        <v>0</v>
      </c>
      <c r="L13" s="320">
        <v>2500</v>
      </c>
      <c r="M13" s="320">
        <v>0</v>
      </c>
      <c r="N13" s="320">
        <v>0</v>
      </c>
      <c r="O13" s="320">
        <v>6696.1</v>
      </c>
      <c r="P13" s="320">
        <v>0</v>
      </c>
      <c r="Q13" s="320">
        <v>0</v>
      </c>
      <c r="R13" s="320">
        <v>2109841.9299999988</v>
      </c>
    </row>
    <row r="14" spans="1:19" s="62" customFormat="1">
      <c r="A14" s="351" t="s">
        <v>2546</v>
      </c>
      <c r="B14" s="319">
        <f>SUM(B15)</f>
        <v>5842735.0100000035</v>
      </c>
      <c r="C14" s="319">
        <f t="shared" ref="C14:R14" si="4">SUM(C15)</f>
        <v>24519.59</v>
      </c>
      <c r="D14" s="319">
        <f t="shared" si="4"/>
        <v>0</v>
      </c>
      <c r="E14" s="319">
        <f t="shared" si="4"/>
        <v>0</v>
      </c>
      <c r="F14" s="319">
        <f t="shared" si="4"/>
        <v>0</v>
      </c>
      <c r="G14" s="319">
        <f t="shared" si="4"/>
        <v>0</v>
      </c>
      <c r="H14" s="319">
        <f t="shared" si="4"/>
        <v>2500</v>
      </c>
      <c r="I14" s="319">
        <f t="shared" si="4"/>
        <v>2457156.2200000002</v>
      </c>
      <c r="J14" s="319">
        <f t="shared" si="4"/>
        <v>46.66</v>
      </c>
      <c r="K14" s="319">
        <f t="shared" si="4"/>
        <v>9600</v>
      </c>
      <c r="L14" s="319">
        <f t="shared" si="4"/>
        <v>0</v>
      </c>
      <c r="M14" s="319">
        <f t="shared" si="4"/>
        <v>0</v>
      </c>
      <c r="N14" s="319">
        <f t="shared" si="4"/>
        <v>0</v>
      </c>
      <c r="O14" s="319">
        <f t="shared" si="4"/>
        <v>4200</v>
      </c>
      <c r="P14" s="319">
        <f t="shared" si="4"/>
        <v>0</v>
      </c>
      <c r="Q14" s="319">
        <f t="shared" si="4"/>
        <v>0</v>
      </c>
      <c r="R14" s="319">
        <f t="shared" si="4"/>
        <v>3344712.5400000028</v>
      </c>
    </row>
    <row r="15" spans="1:19" s="62" customFormat="1">
      <c r="A15" s="56" t="s">
        <v>1830</v>
      </c>
      <c r="B15" s="320">
        <v>5842735.0100000035</v>
      </c>
      <c r="C15" s="320">
        <v>24519.59</v>
      </c>
      <c r="D15" s="320">
        <v>0</v>
      </c>
      <c r="E15" s="320">
        <v>0</v>
      </c>
      <c r="F15" s="320">
        <v>0</v>
      </c>
      <c r="G15" s="320">
        <v>0</v>
      </c>
      <c r="H15" s="320">
        <v>2500</v>
      </c>
      <c r="I15" s="320">
        <v>2457156.2200000002</v>
      </c>
      <c r="J15" s="320">
        <v>46.66</v>
      </c>
      <c r="K15" s="320">
        <v>9600</v>
      </c>
      <c r="L15" s="320">
        <v>0</v>
      </c>
      <c r="M15" s="320">
        <v>0</v>
      </c>
      <c r="N15" s="320">
        <v>0</v>
      </c>
      <c r="O15" s="320">
        <v>4200</v>
      </c>
      <c r="P15" s="320">
        <v>0</v>
      </c>
      <c r="Q15" s="320">
        <v>0</v>
      </c>
      <c r="R15" s="320">
        <v>3344712.5400000028</v>
      </c>
    </row>
    <row r="16" spans="1:19" s="62" customFormat="1" ht="22.5">
      <c r="A16" s="351" t="s">
        <v>2576</v>
      </c>
      <c r="B16" s="319">
        <f>SUM(B17:B18)</f>
        <v>48061358.029999994</v>
      </c>
      <c r="C16" s="319">
        <f t="shared" ref="C16:R16" si="5">SUM(C17:C18)</f>
        <v>82255.61</v>
      </c>
      <c r="D16" s="319">
        <f t="shared" si="5"/>
        <v>0</v>
      </c>
      <c r="E16" s="319">
        <f t="shared" si="5"/>
        <v>184.5</v>
      </c>
      <c r="F16" s="319">
        <f t="shared" si="5"/>
        <v>0</v>
      </c>
      <c r="G16" s="319">
        <f t="shared" si="5"/>
        <v>43731.32</v>
      </c>
      <c r="H16" s="319">
        <f t="shared" si="5"/>
        <v>70155.78</v>
      </c>
      <c r="I16" s="319">
        <f t="shared" si="5"/>
        <v>9076571.360000005</v>
      </c>
      <c r="J16" s="319">
        <f t="shared" si="5"/>
        <v>0</v>
      </c>
      <c r="K16" s="319">
        <f t="shared" si="5"/>
        <v>1</v>
      </c>
      <c r="L16" s="319">
        <f t="shared" si="5"/>
        <v>35867247.93999999</v>
      </c>
      <c r="M16" s="319">
        <f t="shared" si="5"/>
        <v>53424</v>
      </c>
      <c r="N16" s="319">
        <f t="shared" si="5"/>
        <v>0</v>
      </c>
      <c r="O16" s="319">
        <f t="shared" si="5"/>
        <v>0</v>
      </c>
      <c r="P16" s="319">
        <f t="shared" si="5"/>
        <v>0</v>
      </c>
      <c r="Q16" s="319">
        <f t="shared" si="5"/>
        <v>0</v>
      </c>
      <c r="R16" s="319">
        <f t="shared" si="5"/>
        <v>2867786.5200000047</v>
      </c>
    </row>
    <row r="17" spans="1:18" s="62" customFormat="1">
      <c r="A17" s="56" t="s">
        <v>2586</v>
      </c>
      <c r="B17" s="320">
        <v>37027992.149999984</v>
      </c>
      <c r="C17" s="320">
        <v>0</v>
      </c>
      <c r="D17" s="320">
        <v>0</v>
      </c>
      <c r="E17" s="320">
        <v>0</v>
      </c>
      <c r="F17" s="320">
        <v>0</v>
      </c>
      <c r="G17" s="320">
        <v>43731.32</v>
      </c>
      <c r="H17" s="320">
        <v>17565.16</v>
      </c>
      <c r="I17" s="320">
        <v>1034317.7899999998</v>
      </c>
      <c r="J17" s="320">
        <v>0</v>
      </c>
      <c r="K17" s="320">
        <v>0</v>
      </c>
      <c r="L17" s="320">
        <v>35800685.579999991</v>
      </c>
      <c r="M17" s="320">
        <v>0</v>
      </c>
      <c r="N17" s="320">
        <v>0</v>
      </c>
      <c r="O17" s="320">
        <v>0</v>
      </c>
      <c r="P17" s="320">
        <v>0</v>
      </c>
      <c r="Q17" s="320">
        <v>0</v>
      </c>
      <c r="R17" s="320">
        <v>131692.30000000002</v>
      </c>
    </row>
    <row r="18" spans="1:18" s="62" customFormat="1">
      <c r="A18" s="56" t="s">
        <v>2083</v>
      </c>
      <c r="B18" s="320">
        <v>11033365.88000001</v>
      </c>
      <c r="C18" s="320">
        <v>82255.61</v>
      </c>
      <c r="D18" s="320">
        <v>0</v>
      </c>
      <c r="E18" s="320">
        <v>184.5</v>
      </c>
      <c r="F18" s="320">
        <v>0</v>
      </c>
      <c r="G18" s="320">
        <v>0</v>
      </c>
      <c r="H18" s="320">
        <v>52590.62</v>
      </c>
      <c r="I18" s="320">
        <v>8042253.570000005</v>
      </c>
      <c r="J18" s="320">
        <v>0</v>
      </c>
      <c r="K18" s="320">
        <v>1</v>
      </c>
      <c r="L18" s="320">
        <v>66562.36</v>
      </c>
      <c r="M18" s="320">
        <v>53424</v>
      </c>
      <c r="N18" s="320">
        <v>0</v>
      </c>
      <c r="O18" s="320">
        <v>0</v>
      </c>
      <c r="P18" s="320">
        <v>0</v>
      </c>
      <c r="Q18" s="320">
        <v>0</v>
      </c>
      <c r="R18" s="320">
        <v>2736094.2200000049</v>
      </c>
    </row>
    <row r="19" spans="1:18" s="62" customFormat="1" ht="22.5">
      <c r="A19" s="351" t="s">
        <v>2551</v>
      </c>
      <c r="B19" s="319">
        <f>SUM(B20:B22)</f>
        <v>12230164.780000007</v>
      </c>
      <c r="C19" s="319">
        <f t="shared" ref="C19:R19" si="6">SUM(C20:C22)</f>
        <v>198.11</v>
      </c>
      <c r="D19" s="319">
        <f t="shared" si="6"/>
        <v>30598</v>
      </c>
      <c r="E19" s="319">
        <f t="shared" si="6"/>
        <v>36734.879999999997</v>
      </c>
      <c r="F19" s="319">
        <f t="shared" si="6"/>
        <v>0</v>
      </c>
      <c r="G19" s="319">
        <f t="shared" si="6"/>
        <v>2386.62</v>
      </c>
      <c r="H19" s="319">
        <f t="shared" si="6"/>
        <v>1100</v>
      </c>
      <c r="I19" s="319">
        <f t="shared" si="6"/>
        <v>4155655.9299999983</v>
      </c>
      <c r="J19" s="319">
        <f t="shared" si="6"/>
        <v>428.72</v>
      </c>
      <c r="K19" s="319">
        <f t="shared" si="6"/>
        <v>0</v>
      </c>
      <c r="L19" s="319">
        <f t="shared" si="6"/>
        <v>0</v>
      </c>
      <c r="M19" s="319">
        <f t="shared" si="6"/>
        <v>0</v>
      </c>
      <c r="N19" s="319">
        <f t="shared" si="6"/>
        <v>0</v>
      </c>
      <c r="O19" s="319">
        <f t="shared" si="6"/>
        <v>9662</v>
      </c>
      <c r="P19" s="319">
        <f t="shared" si="6"/>
        <v>0</v>
      </c>
      <c r="Q19" s="319">
        <f t="shared" si="6"/>
        <v>2000</v>
      </c>
      <c r="R19" s="319">
        <f t="shared" si="6"/>
        <v>7991400.5200000089</v>
      </c>
    </row>
    <row r="20" spans="1:18" s="62" customFormat="1">
      <c r="A20" s="56" t="s">
        <v>2086</v>
      </c>
      <c r="B20" s="320">
        <v>2076439.34</v>
      </c>
      <c r="C20" s="320">
        <v>0</v>
      </c>
      <c r="D20" s="320">
        <v>800</v>
      </c>
      <c r="E20" s="320">
        <v>452.88</v>
      </c>
      <c r="F20" s="320">
        <v>0</v>
      </c>
      <c r="G20" s="320">
        <v>1275</v>
      </c>
      <c r="H20" s="320">
        <v>900</v>
      </c>
      <c r="I20" s="320">
        <v>186931.77000000005</v>
      </c>
      <c r="J20" s="320">
        <v>0</v>
      </c>
      <c r="K20" s="320">
        <v>0</v>
      </c>
      <c r="L20" s="320">
        <v>0</v>
      </c>
      <c r="M20" s="320">
        <v>0</v>
      </c>
      <c r="N20" s="320">
        <v>0</v>
      </c>
      <c r="O20" s="320">
        <v>0</v>
      </c>
      <c r="P20" s="320">
        <v>0</v>
      </c>
      <c r="Q20" s="320">
        <v>0</v>
      </c>
      <c r="R20" s="320">
        <v>1886079.69</v>
      </c>
    </row>
    <row r="21" spans="1:18" s="62" customFormat="1">
      <c r="A21" s="56" t="s">
        <v>2587</v>
      </c>
      <c r="B21" s="320">
        <v>9381274.3700000066</v>
      </c>
      <c r="C21" s="320">
        <v>198.11</v>
      </c>
      <c r="D21" s="320">
        <v>29798</v>
      </c>
      <c r="E21" s="320">
        <v>36282</v>
      </c>
      <c r="F21" s="320">
        <v>0</v>
      </c>
      <c r="G21" s="320">
        <v>1111.6199999999999</v>
      </c>
      <c r="H21" s="320">
        <v>200</v>
      </c>
      <c r="I21" s="320">
        <v>3498287.9999999981</v>
      </c>
      <c r="J21" s="320">
        <v>428.72</v>
      </c>
      <c r="K21" s="320">
        <v>0</v>
      </c>
      <c r="L21" s="320">
        <v>0</v>
      </c>
      <c r="M21" s="320">
        <v>0</v>
      </c>
      <c r="N21" s="320">
        <v>0</v>
      </c>
      <c r="O21" s="320">
        <v>9662</v>
      </c>
      <c r="P21" s="320">
        <v>0</v>
      </c>
      <c r="Q21" s="320">
        <v>2000</v>
      </c>
      <c r="R21" s="320">
        <v>5803305.9200000083</v>
      </c>
    </row>
    <row r="22" spans="1:18" s="62" customFormat="1">
      <c r="A22" s="56" t="s">
        <v>2585</v>
      </c>
      <c r="B22" s="320">
        <v>772451.07000000007</v>
      </c>
      <c r="C22" s="320">
        <v>0</v>
      </c>
      <c r="D22" s="320">
        <v>0</v>
      </c>
      <c r="E22" s="320">
        <v>0</v>
      </c>
      <c r="F22" s="320">
        <v>0</v>
      </c>
      <c r="G22" s="320">
        <v>0</v>
      </c>
      <c r="H22" s="320">
        <v>0</v>
      </c>
      <c r="I22" s="320">
        <v>470436.16000000003</v>
      </c>
      <c r="J22" s="320">
        <v>0</v>
      </c>
      <c r="K22" s="320">
        <v>0</v>
      </c>
      <c r="L22" s="320">
        <v>0</v>
      </c>
      <c r="M22" s="320">
        <v>0</v>
      </c>
      <c r="N22" s="320">
        <v>0</v>
      </c>
      <c r="O22" s="320">
        <v>0</v>
      </c>
      <c r="P22" s="320">
        <v>0</v>
      </c>
      <c r="Q22" s="320">
        <v>0</v>
      </c>
      <c r="R22" s="320">
        <v>302014.91000000003</v>
      </c>
    </row>
    <row r="23" spans="1:18" s="62" customFormat="1" ht="22.5">
      <c r="A23" s="351" t="s">
        <v>2553</v>
      </c>
      <c r="B23" s="319">
        <f>SUM(B24:B26)</f>
        <v>23175385.540000025</v>
      </c>
      <c r="C23" s="319">
        <f t="shared" ref="C23:R23" si="7">SUM(C24:C26)</f>
        <v>1937.65</v>
      </c>
      <c r="D23" s="319">
        <f t="shared" si="7"/>
        <v>455.51</v>
      </c>
      <c r="E23" s="319">
        <f t="shared" si="7"/>
        <v>1004.4</v>
      </c>
      <c r="F23" s="319">
        <f t="shared" si="7"/>
        <v>0</v>
      </c>
      <c r="G23" s="319">
        <f t="shared" si="7"/>
        <v>20649.099999999999</v>
      </c>
      <c r="H23" s="319">
        <f t="shared" si="7"/>
        <v>529663.69000000006</v>
      </c>
      <c r="I23" s="319">
        <f t="shared" si="7"/>
        <v>21780214.750000026</v>
      </c>
      <c r="J23" s="319">
        <f t="shared" si="7"/>
        <v>78131.12</v>
      </c>
      <c r="K23" s="319">
        <f t="shared" si="7"/>
        <v>3307.25</v>
      </c>
      <c r="L23" s="319">
        <f t="shared" si="7"/>
        <v>431073.12</v>
      </c>
      <c r="M23" s="319">
        <f t="shared" si="7"/>
        <v>0</v>
      </c>
      <c r="N23" s="319">
        <f t="shared" si="7"/>
        <v>0</v>
      </c>
      <c r="O23" s="319">
        <f t="shared" si="7"/>
        <v>0</v>
      </c>
      <c r="P23" s="319">
        <f t="shared" si="7"/>
        <v>0</v>
      </c>
      <c r="Q23" s="319">
        <f t="shared" si="7"/>
        <v>1000</v>
      </c>
      <c r="R23" s="319">
        <f t="shared" si="7"/>
        <v>327948.94999999995</v>
      </c>
    </row>
    <row r="24" spans="1:18" s="62" customFormat="1">
      <c r="A24" s="56" t="s">
        <v>2091</v>
      </c>
      <c r="B24" s="320">
        <v>1000</v>
      </c>
      <c r="C24" s="320">
        <v>0</v>
      </c>
      <c r="D24" s="320">
        <v>0</v>
      </c>
      <c r="E24" s="320">
        <v>0</v>
      </c>
      <c r="F24" s="320">
        <v>0</v>
      </c>
      <c r="G24" s="320">
        <v>0</v>
      </c>
      <c r="H24" s="320">
        <v>0</v>
      </c>
      <c r="I24" s="320">
        <v>0</v>
      </c>
      <c r="J24" s="320">
        <v>0</v>
      </c>
      <c r="K24" s="320">
        <v>0</v>
      </c>
      <c r="L24" s="320">
        <v>0</v>
      </c>
      <c r="M24" s="320">
        <v>0</v>
      </c>
      <c r="N24" s="320">
        <v>0</v>
      </c>
      <c r="O24" s="320">
        <v>0</v>
      </c>
      <c r="P24" s="320">
        <v>0</v>
      </c>
      <c r="Q24" s="320">
        <v>1000</v>
      </c>
      <c r="R24" s="320">
        <v>0</v>
      </c>
    </row>
    <row r="25" spans="1:18" s="62" customFormat="1">
      <c r="A25" s="56" t="s">
        <v>2092</v>
      </c>
      <c r="B25" s="320">
        <v>1344557.26</v>
      </c>
      <c r="C25" s="320">
        <v>0</v>
      </c>
      <c r="D25" s="320">
        <v>0</v>
      </c>
      <c r="E25" s="320">
        <v>0</v>
      </c>
      <c r="F25" s="320">
        <v>0</v>
      </c>
      <c r="G25" s="320">
        <v>20649.099999999999</v>
      </c>
      <c r="H25" s="320">
        <v>520351.36000000004</v>
      </c>
      <c r="I25" s="320">
        <v>372949.92999999993</v>
      </c>
      <c r="J25" s="320">
        <v>0</v>
      </c>
      <c r="K25" s="320">
        <v>0</v>
      </c>
      <c r="L25" s="320">
        <v>430606.87</v>
      </c>
      <c r="M25" s="320">
        <v>0</v>
      </c>
      <c r="N25" s="320">
        <v>0</v>
      </c>
      <c r="O25" s="320">
        <v>0</v>
      </c>
      <c r="P25" s="320">
        <v>0</v>
      </c>
      <c r="Q25" s="320">
        <v>0</v>
      </c>
      <c r="R25" s="320">
        <v>0</v>
      </c>
    </row>
    <row r="26" spans="1:18" s="62" customFormat="1">
      <c r="A26" s="56" t="s">
        <v>1833</v>
      </c>
      <c r="B26" s="320">
        <v>21829828.280000024</v>
      </c>
      <c r="C26" s="320">
        <v>1937.65</v>
      </c>
      <c r="D26" s="320">
        <v>455.51</v>
      </c>
      <c r="E26" s="320">
        <v>1004.4</v>
      </c>
      <c r="F26" s="320">
        <v>0</v>
      </c>
      <c r="G26" s="320">
        <v>0</v>
      </c>
      <c r="H26" s="320">
        <v>9312.33</v>
      </c>
      <c r="I26" s="320">
        <v>21407264.820000026</v>
      </c>
      <c r="J26" s="320">
        <v>78131.12</v>
      </c>
      <c r="K26" s="320">
        <v>3307.25</v>
      </c>
      <c r="L26" s="320">
        <v>466.25</v>
      </c>
      <c r="M26" s="320">
        <v>0</v>
      </c>
      <c r="N26" s="320">
        <v>0</v>
      </c>
      <c r="O26" s="320">
        <v>0</v>
      </c>
      <c r="P26" s="320">
        <v>0</v>
      </c>
      <c r="Q26" s="320">
        <v>0</v>
      </c>
      <c r="R26" s="320">
        <v>327948.94999999995</v>
      </c>
    </row>
    <row r="27" spans="1:18" s="62" customFormat="1" ht="22.5">
      <c r="A27" s="351" t="s">
        <v>2554</v>
      </c>
      <c r="B27" s="319">
        <f>SUM(B28)</f>
        <v>45303484.89000012</v>
      </c>
      <c r="C27" s="319">
        <f t="shared" ref="C27:R27" si="8">SUM(C28)</f>
        <v>0</v>
      </c>
      <c r="D27" s="319">
        <f t="shared" si="8"/>
        <v>38250</v>
      </c>
      <c r="E27" s="319">
        <f t="shared" si="8"/>
        <v>4222.79</v>
      </c>
      <c r="F27" s="319">
        <f t="shared" si="8"/>
        <v>0</v>
      </c>
      <c r="G27" s="319">
        <f t="shared" si="8"/>
        <v>11185</v>
      </c>
      <c r="H27" s="319">
        <f t="shared" si="8"/>
        <v>34475.96</v>
      </c>
      <c r="I27" s="319">
        <f t="shared" si="8"/>
        <v>17691396.809999995</v>
      </c>
      <c r="J27" s="319">
        <f t="shared" si="8"/>
        <v>22784.449999999997</v>
      </c>
      <c r="K27" s="319">
        <f t="shared" si="8"/>
        <v>0</v>
      </c>
      <c r="L27" s="319">
        <f t="shared" si="8"/>
        <v>108809.24</v>
      </c>
      <c r="M27" s="319">
        <f t="shared" si="8"/>
        <v>0</v>
      </c>
      <c r="N27" s="319">
        <f t="shared" si="8"/>
        <v>0</v>
      </c>
      <c r="O27" s="319">
        <f t="shared" si="8"/>
        <v>83160</v>
      </c>
      <c r="P27" s="319">
        <f t="shared" si="8"/>
        <v>0</v>
      </c>
      <c r="Q27" s="319">
        <f t="shared" si="8"/>
        <v>4768.7700000000004</v>
      </c>
      <c r="R27" s="319">
        <f t="shared" si="8"/>
        <v>27304431.87000012</v>
      </c>
    </row>
    <row r="28" spans="1:18" s="62" customFormat="1">
      <c r="A28" s="56" t="s">
        <v>2555</v>
      </c>
      <c r="B28" s="320">
        <v>45303484.89000012</v>
      </c>
      <c r="C28" s="320">
        <v>0</v>
      </c>
      <c r="D28" s="320">
        <v>38250</v>
      </c>
      <c r="E28" s="320">
        <v>4222.79</v>
      </c>
      <c r="F28" s="320">
        <v>0</v>
      </c>
      <c r="G28" s="320">
        <v>11185</v>
      </c>
      <c r="H28" s="320">
        <v>34475.96</v>
      </c>
      <c r="I28" s="320">
        <v>17691396.809999995</v>
      </c>
      <c r="J28" s="320">
        <v>22784.449999999997</v>
      </c>
      <c r="K28" s="320">
        <v>0</v>
      </c>
      <c r="L28" s="320">
        <v>108809.24</v>
      </c>
      <c r="M28" s="320">
        <v>0</v>
      </c>
      <c r="N28" s="320">
        <v>0</v>
      </c>
      <c r="O28" s="320">
        <v>83160</v>
      </c>
      <c r="P28" s="320">
        <v>0</v>
      </c>
      <c r="Q28" s="320">
        <v>4768.7700000000004</v>
      </c>
      <c r="R28" s="320">
        <v>27304431.87000012</v>
      </c>
    </row>
    <row r="30" spans="1:18" ht="33" customHeight="1">
      <c r="A30" s="2124" t="s">
        <v>3368</v>
      </c>
      <c r="B30" s="2124"/>
      <c r="C30" s="2124"/>
      <c r="D30" s="2124"/>
      <c r="E30" s="2124"/>
      <c r="F30" s="2124"/>
      <c r="G30" s="2124"/>
      <c r="H30" s="2124"/>
      <c r="I30" s="2124"/>
      <c r="J30" s="2124"/>
      <c r="K30" s="2124"/>
      <c r="L30" s="2124"/>
      <c r="M30" s="2124"/>
      <c r="N30" s="2124"/>
      <c r="O30" s="2124"/>
      <c r="P30" s="2124"/>
      <c r="Q30" s="2124"/>
      <c r="R30" s="2124"/>
    </row>
    <row r="31" spans="1:18">
      <c r="A31" s="347" t="s">
        <v>22</v>
      </c>
      <c r="B31" s="354"/>
      <c r="C31" s="354"/>
    </row>
    <row r="32" spans="1:18">
      <c r="A32" s="2610" t="s">
        <v>2699</v>
      </c>
      <c r="B32" s="2601"/>
      <c r="C32" s="2601"/>
    </row>
  </sheetData>
  <mergeCells count="6">
    <mergeCell ref="A32:C32"/>
    <mergeCell ref="A2:R2"/>
    <mergeCell ref="A4:A5"/>
    <mergeCell ref="B4:B5"/>
    <mergeCell ref="C4:R4"/>
    <mergeCell ref="A30:R30"/>
  </mergeCells>
  <pageMargins left="0.70866141732283472" right="0.70866141732283472" top="0.74803149606299213" bottom="0.74803149606299213" header="0.31496062992125984" footer="0.31496062992125984"/>
  <pageSetup paperSize="9" scale="60" orientation="landscape" r:id="rId1"/>
</worksheet>
</file>

<file path=xl/worksheets/sheet297.xml><?xml version="1.0" encoding="utf-8"?>
<worksheet xmlns="http://schemas.openxmlformats.org/spreadsheetml/2006/main" xmlns:r="http://schemas.openxmlformats.org/officeDocument/2006/relationships">
  <sheetPr>
    <pageSetUpPr fitToPage="1"/>
  </sheetPr>
  <dimension ref="A2:R125"/>
  <sheetViews>
    <sheetView topLeftCell="A103" zoomScaleNormal="100" workbookViewId="0">
      <selection activeCell="B123" sqref="B123"/>
    </sheetView>
  </sheetViews>
  <sheetFormatPr baseColWidth="10" defaultRowHeight="11.25"/>
  <cols>
    <col min="1" max="1" width="28.140625" style="62" customWidth="1"/>
    <col min="2" max="2" width="14" style="329" bestFit="1" customWidth="1"/>
    <col min="3" max="4" width="11.42578125" style="329"/>
    <col min="5" max="5" width="12" style="329" customWidth="1"/>
    <col min="6" max="6" width="10.28515625" style="329" customWidth="1"/>
    <col min="7" max="8" width="11.42578125" style="329"/>
    <col min="9" max="9" width="13.7109375" style="329" customWidth="1"/>
    <col min="10" max="11" width="11.42578125" style="329"/>
    <col min="12" max="12" width="12.7109375" style="329" bestFit="1" customWidth="1"/>
    <col min="13" max="16" width="11.42578125" style="329"/>
    <col min="17" max="17" width="12.7109375" style="329" bestFit="1" customWidth="1"/>
    <col min="18" max="18" width="17.7109375" style="329" customWidth="1"/>
    <col min="19" max="16384" width="11.42578125" style="62"/>
  </cols>
  <sheetData>
    <row r="2" spans="1:18" ht="19.5" customHeight="1">
      <c r="A2" s="2500" t="s">
        <v>3207</v>
      </c>
      <c r="B2" s="2500"/>
      <c r="C2" s="2500"/>
      <c r="D2" s="2502"/>
      <c r="E2" s="2502"/>
      <c r="F2" s="2502"/>
      <c r="G2" s="2502"/>
      <c r="H2" s="2502"/>
      <c r="I2" s="2502"/>
      <c r="J2" s="2502"/>
      <c r="K2" s="2502"/>
      <c r="L2" s="2502"/>
      <c r="M2" s="2502"/>
      <c r="N2" s="2502"/>
      <c r="O2" s="2502"/>
      <c r="P2" s="2502"/>
      <c r="Q2" s="2502"/>
      <c r="R2" s="2502"/>
    </row>
    <row r="3" spans="1:18" ht="9.75" customHeight="1">
      <c r="A3" s="284"/>
      <c r="B3" s="284"/>
      <c r="C3" s="284"/>
      <c r="D3" s="318"/>
      <c r="E3" s="318"/>
      <c r="F3" s="318"/>
      <c r="G3" s="318"/>
      <c r="H3" s="318"/>
      <c r="I3" s="318"/>
      <c r="J3" s="318"/>
      <c r="K3" s="318"/>
      <c r="L3" s="318"/>
      <c r="M3" s="318"/>
      <c r="N3" s="318"/>
      <c r="O3" s="318"/>
      <c r="P3" s="318"/>
      <c r="Q3" s="318"/>
      <c r="R3" s="318"/>
    </row>
    <row r="4" spans="1:18" s="350" customFormat="1" ht="20.25" customHeight="1">
      <c r="A4" s="2237" t="s">
        <v>2594</v>
      </c>
      <c r="B4" s="2237" t="s">
        <v>6</v>
      </c>
      <c r="C4" s="2615" t="s">
        <v>190</v>
      </c>
      <c r="D4" s="2616"/>
      <c r="E4" s="2616"/>
      <c r="F4" s="2616"/>
      <c r="G4" s="2616"/>
      <c r="H4" s="2616"/>
      <c r="I4" s="2616"/>
      <c r="J4" s="2616"/>
      <c r="K4" s="2616"/>
      <c r="L4" s="2616"/>
      <c r="M4" s="2616"/>
      <c r="N4" s="2616"/>
      <c r="O4" s="2616"/>
      <c r="P4" s="2616"/>
      <c r="Q4" s="2616"/>
      <c r="R4" s="2617"/>
    </row>
    <row r="5" spans="1:18" s="350" customFormat="1" ht="27.75" customHeight="1">
      <c r="A5" s="2238"/>
      <c r="B5" s="2238"/>
      <c r="C5" s="317" t="s">
        <v>7</v>
      </c>
      <c r="D5" s="317" t="s">
        <v>8</v>
      </c>
      <c r="E5" s="317" t="s">
        <v>9</v>
      </c>
      <c r="F5" s="317" t="s">
        <v>10</v>
      </c>
      <c r="G5" s="317" t="s">
        <v>11</v>
      </c>
      <c r="H5" s="317" t="s">
        <v>12</v>
      </c>
      <c r="I5" s="317" t="s">
        <v>13</v>
      </c>
      <c r="J5" s="317" t="s">
        <v>14</v>
      </c>
      <c r="K5" s="317" t="s">
        <v>15</v>
      </c>
      <c r="L5" s="317" t="s">
        <v>16</v>
      </c>
      <c r="M5" s="317" t="s">
        <v>17</v>
      </c>
      <c r="N5" s="317" t="s">
        <v>18</v>
      </c>
      <c r="O5" s="317" t="s">
        <v>19</v>
      </c>
      <c r="P5" s="317" t="s">
        <v>20</v>
      </c>
      <c r="Q5" s="317" t="s">
        <v>21</v>
      </c>
      <c r="R5" s="317" t="s">
        <v>3375</v>
      </c>
    </row>
    <row r="6" spans="1:18">
      <c r="A6" s="351" t="s">
        <v>6</v>
      </c>
      <c r="B6" s="348">
        <f t="shared" ref="B6:R6" si="0">+B7+B11+B46+B65+B72+B93+B103+B112</f>
        <v>221496327.27000013</v>
      </c>
      <c r="C6" s="348">
        <f t="shared" si="0"/>
        <v>110013.15999999999</v>
      </c>
      <c r="D6" s="348">
        <f t="shared" si="0"/>
        <v>69303.509999999995</v>
      </c>
      <c r="E6" s="348">
        <f t="shared" si="0"/>
        <v>54146.57</v>
      </c>
      <c r="F6" s="348">
        <f t="shared" si="0"/>
        <v>0</v>
      </c>
      <c r="G6" s="348">
        <f t="shared" si="0"/>
        <v>88766.700000000012</v>
      </c>
      <c r="H6" s="348">
        <f t="shared" si="0"/>
        <v>808390.48</v>
      </c>
      <c r="I6" s="348">
        <f t="shared" si="0"/>
        <v>70624230.220000029</v>
      </c>
      <c r="J6" s="348">
        <f t="shared" si="0"/>
        <v>1381648.4000000001</v>
      </c>
      <c r="K6" s="348">
        <f t="shared" si="0"/>
        <v>136028.36000000002</v>
      </c>
      <c r="L6" s="348">
        <f t="shared" si="0"/>
        <v>69299740.709999979</v>
      </c>
      <c r="M6" s="348">
        <f t="shared" si="0"/>
        <v>219761.84000000003</v>
      </c>
      <c r="N6" s="348">
        <f t="shared" si="0"/>
        <v>324568</v>
      </c>
      <c r="O6" s="348">
        <f t="shared" si="0"/>
        <v>1534595.02</v>
      </c>
      <c r="P6" s="348">
        <f t="shared" si="0"/>
        <v>239901.89</v>
      </c>
      <c r="Q6" s="348">
        <f t="shared" si="0"/>
        <v>29810033.579999998</v>
      </c>
      <c r="R6" s="348">
        <f t="shared" si="0"/>
        <v>46795198.830000147</v>
      </c>
    </row>
    <row r="7" spans="1:18">
      <c r="A7" s="351" t="s">
        <v>2068</v>
      </c>
      <c r="B7" s="348">
        <f>+B8</f>
        <v>510185.95000000007</v>
      </c>
      <c r="C7" s="348">
        <f t="shared" ref="C7:R7" si="1">+C8</f>
        <v>0</v>
      </c>
      <c r="D7" s="348">
        <f t="shared" si="1"/>
        <v>0</v>
      </c>
      <c r="E7" s="348">
        <f t="shared" si="1"/>
        <v>0</v>
      </c>
      <c r="F7" s="348">
        <f t="shared" si="1"/>
        <v>0</v>
      </c>
      <c r="G7" s="348">
        <f t="shared" si="1"/>
        <v>0</v>
      </c>
      <c r="H7" s="348">
        <f t="shared" si="1"/>
        <v>0</v>
      </c>
      <c r="I7" s="348">
        <f t="shared" si="1"/>
        <v>461130.32000000007</v>
      </c>
      <c r="J7" s="348">
        <f t="shared" si="1"/>
        <v>0</v>
      </c>
      <c r="K7" s="348">
        <f t="shared" si="1"/>
        <v>0</v>
      </c>
      <c r="L7" s="348">
        <f t="shared" si="1"/>
        <v>0</v>
      </c>
      <c r="M7" s="348">
        <f t="shared" si="1"/>
        <v>0</v>
      </c>
      <c r="N7" s="348">
        <f t="shared" si="1"/>
        <v>0</v>
      </c>
      <c r="O7" s="348">
        <f t="shared" si="1"/>
        <v>0</v>
      </c>
      <c r="P7" s="348">
        <f t="shared" si="1"/>
        <v>0</v>
      </c>
      <c r="Q7" s="348">
        <f t="shared" si="1"/>
        <v>0</v>
      </c>
      <c r="R7" s="348">
        <f t="shared" si="1"/>
        <v>49055.63</v>
      </c>
    </row>
    <row r="8" spans="1:18">
      <c r="A8" s="351" t="s">
        <v>2068</v>
      </c>
      <c r="B8" s="348">
        <f>SUM(B9:B10)</f>
        <v>510185.95000000007</v>
      </c>
      <c r="C8" s="348">
        <f t="shared" ref="C8:R8" si="2">SUM(C9:C10)</f>
        <v>0</v>
      </c>
      <c r="D8" s="348">
        <f t="shared" si="2"/>
        <v>0</v>
      </c>
      <c r="E8" s="348">
        <f t="shared" si="2"/>
        <v>0</v>
      </c>
      <c r="F8" s="348">
        <f t="shared" si="2"/>
        <v>0</v>
      </c>
      <c r="G8" s="348">
        <f t="shared" si="2"/>
        <v>0</v>
      </c>
      <c r="H8" s="348">
        <f t="shared" si="2"/>
        <v>0</v>
      </c>
      <c r="I8" s="348">
        <f t="shared" si="2"/>
        <v>461130.32000000007</v>
      </c>
      <c r="J8" s="348">
        <f t="shared" si="2"/>
        <v>0</v>
      </c>
      <c r="K8" s="348">
        <f t="shared" si="2"/>
        <v>0</v>
      </c>
      <c r="L8" s="348">
        <f t="shared" si="2"/>
        <v>0</v>
      </c>
      <c r="M8" s="348">
        <f t="shared" si="2"/>
        <v>0</v>
      </c>
      <c r="N8" s="348">
        <f t="shared" si="2"/>
        <v>0</v>
      </c>
      <c r="O8" s="348">
        <f t="shared" si="2"/>
        <v>0</v>
      </c>
      <c r="P8" s="348">
        <f t="shared" si="2"/>
        <v>0</v>
      </c>
      <c r="Q8" s="348">
        <f t="shared" si="2"/>
        <v>0</v>
      </c>
      <c r="R8" s="348">
        <f t="shared" si="2"/>
        <v>49055.63</v>
      </c>
    </row>
    <row r="9" spans="1:18">
      <c r="A9" s="56" t="s">
        <v>2700</v>
      </c>
      <c r="B9" s="352">
        <v>141887.38</v>
      </c>
      <c r="C9" s="352">
        <v>0</v>
      </c>
      <c r="D9" s="352">
        <v>0</v>
      </c>
      <c r="E9" s="352">
        <v>0</v>
      </c>
      <c r="F9" s="352">
        <v>0</v>
      </c>
      <c r="G9" s="352">
        <v>0</v>
      </c>
      <c r="H9" s="352">
        <v>0</v>
      </c>
      <c r="I9" s="352">
        <v>92831.75</v>
      </c>
      <c r="J9" s="352">
        <v>0</v>
      </c>
      <c r="K9" s="352">
        <v>0</v>
      </c>
      <c r="L9" s="352">
        <v>0</v>
      </c>
      <c r="M9" s="352">
        <v>0</v>
      </c>
      <c r="N9" s="352">
        <v>0</v>
      </c>
      <c r="O9" s="352">
        <v>0</v>
      </c>
      <c r="P9" s="352">
        <v>0</v>
      </c>
      <c r="Q9" s="352">
        <v>0</v>
      </c>
      <c r="R9" s="352">
        <v>49055.63</v>
      </c>
    </row>
    <row r="10" spans="1:18">
      <c r="A10" s="56" t="s">
        <v>2652</v>
      </c>
      <c r="B10" s="352">
        <v>368298.57000000007</v>
      </c>
      <c r="C10" s="352">
        <v>0</v>
      </c>
      <c r="D10" s="352">
        <v>0</v>
      </c>
      <c r="E10" s="352">
        <v>0</v>
      </c>
      <c r="F10" s="352">
        <v>0</v>
      </c>
      <c r="G10" s="352">
        <v>0</v>
      </c>
      <c r="H10" s="352">
        <v>0</v>
      </c>
      <c r="I10" s="352">
        <v>368298.57000000007</v>
      </c>
      <c r="J10" s="352">
        <v>0</v>
      </c>
      <c r="K10" s="352">
        <v>0</v>
      </c>
      <c r="L10" s="352">
        <v>0</v>
      </c>
      <c r="M10" s="352">
        <v>0</v>
      </c>
      <c r="N10" s="352">
        <v>0</v>
      </c>
      <c r="O10" s="352">
        <v>0</v>
      </c>
      <c r="P10" s="352">
        <v>0</v>
      </c>
      <c r="Q10" s="352">
        <v>0</v>
      </c>
      <c r="R10" s="352">
        <v>0</v>
      </c>
    </row>
    <row r="11" spans="1:18">
      <c r="A11" s="351" t="s">
        <v>2072</v>
      </c>
      <c r="B11" s="348">
        <f>+B12</f>
        <v>81508967.659999982</v>
      </c>
      <c r="C11" s="348">
        <f t="shared" ref="C11:R11" si="3">+C12</f>
        <v>1102.2</v>
      </c>
      <c r="D11" s="348">
        <f t="shared" si="3"/>
        <v>0</v>
      </c>
      <c r="E11" s="348">
        <f t="shared" si="3"/>
        <v>12000</v>
      </c>
      <c r="F11" s="348">
        <f t="shared" si="3"/>
        <v>0</v>
      </c>
      <c r="G11" s="348">
        <f t="shared" si="3"/>
        <v>10814.660000000002</v>
      </c>
      <c r="H11" s="348">
        <f t="shared" si="3"/>
        <v>148219.24999999997</v>
      </c>
      <c r="I11" s="348">
        <f t="shared" si="3"/>
        <v>12863114.250000002</v>
      </c>
      <c r="J11" s="348">
        <f t="shared" si="3"/>
        <v>1280257.4500000002</v>
      </c>
      <c r="K11" s="348">
        <f t="shared" si="3"/>
        <v>113016.84000000001</v>
      </c>
      <c r="L11" s="348">
        <f t="shared" si="3"/>
        <v>32887630.409999989</v>
      </c>
      <c r="M11" s="348">
        <f t="shared" si="3"/>
        <v>166337.84000000003</v>
      </c>
      <c r="N11" s="348">
        <f t="shared" si="3"/>
        <v>324568</v>
      </c>
      <c r="O11" s="348">
        <f t="shared" si="3"/>
        <v>1430876.92</v>
      </c>
      <c r="P11" s="348">
        <f t="shared" si="3"/>
        <v>239901.89</v>
      </c>
      <c r="Q11" s="348">
        <f t="shared" si="3"/>
        <v>29802264.809999999</v>
      </c>
      <c r="R11" s="348">
        <f t="shared" si="3"/>
        <v>2228863.14</v>
      </c>
    </row>
    <row r="12" spans="1:18">
      <c r="A12" s="351" t="s">
        <v>2072</v>
      </c>
      <c r="B12" s="348">
        <f>SUM(B13:B45)</f>
        <v>81508967.659999982</v>
      </c>
      <c r="C12" s="348">
        <f t="shared" ref="C12:R12" si="4">SUM(C13:C45)</f>
        <v>1102.2</v>
      </c>
      <c r="D12" s="348">
        <f t="shared" si="4"/>
        <v>0</v>
      </c>
      <c r="E12" s="348">
        <f t="shared" si="4"/>
        <v>12000</v>
      </c>
      <c r="F12" s="348">
        <f t="shared" si="4"/>
        <v>0</v>
      </c>
      <c r="G12" s="348">
        <f t="shared" si="4"/>
        <v>10814.660000000002</v>
      </c>
      <c r="H12" s="348">
        <f t="shared" si="4"/>
        <v>148219.24999999997</v>
      </c>
      <c r="I12" s="348">
        <f t="shared" si="4"/>
        <v>12863114.250000002</v>
      </c>
      <c r="J12" s="348">
        <f t="shared" si="4"/>
        <v>1280257.4500000002</v>
      </c>
      <c r="K12" s="348">
        <f t="shared" si="4"/>
        <v>113016.84000000001</v>
      </c>
      <c r="L12" s="348">
        <f t="shared" si="4"/>
        <v>32887630.409999989</v>
      </c>
      <c r="M12" s="348">
        <f t="shared" si="4"/>
        <v>166337.84000000003</v>
      </c>
      <c r="N12" s="348">
        <f t="shared" si="4"/>
        <v>324568</v>
      </c>
      <c r="O12" s="348">
        <f t="shared" si="4"/>
        <v>1430876.92</v>
      </c>
      <c r="P12" s="348">
        <f t="shared" si="4"/>
        <v>239901.89</v>
      </c>
      <c r="Q12" s="348">
        <f t="shared" si="4"/>
        <v>29802264.809999999</v>
      </c>
      <c r="R12" s="348">
        <f t="shared" si="4"/>
        <v>2228863.14</v>
      </c>
    </row>
    <row r="13" spans="1:18">
      <c r="A13" s="56" t="s">
        <v>2653</v>
      </c>
      <c r="B13" s="352">
        <v>28352.3</v>
      </c>
      <c r="C13" s="352">
        <v>0</v>
      </c>
      <c r="D13" s="352">
        <v>0</v>
      </c>
      <c r="E13" s="352">
        <v>0</v>
      </c>
      <c r="F13" s="352">
        <v>0</v>
      </c>
      <c r="G13" s="352">
        <v>0</v>
      </c>
      <c r="H13" s="352">
        <v>0</v>
      </c>
      <c r="I13" s="352">
        <v>12458.3</v>
      </c>
      <c r="J13" s="352">
        <v>0</v>
      </c>
      <c r="K13" s="352">
        <v>0</v>
      </c>
      <c r="L13" s="352">
        <v>0</v>
      </c>
      <c r="M13" s="352">
        <v>0</v>
      </c>
      <c r="N13" s="352">
        <v>0</v>
      </c>
      <c r="O13" s="352">
        <v>0</v>
      </c>
      <c r="P13" s="352">
        <v>15894</v>
      </c>
      <c r="Q13" s="352">
        <v>0</v>
      </c>
      <c r="R13" s="352">
        <v>0</v>
      </c>
    </row>
    <row r="14" spans="1:18">
      <c r="A14" s="56" t="s">
        <v>2654</v>
      </c>
      <c r="B14" s="352">
        <v>42092.81</v>
      </c>
      <c r="C14" s="352">
        <v>0</v>
      </c>
      <c r="D14" s="352">
        <v>0</v>
      </c>
      <c r="E14" s="352">
        <v>0</v>
      </c>
      <c r="F14" s="352">
        <v>0</v>
      </c>
      <c r="G14" s="352">
        <v>0</v>
      </c>
      <c r="H14" s="352">
        <v>0</v>
      </c>
      <c r="I14" s="352">
        <v>165.83</v>
      </c>
      <c r="J14" s="352">
        <v>0</v>
      </c>
      <c r="K14" s="352">
        <v>0</v>
      </c>
      <c r="L14" s="352">
        <v>0</v>
      </c>
      <c r="M14" s="352">
        <v>0</v>
      </c>
      <c r="N14" s="352">
        <v>0</v>
      </c>
      <c r="O14" s="352">
        <v>0</v>
      </c>
      <c r="P14" s="352">
        <v>0</v>
      </c>
      <c r="Q14" s="352">
        <v>0</v>
      </c>
      <c r="R14" s="352">
        <v>41926.979999999996</v>
      </c>
    </row>
    <row r="15" spans="1:18" ht="33.75">
      <c r="A15" s="56" t="s">
        <v>2655</v>
      </c>
      <c r="B15" s="352">
        <v>270923.11000000004</v>
      </c>
      <c r="C15" s="352">
        <v>0</v>
      </c>
      <c r="D15" s="352">
        <v>0</v>
      </c>
      <c r="E15" s="352">
        <v>0</v>
      </c>
      <c r="F15" s="352">
        <v>0</v>
      </c>
      <c r="G15" s="352">
        <v>0</v>
      </c>
      <c r="H15" s="352">
        <v>0</v>
      </c>
      <c r="I15" s="352">
        <v>248253.39000000004</v>
      </c>
      <c r="J15" s="352">
        <v>0</v>
      </c>
      <c r="K15" s="352">
        <v>0</v>
      </c>
      <c r="L15" s="352">
        <v>0</v>
      </c>
      <c r="M15" s="352">
        <v>215</v>
      </c>
      <c r="N15" s="352">
        <v>0</v>
      </c>
      <c r="O15" s="352">
        <v>0</v>
      </c>
      <c r="P15" s="352">
        <v>0</v>
      </c>
      <c r="Q15" s="352">
        <v>0</v>
      </c>
      <c r="R15" s="352">
        <v>22454.720000000001</v>
      </c>
    </row>
    <row r="16" spans="1:18" ht="22.5">
      <c r="A16" s="56" t="s">
        <v>2656</v>
      </c>
      <c r="B16" s="352">
        <v>167924.55</v>
      </c>
      <c r="C16" s="352">
        <v>0</v>
      </c>
      <c r="D16" s="352">
        <v>0</v>
      </c>
      <c r="E16" s="352">
        <v>0</v>
      </c>
      <c r="F16" s="352">
        <v>0</v>
      </c>
      <c r="G16" s="352">
        <v>0</v>
      </c>
      <c r="H16" s="352">
        <v>90154.389999999985</v>
      </c>
      <c r="I16" s="352">
        <v>10123</v>
      </c>
      <c r="J16" s="352">
        <v>0</v>
      </c>
      <c r="K16" s="352">
        <v>0</v>
      </c>
      <c r="L16" s="352">
        <v>0</v>
      </c>
      <c r="M16" s="352">
        <v>0</v>
      </c>
      <c r="N16" s="352">
        <v>0</v>
      </c>
      <c r="O16" s="352">
        <v>0</v>
      </c>
      <c r="P16" s="352">
        <v>0</v>
      </c>
      <c r="Q16" s="352">
        <v>4164.74</v>
      </c>
      <c r="R16" s="352">
        <v>63482.42</v>
      </c>
    </row>
    <row r="17" spans="1:18">
      <c r="A17" s="56" t="s">
        <v>2657</v>
      </c>
      <c r="B17" s="352">
        <v>39153.87999999999</v>
      </c>
      <c r="C17" s="352">
        <v>0</v>
      </c>
      <c r="D17" s="352">
        <v>0</v>
      </c>
      <c r="E17" s="352">
        <v>0</v>
      </c>
      <c r="F17" s="352">
        <v>0</v>
      </c>
      <c r="G17" s="352">
        <v>0</v>
      </c>
      <c r="H17" s="352">
        <v>0</v>
      </c>
      <c r="I17" s="352">
        <v>18474.82</v>
      </c>
      <c r="J17" s="352">
        <v>0</v>
      </c>
      <c r="K17" s="352">
        <v>0</v>
      </c>
      <c r="L17" s="352">
        <v>0</v>
      </c>
      <c r="M17" s="352">
        <v>213.35</v>
      </c>
      <c r="N17" s="352">
        <v>0</v>
      </c>
      <c r="O17" s="352">
        <v>0</v>
      </c>
      <c r="P17" s="352">
        <v>0</v>
      </c>
      <c r="Q17" s="352">
        <v>0</v>
      </c>
      <c r="R17" s="352">
        <v>20465.709999999995</v>
      </c>
    </row>
    <row r="18" spans="1:18" ht="22.5">
      <c r="A18" s="56" t="s">
        <v>2658</v>
      </c>
      <c r="B18" s="352">
        <v>594934.93999999994</v>
      </c>
      <c r="C18" s="352">
        <v>0</v>
      </c>
      <c r="D18" s="352">
        <v>0</v>
      </c>
      <c r="E18" s="352">
        <v>0</v>
      </c>
      <c r="F18" s="352">
        <v>0</v>
      </c>
      <c r="G18" s="352">
        <v>0</v>
      </c>
      <c r="H18" s="352">
        <v>9182.2899999999991</v>
      </c>
      <c r="I18" s="352">
        <v>107472.46999999999</v>
      </c>
      <c r="J18" s="352">
        <v>0</v>
      </c>
      <c r="K18" s="352">
        <v>0</v>
      </c>
      <c r="L18" s="352">
        <v>0</v>
      </c>
      <c r="M18" s="352">
        <v>1851.3</v>
      </c>
      <c r="N18" s="352">
        <v>0</v>
      </c>
      <c r="O18" s="352">
        <v>0</v>
      </c>
      <c r="P18" s="352">
        <v>0</v>
      </c>
      <c r="Q18" s="352">
        <v>0</v>
      </c>
      <c r="R18" s="352">
        <v>476428.87999999995</v>
      </c>
    </row>
    <row r="19" spans="1:18">
      <c r="A19" s="56" t="s">
        <v>2659</v>
      </c>
      <c r="B19" s="352">
        <v>4000</v>
      </c>
      <c r="C19" s="352">
        <v>0</v>
      </c>
      <c r="D19" s="352">
        <v>0</v>
      </c>
      <c r="E19" s="352">
        <v>0</v>
      </c>
      <c r="F19" s="352">
        <v>0</v>
      </c>
      <c r="G19" s="352">
        <v>0</v>
      </c>
      <c r="H19" s="352">
        <v>0</v>
      </c>
      <c r="I19" s="352">
        <v>4000</v>
      </c>
      <c r="J19" s="352">
        <v>0</v>
      </c>
      <c r="K19" s="352">
        <v>0</v>
      </c>
      <c r="L19" s="352">
        <v>0</v>
      </c>
      <c r="M19" s="352">
        <v>0</v>
      </c>
      <c r="N19" s="352">
        <v>0</v>
      </c>
      <c r="O19" s="352">
        <v>0</v>
      </c>
      <c r="P19" s="352">
        <v>0</v>
      </c>
      <c r="Q19" s="352">
        <v>0</v>
      </c>
      <c r="R19" s="352">
        <v>0</v>
      </c>
    </row>
    <row r="20" spans="1:18" ht="22.5">
      <c r="A20" s="56" t="s">
        <v>2660</v>
      </c>
      <c r="B20" s="352">
        <v>1175.04</v>
      </c>
      <c r="C20" s="352">
        <v>0</v>
      </c>
      <c r="D20" s="352">
        <v>0</v>
      </c>
      <c r="E20" s="352">
        <v>0</v>
      </c>
      <c r="F20" s="352">
        <v>0</v>
      </c>
      <c r="G20" s="352">
        <v>0</v>
      </c>
      <c r="H20" s="352">
        <v>0</v>
      </c>
      <c r="I20" s="352">
        <v>0</v>
      </c>
      <c r="J20" s="352">
        <v>0</v>
      </c>
      <c r="K20" s="352">
        <v>0</v>
      </c>
      <c r="L20" s="352">
        <v>0</v>
      </c>
      <c r="M20" s="352">
        <v>0</v>
      </c>
      <c r="N20" s="352">
        <v>0</v>
      </c>
      <c r="O20" s="352">
        <v>0</v>
      </c>
      <c r="P20" s="352">
        <v>0</v>
      </c>
      <c r="Q20" s="352">
        <v>0</v>
      </c>
      <c r="R20" s="352">
        <v>1175.04</v>
      </c>
    </row>
    <row r="21" spans="1:18">
      <c r="A21" s="56" t="s">
        <v>2661</v>
      </c>
      <c r="B21" s="352">
        <v>618.58999999999992</v>
      </c>
      <c r="C21" s="352">
        <v>0</v>
      </c>
      <c r="D21" s="352">
        <v>0</v>
      </c>
      <c r="E21" s="352">
        <v>0</v>
      </c>
      <c r="F21" s="352">
        <v>0</v>
      </c>
      <c r="G21" s="352">
        <v>0</v>
      </c>
      <c r="H21" s="352">
        <v>0</v>
      </c>
      <c r="I21" s="352">
        <v>618.58999999999992</v>
      </c>
      <c r="J21" s="352">
        <v>0</v>
      </c>
      <c r="K21" s="352">
        <v>0</v>
      </c>
      <c r="L21" s="352">
        <v>0</v>
      </c>
      <c r="M21" s="352">
        <v>0</v>
      </c>
      <c r="N21" s="352">
        <v>0</v>
      </c>
      <c r="O21" s="352">
        <v>0</v>
      </c>
      <c r="P21" s="352">
        <v>0</v>
      </c>
      <c r="Q21" s="352">
        <v>0</v>
      </c>
      <c r="R21" s="352">
        <v>0</v>
      </c>
    </row>
    <row r="22" spans="1:18" ht="22.5">
      <c r="A22" s="56" t="s">
        <v>2662</v>
      </c>
      <c r="B22" s="352">
        <v>73074.039999999979</v>
      </c>
      <c r="C22" s="352">
        <v>0</v>
      </c>
      <c r="D22" s="352">
        <v>0</v>
      </c>
      <c r="E22" s="352">
        <v>0</v>
      </c>
      <c r="F22" s="352">
        <v>0</v>
      </c>
      <c r="G22" s="352">
        <v>0</v>
      </c>
      <c r="H22" s="352">
        <v>0</v>
      </c>
      <c r="I22" s="352">
        <v>70557.839999999982</v>
      </c>
      <c r="J22" s="352">
        <v>0</v>
      </c>
      <c r="K22" s="352">
        <v>0</v>
      </c>
      <c r="L22" s="352">
        <v>0</v>
      </c>
      <c r="M22" s="352">
        <v>0</v>
      </c>
      <c r="N22" s="352">
        <v>0</v>
      </c>
      <c r="O22" s="352">
        <v>0</v>
      </c>
      <c r="P22" s="352">
        <v>0</v>
      </c>
      <c r="Q22" s="352">
        <v>0</v>
      </c>
      <c r="R22" s="352">
        <v>2516.1999999999998</v>
      </c>
    </row>
    <row r="23" spans="1:18" ht="22.5">
      <c r="A23" s="56" t="s">
        <v>2663</v>
      </c>
      <c r="B23" s="352">
        <v>236.16</v>
      </c>
      <c r="C23" s="352">
        <v>0</v>
      </c>
      <c r="D23" s="352">
        <v>0</v>
      </c>
      <c r="E23" s="352">
        <v>0</v>
      </c>
      <c r="F23" s="352">
        <v>0</v>
      </c>
      <c r="G23" s="352">
        <v>0</v>
      </c>
      <c r="H23" s="352">
        <v>0</v>
      </c>
      <c r="I23" s="352">
        <v>0</v>
      </c>
      <c r="J23" s="352">
        <v>0</v>
      </c>
      <c r="K23" s="352">
        <v>0</v>
      </c>
      <c r="L23" s="352">
        <v>0</v>
      </c>
      <c r="M23" s="352">
        <v>0</v>
      </c>
      <c r="N23" s="352">
        <v>0</v>
      </c>
      <c r="O23" s="352">
        <v>0</v>
      </c>
      <c r="P23" s="352">
        <v>0</v>
      </c>
      <c r="Q23" s="352">
        <v>0</v>
      </c>
      <c r="R23" s="352">
        <v>236.16</v>
      </c>
    </row>
    <row r="24" spans="1:18" ht="22.5">
      <c r="A24" s="56" t="s">
        <v>2664</v>
      </c>
      <c r="B24" s="352">
        <v>25980.29</v>
      </c>
      <c r="C24" s="352">
        <v>0</v>
      </c>
      <c r="D24" s="352">
        <v>0</v>
      </c>
      <c r="E24" s="352">
        <v>0</v>
      </c>
      <c r="F24" s="352">
        <v>0</v>
      </c>
      <c r="G24" s="352">
        <v>0</v>
      </c>
      <c r="H24" s="352">
        <v>0</v>
      </c>
      <c r="I24" s="352">
        <v>11064.449999999999</v>
      </c>
      <c r="J24" s="352">
        <v>0</v>
      </c>
      <c r="K24" s="352">
        <v>0</v>
      </c>
      <c r="L24" s="352">
        <v>0</v>
      </c>
      <c r="M24" s="352">
        <v>0</v>
      </c>
      <c r="N24" s="352">
        <v>0</v>
      </c>
      <c r="O24" s="352">
        <v>0</v>
      </c>
      <c r="P24" s="352">
        <v>0</v>
      </c>
      <c r="Q24" s="352">
        <v>0</v>
      </c>
      <c r="R24" s="352">
        <v>14915.840000000002</v>
      </c>
    </row>
    <row r="25" spans="1:18">
      <c r="A25" s="56" t="s">
        <v>2598</v>
      </c>
      <c r="B25" s="352">
        <v>16406841.259999998</v>
      </c>
      <c r="C25" s="352">
        <v>0</v>
      </c>
      <c r="D25" s="352">
        <v>0</v>
      </c>
      <c r="E25" s="352">
        <v>0</v>
      </c>
      <c r="F25" s="352">
        <v>0</v>
      </c>
      <c r="G25" s="352">
        <v>0</v>
      </c>
      <c r="H25" s="352">
        <v>0</v>
      </c>
      <c r="I25" s="352">
        <v>0</v>
      </c>
      <c r="J25" s="352">
        <v>0</v>
      </c>
      <c r="K25" s="352">
        <v>0</v>
      </c>
      <c r="L25" s="352">
        <v>0</v>
      </c>
      <c r="M25" s="352">
        <v>0</v>
      </c>
      <c r="N25" s="352">
        <v>0</v>
      </c>
      <c r="O25" s="352">
        <v>0</v>
      </c>
      <c r="P25" s="352">
        <v>0</v>
      </c>
      <c r="Q25" s="352">
        <v>16406841.259999998</v>
      </c>
      <c r="R25" s="352">
        <v>0</v>
      </c>
    </row>
    <row r="26" spans="1:18">
      <c r="A26" s="56" t="s">
        <v>2599</v>
      </c>
      <c r="B26" s="352">
        <v>35816584.140000001</v>
      </c>
      <c r="C26" s="352">
        <v>0</v>
      </c>
      <c r="D26" s="352">
        <v>0</v>
      </c>
      <c r="E26" s="352">
        <v>0</v>
      </c>
      <c r="F26" s="352">
        <v>0</v>
      </c>
      <c r="G26" s="352">
        <v>0</v>
      </c>
      <c r="H26" s="352">
        <v>0</v>
      </c>
      <c r="I26" s="352">
        <v>1031837.39</v>
      </c>
      <c r="J26" s="352">
        <v>671602.31</v>
      </c>
      <c r="K26" s="352">
        <v>37765.480000000003</v>
      </c>
      <c r="L26" s="352">
        <v>20167152.34</v>
      </c>
      <c r="M26" s="352">
        <v>0</v>
      </c>
      <c r="N26" s="352">
        <v>0</v>
      </c>
      <c r="O26" s="352">
        <v>292955.27</v>
      </c>
      <c r="P26" s="352">
        <v>224007.89</v>
      </c>
      <c r="Q26" s="352">
        <v>13391258.810000001</v>
      </c>
      <c r="R26" s="352">
        <v>4.6500000000000004</v>
      </c>
    </row>
    <row r="27" spans="1:18" ht="33.75">
      <c r="A27" s="56" t="s">
        <v>2600</v>
      </c>
      <c r="B27" s="352">
        <v>981802.37</v>
      </c>
      <c r="C27" s="352">
        <v>0</v>
      </c>
      <c r="D27" s="352">
        <v>0</v>
      </c>
      <c r="E27" s="352">
        <v>0</v>
      </c>
      <c r="F27" s="352">
        <v>0</v>
      </c>
      <c r="G27" s="352">
        <v>0</v>
      </c>
      <c r="H27" s="352">
        <v>0</v>
      </c>
      <c r="I27" s="352">
        <v>0</v>
      </c>
      <c r="J27" s="352">
        <v>0</v>
      </c>
      <c r="K27" s="352">
        <v>0</v>
      </c>
      <c r="L27" s="352">
        <v>366033.08999999997</v>
      </c>
      <c r="M27" s="352">
        <v>23071.63</v>
      </c>
      <c r="N27" s="352">
        <v>0</v>
      </c>
      <c r="O27" s="352">
        <v>592697.65</v>
      </c>
      <c r="P27" s="352">
        <v>0</v>
      </c>
      <c r="Q27" s="352">
        <v>0</v>
      </c>
      <c r="R27" s="352">
        <v>0</v>
      </c>
    </row>
    <row r="28" spans="1:18" ht="22.5">
      <c r="A28" s="56" t="s">
        <v>2665</v>
      </c>
      <c r="B28" s="352">
        <v>6370.57</v>
      </c>
      <c r="C28" s="352">
        <v>0</v>
      </c>
      <c r="D28" s="352">
        <v>0</v>
      </c>
      <c r="E28" s="352">
        <v>0</v>
      </c>
      <c r="F28" s="352">
        <v>0</v>
      </c>
      <c r="G28" s="352">
        <v>0</v>
      </c>
      <c r="H28" s="352">
        <v>0</v>
      </c>
      <c r="I28" s="352">
        <v>6370.57</v>
      </c>
      <c r="J28" s="352">
        <v>0</v>
      </c>
      <c r="K28" s="352">
        <v>0</v>
      </c>
      <c r="L28" s="352">
        <v>0</v>
      </c>
      <c r="M28" s="352">
        <v>0</v>
      </c>
      <c r="N28" s="352">
        <v>0</v>
      </c>
      <c r="O28" s="352">
        <v>0</v>
      </c>
      <c r="P28" s="352">
        <v>0</v>
      </c>
      <c r="Q28" s="352">
        <v>0</v>
      </c>
      <c r="R28" s="352">
        <v>0</v>
      </c>
    </row>
    <row r="29" spans="1:18" ht="22.5">
      <c r="A29" s="56" t="s">
        <v>2601</v>
      </c>
      <c r="B29" s="352">
        <v>91474.84</v>
      </c>
      <c r="C29" s="352">
        <v>0</v>
      </c>
      <c r="D29" s="352">
        <v>0</v>
      </c>
      <c r="E29" s="352">
        <v>0</v>
      </c>
      <c r="F29" s="352">
        <v>0</v>
      </c>
      <c r="G29" s="352">
        <v>0</v>
      </c>
      <c r="H29" s="352">
        <v>0</v>
      </c>
      <c r="I29" s="352">
        <v>18274.839999999997</v>
      </c>
      <c r="J29" s="352">
        <v>73200</v>
      </c>
      <c r="K29" s="352">
        <v>0</v>
      </c>
      <c r="L29" s="352">
        <v>0</v>
      </c>
      <c r="M29" s="352">
        <v>0</v>
      </c>
      <c r="N29" s="352">
        <v>0</v>
      </c>
      <c r="O29" s="352">
        <v>0</v>
      </c>
      <c r="P29" s="352">
        <v>0</v>
      </c>
      <c r="Q29" s="352">
        <v>0</v>
      </c>
      <c r="R29" s="352">
        <v>0</v>
      </c>
    </row>
    <row r="30" spans="1:18" ht="33.75">
      <c r="A30" s="56" t="s">
        <v>2666</v>
      </c>
      <c r="B30" s="352">
        <v>31222.51</v>
      </c>
      <c r="C30" s="352">
        <v>0</v>
      </c>
      <c r="D30" s="352">
        <v>0</v>
      </c>
      <c r="E30" s="352">
        <v>0</v>
      </c>
      <c r="F30" s="352">
        <v>0</v>
      </c>
      <c r="G30" s="352">
        <v>0</v>
      </c>
      <c r="H30" s="352">
        <v>0</v>
      </c>
      <c r="I30" s="352">
        <v>12216.590000000002</v>
      </c>
      <c r="J30" s="352">
        <v>0</v>
      </c>
      <c r="K30" s="352">
        <v>0</v>
      </c>
      <c r="L30" s="352">
        <v>0</v>
      </c>
      <c r="M30" s="352">
        <v>563.55999999999995</v>
      </c>
      <c r="N30" s="352">
        <v>0</v>
      </c>
      <c r="O30" s="352">
        <v>0</v>
      </c>
      <c r="P30" s="352">
        <v>0</v>
      </c>
      <c r="Q30" s="352">
        <v>0</v>
      </c>
      <c r="R30" s="352">
        <v>18442.359999999997</v>
      </c>
    </row>
    <row r="31" spans="1:18">
      <c r="A31" s="56" t="s">
        <v>2603</v>
      </c>
      <c r="B31" s="352">
        <v>37112.620000000003</v>
      </c>
      <c r="C31" s="352">
        <v>0</v>
      </c>
      <c r="D31" s="352">
        <v>0</v>
      </c>
      <c r="E31" s="352">
        <v>0</v>
      </c>
      <c r="F31" s="352">
        <v>0</v>
      </c>
      <c r="G31" s="352">
        <v>0</v>
      </c>
      <c r="H31" s="352">
        <v>0</v>
      </c>
      <c r="I31" s="352">
        <v>37112.620000000003</v>
      </c>
      <c r="J31" s="352">
        <v>0</v>
      </c>
      <c r="K31" s="352">
        <v>0</v>
      </c>
      <c r="L31" s="352">
        <v>0</v>
      </c>
      <c r="M31" s="352">
        <v>0</v>
      </c>
      <c r="N31" s="352">
        <v>0</v>
      </c>
      <c r="O31" s="352">
        <v>0</v>
      </c>
      <c r="P31" s="352">
        <v>0</v>
      </c>
      <c r="Q31" s="352">
        <v>0</v>
      </c>
      <c r="R31" s="352">
        <v>0</v>
      </c>
    </row>
    <row r="32" spans="1:18">
      <c r="A32" s="56" t="s">
        <v>2604</v>
      </c>
      <c r="B32" s="352">
        <v>607020.43999999994</v>
      </c>
      <c r="C32" s="352">
        <v>0</v>
      </c>
      <c r="D32" s="352">
        <v>0</v>
      </c>
      <c r="E32" s="352">
        <v>0</v>
      </c>
      <c r="F32" s="352">
        <v>0</v>
      </c>
      <c r="G32" s="352">
        <v>0</v>
      </c>
      <c r="H32" s="352">
        <v>0</v>
      </c>
      <c r="I32" s="352">
        <v>101749.69</v>
      </c>
      <c r="J32" s="352">
        <v>502594.34</v>
      </c>
      <c r="K32" s="352">
        <v>2676.41</v>
      </c>
      <c r="L32" s="352">
        <v>0</v>
      </c>
      <c r="M32" s="352">
        <v>0</v>
      </c>
      <c r="N32" s="352">
        <v>0</v>
      </c>
      <c r="O32" s="352">
        <v>0</v>
      </c>
      <c r="P32" s="352">
        <v>0</v>
      </c>
      <c r="Q32" s="352">
        <v>0</v>
      </c>
      <c r="R32" s="352">
        <v>0</v>
      </c>
    </row>
    <row r="33" spans="1:18" ht="22.5">
      <c r="A33" s="56" t="s">
        <v>2605</v>
      </c>
      <c r="B33" s="352">
        <v>360</v>
      </c>
      <c r="C33" s="352">
        <v>0</v>
      </c>
      <c r="D33" s="352">
        <v>0</v>
      </c>
      <c r="E33" s="352">
        <v>0</v>
      </c>
      <c r="F33" s="352">
        <v>0</v>
      </c>
      <c r="G33" s="352">
        <v>0</v>
      </c>
      <c r="H33" s="352">
        <v>0</v>
      </c>
      <c r="I33" s="352">
        <v>360</v>
      </c>
      <c r="J33" s="352">
        <v>0</v>
      </c>
      <c r="K33" s="352">
        <v>0</v>
      </c>
      <c r="L33" s="352">
        <v>0</v>
      </c>
      <c r="M33" s="352">
        <v>0</v>
      </c>
      <c r="N33" s="352">
        <v>0</v>
      </c>
      <c r="O33" s="352">
        <v>0</v>
      </c>
      <c r="P33" s="352">
        <v>0</v>
      </c>
      <c r="Q33" s="352">
        <v>0</v>
      </c>
      <c r="R33" s="352">
        <v>0</v>
      </c>
    </row>
    <row r="34" spans="1:18" ht="22.5">
      <c r="A34" s="56" t="s">
        <v>2667</v>
      </c>
      <c r="B34" s="352">
        <v>56095.220000000008</v>
      </c>
      <c r="C34" s="352">
        <v>0</v>
      </c>
      <c r="D34" s="352">
        <v>0</v>
      </c>
      <c r="E34" s="352">
        <v>0</v>
      </c>
      <c r="F34" s="352">
        <v>0</v>
      </c>
      <c r="G34" s="352">
        <v>0</v>
      </c>
      <c r="H34" s="352">
        <v>594.72</v>
      </c>
      <c r="I34" s="352">
        <v>24652.280000000002</v>
      </c>
      <c r="J34" s="352">
        <v>0</v>
      </c>
      <c r="K34" s="352">
        <v>0</v>
      </c>
      <c r="L34" s="352">
        <v>2000.35</v>
      </c>
      <c r="M34" s="352">
        <v>14488</v>
      </c>
      <c r="N34" s="352">
        <v>0</v>
      </c>
      <c r="O34" s="352">
        <v>0</v>
      </c>
      <c r="P34" s="352">
        <v>0</v>
      </c>
      <c r="Q34" s="352">
        <v>0</v>
      </c>
      <c r="R34" s="352">
        <v>14359.87</v>
      </c>
    </row>
    <row r="35" spans="1:18" ht="22.5">
      <c r="A35" s="56" t="s">
        <v>2668</v>
      </c>
      <c r="B35" s="352">
        <v>22225.07</v>
      </c>
      <c r="C35" s="352">
        <v>0</v>
      </c>
      <c r="D35" s="352">
        <v>0</v>
      </c>
      <c r="E35" s="352">
        <v>0</v>
      </c>
      <c r="F35" s="352">
        <v>0</v>
      </c>
      <c r="G35" s="352">
        <v>0</v>
      </c>
      <c r="H35" s="352">
        <v>0</v>
      </c>
      <c r="I35" s="352">
        <v>0</v>
      </c>
      <c r="J35" s="352">
        <v>0</v>
      </c>
      <c r="K35" s="352">
        <v>0</v>
      </c>
      <c r="L35" s="352">
        <v>0</v>
      </c>
      <c r="M35" s="352">
        <v>0</v>
      </c>
      <c r="N35" s="352">
        <v>0</v>
      </c>
      <c r="O35" s="352">
        <v>0</v>
      </c>
      <c r="P35" s="352">
        <v>0</v>
      </c>
      <c r="Q35" s="352">
        <v>0</v>
      </c>
      <c r="R35" s="352">
        <v>22225.07</v>
      </c>
    </row>
    <row r="36" spans="1:18">
      <c r="A36" s="56" t="s">
        <v>2669</v>
      </c>
      <c r="B36" s="352">
        <v>65489.080000000009</v>
      </c>
      <c r="C36" s="352">
        <v>0</v>
      </c>
      <c r="D36" s="352">
        <v>0</v>
      </c>
      <c r="E36" s="352">
        <v>0</v>
      </c>
      <c r="F36" s="352">
        <v>0</v>
      </c>
      <c r="G36" s="352">
        <v>10814.660000000002</v>
      </c>
      <c r="H36" s="352">
        <v>0</v>
      </c>
      <c r="I36" s="352">
        <v>54674.420000000006</v>
      </c>
      <c r="J36" s="352">
        <v>0</v>
      </c>
      <c r="K36" s="352">
        <v>0</v>
      </c>
      <c r="L36" s="352">
        <v>0</v>
      </c>
      <c r="M36" s="352">
        <v>0</v>
      </c>
      <c r="N36" s="352">
        <v>0</v>
      </c>
      <c r="O36" s="352">
        <v>0</v>
      </c>
      <c r="P36" s="352">
        <v>0</v>
      </c>
      <c r="Q36" s="352">
        <v>0</v>
      </c>
      <c r="R36" s="352">
        <v>0</v>
      </c>
    </row>
    <row r="37" spans="1:18">
      <c r="A37" s="56" t="s">
        <v>2670</v>
      </c>
      <c r="B37" s="352">
        <v>1102.2</v>
      </c>
      <c r="C37" s="352">
        <v>1102.2</v>
      </c>
      <c r="D37" s="352">
        <v>0</v>
      </c>
      <c r="E37" s="352">
        <v>0</v>
      </c>
      <c r="F37" s="352">
        <v>0</v>
      </c>
      <c r="G37" s="352">
        <v>0</v>
      </c>
      <c r="H37" s="352">
        <v>0</v>
      </c>
      <c r="I37" s="352">
        <v>0</v>
      </c>
      <c r="J37" s="352">
        <v>0</v>
      </c>
      <c r="K37" s="352">
        <v>0</v>
      </c>
      <c r="L37" s="352">
        <v>0</v>
      </c>
      <c r="M37" s="352">
        <v>0</v>
      </c>
      <c r="N37" s="352">
        <v>0</v>
      </c>
      <c r="O37" s="352">
        <v>0</v>
      </c>
      <c r="P37" s="352">
        <v>0</v>
      </c>
      <c r="Q37" s="352">
        <v>0</v>
      </c>
      <c r="R37" s="352">
        <v>0</v>
      </c>
    </row>
    <row r="38" spans="1:18" ht="22.5">
      <c r="A38" s="56" t="s">
        <v>2606</v>
      </c>
      <c r="B38" s="352">
        <v>45614.78</v>
      </c>
      <c r="C38" s="352">
        <v>0</v>
      </c>
      <c r="D38" s="352">
        <v>0</v>
      </c>
      <c r="E38" s="352">
        <v>12000</v>
      </c>
      <c r="F38" s="352">
        <v>0</v>
      </c>
      <c r="G38" s="352">
        <v>0</v>
      </c>
      <c r="H38" s="352">
        <v>0</v>
      </c>
      <c r="I38" s="352">
        <v>33614.78</v>
      </c>
      <c r="J38" s="352">
        <v>0</v>
      </c>
      <c r="K38" s="352">
        <v>0</v>
      </c>
      <c r="L38" s="352">
        <v>0</v>
      </c>
      <c r="M38" s="352">
        <v>0</v>
      </c>
      <c r="N38" s="352">
        <v>0</v>
      </c>
      <c r="O38" s="352">
        <v>0</v>
      </c>
      <c r="P38" s="352">
        <v>0</v>
      </c>
      <c r="Q38" s="352">
        <v>0</v>
      </c>
      <c r="R38" s="352">
        <v>0</v>
      </c>
    </row>
    <row r="39" spans="1:18">
      <c r="A39" s="56" t="s">
        <v>2607</v>
      </c>
      <c r="B39" s="352">
        <v>869792</v>
      </c>
      <c r="C39" s="352">
        <v>0</v>
      </c>
      <c r="D39" s="352">
        <v>0</v>
      </c>
      <c r="E39" s="352">
        <v>0</v>
      </c>
      <c r="F39" s="352">
        <v>0</v>
      </c>
      <c r="G39" s="352">
        <v>0</v>
      </c>
      <c r="H39" s="352">
        <v>0</v>
      </c>
      <c r="I39" s="352">
        <v>0</v>
      </c>
      <c r="J39" s="352">
        <v>0</v>
      </c>
      <c r="K39" s="352">
        <v>0</v>
      </c>
      <c r="L39" s="352">
        <v>0</v>
      </c>
      <c r="M39" s="352">
        <v>0</v>
      </c>
      <c r="N39" s="352">
        <v>324568</v>
      </c>
      <c r="O39" s="352">
        <v>545224</v>
      </c>
      <c r="P39" s="352">
        <v>0</v>
      </c>
      <c r="Q39" s="352">
        <v>0</v>
      </c>
      <c r="R39" s="352">
        <v>0</v>
      </c>
    </row>
    <row r="40" spans="1:18" ht="22.5">
      <c r="A40" s="56" t="s">
        <v>2608</v>
      </c>
      <c r="B40" s="352">
        <v>3814.16</v>
      </c>
      <c r="C40" s="352">
        <v>0</v>
      </c>
      <c r="D40" s="352">
        <v>0</v>
      </c>
      <c r="E40" s="352">
        <v>0</v>
      </c>
      <c r="F40" s="352">
        <v>0</v>
      </c>
      <c r="G40" s="352">
        <v>0</v>
      </c>
      <c r="H40" s="352">
        <v>0</v>
      </c>
      <c r="I40" s="352">
        <v>3814.16</v>
      </c>
      <c r="J40" s="352">
        <v>0</v>
      </c>
      <c r="K40" s="352">
        <v>0</v>
      </c>
      <c r="L40" s="352">
        <v>0</v>
      </c>
      <c r="M40" s="352">
        <v>0</v>
      </c>
      <c r="N40" s="352">
        <v>0</v>
      </c>
      <c r="O40" s="352">
        <v>0</v>
      </c>
      <c r="P40" s="352">
        <v>0</v>
      </c>
      <c r="Q40" s="352">
        <v>0</v>
      </c>
      <c r="R40" s="352">
        <v>0</v>
      </c>
    </row>
    <row r="41" spans="1:18">
      <c r="A41" s="56" t="s">
        <v>2609</v>
      </c>
      <c r="B41" s="352">
        <v>1282506.1000000001</v>
      </c>
      <c r="C41" s="352">
        <v>0</v>
      </c>
      <c r="D41" s="352">
        <v>0</v>
      </c>
      <c r="E41" s="352">
        <v>0</v>
      </c>
      <c r="F41" s="352">
        <v>0</v>
      </c>
      <c r="G41" s="352">
        <v>0</v>
      </c>
      <c r="H41" s="352">
        <v>0</v>
      </c>
      <c r="I41" s="352">
        <v>1263360.05</v>
      </c>
      <c r="J41" s="352">
        <v>0</v>
      </c>
      <c r="K41" s="352">
        <v>0</v>
      </c>
      <c r="L41" s="352">
        <v>0</v>
      </c>
      <c r="M41" s="352">
        <v>0</v>
      </c>
      <c r="N41" s="352">
        <v>0</v>
      </c>
      <c r="O41" s="352">
        <v>0</v>
      </c>
      <c r="P41" s="352">
        <v>0</v>
      </c>
      <c r="Q41" s="352">
        <v>0</v>
      </c>
      <c r="R41" s="352">
        <v>19146.05</v>
      </c>
    </row>
    <row r="42" spans="1:18">
      <c r="A42" s="56" t="s">
        <v>2672</v>
      </c>
      <c r="B42" s="352">
        <v>12764681.809999987</v>
      </c>
      <c r="C42" s="352">
        <v>0</v>
      </c>
      <c r="D42" s="352">
        <v>0</v>
      </c>
      <c r="E42" s="352">
        <v>0</v>
      </c>
      <c r="F42" s="352">
        <v>0</v>
      </c>
      <c r="G42" s="352">
        <v>0</v>
      </c>
      <c r="H42" s="352">
        <v>0</v>
      </c>
      <c r="I42" s="352">
        <v>466185.06999999983</v>
      </c>
      <c r="J42" s="352">
        <v>0</v>
      </c>
      <c r="K42" s="352">
        <v>0</v>
      </c>
      <c r="L42" s="352">
        <v>12251182.109999988</v>
      </c>
      <c r="M42" s="352">
        <v>10780.34</v>
      </c>
      <c r="N42" s="352">
        <v>0</v>
      </c>
      <c r="O42" s="352">
        <v>0</v>
      </c>
      <c r="P42" s="352">
        <v>0</v>
      </c>
      <c r="Q42" s="352">
        <v>0</v>
      </c>
      <c r="R42" s="352">
        <v>36534.29</v>
      </c>
    </row>
    <row r="43" spans="1:18">
      <c r="A43" s="56" t="s">
        <v>2674</v>
      </c>
      <c r="B43" s="352">
        <v>9798743.2300000042</v>
      </c>
      <c r="C43" s="352">
        <v>0</v>
      </c>
      <c r="D43" s="352">
        <v>0</v>
      </c>
      <c r="E43" s="352">
        <v>0</v>
      </c>
      <c r="F43" s="352">
        <v>0</v>
      </c>
      <c r="G43" s="352">
        <v>0</v>
      </c>
      <c r="H43" s="352">
        <v>48217.29</v>
      </c>
      <c r="I43" s="352">
        <v>9245637.6100000031</v>
      </c>
      <c r="J43" s="352">
        <v>32860.800000000003</v>
      </c>
      <c r="K43" s="352">
        <v>72574.950000000012</v>
      </c>
      <c r="L43" s="352">
        <v>101262.51999999999</v>
      </c>
      <c r="M43" s="352">
        <v>115154.66</v>
      </c>
      <c r="N43" s="352">
        <v>0</v>
      </c>
      <c r="O43" s="352">
        <v>0</v>
      </c>
      <c r="P43" s="352">
        <v>0</v>
      </c>
      <c r="Q43" s="352">
        <v>0</v>
      </c>
      <c r="R43" s="352">
        <v>183035.4</v>
      </c>
    </row>
    <row r="44" spans="1:18">
      <c r="A44" s="56" t="s">
        <v>2611</v>
      </c>
      <c r="B44" s="352">
        <v>1371321.95</v>
      </c>
      <c r="C44" s="352">
        <v>0</v>
      </c>
      <c r="D44" s="352">
        <v>0</v>
      </c>
      <c r="E44" s="352">
        <v>0</v>
      </c>
      <c r="F44" s="352">
        <v>0</v>
      </c>
      <c r="G44" s="352">
        <v>0</v>
      </c>
      <c r="H44" s="352">
        <v>0</v>
      </c>
      <c r="I44" s="352">
        <v>79808.45</v>
      </c>
      <c r="J44" s="352">
        <v>0</v>
      </c>
      <c r="K44" s="352">
        <v>0</v>
      </c>
      <c r="L44" s="352">
        <v>0</v>
      </c>
      <c r="M44" s="352">
        <v>0</v>
      </c>
      <c r="N44" s="352">
        <v>0</v>
      </c>
      <c r="O44" s="352">
        <v>0</v>
      </c>
      <c r="P44" s="352">
        <v>0</v>
      </c>
      <c r="Q44" s="352">
        <v>0</v>
      </c>
      <c r="R44" s="352">
        <v>1291513.5</v>
      </c>
    </row>
    <row r="45" spans="1:18">
      <c r="A45" s="56" t="s">
        <v>2612</v>
      </c>
      <c r="B45" s="352">
        <v>327.60000000000002</v>
      </c>
      <c r="C45" s="352">
        <v>0</v>
      </c>
      <c r="D45" s="352">
        <v>0</v>
      </c>
      <c r="E45" s="352">
        <v>0</v>
      </c>
      <c r="F45" s="352">
        <v>0</v>
      </c>
      <c r="G45" s="352">
        <v>0</v>
      </c>
      <c r="H45" s="352">
        <v>70.56</v>
      </c>
      <c r="I45" s="352">
        <v>257.04000000000002</v>
      </c>
      <c r="J45" s="352">
        <v>0</v>
      </c>
      <c r="K45" s="352">
        <v>0</v>
      </c>
      <c r="L45" s="352">
        <v>0</v>
      </c>
      <c r="M45" s="352">
        <v>0</v>
      </c>
      <c r="N45" s="352">
        <v>0</v>
      </c>
      <c r="O45" s="352">
        <v>0</v>
      </c>
      <c r="P45" s="352">
        <v>0</v>
      </c>
      <c r="Q45" s="352">
        <v>0</v>
      </c>
      <c r="R45" s="352">
        <v>0</v>
      </c>
    </row>
    <row r="46" spans="1:18">
      <c r="A46" s="351" t="s">
        <v>2575</v>
      </c>
      <c r="B46" s="348">
        <f>+B47+B54</f>
        <v>4864045.41</v>
      </c>
      <c r="C46" s="348">
        <v>0</v>
      </c>
      <c r="D46" s="348">
        <v>0</v>
      </c>
      <c r="E46" s="348">
        <v>0</v>
      </c>
      <c r="F46" s="352">
        <v>0</v>
      </c>
      <c r="G46" s="348">
        <v>0</v>
      </c>
      <c r="H46" s="348">
        <v>22275.8</v>
      </c>
      <c r="I46" s="348">
        <v>2138990.58</v>
      </c>
      <c r="J46" s="348">
        <v>0</v>
      </c>
      <c r="K46" s="348">
        <v>10103.269999999999</v>
      </c>
      <c r="L46" s="348">
        <v>4980</v>
      </c>
      <c r="M46" s="348">
        <v>0</v>
      </c>
      <c r="N46" s="348">
        <v>0</v>
      </c>
      <c r="O46" s="348">
        <v>6696.1</v>
      </c>
      <c r="P46" s="352">
        <v>0</v>
      </c>
      <c r="Q46" s="352">
        <v>0</v>
      </c>
      <c r="R46" s="348">
        <v>2680999.66</v>
      </c>
    </row>
    <row r="47" spans="1:18">
      <c r="A47" s="351" t="s">
        <v>2056</v>
      </c>
      <c r="B47" s="348">
        <f>SUM(B48:B53)</f>
        <v>1456862.81</v>
      </c>
      <c r="C47" s="348">
        <v>0</v>
      </c>
      <c r="D47" s="348">
        <v>0</v>
      </c>
      <c r="E47" s="348">
        <v>0</v>
      </c>
      <c r="F47" s="352">
        <v>0</v>
      </c>
      <c r="G47" s="348">
        <v>0</v>
      </c>
      <c r="H47" s="348">
        <v>11152.8</v>
      </c>
      <c r="I47" s="348">
        <v>861969.00999999989</v>
      </c>
      <c r="J47" s="348">
        <v>0</v>
      </c>
      <c r="K47" s="348">
        <v>10103.269999999999</v>
      </c>
      <c r="L47" s="348">
        <v>2480</v>
      </c>
      <c r="M47" s="348">
        <v>0</v>
      </c>
      <c r="N47" s="348">
        <v>0</v>
      </c>
      <c r="O47" s="348">
        <v>0</v>
      </c>
      <c r="P47" s="352">
        <v>0</v>
      </c>
      <c r="Q47" s="352">
        <v>0</v>
      </c>
      <c r="R47" s="348">
        <v>571157.73</v>
      </c>
    </row>
    <row r="48" spans="1:18" ht="22.5">
      <c r="A48" s="56" t="s">
        <v>2613</v>
      </c>
      <c r="B48" s="352">
        <v>543984.07000000007</v>
      </c>
      <c r="C48" s="352">
        <v>0</v>
      </c>
      <c r="D48" s="352">
        <v>0</v>
      </c>
      <c r="E48" s="352">
        <v>0</v>
      </c>
      <c r="F48" s="352">
        <v>0</v>
      </c>
      <c r="G48" s="352">
        <v>0</v>
      </c>
      <c r="H48" s="352">
        <v>0</v>
      </c>
      <c r="I48" s="352">
        <v>429856.77</v>
      </c>
      <c r="J48" s="352">
        <v>0</v>
      </c>
      <c r="K48" s="352">
        <v>0</v>
      </c>
      <c r="L48" s="352">
        <v>0</v>
      </c>
      <c r="M48" s="352">
        <v>0</v>
      </c>
      <c r="N48" s="352">
        <v>0</v>
      </c>
      <c r="O48" s="352">
        <v>0</v>
      </c>
      <c r="P48" s="352">
        <v>0</v>
      </c>
      <c r="Q48" s="352">
        <v>0</v>
      </c>
      <c r="R48" s="352">
        <v>114127.3</v>
      </c>
    </row>
    <row r="49" spans="1:18" ht="22.5">
      <c r="A49" s="56" t="s">
        <v>2614</v>
      </c>
      <c r="B49" s="352">
        <v>29592.449999999997</v>
      </c>
      <c r="C49" s="352">
        <v>0</v>
      </c>
      <c r="D49" s="352">
        <v>0</v>
      </c>
      <c r="E49" s="352">
        <v>0</v>
      </c>
      <c r="F49" s="352">
        <v>0</v>
      </c>
      <c r="G49" s="352">
        <v>0</v>
      </c>
      <c r="H49" s="352">
        <v>0</v>
      </c>
      <c r="I49" s="352">
        <v>9507.2199999999993</v>
      </c>
      <c r="J49" s="352">
        <v>0</v>
      </c>
      <c r="K49" s="352">
        <v>0</v>
      </c>
      <c r="L49" s="352">
        <v>0</v>
      </c>
      <c r="M49" s="352">
        <v>0</v>
      </c>
      <c r="N49" s="352">
        <v>0</v>
      </c>
      <c r="O49" s="352">
        <v>0</v>
      </c>
      <c r="P49" s="352">
        <v>0</v>
      </c>
      <c r="Q49" s="352">
        <v>0</v>
      </c>
      <c r="R49" s="352">
        <v>20085.23</v>
      </c>
    </row>
    <row r="50" spans="1:18" ht="22.5">
      <c r="A50" s="56" t="s">
        <v>2615</v>
      </c>
      <c r="B50" s="352">
        <v>270466.46999999997</v>
      </c>
      <c r="C50" s="352">
        <v>0</v>
      </c>
      <c r="D50" s="352">
        <v>0</v>
      </c>
      <c r="E50" s="352">
        <v>0</v>
      </c>
      <c r="F50" s="352">
        <v>0</v>
      </c>
      <c r="G50" s="352">
        <v>0</v>
      </c>
      <c r="H50" s="352">
        <v>0</v>
      </c>
      <c r="I50" s="352">
        <v>186359.94</v>
      </c>
      <c r="J50" s="352">
        <v>0</v>
      </c>
      <c r="K50" s="352">
        <v>0</v>
      </c>
      <c r="L50" s="352">
        <v>0</v>
      </c>
      <c r="M50" s="352">
        <v>0</v>
      </c>
      <c r="N50" s="352">
        <v>0</v>
      </c>
      <c r="O50" s="352">
        <v>0</v>
      </c>
      <c r="P50" s="352">
        <v>0</v>
      </c>
      <c r="Q50" s="352">
        <v>0</v>
      </c>
      <c r="R50" s="352">
        <v>84106.53</v>
      </c>
    </row>
    <row r="51" spans="1:18" ht="22.5">
      <c r="A51" s="56" t="s">
        <v>2677</v>
      </c>
      <c r="B51" s="352">
        <v>156636.64000000001</v>
      </c>
      <c r="C51" s="352">
        <v>0</v>
      </c>
      <c r="D51" s="352">
        <v>0</v>
      </c>
      <c r="E51" s="352">
        <v>0</v>
      </c>
      <c r="F51" s="352">
        <v>0</v>
      </c>
      <c r="G51" s="352">
        <v>0</v>
      </c>
      <c r="H51" s="352">
        <v>0</v>
      </c>
      <c r="I51" s="352">
        <v>96650.5</v>
      </c>
      <c r="J51" s="352">
        <v>0</v>
      </c>
      <c r="K51" s="352">
        <v>10103.269999999999</v>
      </c>
      <c r="L51" s="352">
        <v>2480</v>
      </c>
      <c r="M51" s="352">
        <v>0</v>
      </c>
      <c r="N51" s="352">
        <v>0</v>
      </c>
      <c r="O51" s="352">
        <v>0</v>
      </c>
      <c r="P51" s="352">
        <v>0</v>
      </c>
      <c r="Q51" s="352">
        <v>0</v>
      </c>
      <c r="R51" s="352">
        <v>47402.87</v>
      </c>
    </row>
    <row r="52" spans="1:18">
      <c r="A52" s="56" t="s">
        <v>2616</v>
      </c>
      <c r="B52" s="352">
        <v>298443.75000000006</v>
      </c>
      <c r="C52" s="352">
        <v>0</v>
      </c>
      <c r="D52" s="352">
        <v>0</v>
      </c>
      <c r="E52" s="352">
        <v>0</v>
      </c>
      <c r="F52" s="352">
        <v>0</v>
      </c>
      <c r="G52" s="352">
        <v>0</v>
      </c>
      <c r="H52" s="352">
        <v>11152.8</v>
      </c>
      <c r="I52" s="352">
        <v>88832.989999999991</v>
      </c>
      <c r="J52" s="352">
        <v>0</v>
      </c>
      <c r="K52" s="352">
        <v>0</v>
      </c>
      <c r="L52" s="352">
        <v>0</v>
      </c>
      <c r="M52" s="352">
        <v>0</v>
      </c>
      <c r="N52" s="352">
        <v>0</v>
      </c>
      <c r="O52" s="352">
        <v>0</v>
      </c>
      <c r="P52" s="352">
        <v>0</v>
      </c>
      <c r="Q52" s="352">
        <v>0</v>
      </c>
      <c r="R52" s="352">
        <v>198457.96000000005</v>
      </c>
    </row>
    <row r="53" spans="1:18" ht="22.5">
      <c r="A53" s="56" t="s">
        <v>2617</v>
      </c>
      <c r="B53" s="352">
        <v>157739.43</v>
      </c>
      <c r="C53" s="352">
        <v>0</v>
      </c>
      <c r="D53" s="352">
        <v>0</v>
      </c>
      <c r="E53" s="352">
        <v>0</v>
      </c>
      <c r="F53" s="352">
        <v>0</v>
      </c>
      <c r="G53" s="352">
        <v>0</v>
      </c>
      <c r="H53" s="352">
        <v>0</v>
      </c>
      <c r="I53" s="352">
        <v>50761.59</v>
      </c>
      <c r="J53" s="352">
        <v>0</v>
      </c>
      <c r="K53" s="352">
        <v>0</v>
      </c>
      <c r="L53" s="352">
        <v>0</v>
      </c>
      <c r="M53" s="352">
        <v>0</v>
      </c>
      <c r="N53" s="352">
        <v>0</v>
      </c>
      <c r="O53" s="352">
        <v>0</v>
      </c>
      <c r="P53" s="352">
        <v>0</v>
      </c>
      <c r="Q53" s="352">
        <v>0</v>
      </c>
      <c r="R53" s="352">
        <v>106977.84</v>
      </c>
    </row>
    <row r="54" spans="1:18">
      <c r="A54" s="351" t="s">
        <v>2075</v>
      </c>
      <c r="B54" s="348">
        <f>SUM(B55:B64)</f>
        <v>3407182.5999999996</v>
      </c>
      <c r="C54" s="348">
        <f t="shared" ref="C54:N54" si="5">SUM(C55:C64)</f>
        <v>0</v>
      </c>
      <c r="D54" s="348">
        <f t="shared" si="5"/>
        <v>0</v>
      </c>
      <c r="E54" s="348">
        <f t="shared" si="5"/>
        <v>0</v>
      </c>
      <c r="F54" s="348">
        <f t="shared" si="5"/>
        <v>0</v>
      </c>
      <c r="G54" s="348">
        <f t="shared" si="5"/>
        <v>0</v>
      </c>
      <c r="H54" s="348">
        <f t="shared" si="5"/>
        <v>11123</v>
      </c>
      <c r="I54" s="348">
        <f t="shared" si="5"/>
        <v>1277021.57</v>
      </c>
      <c r="J54" s="348">
        <f t="shared" si="5"/>
        <v>0</v>
      </c>
      <c r="K54" s="348">
        <f t="shared" si="5"/>
        <v>0</v>
      </c>
      <c r="L54" s="348">
        <f t="shared" si="5"/>
        <v>2500</v>
      </c>
      <c r="M54" s="348">
        <f t="shared" si="5"/>
        <v>0</v>
      </c>
      <c r="N54" s="348">
        <f t="shared" si="5"/>
        <v>0</v>
      </c>
      <c r="O54" s="348">
        <v>6696.1</v>
      </c>
      <c r="P54" s="352">
        <v>0</v>
      </c>
      <c r="Q54" s="352">
        <v>0</v>
      </c>
      <c r="R54" s="348">
        <v>2109841.9299999997</v>
      </c>
    </row>
    <row r="55" spans="1:18">
      <c r="A55" s="56" t="s">
        <v>2618</v>
      </c>
      <c r="B55" s="352">
        <v>954896.55</v>
      </c>
      <c r="C55" s="352">
        <v>0</v>
      </c>
      <c r="D55" s="352">
        <v>0</v>
      </c>
      <c r="E55" s="352">
        <v>0</v>
      </c>
      <c r="F55" s="352">
        <v>0</v>
      </c>
      <c r="G55" s="352">
        <v>0</v>
      </c>
      <c r="H55" s="352">
        <v>0</v>
      </c>
      <c r="I55" s="352">
        <v>93368.68</v>
      </c>
      <c r="J55" s="352">
        <v>0</v>
      </c>
      <c r="K55" s="352">
        <v>0</v>
      </c>
      <c r="L55" s="352">
        <v>0</v>
      </c>
      <c r="M55" s="352">
        <v>0</v>
      </c>
      <c r="N55" s="352">
        <v>0</v>
      </c>
      <c r="O55" s="352">
        <v>0</v>
      </c>
      <c r="P55" s="352">
        <v>0</v>
      </c>
      <c r="Q55" s="352">
        <v>0</v>
      </c>
      <c r="R55" s="352">
        <v>861527.87</v>
      </c>
    </row>
    <row r="56" spans="1:18" ht="22.5">
      <c r="A56" s="56" t="s">
        <v>2619</v>
      </c>
      <c r="B56" s="352">
        <v>175758.49</v>
      </c>
      <c r="C56" s="352">
        <v>0</v>
      </c>
      <c r="D56" s="352">
        <v>0</v>
      </c>
      <c r="E56" s="352">
        <v>0</v>
      </c>
      <c r="F56" s="352">
        <v>0</v>
      </c>
      <c r="G56" s="352">
        <v>0</v>
      </c>
      <c r="H56" s="352">
        <v>0</v>
      </c>
      <c r="I56" s="352">
        <v>72409.899999999994</v>
      </c>
      <c r="J56" s="352">
        <v>0</v>
      </c>
      <c r="K56" s="352">
        <v>0</v>
      </c>
      <c r="L56" s="352">
        <v>0</v>
      </c>
      <c r="M56" s="352">
        <v>0</v>
      </c>
      <c r="N56" s="352">
        <v>0</v>
      </c>
      <c r="O56" s="352">
        <v>0</v>
      </c>
      <c r="P56" s="352">
        <v>0</v>
      </c>
      <c r="Q56" s="352">
        <v>0</v>
      </c>
      <c r="R56" s="352">
        <v>103348.59000000001</v>
      </c>
    </row>
    <row r="57" spans="1:18" ht="22.5">
      <c r="A57" s="56" t="s">
        <v>2678</v>
      </c>
      <c r="B57" s="352">
        <v>27490.31</v>
      </c>
      <c r="C57" s="352">
        <v>0</v>
      </c>
      <c r="D57" s="352">
        <v>0</v>
      </c>
      <c r="E57" s="352">
        <v>0</v>
      </c>
      <c r="F57" s="352">
        <v>0</v>
      </c>
      <c r="G57" s="352">
        <v>0</v>
      </c>
      <c r="H57" s="352">
        <v>11123</v>
      </c>
      <c r="I57" s="352">
        <v>2439.1999999999998</v>
      </c>
      <c r="J57" s="352">
        <v>0</v>
      </c>
      <c r="K57" s="352">
        <v>0</v>
      </c>
      <c r="L57" s="352">
        <v>0</v>
      </c>
      <c r="M57" s="352">
        <v>0</v>
      </c>
      <c r="N57" s="352">
        <v>0</v>
      </c>
      <c r="O57" s="352">
        <v>0</v>
      </c>
      <c r="P57" s="352">
        <v>0</v>
      </c>
      <c r="Q57" s="352">
        <v>0</v>
      </c>
      <c r="R57" s="352">
        <v>13928.11</v>
      </c>
    </row>
    <row r="58" spans="1:18" ht="22.5">
      <c r="A58" s="56" t="s">
        <v>2620</v>
      </c>
      <c r="B58" s="352">
        <v>24326.38</v>
      </c>
      <c r="C58" s="352">
        <v>0</v>
      </c>
      <c r="D58" s="352">
        <v>0</v>
      </c>
      <c r="E58" s="352">
        <v>0</v>
      </c>
      <c r="F58" s="352">
        <v>0</v>
      </c>
      <c r="G58" s="352">
        <v>0</v>
      </c>
      <c r="H58" s="352">
        <v>0</v>
      </c>
      <c r="I58" s="352">
        <v>0</v>
      </c>
      <c r="J58" s="352">
        <v>0</v>
      </c>
      <c r="K58" s="352">
        <v>0</v>
      </c>
      <c r="L58" s="352">
        <v>2500</v>
      </c>
      <c r="M58" s="352">
        <v>0</v>
      </c>
      <c r="N58" s="352">
        <v>0</v>
      </c>
      <c r="O58" s="352">
        <v>0</v>
      </c>
      <c r="P58" s="352">
        <v>0</v>
      </c>
      <c r="Q58" s="352">
        <v>0</v>
      </c>
      <c r="R58" s="352">
        <v>21826.38</v>
      </c>
    </row>
    <row r="59" spans="1:18" ht="22.5">
      <c r="A59" s="56" t="s">
        <v>2621</v>
      </c>
      <c r="B59" s="352">
        <v>55893.399999999994</v>
      </c>
      <c r="C59" s="352">
        <v>0</v>
      </c>
      <c r="D59" s="352">
        <v>0</v>
      </c>
      <c r="E59" s="352">
        <v>0</v>
      </c>
      <c r="F59" s="352">
        <v>0</v>
      </c>
      <c r="G59" s="352">
        <v>0</v>
      </c>
      <c r="H59" s="352">
        <v>0</v>
      </c>
      <c r="I59" s="352">
        <v>43321.899999999994</v>
      </c>
      <c r="J59" s="352">
        <v>0</v>
      </c>
      <c r="K59" s="352">
        <v>0</v>
      </c>
      <c r="L59" s="352">
        <v>0</v>
      </c>
      <c r="M59" s="352">
        <v>0</v>
      </c>
      <c r="N59" s="352">
        <v>0</v>
      </c>
      <c r="O59" s="352">
        <v>0</v>
      </c>
      <c r="P59" s="352">
        <v>0</v>
      </c>
      <c r="Q59" s="352">
        <v>0</v>
      </c>
      <c r="R59" s="352">
        <v>12571.5</v>
      </c>
    </row>
    <row r="60" spans="1:18" ht="22.5">
      <c r="A60" s="56" t="s">
        <v>2623</v>
      </c>
      <c r="B60" s="352">
        <v>1479767.46</v>
      </c>
      <c r="C60" s="352">
        <v>0</v>
      </c>
      <c r="D60" s="352">
        <v>0</v>
      </c>
      <c r="E60" s="352">
        <v>0</v>
      </c>
      <c r="F60" s="352">
        <v>0</v>
      </c>
      <c r="G60" s="352">
        <v>0</v>
      </c>
      <c r="H60" s="352">
        <v>0</v>
      </c>
      <c r="I60" s="352">
        <v>752047.16999999993</v>
      </c>
      <c r="J60" s="352">
        <v>0</v>
      </c>
      <c r="K60" s="352">
        <v>0</v>
      </c>
      <c r="L60" s="352">
        <v>0</v>
      </c>
      <c r="M60" s="352">
        <v>0</v>
      </c>
      <c r="N60" s="352">
        <v>0</v>
      </c>
      <c r="O60" s="352">
        <v>0</v>
      </c>
      <c r="P60" s="352">
        <v>0</v>
      </c>
      <c r="Q60" s="352">
        <v>0</v>
      </c>
      <c r="R60" s="352">
        <v>727720.28999999992</v>
      </c>
    </row>
    <row r="61" spans="1:18" ht="22.5">
      <c r="A61" s="56" t="s">
        <v>2679</v>
      </c>
      <c r="B61" s="352">
        <v>23715.31</v>
      </c>
      <c r="C61" s="352">
        <v>0</v>
      </c>
      <c r="D61" s="352">
        <v>0</v>
      </c>
      <c r="E61" s="352">
        <v>0</v>
      </c>
      <c r="F61" s="352">
        <v>0</v>
      </c>
      <c r="G61" s="352">
        <v>0</v>
      </c>
      <c r="H61" s="352">
        <v>0</v>
      </c>
      <c r="I61" s="352">
        <v>21399.16</v>
      </c>
      <c r="J61" s="352">
        <v>0</v>
      </c>
      <c r="K61" s="352">
        <v>0</v>
      </c>
      <c r="L61" s="352">
        <v>0</v>
      </c>
      <c r="M61" s="352">
        <v>0</v>
      </c>
      <c r="N61" s="352">
        <v>0</v>
      </c>
      <c r="O61" s="352">
        <v>0</v>
      </c>
      <c r="P61" s="352">
        <v>0</v>
      </c>
      <c r="Q61" s="352">
        <v>0</v>
      </c>
      <c r="R61" s="352">
        <v>2316.15</v>
      </c>
    </row>
    <row r="62" spans="1:18" ht="22.5">
      <c r="A62" s="56" t="s">
        <v>2624</v>
      </c>
      <c r="B62" s="352">
        <v>134131.06000000003</v>
      </c>
      <c r="C62" s="352">
        <v>0</v>
      </c>
      <c r="D62" s="352">
        <v>0</v>
      </c>
      <c r="E62" s="352">
        <v>0</v>
      </c>
      <c r="F62" s="352">
        <v>0</v>
      </c>
      <c r="G62" s="352">
        <v>0</v>
      </c>
      <c r="H62" s="352">
        <v>0</v>
      </c>
      <c r="I62" s="352">
        <v>67714.000000000015</v>
      </c>
      <c r="J62" s="352">
        <v>0</v>
      </c>
      <c r="K62" s="352">
        <v>0</v>
      </c>
      <c r="L62" s="352">
        <v>0</v>
      </c>
      <c r="M62" s="352">
        <v>0</v>
      </c>
      <c r="N62" s="352">
        <v>0</v>
      </c>
      <c r="O62" s="352">
        <v>0</v>
      </c>
      <c r="P62" s="352">
        <v>0</v>
      </c>
      <c r="Q62" s="352">
        <v>0</v>
      </c>
      <c r="R62" s="352">
        <v>66417.060000000012</v>
      </c>
    </row>
    <row r="63" spans="1:18">
      <c r="A63" s="56" t="s">
        <v>2646</v>
      </c>
      <c r="B63" s="352">
        <v>4963.1100000000006</v>
      </c>
      <c r="C63" s="352">
        <v>0</v>
      </c>
      <c r="D63" s="352">
        <v>0</v>
      </c>
      <c r="E63" s="352">
        <v>0</v>
      </c>
      <c r="F63" s="352">
        <v>0</v>
      </c>
      <c r="G63" s="352">
        <v>0</v>
      </c>
      <c r="H63" s="352">
        <v>0</v>
      </c>
      <c r="I63" s="352">
        <v>4963.1100000000006</v>
      </c>
      <c r="J63" s="352">
        <v>0</v>
      </c>
      <c r="K63" s="352">
        <v>0</v>
      </c>
      <c r="L63" s="352">
        <v>0</v>
      </c>
      <c r="M63" s="352">
        <v>0</v>
      </c>
      <c r="N63" s="352">
        <v>0</v>
      </c>
      <c r="O63" s="352">
        <v>0</v>
      </c>
      <c r="P63" s="352">
        <v>0</v>
      </c>
      <c r="Q63" s="352">
        <v>0</v>
      </c>
      <c r="R63" s="352">
        <v>0</v>
      </c>
    </row>
    <row r="64" spans="1:18">
      <c r="A64" s="56" t="s">
        <v>2625</v>
      </c>
      <c r="B64" s="352">
        <v>526240.53</v>
      </c>
      <c r="C64" s="352">
        <v>0</v>
      </c>
      <c r="D64" s="352">
        <v>0</v>
      </c>
      <c r="E64" s="352">
        <v>0</v>
      </c>
      <c r="F64" s="352">
        <v>0</v>
      </c>
      <c r="G64" s="352">
        <v>0</v>
      </c>
      <c r="H64" s="352">
        <v>0</v>
      </c>
      <c r="I64" s="352">
        <v>219358.45</v>
      </c>
      <c r="J64" s="352">
        <v>0</v>
      </c>
      <c r="K64" s="352">
        <v>0</v>
      </c>
      <c r="L64" s="352">
        <v>0</v>
      </c>
      <c r="M64" s="352">
        <v>0</v>
      </c>
      <c r="N64" s="352">
        <v>0</v>
      </c>
      <c r="O64" s="352">
        <v>6696.1</v>
      </c>
      <c r="P64" s="352">
        <v>0</v>
      </c>
      <c r="Q64" s="352">
        <v>0</v>
      </c>
      <c r="R64" s="352">
        <v>300185.98</v>
      </c>
    </row>
    <row r="65" spans="1:18">
      <c r="A65" s="351" t="s">
        <v>2546</v>
      </c>
      <c r="B65" s="348">
        <f>+B66</f>
        <v>5842735.0100000007</v>
      </c>
      <c r="C65" s="348">
        <f t="shared" ref="C65:R65" si="6">+C66</f>
        <v>24519.59</v>
      </c>
      <c r="D65" s="348">
        <f t="shared" si="6"/>
        <v>0</v>
      </c>
      <c r="E65" s="348">
        <f t="shared" si="6"/>
        <v>0</v>
      </c>
      <c r="F65" s="348">
        <f t="shared" si="6"/>
        <v>0</v>
      </c>
      <c r="G65" s="348">
        <f t="shared" si="6"/>
        <v>0</v>
      </c>
      <c r="H65" s="348">
        <f t="shared" si="6"/>
        <v>2500</v>
      </c>
      <c r="I65" s="348">
        <f t="shared" si="6"/>
        <v>2457156.2199999993</v>
      </c>
      <c r="J65" s="348">
        <f t="shared" si="6"/>
        <v>46.66</v>
      </c>
      <c r="K65" s="348">
        <f t="shared" si="6"/>
        <v>9600</v>
      </c>
      <c r="L65" s="348">
        <f t="shared" si="6"/>
        <v>0</v>
      </c>
      <c r="M65" s="348">
        <f t="shared" si="6"/>
        <v>0</v>
      </c>
      <c r="N65" s="348">
        <f t="shared" si="6"/>
        <v>0</v>
      </c>
      <c r="O65" s="348">
        <f t="shared" si="6"/>
        <v>4200</v>
      </c>
      <c r="P65" s="348">
        <f t="shared" si="6"/>
        <v>0</v>
      </c>
      <c r="Q65" s="348">
        <f t="shared" si="6"/>
        <v>0</v>
      </c>
      <c r="R65" s="348">
        <f t="shared" si="6"/>
        <v>3344712.540000001</v>
      </c>
    </row>
    <row r="66" spans="1:18">
      <c r="A66" s="351" t="s">
        <v>1830</v>
      </c>
      <c r="B66" s="348">
        <f>SUM(B67:B71)</f>
        <v>5842735.0100000007</v>
      </c>
      <c r="C66" s="348">
        <f t="shared" ref="C66:R66" si="7">SUM(C67:C71)</f>
        <v>24519.59</v>
      </c>
      <c r="D66" s="348">
        <f t="shared" si="7"/>
        <v>0</v>
      </c>
      <c r="E66" s="348">
        <f t="shared" si="7"/>
        <v>0</v>
      </c>
      <c r="F66" s="348">
        <f t="shared" si="7"/>
        <v>0</v>
      </c>
      <c r="G66" s="348">
        <f t="shared" si="7"/>
        <v>0</v>
      </c>
      <c r="H66" s="348">
        <f t="shared" si="7"/>
        <v>2500</v>
      </c>
      <c r="I66" s="348">
        <f t="shared" si="7"/>
        <v>2457156.2199999993</v>
      </c>
      <c r="J66" s="348">
        <f t="shared" si="7"/>
        <v>46.66</v>
      </c>
      <c r="K66" s="348">
        <f t="shared" si="7"/>
        <v>9600</v>
      </c>
      <c r="L66" s="348">
        <f t="shared" si="7"/>
        <v>0</v>
      </c>
      <c r="M66" s="348">
        <f t="shared" si="7"/>
        <v>0</v>
      </c>
      <c r="N66" s="348">
        <f t="shared" si="7"/>
        <v>0</v>
      </c>
      <c r="O66" s="348">
        <f t="shared" si="7"/>
        <v>4200</v>
      </c>
      <c r="P66" s="348">
        <f t="shared" si="7"/>
        <v>0</v>
      </c>
      <c r="Q66" s="348">
        <f t="shared" si="7"/>
        <v>0</v>
      </c>
      <c r="R66" s="348">
        <f t="shared" si="7"/>
        <v>3344712.540000001</v>
      </c>
    </row>
    <row r="67" spans="1:18" ht="22.5">
      <c r="A67" s="56" t="s">
        <v>2626</v>
      </c>
      <c r="B67" s="352">
        <v>41981.929999999993</v>
      </c>
      <c r="C67" s="352">
        <v>0</v>
      </c>
      <c r="D67" s="352">
        <v>0</v>
      </c>
      <c r="E67" s="352">
        <v>0</v>
      </c>
      <c r="F67" s="352">
        <v>0</v>
      </c>
      <c r="G67" s="352">
        <v>0</v>
      </c>
      <c r="H67" s="352">
        <v>0</v>
      </c>
      <c r="I67" s="352">
        <v>5612.59</v>
      </c>
      <c r="J67" s="352">
        <v>0</v>
      </c>
      <c r="K67" s="352">
        <v>0</v>
      </c>
      <c r="L67" s="352">
        <v>0</v>
      </c>
      <c r="M67" s="352">
        <v>0</v>
      </c>
      <c r="N67" s="352">
        <v>0</v>
      </c>
      <c r="O67" s="352">
        <v>0</v>
      </c>
      <c r="P67" s="352">
        <v>0</v>
      </c>
      <c r="Q67" s="352">
        <v>0</v>
      </c>
      <c r="R67" s="352">
        <v>36369.339999999997</v>
      </c>
    </row>
    <row r="68" spans="1:18">
      <c r="A68" s="56" t="s">
        <v>2681</v>
      </c>
      <c r="B68" s="352">
        <v>91083.360000000044</v>
      </c>
      <c r="C68" s="352">
        <v>0</v>
      </c>
      <c r="D68" s="352">
        <v>0</v>
      </c>
      <c r="E68" s="352">
        <v>0</v>
      </c>
      <c r="F68" s="352">
        <v>0</v>
      </c>
      <c r="G68" s="352">
        <v>0</v>
      </c>
      <c r="H68" s="352">
        <v>0</v>
      </c>
      <c r="I68" s="352">
        <v>18949</v>
      </c>
      <c r="J68" s="352">
        <v>0</v>
      </c>
      <c r="K68" s="352">
        <v>0</v>
      </c>
      <c r="L68" s="352">
        <v>0</v>
      </c>
      <c r="M68" s="352">
        <v>0</v>
      </c>
      <c r="N68" s="352">
        <v>0</v>
      </c>
      <c r="O68" s="352">
        <v>0</v>
      </c>
      <c r="P68" s="352">
        <v>0</v>
      </c>
      <c r="Q68" s="352">
        <v>0</v>
      </c>
      <c r="R68" s="352">
        <v>72134.360000000044</v>
      </c>
    </row>
    <row r="69" spans="1:18">
      <c r="A69" s="56" t="s">
        <v>2627</v>
      </c>
      <c r="B69" s="352">
        <v>345147.94999999995</v>
      </c>
      <c r="C69" s="352">
        <v>24519.59</v>
      </c>
      <c r="D69" s="352">
        <v>0</v>
      </c>
      <c r="E69" s="352">
        <v>0</v>
      </c>
      <c r="F69" s="352">
        <v>0</v>
      </c>
      <c r="G69" s="352">
        <v>0</v>
      </c>
      <c r="H69" s="352">
        <v>2500</v>
      </c>
      <c r="I69" s="352">
        <v>273392.18999999994</v>
      </c>
      <c r="J69" s="352">
        <v>0</v>
      </c>
      <c r="K69" s="352">
        <v>0</v>
      </c>
      <c r="L69" s="352">
        <v>0</v>
      </c>
      <c r="M69" s="352">
        <v>0</v>
      </c>
      <c r="N69" s="352">
        <v>0</v>
      </c>
      <c r="O69" s="352">
        <v>4200</v>
      </c>
      <c r="P69" s="352">
        <v>0</v>
      </c>
      <c r="Q69" s="352">
        <v>0</v>
      </c>
      <c r="R69" s="352">
        <v>40536.17</v>
      </c>
    </row>
    <row r="70" spans="1:18" ht="22.5">
      <c r="A70" s="56" t="s">
        <v>2628</v>
      </c>
      <c r="B70" s="352">
        <v>1013.05</v>
      </c>
      <c r="C70" s="352">
        <v>0</v>
      </c>
      <c r="D70" s="352">
        <v>0</v>
      </c>
      <c r="E70" s="352">
        <v>0</v>
      </c>
      <c r="F70" s="352">
        <v>0</v>
      </c>
      <c r="G70" s="352">
        <v>0</v>
      </c>
      <c r="H70" s="352">
        <v>0</v>
      </c>
      <c r="I70" s="352">
        <v>600</v>
      </c>
      <c r="J70" s="352">
        <v>0</v>
      </c>
      <c r="K70" s="352">
        <v>0</v>
      </c>
      <c r="L70" s="352">
        <v>0</v>
      </c>
      <c r="M70" s="352">
        <v>0</v>
      </c>
      <c r="N70" s="352">
        <v>0</v>
      </c>
      <c r="O70" s="352">
        <v>0</v>
      </c>
      <c r="P70" s="352">
        <v>0</v>
      </c>
      <c r="Q70" s="352">
        <v>0</v>
      </c>
      <c r="R70" s="352">
        <v>413.05</v>
      </c>
    </row>
    <row r="71" spans="1:18">
      <c r="A71" s="56" t="s">
        <v>2629</v>
      </c>
      <c r="B71" s="352">
        <v>5363508.7200000007</v>
      </c>
      <c r="C71" s="352">
        <v>0</v>
      </c>
      <c r="D71" s="352">
        <v>0</v>
      </c>
      <c r="E71" s="352">
        <v>0</v>
      </c>
      <c r="F71" s="352">
        <v>0</v>
      </c>
      <c r="G71" s="352">
        <v>0</v>
      </c>
      <c r="H71" s="352">
        <v>0</v>
      </c>
      <c r="I71" s="352">
        <v>2158602.4399999995</v>
      </c>
      <c r="J71" s="352">
        <v>46.66</v>
      </c>
      <c r="K71" s="352">
        <v>9600</v>
      </c>
      <c r="L71" s="352">
        <v>0</v>
      </c>
      <c r="M71" s="352">
        <v>0</v>
      </c>
      <c r="N71" s="352">
        <v>0</v>
      </c>
      <c r="O71" s="352">
        <v>0</v>
      </c>
      <c r="P71" s="352">
        <v>0</v>
      </c>
      <c r="Q71" s="352">
        <v>0</v>
      </c>
      <c r="R71" s="352">
        <v>3195259.620000001</v>
      </c>
    </row>
    <row r="72" spans="1:18" ht="22.5">
      <c r="A72" s="351" t="s">
        <v>2576</v>
      </c>
      <c r="B72" s="348">
        <f>+B73+B76</f>
        <v>48061358.029999994</v>
      </c>
      <c r="C72" s="348">
        <f t="shared" ref="C72:R72" si="8">+C73+C76</f>
        <v>82255.61</v>
      </c>
      <c r="D72" s="348">
        <f t="shared" si="8"/>
        <v>0</v>
      </c>
      <c r="E72" s="348">
        <f t="shared" si="8"/>
        <v>184.5</v>
      </c>
      <c r="F72" s="348">
        <f t="shared" si="8"/>
        <v>0</v>
      </c>
      <c r="G72" s="348">
        <f t="shared" si="8"/>
        <v>43731.32</v>
      </c>
      <c r="H72" s="348">
        <f t="shared" si="8"/>
        <v>70155.78</v>
      </c>
      <c r="I72" s="348">
        <f t="shared" si="8"/>
        <v>9076571.3599999994</v>
      </c>
      <c r="J72" s="348">
        <f t="shared" si="8"/>
        <v>0</v>
      </c>
      <c r="K72" s="348">
        <f t="shared" si="8"/>
        <v>1</v>
      </c>
      <c r="L72" s="348">
        <f t="shared" si="8"/>
        <v>35867247.93999999</v>
      </c>
      <c r="M72" s="348">
        <f t="shared" si="8"/>
        <v>53424</v>
      </c>
      <c r="N72" s="348">
        <f t="shared" si="8"/>
        <v>0</v>
      </c>
      <c r="O72" s="348">
        <f t="shared" si="8"/>
        <v>0</v>
      </c>
      <c r="P72" s="348">
        <f t="shared" si="8"/>
        <v>0</v>
      </c>
      <c r="Q72" s="348">
        <f t="shared" si="8"/>
        <v>0</v>
      </c>
      <c r="R72" s="348">
        <f t="shared" si="8"/>
        <v>2867786.52</v>
      </c>
    </row>
    <row r="73" spans="1:18">
      <c r="A73" s="351" t="s">
        <v>2586</v>
      </c>
      <c r="B73" s="348">
        <f>SUM(B74:B75)</f>
        <v>37027992.149999991</v>
      </c>
      <c r="C73" s="348">
        <f t="shared" ref="C73:R73" si="9">SUM(C74:C75)</f>
        <v>0</v>
      </c>
      <c r="D73" s="348">
        <f t="shared" si="9"/>
        <v>0</v>
      </c>
      <c r="E73" s="348">
        <f t="shared" si="9"/>
        <v>0</v>
      </c>
      <c r="F73" s="348">
        <f t="shared" si="9"/>
        <v>0</v>
      </c>
      <c r="G73" s="348">
        <f t="shared" si="9"/>
        <v>43731.32</v>
      </c>
      <c r="H73" s="348">
        <f t="shared" si="9"/>
        <v>17565.16</v>
      </c>
      <c r="I73" s="348">
        <f t="shared" si="9"/>
        <v>1034317.7899999999</v>
      </c>
      <c r="J73" s="348">
        <f t="shared" si="9"/>
        <v>0</v>
      </c>
      <c r="K73" s="348">
        <f t="shared" si="9"/>
        <v>0</v>
      </c>
      <c r="L73" s="348">
        <f t="shared" si="9"/>
        <v>35800685.579999991</v>
      </c>
      <c r="M73" s="348">
        <f t="shared" si="9"/>
        <v>0</v>
      </c>
      <c r="N73" s="348">
        <f t="shared" si="9"/>
        <v>0</v>
      </c>
      <c r="O73" s="348">
        <f t="shared" si="9"/>
        <v>0</v>
      </c>
      <c r="P73" s="348">
        <f t="shared" si="9"/>
        <v>0</v>
      </c>
      <c r="Q73" s="348">
        <f t="shared" si="9"/>
        <v>0</v>
      </c>
      <c r="R73" s="348">
        <f t="shared" si="9"/>
        <v>131692.30000000002</v>
      </c>
    </row>
    <row r="74" spans="1:18">
      <c r="A74" s="56" t="s">
        <v>2683</v>
      </c>
      <c r="B74" s="352">
        <v>776101.75</v>
      </c>
      <c r="C74" s="352">
        <v>0</v>
      </c>
      <c r="D74" s="352">
        <v>0</v>
      </c>
      <c r="E74" s="352">
        <v>0</v>
      </c>
      <c r="F74" s="352">
        <v>0</v>
      </c>
      <c r="G74" s="352">
        <v>0</v>
      </c>
      <c r="H74" s="352">
        <v>0</v>
      </c>
      <c r="I74" s="352">
        <v>644409.44999999995</v>
      </c>
      <c r="J74" s="352">
        <v>0</v>
      </c>
      <c r="K74" s="352">
        <v>0</v>
      </c>
      <c r="L74" s="352">
        <v>0</v>
      </c>
      <c r="M74" s="352">
        <v>0</v>
      </c>
      <c r="N74" s="352">
        <v>0</v>
      </c>
      <c r="O74" s="352">
        <v>0</v>
      </c>
      <c r="P74" s="352">
        <v>0</v>
      </c>
      <c r="Q74" s="352">
        <v>0</v>
      </c>
      <c r="R74" s="352">
        <v>131692.30000000002</v>
      </c>
    </row>
    <row r="75" spans="1:18" ht="22.5">
      <c r="A75" s="56" t="s">
        <v>2630</v>
      </c>
      <c r="B75" s="352">
        <v>36251890.399999991</v>
      </c>
      <c r="C75" s="352">
        <v>0</v>
      </c>
      <c r="D75" s="352">
        <v>0</v>
      </c>
      <c r="E75" s="352">
        <v>0</v>
      </c>
      <c r="F75" s="352">
        <v>0</v>
      </c>
      <c r="G75" s="352">
        <v>43731.32</v>
      </c>
      <c r="H75" s="352">
        <v>17565.16</v>
      </c>
      <c r="I75" s="352">
        <v>389908.33999999997</v>
      </c>
      <c r="J75" s="352">
        <v>0</v>
      </c>
      <c r="K75" s="352">
        <v>0</v>
      </c>
      <c r="L75" s="352">
        <v>35800685.579999991</v>
      </c>
      <c r="M75" s="352">
        <v>0</v>
      </c>
      <c r="N75" s="352">
        <v>0</v>
      </c>
      <c r="O75" s="352">
        <v>0</v>
      </c>
      <c r="P75" s="352">
        <v>0</v>
      </c>
      <c r="Q75" s="352">
        <v>0</v>
      </c>
      <c r="R75" s="352">
        <v>0</v>
      </c>
    </row>
    <row r="76" spans="1:18">
      <c r="A76" s="351" t="s">
        <v>2083</v>
      </c>
      <c r="B76" s="348">
        <f>SUM(B77:B92)</f>
        <v>11033365.880000001</v>
      </c>
      <c r="C76" s="348">
        <f t="shared" ref="C76:M76" si="10">SUM(C77:C92)</f>
        <v>82255.61</v>
      </c>
      <c r="D76" s="348">
        <f t="shared" si="10"/>
        <v>0</v>
      </c>
      <c r="E76" s="348">
        <f t="shared" si="10"/>
        <v>184.5</v>
      </c>
      <c r="F76" s="348">
        <f t="shared" si="10"/>
        <v>0</v>
      </c>
      <c r="G76" s="348">
        <f t="shared" si="10"/>
        <v>0</v>
      </c>
      <c r="H76" s="348">
        <f t="shared" si="10"/>
        <v>52590.62</v>
      </c>
      <c r="I76" s="348">
        <f t="shared" si="10"/>
        <v>8042253.5699999994</v>
      </c>
      <c r="J76" s="348">
        <f t="shared" si="10"/>
        <v>0</v>
      </c>
      <c r="K76" s="348">
        <f t="shared" si="10"/>
        <v>1</v>
      </c>
      <c r="L76" s="348">
        <f t="shared" si="10"/>
        <v>66562.36</v>
      </c>
      <c r="M76" s="348">
        <f t="shared" si="10"/>
        <v>53424</v>
      </c>
      <c r="N76" s="348">
        <f>SUM(N77:N92)</f>
        <v>0</v>
      </c>
      <c r="O76" s="348">
        <f>SUM(O77:O92)</f>
        <v>0</v>
      </c>
      <c r="P76" s="348">
        <f>SUM(P77:P92)</f>
        <v>0</v>
      </c>
      <c r="Q76" s="348">
        <f>SUM(Q77:Q92)</f>
        <v>0</v>
      </c>
      <c r="R76" s="348">
        <f>SUM(R77:R92)</f>
        <v>2736094.22</v>
      </c>
    </row>
    <row r="77" spans="1:18">
      <c r="A77" s="56" t="s">
        <v>2684</v>
      </c>
      <c r="B77" s="352">
        <v>227396.59</v>
      </c>
      <c r="C77" s="352">
        <v>81521.25</v>
      </c>
      <c r="D77" s="352">
        <v>0</v>
      </c>
      <c r="E77" s="352">
        <v>0</v>
      </c>
      <c r="F77" s="352">
        <v>0</v>
      </c>
      <c r="G77" s="352">
        <v>0</v>
      </c>
      <c r="H77" s="352">
        <v>0</v>
      </c>
      <c r="I77" s="352">
        <v>142635.54</v>
      </c>
      <c r="J77" s="352">
        <v>0</v>
      </c>
      <c r="K77" s="352">
        <v>0</v>
      </c>
      <c r="L77" s="352">
        <v>0</v>
      </c>
      <c r="M77" s="352">
        <v>0</v>
      </c>
      <c r="N77" s="352">
        <v>0</v>
      </c>
      <c r="O77" s="352">
        <v>0</v>
      </c>
      <c r="P77" s="352">
        <v>0</v>
      </c>
      <c r="Q77" s="352">
        <v>0</v>
      </c>
      <c r="R77" s="352">
        <v>3239.8</v>
      </c>
    </row>
    <row r="78" spans="1:18">
      <c r="A78" s="56" t="s">
        <v>2685</v>
      </c>
      <c r="B78" s="352">
        <v>225966.05</v>
      </c>
      <c r="C78" s="352">
        <v>0</v>
      </c>
      <c r="D78" s="352">
        <v>0</v>
      </c>
      <c r="E78" s="352">
        <v>0</v>
      </c>
      <c r="F78" s="352">
        <v>0</v>
      </c>
      <c r="G78" s="352">
        <v>0</v>
      </c>
      <c r="H78" s="352">
        <v>0</v>
      </c>
      <c r="I78" s="352">
        <v>163005.81999999998</v>
      </c>
      <c r="J78" s="352">
        <v>0</v>
      </c>
      <c r="K78" s="352">
        <v>0</v>
      </c>
      <c r="L78" s="352">
        <v>0</v>
      </c>
      <c r="M78" s="352">
        <v>0</v>
      </c>
      <c r="N78" s="352">
        <v>0</v>
      </c>
      <c r="O78" s="352">
        <v>0</v>
      </c>
      <c r="P78" s="352">
        <v>0</v>
      </c>
      <c r="Q78" s="352">
        <v>0</v>
      </c>
      <c r="R78" s="352">
        <v>62960.229999999996</v>
      </c>
    </row>
    <row r="79" spans="1:18" ht="22.5">
      <c r="A79" s="56" t="s">
        <v>2687</v>
      </c>
      <c r="B79" s="352">
        <v>734192.92999999993</v>
      </c>
      <c r="C79" s="352">
        <v>0</v>
      </c>
      <c r="D79" s="352">
        <v>0</v>
      </c>
      <c r="E79" s="352">
        <v>0</v>
      </c>
      <c r="F79" s="352">
        <v>0</v>
      </c>
      <c r="G79" s="352">
        <v>0</v>
      </c>
      <c r="H79" s="352">
        <v>0</v>
      </c>
      <c r="I79" s="352">
        <v>342476.54</v>
      </c>
      <c r="J79" s="352">
        <v>0</v>
      </c>
      <c r="K79" s="352">
        <v>0</v>
      </c>
      <c r="L79" s="352">
        <v>0</v>
      </c>
      <c r="M79" s="352">
        <v>0</v>
      </c>
      <c r="N79" s="352">
        <v>0</v>
      </c>
      <c r="O79" s="352">
        <v>0</v>
      </c>
      <c r="P79" s="352">
        <v>0</v>
      </c>
      <c r="Q79" s="352">
        <v>0</v>
      </c>
      <c r="R79" s="352">
        <v>391716.38999999996</v>
      </c>
    </row>
    <row r="80" spans="1:18">
      <c r="A80" s="56" t="s">
        <v>2688</v>
      </c>
      <c r="B80" s="352">
        <v>641090.87</v>
      </c>
      <c r="C80" s="352">
        <v>0</v>
      </c>
      <c r="D80" s="352">
        <v>0</v>
      </c>
      <c r="E80" s="352">
        <v>0</v>
      </c>
      <c r="F80" s="352">
        <v>0</v>
      </c>
      <c r="G80" s="352">
        <v>0</v>
      </c>
      <c r="H80" s="352">
        <v>0</v>
      </c>
      <c r="I80" s="352">
        <v>477079.32</v>
      </c>
      <c r="J80" s="352">
        <v>0</v>
      </c>
      <c r="K80" s="352">
        <v>0</v>
      </c>
      <c r="L80" s="352">
        <v>0</v>
      </c>
      <c r="M80" s="352">
        <v>0</v>
      </c>
      <c r="N80" s="352">
        <v>0</v>
      </c>
      <c r="O80" s="352">
        <v>0</v>
      </c>
      <c r="P80" s="352">
        <v>0</v>
      </c>
      <c r="Q80" s="352">
        <v>0</v>
      </c>
      <c r="R80" s="352">
        <v>164011.54999999999</v>
      </c>
    </row>
    <row r="81" spans="1:18">
      <c r="A81" s="56" t="s">
        <v>2689</v>
      </c>
      <c r="B81" s="352">
        <v>129930.84</v>
      </c>
      <c r="C81" s="352">
        <v>0</v>
      </c>
      <c r="D81" s="352">
        <v>0</v>
      </c>
      <c r="E81" s="352">
        <v>0</v>
      </c>
      <c r="F81" s="352">
        <v>0</v>
      </c>
      <c r="G81" s="352">
        <v>0</v>
      </c>
      <c r="H81" s="352">
        <v>0</v>
      </c>
      <c r="I81" s="352">
        <v>50675.53</v>
      </c>
      <c r="J81" s="352">
        <v>0</v>
      </c>
      <c r="K81" s="352">
        <v>0</v>
      </c>
      <c r="L81" s="352">
        <v>0</v>
      </c>
      <c r="M81" s="352">
        <v>0</v>
      </c>
      <c r="N81" s="352">
        <v>0</v>
      </c>
      <c r="O81" s="352">
        <v>0</v>
      </c>
      <c r="P81" s="352">
        <v>0</v>
      </c>
      <c r="Q81" s="352">
        <v>0</v>
      </c>
      <c r="R81" s="352">
        <v>79255.31</v>
      </c>
    </row>
    <row r="82" spans="1:18">
      <c r="A82" s="56" t="s">
        <v>2690</v>
      </c>
      <c r="B82" s="352">
        <v>1548189.9199999997</v>
      </c>
      <c r="C82" s="352">
        <v>0</v>
      </c>
      <c r="D82" s="352">
        <v>0</v>
      </c>
      <c r="E82" s="352">
        <v>0</v>
      </c>
      <c r="F82" s="352">
        <v>0</v>
      </c>
      <c r="G82" s="352">
        <v>0</v>
      </c>
      <c r="H82" s="352">
        <v>0</v>
      </c>
      <c r="I82" s="352">
        <v>1264076.9899999998</v>
      </c>
      <c r="J82" s="352">
        <v>0</v>
      </c>
      <c r="K82" s="352">
        <v>1</v>
      </c>
      <c r="L82" s="352">
        <v>0</v>
      </c>
      <c r="M82" s="352">
        <v>0</v>
      </c>
      <c r="N82" s="352">
        <v>0</v>
      </c>
      <c r="O82" s="352">
        <v>0</v>
      </c>
      <c r="P82" s="352">
        <v>0</v>
      </c>
      <c r="Q82" s="352">
        <v>0</v>
      </c>
      <c r="R82" s="352">
        <v>284111.92999999993</v>
      </c>
    </row>
    <row r="83" spans="1:18">
      <c r="A83" s="56" t="s">
        <v>2691</v>
      </c>
      <c r="B83" s="352">
        <v>440020.1399999999</v>
      </c>
      <c r="C83" s="352">
        <v>0</v>
      </c>
      <c r="D83" s="352">
        <v>0</v>
      </c>
      <c r="E83" s="352">
        <v>0</v>
      </c>
      <c r="F83" s="352">
        <v>0</v>
      </c>
      <c r="G83" s="352">
        <v>0</v>
      </c>
      <c r="H83" s="352">
        <v>0</v>
      </c>
      <c r="I83" s="352">
        <v>226656.92999999996</v>
      </c>
      <c r="J83" s="352">
        <v>0</v>
      </c>
      <c r="K83" s="352">
        <v>0</v>
      </c>
      <c r="L83" s="352">
        <v>0</v>
      </c>
      <c r="M83" s="352">
        <v>0</v>
      </c>
      <c r="N83" s="352">
        <v>0</v>
      </c>
      <c r="O83" s="352">
        <v>0</v>
      </c>
      <c r="P83" s="352">
        <v>0</v>
      </c>
      <c r="Q83" s="352">
        <v>0</v>
      </c>
      <c r="R83" s="352">
        <v>213363.20999999996</v>
      </c>
    </row>
    <row r="84" spans="1:18">
      <c r="A84" s="56" t="s">
        <v>2692</v>
      </c>
      <c r="B84" s="352">
        <v>99169.999999999985</v>
      </c>
      <c r="C84" s="352">
        <v>0</v>
      </c>
      <c r="D84" s="352">
        <v>0</v>
      </c>
      <c r="E84" s="352">
        <v>0</v>
      </c>
      <c r="F84" s="352">
        <v>0</v>
      </c>
      <c r="G84" s="352">
        <v>0</v>
      </c>
      <c r="H84" s="352">
        <v>0</v>
      </c>
      <c r="I84" s="352">
        <v>93219.999999999985</v>
      </c>
      <c r="J84" s="352">
        <v>0</v>
      </c>
      <c r="K84" s="352">
        <v>0</v>
      </c>
      <c r="L84" s="352">
        <v>0</v>
      </c>
      <c r="M84" s="352">
        <v>0</v>
      </c>
      <c r="N84" s="352">
        <v>0</v>
      </c>
      <c r="O84" s="352">
        <v>0</v>
      </c>
      <c r="P84" s="352">
        <v>0</v>
      </c>
      <c r="Q84" s="352">
        <v>0</v>
      </c>
      <c r="R84" s="352">
        <v>5950</v>
      </c>
    </row>
    <row r="85" spans="1:18">
      <c r="A85" s="56" t="s">
        <v>2693</v>
      </c>
      <c r="B85" s="352">
        <v>6548.23</v>
      </c>
      <c r="C85" s="352">
        <v>0</v>
      </c>
      <c r="D85" s="352">
        <v>0</v>
      </c>
      <c r="E85" s="352">
        <v>0</v>
      </c>
      <c r="F85" s="352">
        <v>0</v>
      </c>
      <c r="G85" s="352">
        <v>0</v>
      </c>
      <c r="H85" s="352">
        <v>0</v>
      </c>
      <c r="I85" s="352">
        <v>5001.57</v>
      </c>
      <c r="J85" s="352">
        <v>0</v>
      </c>
      <c r="K85" s="352">
        <v>0</v>
      </c>
      <c r="L85" s="352">
        <v>0</v>
      </c>
      <c r="M85" s="352">
        <v>0</v>
      </c>
      <c r="N85" s="352">
        <v>0</v>
      </c>
      <c r="O85" s="352">
        <v>0</v>
      </c>
      <c r="P85" s="352">
        <v>0</v>
      </c>
      <c r="Q85" s="352">
        <v>0</v>
      </c>
      <c r="R85" s="352">
        <v>1546.66</v>
      </c>
    </row>
    <row r="86" spans="1:18">
      <c r="A86" s="56" t="s">
        <v>2631</v>
      </c>
      <c r="B86" s="352">
        <v>12569.39</v>
      </c>
      <c r="C86" s="352">
        <v>0</v>
      </c>
      <c r="D86" s="352">
        <v>0</v>
      </c>
      <c r="E86" s="352">
        <v>0</v>
      </c>
      <c r="F86" s="352">
        <v>0</v>
      </c>
      <c r="G86" s="352">
        <v>0</v>
      </c>
      <c r="H86" s="352">
        <v>0</v>
      </c>
      <c r="I86" s="352">
        <v>8606.99</v>
      </c>
      <c r="J86" s="352">
        <v>0</v>
      </c>
      <c r="K86" s="352">
        <v>0</v>
      </c>
      <c r="L86" s="352">
        <v>0</v>
      </c>
      <c r="M86" s="352">
        <v>0</v>
      </c>
      <c r="N86" s="352">
        <v>0</v>
      </c>
      <c r="O86" s="352">
        <v>0</v>
      </c>
      <c r="P86" s="352">
        <v>0</v>
      </c>
      <c r="Q86" s="352">
        <v>0</v>
      </c>
      <c r="R86" s="352">
        <v>3962.4</v>
      </c>
    </row>
    <row r="87" spans="1:18" ht="22.5">
      <c r="A87" s="56" t="s">
        <v>2632</v>
      </c>
      <c r="B87" s="352">
        <v>2954351.22</v>
      </c>
      <c r="C87" s="352">
        <v>100</v>
      </c>
      <c r="D87" s="352">
        <v>0</v>
      </c>
      <c r="E87" s="352">
        <v>0</v>
      </c>
      <c r="F87" s="352">
        <v>0</v>
      </c>
      <c r="G87" s="352">
        <v>0</v>
      </c>
      <c r="H87" s="352">
        <v>52446.62</v>
      </c>
      <c r="I87" s="352">
        <v>2055528.15</v>
      </c>
      <c r="J87" s="352">
        <v>0</v>
      </c>
      <c r="K87" s="352">
        <v>0</v>
      </c>
      <c r="L87" s="352">
        <v>0</v>
      </c>
      <c r="M87" s="352">
        <v>0</v>
      </c>
      <c r="N87" s="352">
        <v>0</v>
      </c>
      <c r="O87" s="352">
        <v>0</v>
      </c>
      <c r="P87" s="352">
        <v>0</v>
      </c>
      <c r="Q87" s="352">
        <v>0</v>
      </c>
      <c r="R87" s="352">
        <v>846276.45000000007</v>
      </c>
    </row>
    <row r="88" spans="1:18" ht="22.5">
      <c r="A88" s="56" t="s">
        <v>2633</v>
      </c>
      <c r="B88" s="352">
        <v>3643.8999999999996</v>
      </c>
      <c r="C88" s="352">
        <v>0</v>
      </c>
      <c r="D88" s="352">
        <v>0</v>
      </c>
      <c r="E88" s="352">
        <v>0</v>
      </c>
      <c r="F88" s="352">
        <v>0</v>
      </c>
      <c r="G88" s="352">
        <v>0</v>
      </c>
      <c r="H88" s="352">
        <v>0</v>
      </c>
      <c r="I88" s="352">
        <v>150.5</v>
      </c>
      <c r="J88" s="352">
        <v>0</v>
      </c>
      <c r="K88" s="352">
        <v>0</v>
      </c>
      <c r="L88" s="352">
        <v>0</v>
      </c>
      <c r="M88" s="352">
        <v>0</v>
      </c>
      <c r="N88" s="352">
        <v>0</v>
      </c>
      <c r="O88" s="352">
        <v>0</v>
      </c>
      <c r="P88" s="352">
        <v>0</v>
      </c>
      <c r="Q88" s="352">
        <v>0</v>
      </c>
      <c r="R88" s="352">
        <v>3493.3999999999996</v>
      </c>
    </row>
    <row r="89" spans="1:18">
      <c r="A89" s="56" t="s">
        <v>2634</v>
      </c>
      <c r="B89" s="352">
        <v>781634.62</v>
      </c>
      <c r="C89" s="352">
        <v>634.36</v>
      </c>
      <c r="D89" s="352">
        <v>0</v>
      </c>
      <c r="E89" s="352">
        <v>0</v>
      </c>
      <c r="F89" s="352">
        <v>0</v>
      </c>
      <c r="G89" s="352">
        <v>0</v>
      </c>
      <c r="H89" s="352">
        <v>0</v>
      </c>
      <c r="I89" s="352">
        <v>781000.26</v>
      </c>
      <c r="J89" s="352">
        <v>0</v>
      </c>
      <c r="K89" s="352">
        <v>0</v>
      </c>
      <c r="L89" s="352">
        <v>0</v>
      </c>
      <c r="M89" s="352">
        <v>0</v>
      </c>
      <c r="N89" s="352">
        <v>0</v>
      </c>
      <c r="O89" s="352">
        <v>0</v>
      </c>
      <c r="P89" s="352">
        <v>0</v>
      </c>
      <c r="Q89" s="352">
        <v>0</v>
      </c>
      <c r="R89" s="352">
        <v>0</v>
      </c>
    </row>
    <row r="90" spans="1:18" ht="22.5">
      <c r="A90" s="56" t="s">
        <v>2635</v>
      </c>
      <c r="B90" s="352">
        <v>1358643.2799999993</v>
      </c>
      <c r="C90" s="352">
        <v>0</v>
      </c>
      <c r="D90" s="352">
        <v>0</v>
      </c>
      <c r="E90" s="352">
        <v>0</v>
      </c>
      <c r="F90" s="352">
        <v>0</v>
      </c>
      <c r="G90" s="352">
        <v>0</v>
      </c>
      <c r="H90" s="352">
        <v>144</v>
      </c>
      <c r="I90" s="352">
        <v>922821.75999999943</v>
      </c>
      <c r="J90" s="352">
        <v>0</v>
      </c>
      <c r="K90" s="352">
        <v>0</v>
      </c>
      <c r="L90" s="352">
        <v>44319.01</v>
      </c>
      <c r="M90" s="352">
        <v>53424</v>
      </c>
      <c r="N90" s="352">
        <v>0</v>
      </c>
      <c r="O90" s="352">
        <v>0</v>
      </c>
      <c r="P90" s="352">
        <v>0</v>
      </c>
      <c r="Q90" s="352">
        <v>0</v>
      </c>
      <c r="R90" s="352">
        <v>337934.51</v>
      </c>
    </row>
    <row r="91" spans="1:18" ht="22.5">
      <c r="A91" s="56" t="s">
        <v>2694</v>
      </c>
      <c r="B91" s="352">
        <v>270842.98999999993</v>
      </c>
      <c r="C91" s="352">
        <v>0</v>
      </c>
      <c r="D91" s="352">
        <v>0</v>
      </c>
      <c r="E91" s="352">
        <v>0</v>
      </c>
      <c r="F91" s="352">
        <v>0</v>
      </c>
      <c r="G91" s="352">
        <v>0</v>
      </c>
      <c r="H91" s="352">
        <v>0</v>
      </c>
      <c r="I91" s="352">
        <v>268938.61999999994</v>
      </c>
      <c r="J91" s="352">
        <v>0</v>
      </c>
      <c r="K91" s="352">
        <v>0</v>
      </c>
      <c r="L91" s="352">
        <v>0</v>
      </c>
      <c r="M91" s="352">
        <v>0</v>
      </c>
      <c r="N91" s="352">
        <v>0</v>
      </c>
      <c r="O91" s="352">
        <v>0</v>
      </c>
      <c r="P91" s="352">
        <v>0</v>
      </c>
      <c r="Q91" s="352">
        <v>0</v>
      </c>
      <c r="R91" s="352">
        <v>1904.37</v>
      </c>
    </row>
    <row r="92" spans="1:18">
      <c r="A92" s="56" t="s">
        <v>2636</v>
      </c>
      <c r="B92" s="352">
        <v>1599174.9100000001</v>
      </c>
      <c r="C92" s="352">
        <v>0</v>
      </c>
      <c r="D92" s="352">
        <v>0</v>
      </c>
      <c r="E92" s="352">
        <v>184.5</v>
      </c>
      <c r="F92" s="352">
        <v>0</v>
      </c>
      <c r="G92" s="352">
        <v>0</v>
      </c>
      <c r="H92" s="352">
        <v>0</v>
      </c>
      <c r="I92" s="352">
        <v>1240379.05</v>
      </c>
      <c r="J92" s="352">
        <v>0</v>
      </c>
      <c r="K92" s="352">
        <v>0</v>
      </c>
      <c r="L92" s="352">
        <v>22243.35</v>
      </c>
      <c r="M92" s="352">
        <v>0</v>
      </c>
      <c r="N92" s="352">
        <v>0</v>
      </c>
      <c r="O92" s="352">
        <v>0</v>
      </c>
      <c r="P92" s="352">
        <v>0</v>
      </c>
      <c r="Q92" s="352">
        <v>0</v>
      </c>
      <c r="R92" s="352">
        <v>336368.01000000007</v>
      </c>
    </row>
    <row r="93" spans="1:18" ht="22.5">
      <c r="A93" s="351" t="s">
        <v>2551</v>
      </c>
      <c r="B93" s="348">
        <f>+B94+B99+B101</f>
        <v>12230164.780000007</v>
      </c>
      <c r="C93" s="348">
        <f t="shared" ref="C93:R93" si="11">+C94+C99+C101</f>
        <v>198.11</v>
      </c>
      <c r="D93" s="348">
        <f t="shared" si="11"/>
        <v>30598</v>
      </c>
      <c r="E93" s="348">
        <f t="shared" si="11"/>
        <v>36734.879999999997</v>
      </c>
      <c r="F93" s="348">
        <f t="shared" si="11"/>
        <v>0</v>
      </c>
      <c r="G93" s="348">
        <f t="shared" si="11"/>
        <v>2386.62</v>
      </c>
      <c r="H93" s="348">
        <f t="shared" si="11"/>
        <v>1100</v>
      </c>
      <c r="I93" s="348">
        <f t="shared" si="11"/>
        <v>4155655.9299999983</v>
      </c>
      <c r="J93" s="348">
        <f t="shared" si="11"/>
        <v>428.72</v>
      </c>
      <c r="K93" s="348">
        <f t="shared" si="11"/>
        <v>0</v>
      </c>
      <c r="L93" s="348">
        <f t="shared" si="11"/>
        <v>0</v>
      </c>
      <c r="M93" s="348">
        <f t="shared" si="11"/>
        <v>0</v>
      </c>
      <c r="N93" s="348">
        <f t="shared" si="11"/>
        <v>0</v>
      </c>
      <c r="O93" s="348">
        <f t="shared" si="11"/>
        <v>9662</v>
      </c>
      <c r="P93" s="348">
        <f t="shared" si="11"/>
        <v>0</v>
      </c>
      <c r="Q93" s="348">
        <f t="shared" si="11"/>
        <v>2000</v>
      </c>
      <c r="R93" s="348">
        <f t="shared" si="11"/>
        <v>7991400.5200000079</v>
      </c>
    </row>
    <row r="94" spans="1:18">
      <c r="A94" s="351" t="s">
        <v>2086</v>
      </c>
      <c r="B94" s="348">
        <f>SUM(B95:B98)</f>
        <v>2076439.34</v>
      </c>
      <c r="C94" s="348">
        <f t="shared" ref="C94:R94" si="12">SUM(C95:C98)</f>
        <v>0</v>
      </c>
      <c r="D94" s="348">
        <f t="shared" si="12"/>
        <v>800</v>
      </c>
      <c r="E94" s="348">
        <f t="shared" si="12"/>
        <v>452.88</v>
      </c>
      <c r="F94" s="348">
        <f t="shared" si="12"/>
        <v>0</v>
      </c>
      <c r="G94" s="348">
        <f t="shared" si="12"/>
        <v>1275</v>
      </c>
      <c r="H94" s="348">
        <f t="shared" si="12"/>
        <v>900</v>
      </c>
      <c r="I94" s="348">
        <f t="shared" si="12"/>
        <v>186931.77000000005</v>
      </c>
      <c r="J94" s="348">
        <f t="shared" si="12"/>
        <v>0</v>
      </c>
      <c r="K94" s="348">
        <f t="shared" si="12"/>
        <v>0</v>
      </c>
      <c r="L94" s="348">
        <f t="shared" si="12"/>
        <v>0</v>
      </c>
      <c r="M94" s="348">
        <f t="shared" si="12"/>
        <v>0</v>
      </c>
      <c r="N94" s="348">
        <f t="shared" si="12"/>
        <v>0</v>
      </c>
      <c r="O94" s="348">
        <f t="shared" si="12"/>
        <v>0</v>
      </c>
      <c r="P94" s="348">
        <f t="shared" si="12"/>
        <v>0</v>
      </c>
      <c r="Q94" s="348">
        <f t="shared" si="12"/>
        <v>0</v>
      </c>
      <c r="R94" s="348">
        <f t="shared" si="12"/>
        <v>1886079.6899999997</v>
      </c>
    </row>
    <row r="95" spans="1:18" ht="33.75">
      <c r="A95" s="56" t="s">
        <v>2637</v>
      </c>
      <c r="B95" s="352">
        <v>1602724.48</v>
      </c>
      <c r="C95" s="352">
        <v>0</v>
      </c>
      <c r="D95" s="352">
        <v>800</v>
      </c>
      <c r="E95" s="352">
        <v>0</v>
      </c>
      <c r="F95" s="352">
        <v>0</v>
      </c>
      <c r="G95" s="352">
        <v>0</v>
      </c>
      <c r="H95" s="352">
        <v>900</v>
      </c>
      <c r="I95" s="352">
        <v>75296.35000000002</v>
      </c>
      <c r="J95" s="352">
        <v>0</v>
      </c>
      <c r="K95" s="352">
        <v>0</v>
      </c>
      <c r="L95" s="352">
        <v>0</v>
      </c>
      <c r="M95" s="352">
        <v>0</v>
      </c>
      <c r="N95" s="352">
        <v>0</v>
      </c>
      <c r="O95" s="352">
        <v>0</v>
      </c>
      <c r="P95" s="352">
        <v>0</v>
      </c>
      <c r="Q95" s="352">
        <v>0</v>
      </c>
      <c r="R95" s="352">
        <v>1525728.13</v>
      </c>
    </row>
    <row r="96" spans="1:18">
      <c r="A96" s="56" t="s">
        <v>2638</v>
      </c>
      <c r="B96" s="352">
        <v>423632.74</v>
      </c>
      <c r="C96" s="352">
        <v>0</v>
      </c>
      <c r="D96" s="352">
        <v>0</v>
      </c>
      <c r="E96" s="352">
        <v>0</v>
      </c>
      <c r="F96" s="352">
        <v>0</v>
      </c>
      <c r="G96" s="352">
        <v>1275</v>
      </c>
      <c r="H96" s="352">
        <v>0</v>
      </c>
      <c r="I96" s="352">
        <v>107950.25000000001</v>
      </c>
      <c r="J96" s="352">
        <v>0</v>
      </c>
      <c r="K96" s="352">
        <v>0</v>
      </c>
      <c r="L96" s="352">
        <v>0</v>
      </c>
      <c r="M96" s="352">
        <v>0</v>
      </c>
      <c r="N96" s="352">
        <v>0</v>
      </c>
      <c r="O96" s="352">
        <v>0</v>
      </c>
      <c r="P96" s="352">
        <v>0</v>
      </c>
      <c r="Q96" s="352">
        <v>0</v>
      </c>
      <c r="R96" s="352">
        <v>314407.49</v>
      </c>
    </row>
    <row r="97" spans="1:18" ht="22.5">
      <c r="A97" s="56" t="s">
        <v>2639</v>
      </c>
      <c r="B97" s="352">
        <v>24604.5</v>
      </c>
      <c r="C97" s="352">
        <v>0</v>
      </c>
      <c r="D97" s="352">
        <v>0</v>
      </c>
      <c r="E97" s="352">
        <v>452.88</v>
      </c>
      <c r="F97" s="352">
        <v>0</v>
      </c>
      <c r="G97" s="352">
        <v>0</v>
      </c>
      <c r="H97" s="352">
        <v>0</v>
      </c>
      <c r="I97" s="352">
        <v>2475.1999999999998</v>
      </c>
      <c r="J97" s="352">
        <v>0</v>
      </c>
      <c r="K97" s="352">
        <v>0</v>
      </c>
      <c r="L97" s="352">
        <v>0</v>
      </c>
      <c r="M97" s="352">
        <v>0</v>
      </c>
      <c r="N97" s="352">
        <v>0</v>
      </c>
      <c r="O97" s="352">
        <v>0</v>
      </c>
      <c r="P97" s="352">
        <v>0</v>
      </c>
      <c r="Q97" s="352">
        <v>0</v>
      </c>
      <c r="R97" s="352">
        <v>21676.42</v>
      </c>
    </row>
    <row r="98" spans="1:18" ht="22.5">
      <c r="A98" s="56" t="s">
        <v>2695</v>
      </c>
      <c r="B98" s="352">
        <v>25477.620000000003</v>
      </c>
      <c r="C98" s="352">
        <v>0</v>
      </c>
      <c r="D98" s="352">
        <v>0</v>
      </c>
      <c r="E98" s="352">
        <v>0</v>
      </c>
      <c r="F98" s="352">
        <v>0</v>
      </c>
      <c r="G98" s="352">
        <v>0</v>
      </c>
      <c r="H98" s="352">
        <v>0</v>
      </c>
      <c r="I98" s="352">
        <v>1209.97</v>
      </c>
      <c r="J98" s="352">
        <v>0</v>
      </c>
      <c r="K98" s="352">
        <v>0</v>
      </c>
      <c r="L98" s="352">
        <v>0</v>
      </c>
      <c r="M98" s="352">
        <v>0</v>
      </c>
      <c r="N98" s="352">
        <v>0</v>
      </c>
      <c r="O98" s="352">
        <v>0</v>
      </c>
      <c r="P98" s="352">
        <v>0</v>
      </c>
      <c r="Q98" s="352">
        <v>0</v>
      </c>
      <c r="R98" s="352">
        <v>24267.65</v>
      </c>
    </row>
    <row r="99" spans="1:18">
      <c r="A99" s="351" t="s">
        <v>2587</v>
      </c>
      <c r="B99" s="348">
        <f>SUM(B100)</f>
        <v>9381274.3700000066</v>
      </c>
      <c r="C99" s="348">
        <f t="shared" ref="C99:R99" si="13">SUM(C100)</f>
        <v>198.11</v>
      </c>
      <c r="D99" s="348">
        <f t="shared" si="13"/>
        <v>29798</v>
      </c>
      <c r="E99" s="348">
        <f t="shared" si="13"/>
        <v>36282</v>
      </c>
      <c r="F99" s="348">
        <f t="shared" si="13"/>
        <v>0</v>
      </c>
      <c r="G99" s="348">
        <f t="shared" si="13"/>
        <v>1111.6199999999999</v>
      </c>
      <c r="H99" s="348">
        <f t="shared" si="13"/>
        <v>200</v>
      </c>
      <c r="I99" s="348">
        <f t="shared" si="13"/>
        <v>3498287.9999999981</v>
      </c>
      <c r="J99" s="348">
        <f t="shared" si="13"/>
        <v>428.72</v>
      </c>
      <c r="K99" s="348">
        <f t="shared" si="13"/>
        <v>0</v>
      </c>
      <c r="L99" s="348">
        <f t="shared" si="13"/>
        <v>0</v>
      </c>
      <c r="M99" s="348">
        <f t="shared" si="13"/>
        <v>0</v>
      </c>
      <c r="N99" s="348">
        <f t="shared" si="13"/>
        <v>0</v>
      </c>
      <c r="O99" s="348">
        <f t="shared" si="13"/>
        <v>9662</v>
      </c>
      <c r="P99" s="348">
        <f t="shared" si="13"/>
        <v>0</v>
      </c>
      <c r="Q99" s="348">
        <f t="shared" si="13"/>
        <v>2000</v>
      </c>
      <c r="R99" s="348">
        <f t="shared" si="13"/>
        <v>5803305.9200000083</v>
      </c>
    </row>
    <row r="100" spans="1:18" ht="22.5">
      <c r="A100" s="56" t="s">
        <v>2647</v>
      </c>
      <c r="B100" s="352">
        <v>9381274.3700000066</v>
      </c>
      <c r="C100" s="352">
        <v>198.11</v>
      </c>
      <c r="D100" s="352">
        <v>29798</v>
      </c>
      <c r="E100" s="352">
        <v>36282</v>
      </c>
      <c r="F100" s="352">
        <v>0</v>
      </c>
      <c r="G100" s="352">
        <v>1111.6199999999999</v>
      </c>
      <c r="H100" s="352">
        <v>200</v>
      </c>
      <c r="I100" s="352">
        <v>3498287.9999999981</v>
      </c>
      <c r="J100" s="352">
        <v>428.72</v>
      </c>
      <c r="K100" s="352">
        <v>0</v>
      </c>
      <c r="L100" s="352">
        <v>0</v>
      </c>
      <c r="M100" s="352">
        <v>0</v>
      </c>
      <c r="N100" s="352">
        <v>0</v>
      </c>
      <c r="O100" s="352">
        <v>9662</v>
      </c>
      <c r="P100" s="352">
        <v>0</v>
      </c>
      <c r="Q100" s="352">
        <v>2000</v>
      </c>
      <c r="R100" s="352">
        <v>5803305.9200000083</v>
      </c>
    </row>
    <row r="101" spans="1:18">
      <c r="A101" s="351" t="s">
        <v>2585</v>
      </c>
      <c r="B101" s="348">
        <f>SUM(B102)</f>
        <v>772451.07000000007</v>
      </c>
      <c r="C101" s="348">
        <f t="shared" ref="C101:K101" si="14">SUM(C102)</f>
        <v>0</v>
      </c>
      <c r="D101" s="348">
        <f t="shared" si="14"/>
        <v>0</v>
      </c>
      <c r="E101" s="348">
        <f t="shared" si="14"/>
        <v>0</v>
      </c>
      <c r="F101" s="348">
        <f t="shared" si="14"/>
        <v>0</v>
      </c>
      <c r="G101" s="348">
        <f t="shared" si="14"/>
        <v>0</v>
      </c>
      <c r="H101" s="348">
        <f t="shared" si="14"/>
        <v>0</v>
      </c>
      <c r="I101" s="348">
        <f t="shared" si="14"/>
        <v>470436.16000000003</v>
      </c>
      <c r="J101" s="348">
        <f t="shared" si="14"/>
        <v>0</v>
      </c>
      <c r="K101" s="348">
        <f t="shared" si="14"/>
        <v>0</v>
      </c>
      <c r="L101" s="348">
        <f>SUM(L102)</f>
        <v>0</v>
      </c>
      <c r="M101" s="348">
        <f t="shared" ref="M101:R101" si="15">SUM(M102)</f>
        <v>0</v>
      </c>
      <c r="N101" s="348">
        <f t="shared" si="15"/>
        <v>0</v>
      </c>
      <c r="O101" s="348">
        <f t="shared" si="15"/>
        <v>0</v>
      </c>
      <c r="P101" s="348">
        <f t="shared" si="15"/>
        <v>0</v>
      </c>
      <c r="Q101" s="348">
        <f t="shared" si="15"/>
        <v>0</v>
      </c>
      <c r="R101" s="348">
        <f t="shared" si="15"/>
        <v>302014.91000000003</v>
      </c>
    </row>
    <row r="102" spans="1:18">
      <c r="A102" s="56" t="s">
        <v>2648</v>
      </c>
      <c r="B102" s="352">
        <v>772451.07000000007</v>
      </c>
      <c r="C102" s="352">
        <v>0</v>
      </c>
      <c r="D102" s="352">
        <v>0</v>
      </c>
      <c r="E102" s="352">
        <v>0</v>
      </c>
      <c r="F102" s="352">
        <v>0</v>
      </c>
      <c r="G102" s="352">
        <v>0</v>
      </c>
      <c r="H102" s="352">
        <v>0</v>
      </c>
      <c r="I102" s="352">
        <v>470436.16000000003</v>
      </c>
      <c r="J102" s="352">
        <v>0</v>
      </c>
      <c r="K102" s="352">
        <v>0</v>
      </c>
      <c r="L102" s="352">
        <v>0</v>
      </c>
      <c r="M102" s="352">
        <v>0</v>
      </c>
      <c r="N102" s="352">
        <v>0</v>
      </c>
      <c r="O102" s="352">
        <v>0</v>
      </c>
      <c r="P102" s="352">
        <v>0</v>
      </c>
      <c r="Q102" s="352">
        <v>0</v>
      </c>
      <c r="R102" s="352">
        <v>302014.91000000003</v>
      </c>
    </row>
    <row r="103" spans="1:18" ht="22.5">
      <c r="A103" s="351" t="s">
        <v>2553</v>
      </c>
      <c r="B103" s="348">
        <f>+B104+B106+B108</f>
        <v>23175385.540000025</v>
      </c>
      <c r="C103" s="348">
        <f t="shared" ref="C103:R103" si="16">+C104+C106+C108</f>
        <v>1937.65</v>
      </c>
      <c r="D103" s="348">
        <f t="shared" si="16"/>
        <v>455.51</v>
      </c>
      <c r="E103" s="348">
        <f t="shared" si="16"/>
        <v>1004.4</v>
      </c>
      <c r="F103" s="348">
        <f t="shared" si="16"/>
        <v>0</v>
      </c>
      <c r="G103" s="348">
        <f t="shared" si="16"/>
        <v>20649.099999999999</v>
      </c>
      <c r="H103" s="348">
        <f t="shared" si="16"/>
        <v>529663.69000000006</v>
      </c>
      <c r="I103" s="348">
        <f t="shared" si="16"/>
        <v>21780214.750000026</v>
      </c>
      <c r="J103" s="348">
        <f t="shared" si="16"/>
        <v>78131.12</v>
      </c>
      <c r="K103" s="348">
        <f t="shared" si="16"/>
        <v>3307.25</v>
      </c>
      <c r="L103" s="348">
        <f t="shared" si="16"/>
        <v>431073.12</v>
      </c>
      <c r="M103" s="348">
        <f t="shared" si="16"/>
        <v>0</v>
      </c>
      <c r="N103" s="348">
        <f t="shared" si="16"/>
        <v>0</v>
      </c>
      <c r="O103" s="348">
        <f t="shared" si="16"/>
        <v>0</v>
      </c>
      <c r="P103" s="348">
        <f t="shared" si="16"/>
        <v>0</v>
      </c>
      <c r="Q103" s="348">
        <f t="shared" si="16"/>
        <v>1000</v>
      </c>
      <c r="R103" s="348">
        <f t="shared" si="16"/>
        <v>327948.94999999995</v>
      </c>
    </row>
    <row r="104" spans="1:18">
      <c r="A104" s="351" t="s">
        <v>2091</v>
      </c>
      <c r="B104" s="348">
        <f>SUM(B105)</f>
        <v>1000</v>
      </c>
      <c r="C104" s="348">
        <f t="shared" ref="C104:R104" si="17">SUM(C105)</f>
        <v>0</v>
      </c>
      <c r="D104" s="348">
        <f t="shared" si="17"/>
        <v>0</v>
      </c>
      <c r="E104" s="348">
        <f t="shared" si="17"/>
        <v>0</v>
      </c>
      <c r="F104" s="348">
        <f t="shared" si="17"/>
        <v>0</v>
      </c>
      <c r="G104" s="348">
        <f t="shared" si="17"/>
        <v>0</v>
      </c>
      <c r="H104" s="348">
        <f t="shared" si="17"/>
        <v>0</v>
      </c>
      <c r="I104" s="348">
        <f t="shared" si="17"/>
        <v>0</v>
      </c>
      <c r="J104" s="348">
        <f t="shared" si="17"/>
        <v>0</v>
      </c>
      <c r="K104" s="348">
        <f t="shared" si="17"/>
        <v>0</v>
      </c>
      <c r="L104" s="348">
        <f t="shared" si="17"/>
        <v>0</v>
      </c>
      <c r="M104" s="348">
        <f t="shared" si="17"/>
        <v>0</v>
      </c>
      <c r="N104" s="348">
        <f t="shared" si="17"/>
        <v>0</v>
      </c>
      <c r="O104" s="348">
        <f t="shared" si="17"/>
        <v>0</v>
      </c>
      <c r="P104" s="348">
        <f t="shared" si="17"/>
        <v>0</v>
      </c>
      <c r="Q104" s="348">
        <f t="shared" si="17"/>
        <v>1000</v>
      </c>
      <c r="R104" s="348">
        <f t="shared" si="17"/>
        <v>0</v>
      </c>
    </row>
    <row r="105" spans="1:18" ht="33.75">
      <c r="A105" s="56" t="s">
        <v>2696</v>
      </c>
      <c r="B105" s="352">
        <v>1000</v>
      </c>
      <c r="C105" s="352">
        <v>0</v>
      </c>
      <c r="D105" s="352">
        <v>0</v>
      </c>
      <c r="E105" s="352">
        <v>0</v>
      </c>
      <c r="F105" s="352">
        <v>0</v>
      </c>
      <c r="G105" s="352">
        <v>0</v>
      </c>
      <c r="H105" s="352">
        <v>0</v>
      </c>
      <c r="I105" s="352">
        <v>0</v>
      </c>
      <c r="J105" s="352">
        <v>0</v>
      </c>
      <c r="K105" s="352">
        <v>0</v>
      </c>
      <c r="L105" s="352">
        <v>0</v>
      </c>
      <c r="M105" s="352">
        <v>0</v>
      </c>
      <c r="N105" s="352">
        <v>0</v>
      </c>
      <c r="O105" s="352">
        <v>0</v>
      </c>
      <c r="P105" s="352">
        <v>0</v>
      </c>
      <c r="Q105" s="352">
        <v>1000</v>
      </c>
      <c r="R105" s="352">
        <v>0</v>
      </c>
    </row>
    <row r="106" spans="1:18">
      <c r="A106" s="351" t="s">
        <v>2092</v>
      </c>
      <c r="B106" s="348">
        <f>SUM(B107)</f>
        <v>1344557.26</v>
      </c>
      <c r="C106" s="348">
        <f t="shared" ref="C106:R106" si="18">SUM(C107)</f>
        <v>0</v>
      </c>
      <c r="D106" s="348">
        <f t="shared" si="18"/>
        <v>0</v>
      </c>
      <c r="E106" s="348">
        <f t="shared" si="18"/>
        <v>0</v>
      </c>
      <c r="F106" s="348">
        <f t="shared" si="18"/>
        <v>0</v>
      </c>
      <c r="G106" s="348">
        <f t="shared" si="18"/>
        <v>20649.099999999999</v>
      </c>
      <c r="H106" s="348">
        <f t="shared" si="18"/>
        <v>520351.36000000004</v>
      </c>
      <c r="I106" s="348">
        <f t="shared" si="18"/>
        <v>372949.92999999993</v>
      </c>
      <c r="J106" s="348">
        <f t="shared" si="18"/>
        <v>0</v>
      </c>
      <c r="K106" s="348">
        <f t="shared" si="18"/>
        <v>0</v>
      </c>
      <c r="L106" s="348">
        <f t="shared" si="18"/>
        <v>430606.87</v>
      </c>
      <c r="M106" s="348">
        <f t="shared" si="18"/>
        <v>0</v>
      </c>
      <c r="N106" s="348">
        <f t="shared" si="18"/>
        <v>0</v>
      </c>
      <c r="O106" s="348">
        <f t="shared" si="18"/>
        <v>0</v>
      </c>
      <c r="P106" s="348">
        <f t="shared" si="18"/>
        <v>0</v>
      </c>
      <c r="Q106" s="348">
        <f t="shared" si="18"/>
        <v>0</v>
      </c>
      <c r="R106" s="348">
        <f t="shared" si="18"/>
        <v>0</v>
      </c>
    </row>
    <row r="107" spans="1:18" ht="22.5">
      <c r="A107" s="56" t="s">
        <v>2640</v>
      </c>
      <c r="B107" s="352">
        <v>1344557.26</v>
      </c>
      <c r="C107" s="352">
        <v>0</v>
      </c>
      <c r="D107" s="352">
        <v>0</v>
      </c>
      <c r="E107" s="352">
        <v>0</v>
      </c>
      <c r="F107" s="352">
        <v>0</v>
      </c>
      <c r="G107" s="352">
        <v>20649.099999999999</v>
      </c>
      <c r="H107" s="352">
        <v>520351.36000000004</v>
      </c>
      <c r="I107" s="352">
        <v>372949.92999999993</v>
      </c>
      <c r="J107" s="352">
        <v>0</v>
      </c>
      <c r="K107" s="352">
        <v>0</v>
      </c>
      <c r="L107" s="352">
        <v>430606.87</v>
      </c>
      <c r="M107" s="352">
        <v>0</v>
      </c>
      <c r="N107" s="352">
        <v>0</v>
      </c>
      <c r="O107" s="352">
        <v>0</v>
      </c>
      <c r="P107" s="352">
        <v>0</v>
      </c>
      <c r="Q107" s="352">
        <v>0</v>
      </c>
      <c r="R107" s="352">
        <v>0</v>
      </c>
    </row>
    <row r="108" spans="1:18">
      <c r="A108" s="351" t="s">
        <v>1833</v>
      </c>
      <c r="B108" s="348">
        <f>SUM(B109:B111)</f>
        <v>21829828.280000024</v>
      </c>
      <c r="C108" s="348">
        <f t="shared" ref="C108:R108" si="19">SUM(C109:C111)</f>
        <v>1937.65</v>
      </c>
      <c r="D108" s="348">
        <f t="shared" si="19"/>
        <v>455.51</v>
      </c>
      <c r="E108" s="348">
        <f t="shared" si="19"/>
        <v>1004.4</v>
      </c>
      <c r="F108" s="348">
        <f t="shared" si="19"/>
        <v>0</v>
      </c>
      <c r="G108" s="348">
        <f t="shared" si="19"/>
        <v>0</v>
      </c>
      <c r="H108" s="348">
        <f t="shared" si="19"/>
        <v>9312.33</v>
      </c>
      <c r="I108" s="348">
        <f t="shared" si="19"/>
        <v>21407264.820000026</v>
      </c>
      <c r="J108" s="348">
        <f t="shared" si="19"/>
        <v>78131.12</v>
      </c>
      <c r="K108" s="348">
        <f t="shared" si="19"/>
        <v>3307.25</v>
      </c>
      <c r="L108" s="348">
        <f t="shared" si="19"/>
        <v>466.25</v>
      </c>
      <c r="M108" s="348">
        <f t="shared" si="19"/>
        <v>0</v>
      </c>
      <c r="N108" s="348">
        <f t="shared" si="19"/>
        <v>0</v>
      </c>
      <c r="O108" s="348">
        <f t="shared" si="19"/>
        <v>0</v>
      </c>
      <c r="P108" s="348">
        <f t="shared" si="19"/>
        <v>0</v>
      </c>
      <c r="Q108" s="348">
        <f t="shared" si="19"/>
        <v>0</v>
      </c>
      <c r="R108" s="348">
        <f t="shared" si="19"/>
        <v>327948.94999999995</v>
      </c>
    </row>
    <row r="109" spans="1:18" ht="22.5">
      <c r="A109" s="56" t="s">
        <v>2697</v>
      </c>
      <c r="B109" s="352">
        <v>21663336.330000024</v>
      </c>
      <c r="C109" s="352">
        <v>0</v>
      </c>
      <c r="D109" s="352">
        <v>455.51</v>
      </c>
      <c r="E109" s="352">
        <v>1004.4</v>
      </c>
      <c r="F109" s="352">
        <v>0</v>
      </c>
      <c r="G109" s="352">
        <v>0</v>
      </c>
      <c r="H109" s="352">
        <v>9312.33</v>
      </c>
      <c r="I109" s="352">
        <v>21276722.070000026</v>
      </c>
      <c r="J109" s="352">
        <v>78131.12</v>
      </c>
      <c r="K109" s="352">
        <v>3307.25</v>
      </c>
      <c r="L109" s="352">
        <v>466.25</v>
      </c>
      <c r="M109" s="352">
        <v>0</v>
      </c>
      <c r="N109" s="352">
        <v>0</v>
      </c>
      <c r="O109" s="352">
        <v>0</v>
      </c>
      <c r="P109" s="352">
        <v>0</v>
      </c>
      <c r="Q109" s="352">
        <v>0</v>
      </c>
      <c r="R109" s="352">
        <v>293937.39999999997</v>
      </c>
    </row>
    <row r="110" spans="1:18">
      <c r="A110" s="56" t="s">
        <v>2698</v>
      </c>
      <c r="B110" s="352">
        <v>133967.64999999997</v>
      </c>
      <c r="C110" s="352">
        <v>1937.65</v>
      </c>
      <c r="D110" s="352">
        <v>0</v>
      </c>
      <c r="E110" s="352">
        <v>0</v>
      </c>
      <c r="F110" s="352">
        <v>0</v>
      </c>
      <c r="G110" s="352">
        <v>0</v>
      </c>
      <c r="H110" s="352">
        <v>0</v>
      </c>
      <c r="I110" s="352">
        <v>128222.74999999999</v>
      </c>
      <c r="J110" s="352">
        <v>0</v>
      </c>
      <c r="K110" s="352">
        <v>0</v>
      </c>
      <c r="L110" s="352">
        <v>0</v>
      </c>
      <c r="M110" s="352">
        <v>0</v>
      </c>
      <c r="N110" s="352">
        <v>0</v>
      </c>
      <c r="O110" s="352">
        <v>0</v>
      </c>
      <c r="P110" s="352">
        <v>0</v>
      </c>
      <c r="Q110" s="352">
        <v>0</v>
      </c>
      <c r="R110" s="352">
        <v>3807.25</v>
      </c>
    </row>
    <row r="111" spans="1:18" ht="22.5">
      <c r="A111" s="56" t="s">
        <v>2641</v>
      </c>
      <c r="B111" s="352">
        <v>32524.3</v>
      </c>
      <c r="C111" s="352">
        <v>0</v>
      </c>
      <c r="D111" s="352">
        <v>0</v>
      </c>
      <c r="E111" s="352">
        <v>0</v>
      </c>
      <c r="F111" s="352">
        <v>0</v>
      </c>
      <c r="G111" s="352">
        <v>0</v>
      </c>
      <c r="H111" s="352">
        <v>0</v>
      </c>
      <c r="I111" s="352">
        <v>2320</v>
      </c>
      <c r="J111" s="352">
        <v>0</v>
      </c>
      <c r="K111" s="352">
        <v>0</v>
      </c>
      <c r="L111" s="352">
        <v>0</v>
      </c>
      <c r="M111" s="352">
        <v>0</v>
      </c>
      <c r="N111" s="352">
        <v>0</v>
      </c>
      <c r="O111" s="352">
        <v>0</v>
      </c>
      <c r="P111" s="352">
        <v>0</v>
      </c>
      <c r="Q111" s="352">
        <v>0</v>
      </c>
      <c r="R111" s="352">
        <v>30204.3</v>
      </c>
    </row>
    <row r="112" spans="1:18" ht="22.5">
      <c r="A112" s="351" t="s">
        <v>2554</v>
      </c>
      <c r="B112" s="348">
        <f>+B113</f>
        <v>45303484.890000142</v>
      </c>
      <c r="C112" s="348">
        <f t="shared" ref="C112:R112" si="20">+C113</f>
        <v>0</v>
      </c>
      <c r="D112" s="348">
        <f t="shared" si="20"/>
        <v>38250</v>
      </c>
      <c r="E112" s="348">
        <f t="shared" si="20"/>
        <v>4222.79</v>
      </c>
      <c r="F112" s="348">
        <f t="shared" si="20"/>
        <v>0</v>
      </c>
      <c r="G112" s="348">
        <f t="shared" si="20"/>
        <v>11185</v>
      </c>
      <c r="H112" s="348">
        <f t="shared" si="20"/>
        <v>34475.96</v>
      </c>
      <c r="I112" s="348">
        <f t="shared" si="20"/>
        <v>17691396.810000006</v>
      </c>
      <c r="J112" s="348">
        <f t="shared" si="20"/>
        <v>22784.449999999997</v>
      </c>
      <c r="K112" s="348">
        <f t="shared" si="20"/>
        <v>0</v>
      </c>
      <c r="L112" s="348">
        <f t="shared" si="20"/>
        <v>108809.24</v>
      </c>
      <c r="M112" s="348">
        <f t="shared" si="20"/>
        <v>0</v>
      </c>
      <c r="N112" s="348">
        <f t="shared" si="20"/>
        <v>0</v>
      </c>
      <c r="O112" s="348">
        <f t="shared" si="20"/>
        <v>83160</v>
      </c>
      <c r="P112" s="348">
        <f t="shared" si="20"/>
        <v>0</v>
      </c>
      <c r="Q112" s="348">
        <f t="shared" si="20"/>
        <v>4768.7700000000004</v>
      </c>
      <c r="R112" s="348">
        <f t="shared" si="20"/>
        <v>27304431.870000135</v>
      </c>
    </row>
    <row r="113" spans="1:18">
      <c r="A113" s="351" t="s">
        <v>2555</v>
      </c>
      <c r="B113" s="348">
        <f>SUM(B114:B116)</f>
        <v>45303484.890000142</v>
      </c>
      <c r="C113" s="348">
        <f t="shared" ref="C113:R113" si="21">SUM(C114:C116)</f>
        <v>0</v>
      </c>
      <c r="D113" s="348">
        <f t="shared" si="21"/>
        <v>38250</v>
      </c>
      <c r="E113" s="348">
        <f t="shared" si="21"/>
        <v>4222.79</v>
      </c>
      <c r="F113" s="348">
        <f t="shared" si="21"/>
        <v>0</v>
      </c>
      <c r="G113" s="348">
        <f t="shared" si="21"/>
        <v>11185</v>
      </c>
      <c r="H113" s="348">
        <f t="shared" si="21"/>
        <v>34475.96</v>
      </c>
      <c r="I113" s="348">
        <f t="shared" si="21"/>
        <v>17691396.810000006</v>
      </c>
      <c r="J113" s="348">
        <f t="shared" si="21"/>
        <v>22784.449999999997</v>
      </c>
      <c r="K113" s="348">
        <f t="shared" si="21"/>
        <v>0</v>
      </c>
      <c r="L113" s="348">
        <f t="shared" si="21"/>
        <v>108809.24</v>
      </c>
      <c r="M113" s="348">
        <f t="shared" si="21"/>
        <v>0</v>
      </c>
      <c r="N113" s="348">
        <f t="shared" si="21"/>
        <v>0</v>
      </c>
      <c r="O113" s="348">
        <f t="shared" si="21"/>
        <v>83160</v>
      </c>
      <c r="P113" s="348">
        <f t="shared" si="21"/>
        <v>0</v>
      </c>
      <c r="Q113" s="348">
        <f t="shared" si="21"/>
        <v>4768.7700000000004</v>
      </c>
      <c r="R113" s="348">
        <f t="shared" si="21"/>
        <v>27304431.870000135</v>
      </c>
    </row>
    <row r="114" spans="1:18" ht="22.5">
      <c r="A114" s="56" t="s">
        <v>2642</v>
      </c>
      <c r="B114" s="352">
        <v>7186205.3099999968</v>
      </c>
      <c r="C114" s="352">
        <v>0</v>
      </c>
      <c r="D114" s="352">
        <v>0</v>
      </c>
      <c r="E114" s="352">
        <v>0</v>
      </c>
      <c r="F114" s="352">
        <v>0</v>
      </c>
      <c r="G114" s="352">
        <v>0</v>
      </c>
      <c r="H114" s="352">
        <v>25</v>
      </c>
      <c r="I114" s="352">
        <v>2817191.5199999991</v>
      </c>
      <c r="J114" s="352">
        <v>0</v>
      </c>
      <c r="K114" s="352">
        <v>0</v>
      </c>
      <c r="L114" s="352">
        <v>0</v>
      </c>
      <c r="M114" s="352">
        <v>0</v>
      </c>
      <c r="N114" s="352">
        <v>0</v>
      </c>
      <c r="O114" s="352">
        <v>0</v>
      </c>
      <c r="P114" s="352">
        <v>0</v>
      </c>
      <c r="Q114" s="352">
        <v>848.8</v>
      </c>
      <c r="R114" s="352">
        <v>4368139.9899999974</v>
      </c>
    </row>
    <row r="115" spans="1:18" ht="22.5">
      <c r="A115" s="56" t="s">
        <v>2643</v>
      </c>
      <c r="B115" s="352">
        <v>31068988.350000165</v>
      </c>
      <c r="C115" s="352">
        <v>0</v>
      </c>
      <c r="D115" s="352">
        <v>0</v>
      </c>
      <c r="E115" s="352">
        <v>4222.79</v>
      </c>
      <c r="F115" s="352">
        <v>0</v>
      </c>
      <c r="G115" s="352">
        <v>11185</v>
      </c>
      <c r="H115" s="352">
        <v>34450.959999999999</v>
      </c>
      <c r="I115" s="352">
        <v>12223682.400000008</v>
      </c>
      <c r="J115" s="352">
        <v>21026.679999999997</v>
      </c>
      <c r="K115" s="352">
        <v>0</v>
      </c>
      <c r="L115" s="352">
        <v>108809.24</v>
      </c>
      <c r="M115" s="352">
        <v>0</v>
      </c>
      <c r="N115" s="352">
        <v>0</v>
      </c>
      <c r="O115" s="352">
        <v>83160</v>
      </c>
      <c r="P115" s="352">
        <v>0</v>
      </c>
      <c r="Q115" s="352">
        <v>3919.9700000000003</v>
      </c>
      <c r="R115" s="352">
        <v>18578531.310000155</v>
      </c>
    </row>
    <row r="116" spans="1:18" ht="22.5">
      <c r="A116" s="56" t="s">
        <v>2632</v>
      </c>
      <c r="B116" s="352">
        <v>7048291.2299999818</v>
      </c>
      <c r="C116" s="352">
        <v>0</v>
      </c>
      <c r="D116" s="352">
        <v>38250</v>
      </c>
      <c r="E116" s="352">
        <v>0</v>
      </c>
      <c r="F116" s="352">
        <v>0</v>
      </c>
      <c r="G116" s="352">
        <v>0</v>
      </c>
      <c r="H116" s="352">
        <v>0</v>
      </c>
      <c r="I116" s="352">
        <v>2650522.8899999997</v>
      </c>
      <c r="J116" s="352">
        <v>1757.77</v>
      </c>
      <c r="K116" s="352">
        <v>0</v>
      </c>
      <c r="L116" s="352">
        <v>0</v>
      </c>
      <c r="M116" s="352">
        <v>0</v>
      </c>
      <c r="N116" s="352">
        <v>0</v>
      </c>
      <c r="O116" s="352">
        <v>0</v>
      </c>
      <c r="P116" s="352">
        <v>0</v>
      </c>
      <c r="Q116" s="352">
        <v>0</v>
      </c>
      <c r="R116" s="352">
        <v>4357760.5699999826</v>
      </c>
    </row>
    <row r="118" spans="1:18" ht="36.75" customHeight="1">
      <c r="A118" s="2580" t="s">
        <v>3368</v>
      </c>
      <c r="B118" s="2580"/>
      <c r="C118" s="2603"/>
      <c r="D118" s="2603"/>
      <c r="E118" s="2603"/>
      <c r="F118" s="2603"/>
      <c r="G118" s="2603"/>
      <c r="H118" s="2603"/>
      <c r="I118" s="2603"/>
      <c r="J118" s="2603"/>
      <c r="K118" s="2603"/>
      <c r="L118" s="2603"/>
      <c r="M118" s="2603"/>
      <c r="N118" s="2603"/>
      <c r="O118" s="2603"/>
      <c r="P118" s="2603"/>
      <c r="Q118" s="2603"/>
    </row>
    <row r="119" spans="1:18" ht="11.25" customHeight="1">
      <c r="A119" s="2610" t="s">
        <v>2699</v>
      </c>
      <c r="B119" s="2610"/>
      <c r="C119" s="2610"/>
      <c r="D119" s="2610"/>
      <c r="E119" s="2610"/>
      <c r="F119" s="2610"/>
      <c r="G119" s="2610"/>
      <c r="H119" s="2610"/>
      <c r="I119" s="2610"/>
      <c r="J119" s="2610"/>
      <c r="K119" s="2610"/>
      <c r="L119" s="2610"/>
      <c r="M119" s="2610"/>
      <c r="N119" s="2610"/>
      <c r="O119" s="2610"/>
      <c r="P119" s="2610"/>
      <c r="Q119" s="2610"/>
      <c r="R119" s="2610"/>
    </row>
    <row r="125" spans="1:18">
      <c r="A125" s="318"/>
      <c r="B125" s="348"/>
      <c r="C125" s="348"/>
      <c r="D125" s="348"/>
      <c r="E125" s="348"/>
      <c r="F125" s="352"/>
      <c r="G125" s="348"/>
      <c r="H125" s="348"/>
      <c r="I125" s="348"/>
      <c r="J125" s="348"/>
      <c r="K125" s="348"/>
      <c r="L125" s="348"/>
      <c r="M125" s="348"/>
      <c r="N125" s="348"/>
      <c r="O125" s="348"/>
      <c r="P125" s="348"/>
      <c r="Q125" s="348"/>
      <c r="R125" s="348"/>
    </row>
  </sheetData>
  <mergeCells count="6">
    <mergeCell ref="A2:R2"/>
    <mergeCell ref="A4:A5"/>
    <mergeCell ref="B4:B5"/>
    <mergeCell ref="C4:R4"/>
    <mergeCell ref="A118:Q118"/>
    <mergeCell ref="A119:R119"/>
  </mergeCells>
  <pageMargins left="0.70866141732283472" right="0.70866141732283472" top="0.74803149606299213" bottom="0.74803149606299213" header="0.31496062992125984" footer="0.31496062992125984"/>
  <pageSetup paperSize="9" scale="57" fitToHeight="2" orientation="landscape" r:id="rId1"/>
</worksheet>
</file>

<file path=xl/worksheets/sheet298.xml><?xml version="1.0" encoding="utf-8"?>
<worksheet xmlns="http://schemas.openxmlformats.org/spreadsheetml/2006/main" xmlns:r="http://schemas.openxmlformats.org/officeDocument/2006/relationships">
  <sheetPr>
    <pageSetUpPr fitToPage="1"/>
  </sheetPr>
  <dimension ref="A2:H26"/>
  <sheetViews>
    <sheetView zoomScaleNormal="100" workbookViewId="0">
      <selection activeCell="A31" sqref="A31"/>
    </sheetView>
  </sheetViews>
  <sheetFormatPr baseColWidth="10" defaultRowHeight="11.25"/>
  <cols>
    <col min="1" max="1" width="36.5703125" style="61" customWidth="1"/>
    <col min="2" max="2" width="17.42578125" style="61" customWidth="1"/>
    <col min="3" max="3" width="16.140625" style="61" customWidth="1"/>
    <col min="4" max="5" width="15.7109375" style="61" customWidth="1"/>
    <col min="6" max="7" width="17.140625" style="61" customWidth="1"/>
    <col min="8" max="16384" width="11.42578125" style="61"/>
  </cols>
  <sheetData>
    <row r="2" spans="1:8" ht="30" customHeight="1">
      <c r="A2" s="2037" t="s">
        <v>3208</v>
      </c>
      <c r="B2" s="2037"/>
      <c r="C2" s="2037"/>
      <c r="D2" s="2037"/>
      <c r="E2" s="2037"/>
      <c r="F2" s="2037"/>
      <c r="G2" s="2037"/>
    </row>
    <row r="3" spans="1:8">
      <c r="A3" s="60"/>
    </row>
    <row r="4" spans="1:8">
      <c r="A4" s="343" t="s">
        <v>2061</v>
      </c>
      <c r="B4" s="343">
        <v>2009</v>
      </c>
      <c r="C4" s="343">
        <v>2010</v>
      </c>
      <c r="D4" s="343">
        <v>2011</v>
      </c>
      <c r="E4" s="343">
        <v>2012</v>
      </c>
      <c r="F4" s="343">
        <v>2013</v>
      </c>
      <c r="G4" s="343">
        <v>2014</v>
      </c>
    </row>
    <row r="5" spans="1:8">
      <c r="A5" s="54" t="s">
        <v>6</v>
      </c>
      <c r="B5" s="348">
        <f t="shared" ref="B5:G5" si="0">+B17+B8+B6+B22+B12</f>
        <v>166881334.16</v>
      </c>
      <c r="C5" s="348">
        <f t="shared" si="0"/>
        <v>148526036.65000001</v>
      </c>
      <c r="D5" s="348">
        <f t="shared" si="0"/>
        <v>181901871.37999997</v>
      </c>
      <c r="E5" s="348">
        <f t="shared" si="0"/>
        <v>185989853.95999998</v>
      </c>
      <c r="F5" s="348">
        <f t="shared" si="0"/>
        <v>216286331.26999995</v>
      </c>
      <c r="G5" s="348">
        <f t="shared" si="0"/>
        <v>224392423.42000002</v>
      </c>
      <c r="H5" s="62"/>
    </row>
    <row r="6" spans="1:8">
      <c r="A6" s="318" t="s">
        <v>2078</v>
      </c>
      <c r="B6" s="348">
        <f t="shared" ref="B6:G6" si="1">SUM(B7)</f>
        <v>2133</v>
      </c>
      <c r="C6" s="348">
        <f t="shared" si="1"/>
        <v>9480</v>
      </c>
      <c r="D6" s="348">
        <f t="shared" si="1"/>
        <v>4568.5300000000007</v>
      </c>
      <c r="E6" s="348">
        <f t="shared" si="1"/>
        <v>24000</v>
      </c>
      <c r="F6" s="348">
        <f t="shared" si="1"/>
        <v>0</v>
      </c>
      <c r="G6" s="348">
        <f t="shared" si="1"/>
        <v>4000</v>
      </c>
      <c r="H6" s="62"/>
    </row>
    <row r="7" spans="1:8">
      <c r="A7" s="323" t="s">
        <v>1830</v>
      </c>
      <c r="B7" s="349">
        <v>2133</v>
      </c>
      <c r="C7" s="349">
        <v>9480</v>
      </c>
      <c r="D7" s="349">
        <v>4568.5300000000007</v>
      </c>
      <c r="E7" s="349">
        <v>24000</v>
      </c>
      <c r="F7" s="349">
        <v>0</v>
      </c>
      <c r="G7" s="349">
        <v>4000</v>
      </c>
      <c r="H7" s="62"/>
    </row>
    <row r="8" spans="1:8">
      <c r="A8" s="318" t="s">
        <v>2082</v>
      </c>
      <c r="B8" s="348">
        <f t="shared" ref="B8:G8" si="2">SUM(B9:B11)</f>
        <v>4690539.4400000004</v>
      </c>
      <c r="C8" s="348">
        <f t="shared" si="2"/>
        <v>4248162</v>
      </c>
      <c r="D8" s="348">
        <f t="shared" si="2"/>
        <v>4948482.05</v>
      </c>
      <c r="E8" s="348">
        <f t="shared" si="2"/>
        <v>5066440.78</v>
      </c>
      <c r="F8" s="348">
        <f t="shared" si="2"/>
        <v>5471766.0700000003</v>
      </c>
      <c r="G8" s="348">
        <f t="shared" si="2"/>
        <v>6368984.1899999995</v>
      </c>
      <c r="H8" s="62"/>
    </row>
    <row r="9" spans="1:8">
      <c r="A9" s="323" t="s">
        <v>2701</v>
      </c>
      <c r="B9" s="349">
        <v>4384800.78</v>
      </c>
      <c r="C9" s="349">
        <v>3964677.5399999996</v>
      </c>
      <c r="D9" s="349">
        <v>4761222.7299999995</v>
      </c>
      <c r="E9" s="349">
        <v>4863028.78</v>
      </c>
      <c r="F9" s="349">
        <v>5142244.28</v>
      </c>
      <c r="G9" s="349">
        <v>6206797.1899999995</v>
      </c>
      <c r="H9" s="62"/>
    </row>
    <row r="10" spans="1:8">
      <c r="A10" s="323" t="s">
        <v>2702</v>
      </c>
      <c r="B10" s="349">
        <v>305738.65999999997</v>
      </c>
      <c r="C10" s="349">
        <v>283484.45999999996</v>
      </c>
      <c r="D10" s="349">
        <v>187259.31999999998</v>
      </c>
      <c r="E10" s="349">
        <v>203412</v>
      </c>
      <c r="F10" s="349">
        <v>140798.25</v>
      </c>
      <c r="G10" s="349">
        <v>162187</v>
      </c>
      <c r="H10" s="62"/>
    </row>
    <row r="11" spans="1:8">
      <c r="A11" s="323" t="s">
        <v>2703</v>
      </c>
      <c r="B11" s="349">
        <v>0</v>
      </c>
      <c r="C11" s="349">
        <v>0</v>
      </c>
      <c r="D11" s="349">
        <v>0</v>
      </c>
      <c r="E11" s="349">
        <v>0</v>
      </c>
      <c r="F11" s="349">
        <v>188723.53999999998</v>
      </c>
      <c r="G11" s="349">
        <v>0</v>
      </c>
      <c r="H11" s="62"/>
    </row>
    <row r="12" spans="1:8">
      <c r="A12" s="318" t="s">
        <v>2084</v>
      </c>
      <c r="B12" s="348">
        <f t="shared" ref="B12:G12" si="3">SUM(B13:B16)</f>
        <v>7257457.4100000001</v>
      </c>
      <c r="C12" s="348">
        <f t="shared" si="3"/>
        <v>10234905.09</v>
      </c>
      <c r="D12" s="348">
        <f t="shared" si="3"/>
        <v>9748310.7600000016</v>
      </c>
      <c r="E12" s="348">
        <f t="shared" si="3"/>
        <v>11625931.669999998</v>
      </c>
      <c r="F12" s="348">
        <f t="shared" si="3"/>
        <v>14102990.540000001</v>
      </c>
      <c r="G12" s="348">
        <f t="shared" si="3"/>
        <v>15453989.65</v>
      </c>
      <c r="H12" s="62"/>
    </row>
    <row r="13" spans="1:8">
      <c r="A13" s="323" t="s">
        <v>2704</v>
      </c>
      <c r="B13" s="349">
        <v>0</v>
      </c>
      <c r="C13" s="349">
        <v>0</v>
      </c>
      <c r="D13" s="349">
        <v>115320.62999999999</v>
      </c>
      <c r="E13" s="349">
        <v>84258.93</v>
      </c>
      <c r="F13" s="349">
        <v>232991.4</v>
      </c>
      <c r="G13" s="349">
        <v>58058.130000000005</v>
      </c>
      <c r="H13" s="62"/>
    </row>
    <row r="14" spans="1:8">
      <c r="A14" s="323" t="s">
        <v>926</v>
      </c>
      <c r="B14" s="349">
        <v>6775898.4100000001</v>
      </c>
      <c r="C14" s="349">
        <v>9017111.0899999999</v>
      </c>
      <c r="D14" s="349">
        <v>6944996.0500000026</v>
      </c>
      <c r="E14" s="349">
        <v>9474908.2399999984</v>
      </c>
      <c r="F14" s="349">
        <v>11537514.210000001</v>
      </c>
      <c r="G14" s="349">
        <v>11876415.539999999</v>
      </c>
      <c r="H14" s="62"/>
    </row>
    <row r="15" spans="1:8">
      <c r="A15" s="323" t="s">
        <v>1222</v>
      </c>
      <c r="B15" s="349">
        <v>0</v>
      </c>
      <c r="C15" s="349">
        <v>0</v>
      </c>
      <c r="D15" s="349">
        <v>0</v>
      </c>
      <c r="E15" s="349">
        <v>0</v>
      </c>
      <c r="F15" s="349">
        <v>0</v>
      </c>
      <c r="G15" s="349">
        <v>0</v>
      </c>
      <c r="H15" s="62"/>
    </row>
    <row r="16" spans="1:8">
      <c r="A16" s="323" t="s">
        <v>1223</v>
      </c>
      <c r="B16" s="349">
        <v>481559</v>
      </c>
      <c r="C16" s="349">
        <v>1217794</v>
      </c>
      <c r="D16" s="349">
        <v>2687994.08</v>
      </c>
      <c r="E16" s="349">
        <v>2066764.5</v>
      </c>
      <c r="F16" s="349">
        <v>2332484.9299999997</v>
      </c>
      <c r="G16" s="349">
        <v>3519515.98</v>
      </c>
      <c r="H16" s="62"/>
    </row>
    <row r="17" spans="1:8" ht="22.5">
      <c r="A17" s="318" t="s">
        <v>2553</v>
      </c>
      <c r="B17" s="348">
        <f t="shared" ref="B17:G17" si="4">SUM(B18:B21)</f>
        <v>20478100.389999993</v>
      </c>
      <c r="C17" s="348">
        <f t="shared" si="4"/>
        <v>24865337.669999998</v>
      </c>
      <c r="D17" s="348">
        <f t="shared" si="4"/>
        <v>26910119.890000004</v>
      </c>
      <c r="E17" s="348">
        <f t="shared" si="4"/>
        <v>24647967.030000001</v>
      </c>
      <c r="F17" s="348">
        <f t="shared" si="4"/>
        <v>28079583.069999997</v>
      </c>
      <c r="G17" s="348">
        <f t="shared" si="4"/>
        <v>31028332.580000006</v>
      </c>
      <c r="H17" s="62"/>
    </row>
    <row r="18" spans="1:8">
      <c r="A18" s="323" t="s">
        <v>2091</v>
      </c>
      <c r="B18" s="349">
        <v>4166688.94</v>
      </c>
      <c r="C18" s="349">
        <v>2453141.13</v>
      </c>
      <c r="D18" s="349">
        <v>2105769.2200000002</v>
      </c>
      <c r="E18" s="349">
        <v>887491.5</v>
      </c>
      <c r="F18" s="349">
        <v>1282455.53</v>
      </c>
      <c r="G18" s="349">
        <v>910309.49000000011</v>
      </c>
      <c r="H18" s="62"/>
    </row>
    <row r="19" spans="1:8">
      <c r="A19" s="323" t="s">
        <v>2092</v>
      </c>
      <c r="B19" s="349">
        <v>2207899.5</v>
      </c>
      <c r="C19" s="349">
        <v>1892490.83</v>
      </c>
      <c r="D19" s="349">
        <v>4133138.4099999997</v>
      </c>
      <c r="E19" s="349">
        <v>2964573.23</v>
      </c>
      <c r="F19" s="349">
        <v>1827911.8999999997</v>
      </c>
      <c r="G19" s="349">
        <v>3633131.59</v>
      </c>
      <c r="H19" s="62"/>
    </row>
    <row r="20" spans="1:8">
      <c r="A20" s="323" t="s">
        <v>1833</v>
      </c>
      <c r="B20" s="349">
        <v>13822749.489999993</v>
      </c>
      <c r="C20" s="349">
        <v>19999749.399999999</v>
      </c>
      <c r="D20" s="349">
        <v>20358222.290000007</v>
      </c>
      <c r="E20" s="349">
        <v>20524258.280000001</v>
      </c>
      <c r="F20" s="349">
        <v>24635236.219999995</v>
      </c>
      <c r="G20" s="349">
        <v>25722737.070000004</v>
      </c>
      <c r="H20" s="62"/>
    </row>
    <row r="21" spans="1:8">
      <c r="A21" s="323" t="s">
        <v>2705</v>
      </c>
      <c r="B21" s="349">
        <v>280762.46000000002</v>
      </c>
      <c r="C21" s="349">
        <v>519956.30999999988</v>
      </c>
      <c r="D21" s="349">
        <v>312989.96999999997</v>
      </c>
      <c r="E21" s="349">
        <v>271644.02</v>
      </c>
      <c r="F21" s="349">
        <v>333979.42</v>
      </c>
      <c r="G21" s="349">
        <v>762154.42999999993</v>
      </c>
      <c r="H21" s="62"/>
    </row>
    <row r="22" spans="1:8">
      <c r="A22" s="318" t="s">
        <v>2554</v>
      </c>
      <c r="B22" s="348">
        <f t="shared" ref="B22:G22" si="5">SUM(B23:B24)</f>
        <v>134453103.92000002</v>
      </c>
      <c r="C22" s="348">
        <f t="shared" si="5"/>
        <v>109168151.89</v>
      </c>
      <c r="D22" s="348">
        <f t="shared" si="5"/>
        <v>140290390.14999998</v>
      </c>
      <c r="E22" s="348">
        <f t="shared" si="5"/>
        <v>144625514.47999999</v>
      </c>
      <c r="F22" s="348">
        <f t="shared" si="5"/>
        <v>168631991.58999997</v>
      </c>
      <c r="G22" s="348">
        <f t="shared" si="5"/>
        <v>171537117</v>
      </c>
      <c r="H22" s="62"/>
    </row>
    <row r="23" spans="1:8" ht="22.5">
      <c r="A23" s="323" t="s">
        <v>2706</v>
      </c>
      <c r="B23" s="349">
        <v>500313</v>
      </c>
      <c r="C23" s="349">
        <v>942422</v>
      </c>
      <c r="D23" s="349">
        <v>1077836</v>
      </c>
      <c r="E23" s="349">
        <v>2286142</v>
      </c>
      <c r="F23" s="349">
        <v>3591169</v>
      </c>
      <c r="G23" s="349">
        <v>3941277</v>
      </c>
      <c r="H23" s="62"/>
    </row>
    <row r="24" spans="1:8">
      <c r="A24" s="323" t="s">
        <v>2095</v>
      </c>
      <c r="B24" s="349">
        <v>133952790.92000002</v>
      </c>
      <c r="C24" s="349">
        <v>108225729.89</v>
      </c>
      <c r="D24" s="349">
        <v>139212554.14999998</v>
      </c>
      <c r="E24" s="349">
        <v>142339372.47999999</v>
      </c>
      <c r="F24" s="349">
        <v>165040822.58999997</v>
      </c>
      <c r="G24" s="349">
        <v>167595840</v>
      </c>
      <c r="H24" s="62"/>
    </row>
    <row r="26" spans="1:8" ht="23.25" customHeight="1">
      <c r="A26" s="2610" t="s">
        <v>2649</v>
      </c>
      <c r="B26" s="2610"/>
      <c r="C26" s="2610"/>
      <c r="D26" s="2610"/>
      <c r="E26" s="2610"/>
      <c r="F26" s="2610"/>
      <c r="G26" s="2610"/>
    </row>
  </sheetData>
  <mergeCells count="2">
    <mergeCell ref="A26:G26"/>
    <mergeCell ref="A2:G2"/>
  </mergeCells>
  <pageMargins left="0.70866141732283472" right="0.70866141732283472" top="0.74803149606299213" bottom="0.74803149606299213" header="0.31496062992125984" footer="0.31496062992125984"/>
  <pageSetup paperSize="9" orientation="landscape" r:id="rId1"/>
</worksheet>
</file>

<file path=xl/worksheets/sheet299.xml><?xml version="1.0" encoding="utf-8"?>
<worksheet xmlns="http://schemas.openxmlformats.org/spreadsheetml/2006/main" xmlns:r="http://schemas.openxmlformats.org/officeDocument/2006/relationships">
  <sheetPr>
    <pageSetUpPr fitToPage="1"/>
  </sheetPr>
  <dimension ref="A2:G34"/>
  <sheetViews>
    <sheetView zoomScaleNormal="100" workbookViewId="0">
      <selection activeCell="B39" sqref="B39"/>
    </sheetView>
  </sheetViews>
  <sheetFormatPr baseColWidth="10" defaultRowHeight="11.25"/>
  <cols>
    <col min="1" max="1" width="36.5703125" style="61" customWidth="1"/>
    <col min="2" max="5" width="19" style="61" bestFit="1" customWidth="1"/>
    <col min="6" max="7" width="20.28515625" style="61" bestFit="1" customWidth="1"/>
    <col min="8" max="16384" width="11.42578125" style="61"/>
  </cols>
  <sheetData>
    <row r="2" spans="1:7" ht="24.75" customHeight="1">
      <c r="A2" s="2581" t="s">
        <v>4666</v>
      </c>
      <c r="B2" s="2581"/>
      <c r="C2" s="2581"/>
      <c r="D2" s="2581"/>
      <c r="E2" s="2581"/>
      <c r="F2" s="2581"/>
      <c r="G2" s="2581"/>
    </row>
    <row r="4" spans="1:7">
      <c r="A4" s="343" t="s">
        <v>2061</v>
      </c>
      <c r="B4" s="343">
        <v>2009</v>
      </c>
      <c r="C4" s="343">
        <v>2010</v>
      </c>
      <c r="D4" s="343">
        <v>2011</v>
      </c>
      <c r="E4" s="343">
        <v>2012</v>
      </c>
      <c r="F4" s="343">
        <v>2013</v>
      </c>
      <c r="G4" s="343">
        <v>2014</v>
      </c>
    </row>
    <row r="5" spans="1:7">
      <c r="A5" s="60" t="s">
        <v>6</v>
      </c>
      <c r="B5" s="344">
        <f t="shared" ref="B5:G5" si="0">SUM(B6,B8,B12,B17,B22)</f>
        <v>84513714058.648804</v>
      </c>
      <c r="C5" s="344">
        <f t="shared" si="0"/>
        <v>69565139785.760498</v>
      </c>
      <c r="D5" s="344">
        <f t="shared" si="0"/>
        <v>94854549849.814789</v>
      </c>
      <c r="E5" s="344">
        <f t="shared" si="0"/>
        <v>89014744105.256012</v>
      </c>
      <c r="F5" s="344">
        <f t="shared" si="0"/>
        <v>113282128865.97519</v>
      </c>
      <c r="G5" s="344">
        <f t="shared" si="0"/>
        <v>136291470136.8396</v>
      </c>
    </row>
    <row r="6" spans="1:7">
      <c r="A6" s="60" t="s">
        <v>2078</v>
      </c>
      <c r="B6" s="344">
        <f t="shared" ref="B6:G6" si="1">SUM(B7)</f>
        <v>1080215.19</v>
      </c>
      <c r="C6" s="344">
        <f t="shared" si="1"/>
        <v>4440147.5999999996</v>
      </c>
      <c r="D6" s="344">
        <f t="shared" si="1"/>
        <v>2382305.6538000004</v>
      </c>
      <c r="E6" s="344">
        <f t="shared" si="1"/>
        <v>11486400</v>
      </c>
      <c r="F6" s="344">
        <f t="shared" si="1"/>
        <v>0</v>
      </c>
      <c r="G6" s="344">
        <f t="shared" si="1"/>
        <v>2429520</v>
      </c>
    </row>
    <row r="7" spans="1:7">
      <c r="A7" s="61" t="s">
        <v>1830</v>
      </c>
      <c r="B7" s="345">
        <v>1080215.19</v>
      </c>
      <c r="C7" s="345">
        <v>4440147.5999999996</v>
      </c>
      <c r="D7" s="345">
        <v>2382305.6538000004</v>
      </c>
      <c r="E7" s="345">
        <v>11486400</v>
      </c>
      <c r="F7" s="345">
        <v>0</v>
      </c>
      <c r="G7" s="345">
        <v>2429520</v>
      </c>
    </row>
    <row r="8" spans="1:7">
      <c r="A8" s="60" t="s">
        <v>2082</v>
      </c>
      <c r="B8" s="344">
        <f t="shared" ref="B8:G8" si="2">SUM(B9:B11)</f>
        <v>2375429888.5991998</v>
      </c>
      <c r="C8" s="344">
        <f t="shared" si="2"/>
        <v>1989711635.9399998</v>
      </c>
      <c r="D8" s="344">
        <f t="shared" si="2"/>
        <v>2580435449.7930002</v>
      </c>
      <c r="E8" s="344">
        <f t="shared" si="2"/>
        <v>2424798557.3080001</v>
      </c>
      <c r="F8" s="344">
        <f t="shared" si="2"/>
        <v>2865892196.8232002</v>
      </c>
      <c r="G8" s="344">
        <f t="shared" si="2"/>
        <v>3868393617.3221998</v>
      </c>
    </row>
    <row r="9" spans="1:7">
      <c r="A9" s="61" t="s">
        <v>2701</v>
      </c>
      <c r="B9" s="345">
        <v>2220594659.0153999</v>
      </c>
      <c r="C9" s="345">
        <v>1856936019.4097998</v>
      </c>
      <c r="D9" s="345">
        <v>2482787204.7858</v>
      </c>
      <c r="E9" s="345">
        <v>2327445574.1080003</v>
      </c>
      <c r="F9" s="345">
        <v>2693301864.0928001</v>
      </c>
      <c r="G9" s="345">
        <v>3769884477.2621999</v>
      </c>
    </row>
    <row r="10" spans="1:7">
      <c r="A10" s="61" t="s">
        <v>2702</v>
      </c>
      <c r="B10" s="345">
        <v>154835229.58379999</v>
      </c>
      <c r="C10" s="345">
        <v>132775616.53019999</v>
      </c>
      <c r="D10" s="345">
        <v>97648245.007200003</v>
      </c>
      <c r="E10" s="345">
        <v>97352983.200000003</v>
      </c>
      <c r="F10" s="345">
        <v>73744491.420000002</v>
      </c>
      <c r="G10" s="345">
        <v>98509140.060000002</v>
      </c>
    </row>
    <row r="11" spans="1:7">
      <c r="A11" s="61" t="s">
        <v>2703</v>
      </c>
      <c r="B11" s="345">
        <v>0</v>
      </c>
      <c r="C11" s="345">
        <v>0</v>
      </c>
      <c r="D11" s="345">
        <v>0</v>
      </c>
      <c r="E11" s="345">
        <v>0</v>
      </c>
      <c r="F11" s="345">
        <v>98845841.310399994</v>
      </c>
      <c r="G11" s="345">
        <v>0</v>
      </c>
    </row>
    <row r="12" spans="1:7">
      <c r="A12" s="60" t="s">
        <v>2084</v>
      </c>
      <c r="B12" s="344">
        <f t="shared" ref="B12:G12" si="3">SUM(B13:B16)</f>
        <v>3675394156.1462998</v>
      </c>
      <c r="C12" s="344">
        <f t="shared" si="3"/>
        <v>4793722497.0032997</v>
      </c>
      <c r="D12" s="344">
        <f t="shared" si="3"/>
        <v>5083354128.9096022</v>
      </c>
      <c r="E12" s="344">
        <f t="shared" si="3"/>
        <v>5564170897.2619991</v>
      </c>
      <c r="F12" s="344">
        <f t="shared" si="3"/>
        <v>7386582325.2304001</v>
      </c>
      <c r="G12" s="344">
        <f t="shared" si="3"/>
        <v>9386444233.6170006</v>
      </c>
    </row>
    <row r="13" spans="1:7">
      <c r="A13" s="61" t="s">
        <v>2704</v>
      </c>
      <c r="B13" s="345">
        <v>0</v>
      </c>
      <c r="C13" s="345">
        <v>0</v>
      </c>
      <c r="D13" s="345">
        <v>60135095.719799995</v>
      </c>
      <c r="E13" s="345">
        <v>40326323.898000002</v>
      </c>
      <c r="F13" s="345">
        <v>122031575.66399999</v>
      </c>
      <c r="G13" s="345">
        <v>35263346.999400005</v>
      </c>
    </row>
    <row r="14" spans="1:7">
      <c r="A14" s="61" t="s">
        <v>926</v>
      </c>
      <c r="B14" s="345">
        <v>3431518231.7763</v>
      </c>
      <c r="C14" s="345">
        <v>4223344321.2233</v>
      </c>
      <c r="D14" s="345">
        <v>3621537640.2330017</v>
      </c>
      <c r="E14" s="345">
        <v>4534691083.6639996</v>
      </c>
      <c r="F14" s="345">
        <v>6042888442.6296005</v>
      </c>
      <c r="G14" s="345">
        <v>7213497270.6851997</v>
      </c>
    </row>
    <row r="15" spans="1:7">
      <c r="A15" s="61" t="s">
        <v>1222</v>
      </c>
      <c r="B15" s="345">
        <v>0</v>
      </c>
      <c r="C15" s="345">
        <v>0</v>
      </c>
      <c r="D15" s="345">
        <v>0</v>
      </c>
      <c r="E15" s="345">
        <v>0</v>
      </c>
      <c r="F15" s="345">
        <v>0</v>
      </c>
      <c r="G15" s="345">
        <v>0</v>
      </c>
    </row>
    <row r="16" spans="1:7">
      <c r="A16" s="61" t="s">
        <v>1223</v>
      </c>
      <c r="B16" s="345">
        <v>243875924.37</v>
      </c>
      <c r="C16" s="345">
        <v>570378175.77999997</v>
      </c>
      <c r="D16" s="345">
        <v>1401681392.9568002</v>
      </c>
      <c r="E16" s="345">
        <v>989153489.70000005</v>
      </c>
      <c r="F16" s="345">
        <v>1221662306.9367998</v>
      </c>
      <c r="G16" s="345">
        <v>2137683615.9324</v>
      </c>
    </row>
    <row r="17" spans="1:7">
      <c r="A17" s="60" t="s">
        <v>2553</v>
      </c>
      <c r="B17" s="344">
        <f t="shared" ref="B17:G17" si="4">SUM(B18:B21)</f>
        <v>10370724380.507696</v>
      </c>
      <c r="C17" s="344">
        <f t="shared" si="4"/>
        <v>11646178204.497898</v>
      </c>
      <c r="D17" s="344">
        <f t="shared" si="4"/>
        <v>14032551117.839407</v>
      </c>
      <c r="E17" s="344">
        <f t="shared" si="4"/>
        <v>11796517020.558001</v>
      </c>
      <c r="F17" s="344">
        <f t="shared" si="4"/>
        <v>14706962428.743195</v>
      </c>
      <c r="G17" s="344">
        <f t="shared" si="4"/>
        <v>18845988642.440403</v>
      </c>
    </row>
    <row r="18" spans="1:7">
      <c r="A18" s="61" t="s">
        <v>2091</v>
      </c>
      <c r="B18" s="345">
        <v>2110136279.8842001</v>
      </c>
      <c r="C18" s="345">
        <v>1148977711.0581</v>
      </c>
      <c r="D18" s="345">
        <v>1098074417.4612002</v>
      </c>
      <c r="E18" s="345">
        <v>424753431.90000004</v>
      </c>
      <c r="F18" s="345">
        <v>671698908.39279997</v>
      </c>
      <c r="G18" s="345">
        <v>552903778.03620005</v>
      </c>
    </row>
    <row r="19" spans="1:7">
      <c r="A19" s="61" t="s">
        <v>2092</v>
      </c>
      <c r="B19" s="345">
        <v>1118146543.7850001</v>
      </c>
      <c r="C19" s="345">
        <v>886385930.04710007</v>
      </c>
      <c r="D19" s="345">
        <v>2155266355.2786002</v>
      </c>
      <c r="E19" s="345">
        <v>1418844747.878</v>
      </c>
      <c r="F19" s="345">
        <v>957387136.74399984</v>
      </c>
      <c r="G19" s="345">
        <v>2206691465.1342001</v>
      </c>
    </row>
    <row r="20" spans="1:7">
      <c r="A20" s="61" t="s">
        <v>1833</v>
      </c>
      <c r="B20" s="345">
        <v>7000255024.2206964</v>
      </c>
      <c r="C20" s="345">
        <v>9367282626.4779987</v>
      </c>
      <c r="D20" s="345">
        <v>10615998595.343405</v>
      </c>
      <c r="E20" s="345">
        <v>9822910012.8080006</v>
      </c>
      <c r="F20" s="345">
        <v>12902951322.587196</v>
      </c>
      <c r="G20" s="345">
        <v>15623476041.576603</v>
      </c>
    </row>
    <row r="21" spans="1:7">
      <c r="A21" s="61" t="s">
        <v>2705</v>
      </c>
      <c r="B21" s="345">
        <v>142186532.61780003</v>
      </c>
      <c r="C21" s="345">
        <v>243531936.91469994</v>
      </c>
      <c r="D21" s="345">
        <v>163211749.75619999</v>
      </c>
      <c r="E21" s="345">
        <v>130008827.97200002</v>
      </c>
      <c r="F21" s="345">
        <v>174925061.0192</v>
      </c>
      <c r="G21" s="345">
        <v>462917357.69339997</v>
      </c>
    </row>
    <row r="22" spans="1:7">
      <c r="A22" s="60" t="s">
        <v>2554</v>
      </c>
      <c r="B22" s="344">
        <f t="shared" ref="B22:G22" si="5">SUM(B23:B24)</f>
        <v>68091085418.205605</v>
      </c>
      <c r="C22" s="344">
        <f t="shared" si="5"/>
        <v>51131087300.719299</v>
      </c>
      <c r="D22" s="344">
        <f t="shared" si="5"/>
        <v>73155826847.618988</v>
      </c>
      <c r="E22" s="344">
        <f t="shared" si="5"/>
        <v>69217771230.128006</v>
      </c>
      <c r="F22" s="344">
        <f t="shared" si="5"/>
        <v>88322691915.178391</v>
      </c>
      <c r="G22" s="344">
        <f t="shared" si="5"/>
        <v>104188214123.45999</v>
      </c>
    </row>
    <row r="23" spans="1:7">
      <c r="A23" s="61" t="s">
        <v>2706</v>
      </c>
      <c r="B23" s="345">
        <v>253373512.59</v>
      </c>
      <c r="C23" s="345">
        <v>441402192.13999999</v>
      </c>
      <c r="D23" s="345">
        <v>562048360.56000006</v>
      </c>
      <c r="E23" s="345">
        <v>1094147561.2</v>
      </c>
      <c r="F23" s="345">
        <v>1880910675.4400001</v>
      </c>
      <c r="G23" s="345">
        <v>2393852824.2599998</v>
      </c>
    </row>
    <row r="24" spans="1:7">
      <c r="A24" s="61" t="s">
        <v>2095</v>
      </c>
      <c r="B24" s="345">
        <v>67837711905.615608</v>
      </c>
      <c r="C24" s="345">
        <v>50689685108.5793</v>
      </c>
      <c r="D24" s="345">
        <v>72593778487.05899</v>
      </c>
      <c r="E24" s="345">
        <v>68123623668.928001</v>
      </c>
      <c r="F24" s="345">
        <v>86441781239.738388</v>
      </c>
      <c r="G24" s="345">
        <v>101794361299.2</v>
      </c>
    </row>
    <row r="26" spans="1:7">
      <c r="A26" s="2000" t="s">
        <v>4667</v>
      </c>
    </row>
    <row r="27" spans="1:7">
      <c r="A27" s="61" t="s">
        <v>3209</v>
      </c>
    </row>
    <row r="28" spans="1:7">
      <c r="A28" s="61" t="s">
        <v>3210</v>
      </c>
    </row>
    <row r="29" spans="1:7">
      <c r="A29" s="61" t="s">
        <v>3211</v>
      </c>
    </row>
    <row r="30" spans="1:7">
      <c r="A30" s="61" t="s">
        <v>3212</v>
      </c>
    </row>
    <row r="31" spans="1:7">
      <c r="A31" s="61" t="s">
        <v>3213</v>
      </c>
    </row>
    <row r="32" spans="1:7">
      <c r="A32" s="61" t="s">
        <v>3214</v>
      </c>
    </row>
    <row r="33" spans="1:7">
      <c r="A33" s="347" t="s">
        <v>22</v>
      </c>
    </row>
    <row r="34" spans="1:7">
      <c r="A34" s="2610" t="s">
        <v>2649</v>
      </c>
      <c r="B34" s="2610"/>
      <c r="C34" s="2610"/>
      <c r="D34" s="2610"/>
      <c r="E34" s="2610"/>
      <c r="F34" s="2610"/>
      <c r="G34" s="2610"/>
    </row>
  </sheetData>
  <mergeCells count="2">
    <mergeCell ref="A2:G2"/>
    <mergeCell ref="A34:G34"/>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dimension ref="A2:G67"/>
  <sheetViews>
    <sheetView zoomScaleNormal="100" workbookViewId="0"/>
  </sheetViews>
  <sheetFormatPr baseColWidth="10" defaultColWidth="11.42578125" defaultRowHeight="11.25"/>
  <cols>
    <col min="1" max="1" width="89" style="117" customWidth="1"/>
    <col min="2" max="5" width="11.42578125" style="117"/>
    <col min="6" max="6" width="11.85546875" style="117" customWidth="1"/>
    <col min="7" max="7" width="11.42578125" style="1912"/>
    <col min="8" max="16384" width="11.42578125" style="117"/>
  </cols>
  <sheetData>
    <row r="2" spans="1:7" s="152" customFormat="1" ht="27" customHeight="1">
      <c r="A2" s="2028" t="s">
        <v>935</v>
      </c>
      <c r="B2" s="2028"/>
      <c r="C2" s="2028"/>
      <c r="D2" s="2028"/>
      <c r="E2" s="2028"/>
      <c r="F2" s="2028"/>
      <c r="G2" s="2028"/>
    </row>
    <row r="4" spans="1:7" ht="16.5" customHeight="1">
      <c r="A4" s="2029" t="s">
        <v>681</v>
      </c>
      <c r="B4" s="2029" t="s">
        <v>671</v>
      </c>
      <c r="C4" s="2029"/>
      <c r="D4" s="2029"/>
      <c r="E4" s="2029"/>
      <c r="F4" s="2029"/>
      <c r="G4" s="2029"/>
    </row>
    <row r="5" spans="1:7" ht="16.5" customHeight="1">
      <c r="A5" s="2029"/>
      <c r="B5" s="1928">
        <v>2009</v>
      </c>
      <c r="C5" s="1928">
        <v>2010</v>
      </c>
      <c r="D5" s="1928">
        <v>2011</v>
      </c>
      <c r="E5" s="1928">
        <v>2012</v>
      </c>
      <c r="F5" s="1928">
        <v>2013</v>
      </c>
      <c r="G5" s="1928">
        <v>2014</v>
      </c>
    </row>
    <row r="6" spans="1:7" s="115" customFormat="1">
      <c r="A6" s="1260" t="s">
        <v>679</v>
      </c>
      <c r="B6" s="1908">
        <f t="shared" ref="B6:G6" si="0">B7+B20+B23+B25+B35+B39+B44+B50+B55+B57</f>
        <v>56</v>
      </c>
      <c r="C6" s="1908">
        <f t="shared" si="0"/>
        <v>59</v>
      </c>
      <c r="D6" s="1908">
        <f t="shared" si="0"/>
        <v>57</v>
      </c>
      <c r="E6" s="1908">
        <f t="shared" si="0"/>
        <v>74</v>
      </c>
      <c r="F6" s="1908">
        <f t="shared" si="0"/>
        <v>75</v>
      </c>
      <c r="G6" s="1908">
        <f t="shared" si="0"/>
        <v>124</v>
      </c>
    </row>
    <row r="7" spans="1:7" s="115" customFormat="1">
      <c r="A7" s="1260" t="s">
        <v>682</v>
      </c>
      <c r="B7" s="1908">
        <f t="shared" ref="B7:G7" si="1">SUM(B8:B19)</f>
        <v>8</v>
      </c>
      <c r="C7" s="1908">
        <f t="shared" si="1"/>
        <v>16</v>
      </c>
      <c r="D7" s="1908">
        <f t="shared" si="1"/>
        <v>14</v>
      </c>
      <c r="E7" s="1908">
        <f t="shared" si="1"/>
        <v>17</v>
      </c>
      <c r="F7" s="1908">
        <f t="shared" si="1"/>
        <v>21</v>
      </c>
      <c r="G7" s="1908">
        <f t="shared" si="1"/>
        <v>23</v>
      </c>
    </row>
    <row r="8" spans="1:7" s="115" customFormat="1">
      <c r="A8" s="1929" t="s">
        <v>683</v>
      </c>
      <c r="B8" s="1909">
        <v>1</v>
      </c>
      <c r="C8" s="1909">
        <v>1</v>
      </c>
      <c r="D8" s="1909">
        <v>1</v>
      </c>
      <c r="E8" s="1909">
        <v>1</v>
      </c>
      <c r="F8" s="1909">
        <v>1</v>
      </c>
      <c r="G8" s="161">
        <v>1</v>
      </c>
    </row>
    <row r="9" spans="1:7" s="115" customFormat="1">
      <c r="A9" s="1929" t="s">
        <v>684</v>
      </c>
      <c r="B9" s="1909">
        <v>1</v>
      </c>
      <c r="C9" s="1930">
        <v>1</v>
      </c>
      <c r="D9" s="1930">
        <v>0</v>
      </c>
      <c r="E9" s="1909">
        <v>1</v>
      </c>
      <c r="F9" s="1909">
        <v>1</v>
      </c>
      <c r="G9" s="161">
        <v>1</v>
      </c>
    </row>
    <row r="10" spans="1:7" s="115" customFormat="1">
      <c r="A10" s="1929" t="s">
        <v>685</v>
      </c>
      <c r="B10" s="1909">
        <v>3</v>
      </c>
      <c r="C10" s="1909">
        <v>0</v>
      </c>
      <c r="D10" s="1909">
        <v>0</v>
      </c>
      <c r="E10" s="1909">
        <v>1</v>
      </c>
      <c r="F10" s="1909">
        <v>4</v>
      </c>
      <c r="G10" s="161">
        <v>4</v>
      </c>
    </row>
    <row r="11" spans="1:7" s="115" customFormat="1">
      <c r="A11" s="1929" t="s">
        <v>686</v>
      </c>
      <c r="B11" s="1909">
        <v>2</v>
      </c>
      <c r="C11" s="1909">
        <v>1</v>
      </c>
      <c r="D11" s="1909">
        <v>2</v>
      </c>
      <c r="E11" s="1909">
        <v>1</v>
      </c>
      <c r="F11" s="1909">
        <v>2</v>
      </c>
      <c r="G11" s="161">
        <v>2</v>
      </c>
    </row>
    <row r="12" spans="1:7" s="115" customFormat="1">
      <c r="A12" s="1929" t="s">
        <v>687</v>
      </c>
      <c r="B12" s="1909">
        <v>0</v>
      </c>
      <c r="C12" s="1909">
        <v>11</v>
      </c>
      <c r="D12" s="1909">
        <v>11</v>
      </c>
      <c r="E12" s="1909">
        <v>11</v>
      </c>
      <c r="F12" s="1909">
        <v>11</v>
      </c>
      <c r="G12" s="161">
        <v>11</v>
      </c>
    </row>
    <row r="13" spans="1:7" s="115" customFormat="1">
      <c r="A13" s="1929" t="s">
        <v>688</v>
      </c>
      <c r="B13" s="1909">
        <v>1</v>
      </c>
      <c r="C13" s="1909">
        <v>1</v>
      </c>
      <c r="D13" s="1909">
        <v>0</v>
      </c>
      <c r="E13" s="1909">
        <v>0</v>
      </c>
      <c r="F13" s="1909">
        <v>1</v>
      </c>
      <c r="G13" s="161">
        <v>1</v>
      </c>
    </row>
    <row r="14" spans="1:7" s="115" customFormat="1">
      <c r="A14" s="1929" t="s">
        <v>689</v>
      </c>
      <c r="B14" s="1909">
        <v>0</v>
      </c>
      <c r="C14" s="1909">
        <v>1</v>
      </c>
      <c r="D14" s="1909">
        <v>0</v>
      </c>
      <c r="E14" s="1909">
        <v>0</v>
      </c>
      <c r="F14" s="1909">
        <v>0</v>
      </c>
      <c r="G14" s="1909">
        <v>0</v>
      </c>
    </row>
    <row r="15" spans="1:7" s="115" customFormat="1">
      <c r="A15" s="1929" t="s">
        <v>690</v>
      </c>
      <c r="B15" s="1909">
        <v>0</v>
      </c>
      <c r="C15" s="1909">
        <v>0</v>
      </c>
      <c r="D15" s="1909">
        <v>0</v>
      </c>
      <c r="E15" s="1909">
        <v>2</v>
      </c>
      <c r="F15" s="1909">
        <v>0</v>
      </c>
      <c r="G15" s="1909">
        <v>0</v>
      </c>
    </row>
    <row r="16" spans="1:7" s="115" customFormat="1">
      <c r="A16" s="1929" t="s">
        <v>691</v>
      </c>
      <c r="B16" s="1909">
        <v>0</v>
      </c>
      <c r="C16" s="1909">
        <v>0</v>
      </c>
      <c r="D16" s="1909">
        <v>0</v>
      </c>
      <c r="E16" s="1909">
        <v>0</v>
      </c>
      <c r="F16" s="1909">
        <v>1</v>
      </c>
      <c r="G16" s="1909">
        <v>0</v>
      </c>
    </row>
    <row r="17" spans="1:7" s="115" customFormat="1">
      <c r="A17" s="1929" t="s">
        <v>692</v>
      </c>
      <c r="B17" s="1909">
        <v>0</v>
      </c>
      <c r="C17" s="1909">
        <v>0</v>
      </c>
      <c r="D17" s="1909">
        <v>0</v>
      </c>
      <c r="E17" s="1909">
        <v>0</v>
      </c>
      <c r="F17" s="1909">
        <v>0</v>
      </c>
      <c r="G17" s="161">
        <v>1</v>
      </c>
    </row>
    <row r="18" spans="1:7">
      <c r="A18" s="1929" t="s">
        <v>693</v>
      </c>
      <c r="B18" s="1909">
        <v>0</v>
      </c>
      <c r="C18" s="1909">
        <v>0</v>
      </c>
      <c r="D18" s="1909">
        <v>0</v>
      </c>
      <c r="E18" s="1909">
        <v>0</v>
      </c>
      <c r="F18" s="1909">
        <v>0</v>
      </c>
      <c r="G18" s="161">
        <v>1</v>
      </c>
    </row>
    <row r="19" spans="1:7">
      <c r="A19" s="1929" t="s">
        <v>694</v>
      </c>
      <c r="B19" s="1909">
        <v>0</v>
      </c>
      <c r="C19" s="1909">
        <v>0</v>
      </c>
      <c r="D19" s="1909">
        <v>0</v>
      </c>
      <c r="E19" s="1909">
        <v>0</v>
      </c>
      <c r="F19" s="1909">
        <v>0</v>
      </c>
      <c r="G19" s="161">
        <v>1</v>
      </c>
    </row>
    <row r="20" spans="1:7" s="115" customFormat="1">
      <c r="A20" s="1260" t="s">
        <v>695</v>
      </c>
      <c r="B20" s="1908">
        <f t="shared" ref="B20:G20" si="2">SUM(B21:B22)</f>
        <v>5</v>
      </c>
      <c r="C20" s="1908">
        <f t="shared" si="2"/>
        <v>3</v>
      </c>
      <c r="D20" s="1908">
        <f t="shared" si="2"/>
        <v>4</v>
      </c>
      <c r="E20" s="1908">
        <f t="shared" si="2"/>
        <v>3</v>
      </c>
      <c r="F20" s="1908">
        <f t="shared" si="2"/>
        <v>6</v>
      </c>
      <c r="G20" s="1908">
        <f t="shared" si="2"/>
        <v>7</v>
      </c>
    </row>
    <row r="21" spans="1:7">
      <c r="A21" s="1929" t="s">
        <v>696</v>
      </c>
      <c r="B21" s="1909">
        <v>1</v>
      </c>
      <c r="C21" s="1909">
        <v>1</v>
      </c>
      <c r="D21" s="1909">
        <v>1</v>
      </c>
      <c r="E21" s="1909">
        <v>1</v>
      </c>
      <c r="F21" s="1909">
        <v>2</v>
      </c>
      <c r="G21" s="161">
        <v>2</v>
      </c>
    </row>
    <row r="22" spans="1:7" s="115" customFormat="1">
      <c r="A22" s="1929" t="s">
        <v>697</v>
      </c>
      <c r="B22" s="1909">
        <v>4</v>
      </c>
      <c r="C22" s="1909">
        <v>2</v>
      </c>
      <c r="D22" s="1909">
        <v>3</v>
      </c>
      <c r="E22" s="1909">
        <v>2</v>
      </c>
      <c r="F22" s="1909">
        <v>4</v>
      </c>
      <c r="G22" s="161">
        <v>5</v>
      </c>
    </row>
    <row r="23" spans="1:7">
      <c r="A23" s="1260" t="s">
        <v>698</v>
      </c>
      <c r="B23" s="1908">
        <f t="shared" ref="B23:G23" si="3">B24</f>
        <v>0</v>
      </c>
      <c r="C23" s="1908">
        <f t="shared" si="3"/>
        <v>0</v>
      </c>
      <c r="D23" s="1908">
        <f t="shared" si="3"/>
        <v>0</v>
      </c>
      <c r="E23" s="1908">
        <f t="shared" si="3"/>
        <v>1</v>
      </c>
      <c r="F23" s="1908">
        <f t="shared" si="3"/>
        <v>0</v>
      </c>
      <c r="G23" s="1908">
        <f t="shared" si="3"/>
        <v>0</v>
      </c>
    </row>
    <row r="24" spans="1:7">
      <c r="A24" s="1929" t="s">
        <v>699</v>
      </c>
      <c r="B24" s="1909">
        <v>0</v>
      </c>
      <c r="C24" s="1909">
        <v>0</v>
      </c>
      <c r="D24" s="1909">
        <v>0</v>
      </c>
      <c r="E24" s="1909">
        <v>1</v>
      </c>
      <c r="F24" s="1909">
        <v>0</v>
      </c>
      <c r="G24" s="1909">
        <v>0</v>
      </c>
    </row>
    <row r="25" spans="1:7">
      <c r="A25" s="1260" t="s">
        <v>700</v>
      </c>
      <c r="B25" s="1908">
        <f t="shared" ref="B25:G25" si="4">SUM(B26:B34)</f>
        <v>1</v>
      </c>
      <c r="C25" s="1908">
        <f t="shared" si="4"/>
        <v>2</v>
      </c>
      <c r="D25" s="1908">
        <f t="shared" si="4"/>
        <v>0</v>
      </c>
      <c r="E25" s="1908">
        <f t="shared" si="4"/>
        <v>3</v>
      </c>
      <c r="F25" s="1908">
        <f t="shared" si="4"/>
        <v>2</v>
      </c>
      <c r="G25" s="1908">
        <f t="shared" si="4"/>
        <v>4</v>
      </c>
    </row>
    <row r="26" spans="1:7">
      <c r="A26" s="1929" t="s">
        <v>701</v>
      </c>
      <c r="B26" s="1909">
        <v>1</v>
      </c>
      <c r="C26" s="1909">
        <v>0</v>
      </c>
      <c r="D26" s="1909">
        <v>0</v>
      </c>
      <c r="E26" s="1909">
        <v>0</v>
      </c>
      <c r="F26" s="1909">
        <v>0</v>
      </c>
      <c r="G26" s="1909">
        <v>0</v>
      </c>
    </row>
    <row r="27" spans="1:7">
      <c r="A27" s="1929" t="s">
        <v>702</v>
      </c>
      <c r="B27" s="1909">
        <v>0</v>
      </c>
      <c r="C27" s="1909">
        <v>1</v>
      </c>
      <c r="D27" s="1909">
        <v>0</v>
      </c>
      <c r="E27" s="1909">
        <v>0</v>
      </c>
      <c r="F27" s="1909">
        <v>0</v>
      </c>
      <c r="G27" s="1909">
        <v>0</v>
      </c>
    </row>
    <row r="28" spans="1:7">
      <c r="A28" s="1929" t="s">
        <v>703</v>
      </c>
      <c r="B28" s="1909">
        <v>0</v>
      </c>
      <c r="C28" s="1909">
        <v>1</v>
      </c>
      <c r="D28" s="1909">
        <v>0</v>
      </c>
      <c r="E28" s="1909">
        <v>0</v>
      </c>
      <c r="F28" s="1909">
        <v>0</v>
      </c>
      <c r="G28" s="1909">
        <v>0</v>
      </c>
    </row>
    <row r="29" spans="1:7">
      <c r="A29" s="1929" t="s">
        <v>704</v>
      </c>
      <c r="B29" s="1909">
        <v>0</v>
      </c>
      <c r="C29" s="1909">
        <v>0</v>
      </c>
      <c r="D29" s="1909">
        <v>0</v>
      </c>
      <c r="E29" s="1909">
        <v>1</v>
      </c>
      <c r="F29" s="1909">
        <v>0</v>
      </c>
      <c r="G29" s="1909">
        <v>0</v>
      </c>
    </row>
    <row r="30" spans="1:7">
      <c r="A30" s="1929" t="s">
        <v>705</v>
      </c>
      <c r="B30" s="1909">
        <v>0</v>
      </c>
      <c r="C30" s="1909">
        <v>0</v>
      </c>
      <c r="D30" s="1909">
        <v>0</v>
      </c>
      <c r="E30" s="1909">
        <v>1</v>
      </c>
      <c r="F30" s="1909">
        <v>0</v>
      </c>
      <c r="G30" s="1909">
        <v>0</v>
      </c>
    </row>
    <row r="31" spans="1:7" s="115" customFormat="1">
      <c r="A31" s="1929" t="s">
        <v>706</v>
      </c>
      <c r="B31" s="1909">
        <v>0</v>
      </c>
      <c r="C31" s="1909">
        <v>0</v>
      </c>
      <c r="D31" s="1909">
        <v>0</v>
      </c>
      <c r="E31" s="1909">
        <v>1</v>
      </c>
      <c r="F31" s="1909">
        <v>0</v>
      </c>
      <c r="G31" s="161">
        <v>1</v>
      </c>
    </row>
    <row r="32" spans="1:7">
      <c r="A32" s="1929" t="s">
        <v>707</v>
      </c>
      <c r="B32" s="1909">
        <v>0</v>
      </c>
      <c r="C32" s="1909">
        <v>0</v>
      </c>
      <c r="D32" s="1909">
        <v>0</v>
      </c>
      <c r="E32" s="1909">
        <v>0</v>
      </c>
      <c r="F32" s="1909">
        <v>1</v>
      </c>
      <c r="G32" s="161">
        <v>1</v>
      </c>
    </row>
    <row r="33" spans="1:7">
      <c r="A33" s="1929" t="s">
        <v>708</v>
      </c>
      <c r="B33" s="1909">
        <v>0</v>
      </c>
      <c r="C33" s="1909">
        <v>0</v>
      </c>
      <c r="D33" s="1909">
        <v>0</v>
      </c>
      <c r="E33" s="1909">
        <v>0</v>
      </c>
      <c r="F33" s="1909">
        <v>0</v>
      </c>
      <c r="G33" s="161">
        <v>1</v>
      </c>
    </row>
    <row r="34" spans="1:7" s="115" customFormat="1">
      <c r="A34" s="1929" t="s">
        <v>709</v>
      </c>
      <c r="B34" s="1909">
        <v>0</v>
      </c>
      <c r="C34" s="1909">
        <v>0</v>
      </c>
      <c r="D34" s="1909">
        <v>0</v>
      </c>
      <c r="E34" s="1909">
        <v>0</v>
      </c>
      <c r="F34" s="1909">
        <v>1</v>
      </c>
      <c r="G34" s="161">
        <v>1</v>
      </c>
    </row>
    <row r="35" spans="1:7" ht="12.75">
      <c r="A35" s="1931" t="s">
        <v>3948</v>
      </c>
      <c r="B35" s="1932">
        <f t="shared" ref="B35:G35" si="5">SUM(B36:B38)</f>
        <v>3</v>
      </c>
      <c r="C35" s="1932">
        <f t="shared" si="5"/>
        <v>4</v>
      </c>
      <c r="D35" s="1932">
        <f t="shared" si="5"/>
        <v>7</v>
      </c>
      <c r="E35" s="1932">
        <f t="shared" si="5"/>
        <v>11</v>
      </c>
      <c r="F35" s="1932">
        <f t="shared" si="5"/>
        <v>5</v>
      </c>
      <c r="G35" s="1932">
        <f t="shared" si="5"/>
        <v>9</v>
      </c>
    </row>
    <row r="36" spans="1:7">
      <c r="A36" s="1933" t="s">
        <v>710</v>
      </c>
      <c r="B36" s="1934">
        <v>2</v>
      </c>
      <c r="C36" s="1934">
        <v>2</v>
      </c>
      <c r="D36" s="1934">
        <v>5</v>
      </c>
      <c r="E36" s="1934">
        <v>10</v>
      </c>
      <c r="F36" s="1934">
        <v>3</v>
      </c>
      <c r="G36" s="1935">
        <v>5</v>
      </c>
    </row>
    <row r="37" spans="1:7">
      <c r="A37" s="1933" t="s">
        <v>711</v>
      </c>
      <c r="B37" s="1934">
        <v>0</v>
      </c>
      <c r="C37" s="1934">
        <v>0</v>
      </c>
      <c r="D37" s="1934">
        <v>0</v>
      </c>
      <c r="E37" s="1934">
        <v>0</v>
      </c>
      <c r="F37" s="1934">
        <v>1</v>
      </c>
      <c r="G37" s="1935">
        <v>3</v>
      </c>
    </row>
    <row r="38" spans="1:7">
      <c r="A38" s="1933" t="s">
        <v>712</v>
      </c>
      <c r="B38" s="1934">
        <v>1</v>
      </c>
      <c r="C38" s="1934">
        <v>2</v>
      </c>
      <c r="D38" s="1934">
        <v>2</v>
      </c>
      <c r="E38" s="1934">
        <v>1</v>
      </c>
      <c r="F38" s="1934">
        <v>1</v>
      </c>
      <c r="G38" s="1935">
        <v>1</v>
      </c>
    </row>
    <row r="39" spans="1:7" s="115" customFormat="1">
      <c r="A39" s="1260" t="s">
        <v>713</v>
      </c>
      <c r="B39" s="1908">
        <f t="shared" ref="B39:G39" si="6">SUM(B40:B43)</f>
        <v>15</v>
      </c>
      <c r="C39" s="1908">
        <f t="shared" si="6"/>
        <v>7</v>
      </c>
      <c r="D39" s="1908">
        <f t="shared" si="6"/>
        <v>7</v>
      </c>
      <c r="E39" s="1908">
        <f t="shared" si="6"/>
        <v>12</v>
      </c>
      <c r="F39" s="1908">
        <f t="shared" si="6"/>
        <v>15</v>
      </c>
      <c r="G39" s="1908">
        <f t="shared" si="6"/>
        <v>17</v>
      </c>
    </row>
    <row r="40" spans="1:7">
      <c r="A40" s="1929" t="s">
        <v>714</v>
      </c>
      <c r="B40" s="1909">
        <v>0</v>
      </c>
      <c r="C40" s="1909">
        <v>0</v>
      </c>
      <c r="D40" s="1909">
        <v>0</v>
      </c>
      <c r="E40" s="1909">
        <v>1</v>
      </c>
      <c r="F40" s="1909">
        <v>6</v>
      </c>
      <c r="G40" s="161">
        <v>8</v>
      </c>
    </row>
    <row r="41" spans="1:7">
      <c r="A41" s="1929" t="s">
        <v>715</v>
      </c>
      <c r="B41" s="1909">
        <v>6</v>
      </c>
      <c r="C41" s="1909">
        <v>4</v>
      </c>
      <c r="D41" s="1909">
        <v>6</v>
      </c>
      <c r="E41" s="1909">
        <v>2</v>
      </c>
      <c r="F41" s="1909">
        <v>1</v>
      </c>
      <c r="G41" s="161">
        <v>1</v>
      </c>
    </row>
    <row r="42" spans="1:7">
      <c r="A42" s="1929" t="s">
        <v>716</v>
      </c>
      <c r="B42" s="1909">
        <v>9</v>
      </c>
      <c r="C42" s="1909">
        <v>3</v>
      </c>
      <c r="D42" s="1909">
        <v>1</v>
      </c>
      <c r="E42" s="1909">
        <v>9</v>
      </c>
      <c r="F42" s="1909">
        <v>7</v>
      </c>
      <c r="G42" s="161">
        <v>8</v>
      </c>
    </row>
    <row r="43" spans="1:7">
      <c r="A43" s="1929" t="s">
        <v>717</v>
      </c>
      <c r="B43" s="1909">
        <v>0</v>
      </c>
      <c r="C43" s="1909">
        <v>0</v>
      </c>
      <c r="D43" s="1909">
        <v>0</v>
      </c>
      <c r="E43" s="1909">
        <v>0</v>
      </c>
      <c r="F43" s="1909">
        <v>1</v>
      </c>
      <c r="G43" s="1909">
        <v>0</v>
      </c>
    </row>
    <row r="44" spans="1:7">
      <c r="A44" s="1260" t="s">
        <v>718</v>
      </c>
      <c r="B44" s="1908">
        <f t="shared" ref="B44:G44" si="7">SUM(B45:B49)</f>
        <v>3</v>
      </c>
      <c r="C44" s="1908">
        <f t="shared" si="7"/>
        <v>3</v>
      </c>
      <c r="D44" s="1908">
        <f t="shared" si="7"/>
        <v>2</v>
      </c>
      <c r="E44" s="1908">
        <f t="shared" si="7"/>
        <v>3</v>
      </c>
      <c r="F44" s="1908">
        <f t="shared" si="7"/>
        <v>3</v>
      </c>
      <c r="G44" s="1908">
        <f t="shared" si="7"/>
        <v>2</v>
      </c>
    </row>
    <row r="45" spans="1:7" s="115" customFormat="1">
      <c r="A45" s="1929" t="s">
        <v>719</v>
      </c>
      <c r="B45" s="1909">
        <v>1</v>
      </c>
      <c r="C45" s="1909">
        <v>1</v>
      </c>
      <c r="D45" s="1909">
        <v>1</v>
      </c>
      <c r="E45" s="1909">
        <v>1</v>
      </c>
      <c r="F45" s="1909">
        <v>1</v>
      </c>
      <c r="G45" s="161">
        <v>1</v>
      </c>
    </row>
    <row r="46" spans="1:7">
      <c r="A46" s="1929" t="s">
        <v>720</v>
      </c>
      <c r="B46" s="1909">
        <v>1</v>
      </c>
      <c r="C46" s="1909">
        <v>0</v>
      </c>
      <c r="D46" s="1909">
        <v>0</v>
      </c>
      <c r="E46" s="1909">
        <v>1</v>
      </c>
      <c r="F46" s="1909">
        <v>0</v>
      </c>
      <c r="G46" s="1909">
        <v>0</v>
      </c>
    </row>
    <row r="47" spans="1:7">
      <c r="A47" s="1929" t="s">
        <v>721</v>
      </c>
      <c r="B47" s="1909">
        <v>1</v>
      </c>
      <c r="C47" s="1909">
        <v>1</v>
      </c>
      <c r="D47" s="1909">
        <v>1</v>
      </c>
      <c r="E47" s="1909">
        <v>1</v>
      </c>
      <c r="F47" s="1909">
        <v>1</v>
      </c>
      <c r="G47" s="161">
        <v>1</v>
      </c>
    </row>
    <row r="48" spans="1:7">
      <c r="A48" s="1929" t="s">
        <v>722</v>
      </c>
      <c r="B48" s="1909">
        <v>0</v>
      </c>
      <c r="C48" s="1909">
        <v>1</v>
      </c>
      <c r="D48" s="1909">
        <v>0</v>
      </c>
      <c r="E48" s="1909">
        <v>0</v>
      </c>
      <c r="F48" s="1909">
        <v>0</v>
      </c>
      <c r="G48" s="1909">
        <v>0</v>
      </c>
    </row>
    <row r="49" spans="1:7">
      <c r="A49" s="1929" t="s">
        <v>723</v>
      </c>
      <c r="B49" s="1909">
        <v>0</v>
      </c>
      <c r="C49" s="1909">
        <v>0</v>
      </c>
      <c r="D49" s="1909">
        <v>0</v>
      </c>
      <c r="E49" s="1909">
        <v>0</v>
      </c>
      <c r="F49" s="1909">
        <v>1</v>
      </c>
      <c r="G49" s="1909">
        <v>0</v>
      </c>
    </row>
    <row r="50" spans="1:7" s="115" customFormat="1">
      <c r="A50" s="1260" t="s">
        <v>724</v>
      </c>
      <c r="B50" s="1908">
        <f t="shared" ref="B50:G50" si="8">SUM(B51:B54)</f>
        <v>5</v>
      </c>
      <c r="C50" s="1908">
        <f t="shared" si="8"/>
        <v>9</v>
      </c>
      <c r="D50" s="1908">
        <f t="shared" si="8"/>
        <v>7</v>
      </c>
      <c r="E50" s="1908">
        <f t="shared" si="8"/>
        <v>8</v>
      </c>
      <c r="F50" s="1908">
        <f t="shared" si="8"/>
        <v>7</v>
      </c>
      <c r="G50" s="1908">
        <f t="shared" si="8"/>
        <v>49</v>
      </c>
    </row>
    <row r="51" spans="1:7">
      <c r="A51" s="1929" t="s">
        <v>725</v>
      </c>
      <c r="B51" s="1909">
        <v>0</v>
      </c>
      <c r="C51" s="1909">
        <v>0</v>
      </c>
      <c r="D51" s="1909">
        <v>0</v>
      </c>
      <c r="E51" s="1909">
        <v>1</v>
      </c>
      <c r="F51" s="1909">
        <v>1</v>
      </c>
      <c r="G51" s="161">
        <v>3</v>
      </c>
    </row>
    <row r="52" spans="1:7">
      <c r="A52" s="1929" t="s">
        <v>726</v>
      </c>
      <c r="B52" s="1909">
        <v>1</v>
      </c>
      <c r="C52" s="1909">
        <v>2</v>
      </c>
      <c r="D52" s="1909">
        <v>1</v>
      </c>
      <c r="E52" s="1909">
        <v>1</v>
      </c>
      <c r="F52" s="1909">
        <v>1</v>
      </c>
      <c r="G52" s="161">
        <v>6</v>
      </c>
    </row>
    <row r="53" spans="1:7">
      <c r="A53" s="1929" t="s">
        <v>162</v>
      </c>
      <c r="B53" s="1909">
        <v>3</v>
      </c>
      <c r="C53" s="1909">
        <v>7</v>
      </c>
      <c r="D53" s="1909">
        <v>6</v>
      </c>
      <c r="E53" s="1909">
        <v>5</v>
      </c>
      <c r="F53" s="1909">
        <v>5</v>
      </c>
      <c r="G53" s="161">
        <v>7</v>
      </c>
    </row>
    <row r="54" spans="1:7">
      <c r="A54" s="1929" t="s">
        <v>727</v>
      </c>
      <c r="B54" s="1909">
        <v>1</v>
      </c>
      <c r="C54" s="1909">
        <v>0</v>
      </c>
      <c r="D54" s="1909">
        <v>0</v>
      </c>
      <c r="E54" s="1909">
        <v>1</v>
      </c>
      <c r="F54" s="1909">
        <v>0</v>
      </c>
      <c r="G54" s="161">
        <v>33</v>
      </c>
    </row>
    <row r="55" spans="1:7">
      <c r="A55" s="1260" t="s">
        <v>728</v>
      </c>
      <c r="B55" s="1908">
        <f t="shared" ref="B55:G55" si="9">B56</f>
        <v>15</v>
      </c>
      <c r="C55" s="1908">
        <f t="shared" si="9"/>
        <v>13</v>
      </c>
      <c r="D55" s="1908">
        <f t="shared" si="9"/>
        <v>15</v>
      </c>
      <c r="E55" s="1908">
        <f t="shared" si="9"/>
        <v>15</v>
      </c>
      <c r="F55" s="1908">
        <f t="shared" si="9"/>
        <v>15</v>
      </c>
      <c r="G55" s="1908">
        <f t="shared" si="9"/>
        <v>12</v>
      </c>
    </row>
    <row r="56" spans="1:7">
      <c r="A56" s="1929" t="s">
        <v>729</v>
      </c>
      <c r="B56" s="1909">
        <v>15</v>
      </c>
      <c r="C56" s="1909">
        <v>13</v>
      </c>
      <c r="D56" s="1909">
        <v>15</v>
      </c>
      <c r="E56" s="1909">
        <v>15</v>
      </c>
      <c r="F56" s="1909">
        <v>15</v>
      </c>
      <c r="G56" s="161">
        <v>12</v>
      </c>
    </row>
    <row r="57" spans="1:7">
      <c r="A57" s="1260" t="s">
        <v>730</v>
      </c>
      <c r="B57" s="1908">
        <f t="shared" ref="B57:G57" si="10">B58</f>
        <v>1</v>
      </c>
      <c r="C57" s="1908">
        <f t="shared" si="10"/>
        <v>2</v>
      </c>
      <c r="D57" s="1908">
        <f t="shared" si="10"/>
        <v>1</v>
      </c>
      <c r="E57" s="1908">
        <f t="shared" si="10"/>
        <v>1</v>
      </c>
      <c r="F57" s="1908">
        <f t="shared" si="10"/>
        <v>1</v>
      </c>
      <c r="G57" s="1908">
        <f t="shared" si="10"/>
        <v>1</v>
      </c>
    </row>
    <row r="58" spans="1:7">
      <c r="A58" s="1929" t="s">
        <v>731</v>
      </c>
      <c r="B58" s="1909">
        <v>1</v>
      </c>
      <c r="C58" s="1909">
        <v>2</v>
      </c>
      <c r="D58" s="1909">
        <v>1</v>
      </c>
      <c r="E58" s="1909">
        <v>1</v>
      </c>
      <c r="F58" s="1909">
        <v>1</v>
      </c>
      <c r="G58" s="161">
        <v>1</v>
      </c>
    </row>
    <row r="59" spans="1:7">
      <c r="A59" s="1240"/>
      <c r="B59" s="1240"/>
      <c r="C59" s="1240"/>
      <c r="D59" s="1240"/>
      <c r="E59" s="1240"/>
      <c r="F59" s="1240"/>
      <c r="G59" s="1240"/>
    </row>
    <row r="60" spans="1:7">
      <c r="A60" s="1260" t="s">
        <v>3949</v>
      </c>
      <c r="B60" s="1240"/>
      <c r="C60" s="1240"/>
      <c r="D60" s="1240"/>
      <c r="E60" s="1240"/>
      <c r="F60" s="1240"/>
      <c r="G60" s="1240"/>
    </row>
    <row r="61" spans="1:7">
      <c r="A61" s="1240" t="s">
        <v>22</v>
      </c>
      <c r="B61" s="1240"/>
      <c r="C61" s="1240"/>
      <c r="D61" s="1240"/>
      <c r="E61" s="1240"/>
      <c r="F61" s="1240"/>
      <c r="G61" s="1240"/>
    </row>
    <row r="62" spans="1:7">
      <c r="A62" s="2030" t="s">
        <v>680</v>
      </c>
      <c r="B62" s="2030"/>
      <c r="C62" s="2030"/>
      <c r="D62" s="2030"/>
      <c r="E62" s="2030"/>
      <c r="F62" s="2030"/>
      <c r="G62" s="1240"/>
    </row>
    <row r="63" spans="1:7">
      <c r="A63" s="1240"/>
      <c r="B63" s="1240"/>
      <c r="C63" s="1240"/>
      <c r="D63" s="1240"/>
      <c r="E63" s="1240"/>
      <c r="F63" s="1240"/>
      <c r="G63" s="1240"/>
    </row>
    <row r="67" spans="2:7">
      <c r="B67" s="1316"/>
      <c r="G67" s="117"/>
    </row>
  </sheetData>
  <mergeCells count="4">
    <mergeCell ref="A2:G2"/>
    <mergeCell ref="A4:A5"/>
    <mergeCell ref="B4:G4"/>
    <mergeCell ref="A62:F62"/>
  </mergeCells>
  <pageMargins left="0.7" right="0.7" top="0.75" bottom="0.75" header="0.3" footer="0.3"/>
</worksheet>
</file>

<file path=xl/worksheets/sheet30.xml><?xml version="1.0" encoding="utf-8"?>
<worksheet xmlns="http://schemas.openxmlformats.org/spreadsheetml/2006/main" xmlns:r="http://schemas.openxmlformats.org/officeDocument/2006/relationships">
  <dimension ref="A2:O68"/>
  <sheetViews>
    <sheetView zoomScaleNormal="100" workbookViewId="0"/>
  </sheetViews>
  <sheetFormatPr baseColWidth="10" defaultRowHeight="11.25"/>
  <cols>
    <col min="1" max="1" width="55.42578125" style="1" customWidth="1"/>
    <col min="2" max="8" width="11.42578125" style="1"/>
    <col min="9" max="15" width="7.7109375" style="1" customWidth="1"/>
    <col min="16" max="16384" width="11.42578125" style="1"/>
  </cols>
  <sheetData>
    <row r="2" spans="1:15" ht="28.5" customHeight="1">
      <c r="A2" s="2086" t="s">
        <v>984</v>
      </c>
      <c r="B2" s="2086"/>
      <c r="C2" s="2086"/>
      <c r="D2" s="2086"/>
      <c r="E2" s="2086"/>
      <c r="F2" s="2086"/>
      <c r="G2" s="2086"/>
    </row>
    <row r="3" spans="1:15">
      <c r="A3" s="1894"/>
      <c r="B3" s="1894"/>
      <c r="C3" s="1894"/>
      <c r="D3" s="1894"/>
      <c r="E3" s="1894"/>
      <c r="F3" s="1894"/>
      <c r="G3" s="1894"/>
    </row>
    <row r="4" spans="1:15" ht="16.5" customHeight="1">
      <c r="A4" s="2087" t="s">
        <v>983</v>
      </c>
      <c r="B4" s="2089" t="s">
        <v>671</v>
      </c>
      <c r="C4" s="2089"/>
      <c r="D4" s="2089"/>
      <c r="E4" s="2089"/>
      <c r="F4" s="2089"/>
      <c r="G4" s="2089"/>
    </row>
    <row r="5" spans="1:15" s="1953" customFormat="1" ht="16.5" customHeight="1">
      <c r="A5" s="2088"/>
      <c r="B5" s="1960" t="s">
        <v>799</v>
      </c>
      <c r="C5" s="1960" t="s">
        <v>800</v>
      </c>
      <c r="D5" s="1960" t="s">
        <v>801</v>
      </c>
      <c r="E5" s="1960" t="s">
        <v>802</v>
      </c>
      <c r="F5" s="1960" t="s">
        <v>803</v>
      </c>
      <c r="G5" s="1960" t="s">
        <v>804</v>
      </c>
    </row>
    <row r="6" spans="1:15">
      <c r="A6" s="405" t="s">
        <v>6</v>
      </c>
      <c r="B6" s="1972">
        <f t="shared" ref="B6:G10" si="0">SUM(B11,B16,B21,B26,B31,B36,B41,B46,B51,B56,B61)</f>
        <v>39</v>
      </c>
      <c r="C6" s="1972">
        <f t="shared" si="0"/>
        <v>34</v>
      </c>
      <c r="D6" s="1972">
        <f t="shared" si="0"/>
        <v>49</v>
      </c>
      <c r="E6" s="1972">
        <f t="shared" si="0"/>
        <v>21</v>
      </c>
      <c r="F6" s="1972">
        <f t="shared" si="0"/>
        <v>51</v>
      </c>
      <c r="G6" s="1972">
        <f t="shared" si="0"/>
        <v>39</v>
      </c>
      <c r="I6" s="7"/>
      <c r="J6" s="7"/>
      <c r="K6" s="7"/>
      <c r="L6" s="7"/>
      <c r="M6" s="7"/>
      <c r="N6" s="7"/>
      <c r="O6" s="7"/>
    </row>
    <row r="7" spans="1:15">
      <c r="A7" s="1973" t="s">
        <v>982</v>
      </c>
      <c r="B7" s="1972">
        <f t="shared" si="0"/>
        <v>4</v>
      </c>
      <c r="C7" s="1972">
        <f t="shared" si="0"/>
        <v>1</v>
      </c>
      <c r="D7" s="1972">
        <f t="shared" si="0"/>
        <v>8</v>
      </c>
      <c r="E7" s="1972">
        <f t="shared" si="0"/>
        <v>4</v>
      </c>
      <c r="F7" s="1972">
        <f t="shared" si="0"/>
        <v>2</v>
      </c>
      <c r="G7" s="1972">
        <f t="shared" si="0"/>
        <v>3</v>
      </c>
      <c r="I7" s="7"/>
      <c r="J7" s="7"/>
      <c r="K7" s="7"/>
      <c r="L7" s="7"/>
      <c r="M7" s="7"/>
      <c r="N7" s="7"/>
      <c r="O7" s="7"/>
    </row>
    <row r="8" spans="1:15">
      <c r="A8" s="1973" t="s">
        <v>805</v>
      </c>
      <c r="B8" s="1972">
        <f t="shared" si="0"/>
        <v>33</v>
      </c>
      <c r="C8" s="1972">
        <f t="shared" si="0"/>
        <v>31</v>
      </c>
      <c r="D8" s="1972">
        <f t="shared" si="0"/>
        <v>25</v>
      </c>
      <c r="E8" s="1972">
        <f t="shared" si="0"/>
        <v>14</v>
      </c>
      <c r="F8" s="1972">
        <f t="shared" si="0"/>
        <v>34</v>
      </c>
      <c r="G8" s="1972">
        <f t="shared" si="0"/>
        <v>23</v>
      </c>
      <c r="I8" s="7"/>
      <c r="J8" s="7"/>
      <c r="K8" s="7"/>
      <c r="L8" s="7"/>
      <c r="M8" s="7"/>
      <c r="N8" s="7"/>
      <c r="O8" s="7"/>
    </row>
    <row r="9" spans="1:15">
      <c r="A9" s="1973" t="s">
        <v>806</v>
      </c>
      <c r="B9" s="1972">
        <f t="shared" si="0"/>
        <v>0</v>
      </c>
      <c r="C9" s="1972">
        <f t="shared" si="0"/>
        <v>0</v>
      </c>
      <c r="D9" s="1972">
        <f t="shared" si="0"/>
        <v>14</v>
      </c>
      <c r="E9" s="1972">
        <f t="shared" si="0"/>
        <v>3</v>
      </c>
      <c r="F9" s="1972">
        <f t="shared" si="0"/>
        <v>9</v>
      </c>
      <c r="G9" s="1972">
        <f t="shared" si="0"/>
        <v>12</v>
      </c>
      <c r="I9" s="7"/>
      <c r="J9" s="7"/>
      <c r="K9" s="7"/>
      <c r="L9" s="7"/>
      <c r="M9" s="7"/>
      <c r="N9" s="7"/>
      <c r="O9" s="7"/>
    </row>
    <row r="10" spans="1:15">
      <c r="A10" s="1973" t="s">
        <v>807</v>
      </c>
      <c r="B10" s="1972">
        <f t="shared" si="0"/>
        <v>2</v>
      </c>
      <c r="C10" s="1972">
        <f t="shared" si="0"/>
        <v>2</v>
      </c>
      <c r="D10" s="1972">
        <f t="shared" si="0"/>
        <v>2</v>
      </c>
      <c r="E10" s="1972">
        <f t="shared" si="0"/>
        <v>0</v>
      </c>
      <c r="F10" s="1972">
        <f t="shared" si="0"/>
        <v>6</v>
      </c>
      <c r="G10" s="1972">
        <f t="shared" si="0"/>
        <v>1</v>
      </c>
      <c r="I10" s="7"/>
      <c r="J10" s="7"/>
      <c r="K10" s="7"/>
      <c r="L10" s="7"/>
      <c r="M10" s="7"/>
      <c r="N10" s="7"/>
      <c r="O10" s="7"/>
    </row>
    <row r="11" spans="1:15" ht="33.75">
      <c r="A11" s="1974" t="s">
        <v>809</v>
      </c>
      <c r="B11" s="1972">
        <f t="shared" ref="B11:G11" si="1">SUM(B12:B15)</f>
        <v>4</v>
      </c>
      <c r="C11" s="1972">
        <f t="shared" si="1"/>
        <v>3</v>
      </c>
      <c r="D11" s="1972">
        <f t="shared" si="1"/>
        <v>8</v>
      </c>
      <c r="E11" s="1972">
        <f t="shared" si="1"/>
        <v>6</v>
      </c>
      <c r="F11" s="1972">
        <f t="shared" si="1"/>
        <v>7</v>
      </c>
      <c r="G11" s="1972">
        <f t="shared" si="1"/>
        <v>9</v>
      </c>
      <c r="H11" s="1975"/>
    </row>
    <row r="12" spans="1:15">
      <c r="A12" s="1976" t="s">
        <v>982</v>
      </c>
      <c r="B12" s="1977">
        <v>0</v>
      </c>
      <c r="C12" s="1977">
        <v>0</v>
      </c>
      <c r="D12" s="1977">
        <v>2</v>
      </c>
      <c r="E12" s="1977">
        <v>2</v>
      </c>
      <c r="F12" s="1977">
        <v>0</v>
      </c>
      <c r="G12" s="1977">
        <v>1</v>
      </c>
      <c r="H12" s="1970"/>
    </row>
    <row r="13" spans="1:15">
      <c r="A13" s="1976" t="s">
        <v>805</v>
      </c>
      <c r="B13" s="1977">
        <v>4</v>
      </c>
      <c r="C13" s="1977">
        <v>3</v>
      </c>
      <c r="D13" s="1977">
        <v>2</v>
      </c>
      <c r="E13" s="1977">
        <v>3</v>
      </c>
      <c r="F13" s="1977">
        <v>3</v>
      </c>
      <c r="G13" s="1977">
        <v>5</v>
      </c>
      <c r="H13" s="1970"/>
    </row>
    <row r="14" spans="1:15">
      <c r="A14" s="1976" t="s">
        <v>806</v>
      </c>
      <c r="B14" s="1977">
        <v>0</v>
      </c>
      <c r="C14" s="1977">
        <v>0</v>
      </c>
      <c r="D14" s="1977">
        <v>4</v>
      </c>
      <c r="E14" s="1977">
        <v>1</v>
      </c>
      <c r="F14" s="1977">
        <v>1</v>
      </c>
      <c r="G14" s="1977">
        <v>2</v>
      </c>
      <c r="H14" s="1970"/>
    </row>
    <row r="15" spans="1:15">
      <c r="A15" s="1976" t="s">
        <v>807</v>
      </c>
      <c r="B15" s="1977">
        <v>0</v>
      </c>
      <c r="C15" s="1977">
        <v>0</v>
      </c>
      <c r="D15" s="1977">
        <v>0</v>
      </c>
      <c r="E15" s="1977">
        <v>0</v>
      </c>
      <c r="F15" s="1977">
        <v>3</v>
      </c>
      <c r="G15" s="1977">
        <v>1</v>
      </c>
      <c r="H15" s="1970"/>
    </row>
    <row r="16" spans="1:15" ht="22.5">
      <c r="A16" s="1978" t="s">
        <v>812</v>
      </c>
      <c r="B16" s="1972">
        <f t="shared" ref="B16:G16" si="2">SUM(B17:B20)</f>
        <v>5</v>
      </c>
      <c r="C16" s="1972">
        <f t="shared" si="2"/>
        <v>5</v>
      </c>
      <c r="D16" s="1972">
        <f t="shared" si="2"/>
        <v>11</v>
      </c>
      <c r="E16" s="1972">
        <f t="shared" si="2"/>
        <v>4</v>
      </c>
      <c r="F16" s="1972">
        <f t="shared" si="2"/>
        <v>12</v>
      </c>
      <c r="G16" s="1972">
        <f t="shared" si="2"/>
        <v>9</v>
      </c>
      <c r="H16" s="1975"/>
    </row>
    <row r="17" spans="1:8">
      <c r="A17" s="1976" t="s">
        <v>982</v>
      </c>
      <c r="B17" s="1977">
        <v>0</v>
      </c>
      <c r="C17" s="1977">
        <v>0</v>
      </c>
      <c r="D17" s="1977">
        <v>1</v>
      </c>
      <c r="E17" s="1977">
        <v>0</v>
      </c>
      <c r="F17" s="1977">
        <v>0</v>
      </c>
      <c r="G17" s="1977">
        <v>2</v>
      </c>
      <c r="H17" s="1970"/>
    </row>
    <row r="18" spans="1:8">
      <c r="A18" s="1976" t="s">
        <v>805</v>
      </c>
      <c r="B18" s="1977">
        <v>5</v>
      </c>
      <c r="C18" s="1977">
        <v>5</v>
      </c>
      <c r="D18" s="1977">
        <v>7</v>
      </c>
      <c r="E18" s="1977">
        <v>4</v>
      </c>
      <c r="F18" s="1977">
        <v>9</v>
      </c>
      <c r="G18" s="1977">
        <v>6</v>
      </c>
      <c r="H18" s="1970"/>
    </row>
    <row r="19" spans="1:8">
      <c r="A19" s="1976" t="s">
        <v>806</v>
      </c>
      <c r="B19" s="1977">
        <v>0</v>
      </c>
      <c r="C19" s="1977">
        <v>0</v>
      </c>
      <c r="D19" s="1977">
        <v>3</v>
      </c>
      <c r="E19" s="1977">
        <v>0</v>
      </c>
      <c r="F19" s="1977">
        <v>3</v>
      </c>
      <c r="G19" s="1977">
        <v>1</v>
      </c>
      <c r="H19" s="1970"/>
    </row>
    <row r="20" spans="1:8">
      <c r="A20" s="1976" t="s">
        <v>807</v>
      </c>
      <c r="B20" s="1977">
        <v>0</v>
      </c>
      <c r="C20" s="1977">
        <v>0</v>
      </c>
      <c r="D20" s="1977">
        <v>0</v>
      </c>
      <c r="E20" s="1977">
        <v>0</v>
      </c>
      <c r="F20" s="1977">
        <v>0</v>
      </c>
      <c r="G20" s="1977">
        <v>0</v>
      </c>
      <c r="H20" s="1970"/>
    </row>
    <row r="21" spans="1:8" ht="31.5" customHeight="1">
      <c r="A21" s="1978" t="s">
        <v>813</v>
      </c>
      <c r="B21" s="1972">
        <f t="shared" ref="B21:G21" si="3">SUM(B22:B25)</f>
        <v>0</v>
      </c>
      <c r="C21" s="1972">
        <f t="shared" si="3"/>
        <v>2</v>
      </c>
      <c r="D21" s="1972">
        <f t="shared" si="3"/>
        <v>1</v>
      </c>
      <c r="E21" s="1972">
        <f t="shared" si="3"/>
        <v>1</v>
      </c>
      <c r="F21" s="1972">
        <f t="shared" si="3"/>
        <v>2</v>
      </c>
      <c r="G21" s="1972">
        <f t="shared" si="3"/>
        <v>2</v>
      </c>
      <c r="H21" s="1975"/>
    </row>
    <row r="22" spans="1:8">
      <c r="A22" s="1976" t="s">
        <v>982</v>
      </c>
      <c r="B22" s="1977">
        <v>0</v>
      </c>
      <c r="C22" s="1977">
        <v>0</v>
      </c>
      <c r="D22" s="1977">
        <v>0</v>
      </c>
      <c r="E22" s="1977">
        <v>0</v>
      </c>
      <c r="F22" s="1977">
        <v>0</v>
      </c>
      <c r="G22" s="1977">
        <v>0</v>
      </c>
      <c r="H22" s="1970"/>
    </row>
    <row r="23" spans="1:8">
      <c r="A23" s="1976" t="s">
        <v>805</v>
      </c>
      <c r="B23" s="1977">
        <v>0</v>
      </c>
      <c r="C23" s="1977">
        <v>2</v>
      </c>
      <c r="D23" s="1977">
        <v>1</v>
      </c>
      <c r="E23" s="1977">
        <v>1</v>
      </c>
      <c r="F23" s="1977">
        <v>2</v>
      </c>
      <c r="G23" s="1977">
        <v>2</v>
      </c>
      <c r="H23" s="1970"/>
    </row>
    <row r="24" spans="1:8">
      <c r="A24" s="1976" t="s">
        <v>806</v>
      </c>
      <c r="B24" s="1977">
        <v>0</v>
      </c>
      <c r="C24" s="1977">
        <v>0</v>
      </c>
      <c r="D24" s="1977">
        <v>0</v>
      </c>
      <c r="E24" s="1977">
        <v>0</v>
      </c>
      <c r="F24" s="1977">
        <v>0</v>
      </c>
      <c r="G24" s="1977">
        <v>0</v>
      </c>
      <c r="H24" s="1970"/>
    </row>
    <row r="25" spans="1:8">
      <c r="A25" s="1976" t="s">
        <v>807</v>
      </c>
      <c r="B25" s="1977">
        <v>0</v>
      </c>
      <c r="C25" s="1977">
        <v>0</v>
      </c>
      <c r="D25" s="1977">
        <v>0</v>
      </c>
      <c r="E25" s="1977">
        <v>0</v>
      </c>
      <c r="F25" s="1977">
        <v>0</v>
      </c>
      <c r="G25" s="1977">
        <v>0</v>
      </c>
      <c r="H25" s="1970"/>
    </row>
    <row r="26" spans="1:8" ht="23.25" customHeight="1">
      <c r="A26" s="1978" t="s">
        <v>814</v>
      </c>
      <c r="B26" s="1972">
        <f t="shared" ref="B26:G26" si="4">SUM(B27:B30)</f>
        <v>1</v>
      </c>
      <c r="C26" s="1972">
        <f t="shared" si="4"/>
        <v>2</v>
      </c>
      <c r="D26" s="1972">
        <f t="shared" si="4"/>
        <v>6</v>
      </c>
      <c r="E26" s="1972">
        <f t="shared" si="4"/>
        <v>1</v>
      </c>
      <c r="F26" s="1972">
        <f t="shared" si="4"/>
        <v>11</v>
      </c>
      <c r="G26" s="1972">
        <f t="shared" si="4"/>
        <v>7</v>
      </c>
      <c r="H26" s="1975"/>
    </row>
    <row r="27" spans="1:8">
      <c r="A27" s="1976" t="s">
        <v>982</v>
      </c>
      <c r="B27" s="1977">
        <v>0</v>
      </c>
      <c r="C27" s="1977">
        <v>0</v>
      </c>
      <c r="D27" s="1977">
        <v>0</v>
      </c>
      <c r="E27" s="1977">
        <v>1</v>
      </c>
      <c r="F27" s="1977">
        <v>0</v>
      </c>
      <c r="G27" s="1977">
        <v>0</v>
      </c>
      <c r="H27" s="1970"/>
    </row>
    <row r="28" spans="1:8">
      <c r="A28" s="1976" t="s">
        <v>805</v>
      </c>
      <c r="B28" s="1977">
        <v>1</v>
      </c>
      <c r="C28" s="1977">
        <v>1</v>
      </c>
      <c r="D28" s="1977">
        <v>5</v>
      </c>
      <c r="E28" s="1977">
        <v>0</v>
      </c>
      <c r="F28" s="1977">
        <v>6</v>
      </c>
      <c r="G28" s="1977">
        <v>4</v>
      </c>
      <c r="H28" s="1970"/>
    </row>
    <row r="29" spans="1:8">
      <c r="A29" s="1976" t="s">
        <v>806</v>
      </c>
      <c r="B29" s="1977">
        <v>0</v>
      </c>
      <c r="C29" s="1977">
        <v>0</v>
      </c>
      <c r="D29" s="1977">
        <v>1</v>
      </c>
      <c r="E29" s="1977">
        <v>0</v>
      </c>
      <c r="F29" s="1977">
        <v>3</v>
      </c>
      <c r="G29" s="1977">
        <v>3</v>
      </c>
      <c r="H29" s="1970"/>
    </row>
    <row r="30" spans="1:8">
      <c r="A30" s="1976" t="s">
        <v>807</v>
      </c>
      <c r="B30" s="1977">
        <v>0</v>
      </c>
      <c r="C30" s="1977">
        <v>1</v>
      </c>
      <c r="D30" s="1977">
        <v>0</v>
      </c>
      <c r="E30" s="1977">
        <v>0</v>
      </c>
      <c r="F30" s="1977">
        <v>2</v>
      </c>
      <c r="G30" s="1977">
        <v>0</v>
      </c>
      <c r="H30" s="1970"/>
    </row>
    <row r="31" spans="1:8" ht="22.5">
      <c r="A31" s="1978" t="s">
        <v>815</v>
      </c>
      <c r="B31" s="1972">
        <f t="shared" ref="B31:G31" si="5">SUM(B32:B35)</f>
        <v>6</v>
      </c>
      <c r="C31" s="1972">
        <f t="shared" si="5"/>
        <v>2</v>
      </c>
      <c r="D31" s="1972">
        <f t="shared" si="5"/>
        <v>3</v>
      </c>
      <c r="E31" s="1972">
        <f t="shared" si="5"/>
        <v>6</v>
      </c>
      <c r="F31" s="1972">
        <f t="shared" si="5"/>
        <v>10</v>
      </c>
      <c r="G31" s="1972">
        <f t="shared" si="5"/>
        <v>6</v>
      </c>
      <c r="H31" s="1975"/>
    </row>
    <row r="32" spans="1:8">
      <c r="A32" s="1976" t="s">
        <v>982</v>
      </c>
      <c r="B32" s="1977">
        <v>0</v>
      </c>
      <c r="C32" s="1977">
        <v>0</v>
      </c>
      <c r="D32" s="1977">
        <v>0</v>
      </c>
      <c r="E32" s="1977">
        <v>1</v>
      </c>
      <c r="F32" s="1977">
        <v>1</v>
      </c>
      <c r="G32" s="1977">
        <v>0</v>
      </c>
      <c r="H32" s="1970"/>
    </row>
    <row r="33" spans="1:8">
      <c r="A33" s="1976" t="s">
        <v>805</v>
      </c>
      <c r="B33" s="1977">
        <v>4</v>
      </c>
      <c r="C33" s="1977">
        <v>2</v>
      </c>
      <c r="D33" s="1977">
        <v>3</v>
      </c>
      <c r="E33" s="1977">
        <v>5</v>
      </c>
      <c r="F33" s="1977">
        <v>8</v>
      </c>
      <c r="G33" s="1977">
        <v>4</v>
      </c>
      <c r="H33" s="1970"/>
    </row>
    <row r="34" spans="1:8">
      <c r="A34" s="1976" t="s">
        <v>806</v>
      </c>
      <c r="B34" s="1977">
        <v>0</v>
      </c>
      <c r="C34" s="1977">
        <v>0</v>
      </c>
      <c r="D34" s="1977">
        <v>0</v>
      </c>
      <c r="E34" s="1977">
        <v>0</v>
      </c>
      <c r="F34" s="1977">
        <v>1</v>
      </c>
      <c r="G34" s="1977">
        <v>2</v>
      </c>
      <c r="H34" s="1970"/>
    </row>
    <row r="35" spans="1:8">
      <c r="A35" s="1976" t="s">
        <v>807</v>
      </c>
      <c r="B35" s="1977">
        <v>2</v>
      </c>
      <c r="C35" s="1977">
        <v>0</v>
      </c>
      <c r="D35" s="1977">
        <v>0</v>
      </c>
      <c r="E35" s="1977">
        <v>0</v>
      </c>
      <c r="F35" s="1977">
        <v>0</v>
      </c>
      <c r="G35" s="1977">
        <v>0</v>
      </c>
      <c r="H35" s="1970"/>
    </row>
    <row r="36" spans="1:8" ht="22.5">
      <c r="A36" s="1978" t="s">
        <v>816</v>
      </c>
      <c r="B36" s="1972">
        <f t="shared" ref="B36:G36" si="6">SUM(B37:B40)</f>
        <v>1</v>
      </c>
      <c r="C36" s="1972">
        <f t="shared" si="6"/>
        <v>0</v>
      </c>
      <c r="D36" s="1972">
        <f t="shared" si="6"/>
        <v>0</v>
      </c>
      <c r="E36" s="1972">
        <f t="shared" si="6"/>
        <v>0</v>
      </c>
      <c r="F36" s="1972">
        <f t="shared" si="6"/>
        <v>0</v>
      </c>
      <c r="G36" s="1972">
        <f t="shared" si="6"/>
        <v>0</v>
      </c>
      <c r="H36" s="1975"/>
    </row>
    <row r="37" spans="1:8">
      <c r="A37" s="1976" t="s">
        <v>982</v>
      </c>
      <c r="B37" s="1977">
        <v>1</v>
      </c>
      <c r="C37" s="1977">
        <v>0</v>
      </c>
      <c r="D37" s="1977">
        <v>0</v>
      </c>
      <c r="E37" s="1977">
        <v>0</v>
      </c>
      <c r="F37" s="1977">
        <v>0</v>
      </c>
      <c r="G37" s="1977">
        <v>0</v>
      </c>
      <c r="H37" s="1970"/>
    </row>
    <row r="38" spans="1:8">
      <c r="A38" s="1976" t="s">
        <v>805</v>
      </c>
      <c r="B38" s="1977">
        <v>0</v>
      </c>
      <c r="C38" s="1977">
        <v>0</v>
      </c>
      <c r="D38" s="1977">
        <v>0</v>
      </c>
      <c r="E38" s="1977">
        <v>0</v>
      </c>
      <c r="F38" s="1977">
        <v>0</v>
      </c>
      <c r="G38" s="1977">
        <v>0</v>
      </c>
      <c r="H38" s="1970"/>
    </row>
    <row r="39" spans="1:8">
      <c r="A39" s="1976" t="s">
        <v>806</v>
      </c>
      <c r="B39" s="1977">
        <v>0</v>
      </c>
      <c r="C39" s="1977">
        <v>0</v>
      </c>
      <c r="D39" s="1977">
        <v>0</v>
      </c>
      <c r="E39" s="1977">
        <v>0</v>
      </c>
      <c r="F39" s="1977">
        <v>0</v>
      </c>
      <c r="G39" s="1977">
        <v>0</v>
      </c>
      <c r="H39" s="1970"/>
    </row>
    <row r="40" spans="1:8">
      <c r="A40" s="1976" t="s">
        <v>807</v>
      </c>
      <c r="B40" s="1977">
        <v>0</v>
      </c>
      <c r="C40" s="1977">
        <v>0</v>
      </c>
      <c r="D40" s="1977">
        <v>0</v>
      </c>
      <c r="E40" s="1977">
        <v>0</v>
      </c>
      <c r="F40" s="1977">
        <v>0</v>
      </c>
      <c r="G40" s="1977">
        <v>0</v>
      </c>
      <c r="H40" s="1970"/>
    </row>
    <row r="41" spans="1:8" ht="51.75" customHeight="1">
      <c r="A41" s="1978" t="s">
        <v>817</v>
      </c>
      <c r="B41" s="1972">
        <f t="shared" ref="B41:G41" si="7">SUM(B42:B45)</f>
        <v>12</v>
      </c>
      <c r="C41" s="1972">
        <f t="shared" si="7"/>
        <v>14</v>
      </c>
      <c r="D41" s="1972">
        <f t="shared" si="7"/>
        <v>4</v>
      </c>
      <c r="E41" s="1972">
        <f t="shared" si="7"/>
        <v>0</v>
      </c>
      <c r="F41" s="1972">
        <f t="shared" si="7"/>
        <v>4</v>
      </c>
      <c r="G41" s="1972">
        <f t="shared" si="7"/>
        <v>2</v>
      </c>
      <c r="H41" s="1975"/>
    </row>
    <row r="42" spans="1:8">
      <c r="A42" s="1976" t="s">
        <v>982</v>
      </c>
      <c r="B42" s="1977">
        <v>0</v>
      </c>
      <c r="C42" s="1977">
        <v>0</v>
      </c>
      <c r="D42" s="1977">
        <v>1</v>
      </c>
      <c r="E42" s="1977">
        <v>0</v>
      </c>
      <c r="F42" s="1977">
        <v>1</v>
      </c>
      <c r="G42" s="1977">
        <v>0</v>
      </c>
      <c r="H42" s="1970"/>
    </row>
    <row r="43" spans="1:8">
      <c r="A43" s="1976" t="s">
        <v>805</v>
      </c>
      <c r="B43" s="1977">
        <v>12</v>
      </c>
      <c r="C43" s="1977">
        <v>14</v>
      </c>
      <c r="D43" s="1977">
        <v>2</v>
      </c>
      <c r="E43" s="1977">
        <v>0</v>
      </c>
      <c r="F43" s="1977">
        <v>3</v>
      </c>
      <c r="G43" s="1977">
        <v>0</v>
      </c>
      <c r="H43" s="1970"/>
    </row>
    <row r="44" spans="1:8">
      <c r="A44" s="1976" t="s">
        <v>806</v>
      </c>
      <c r="B44" s="1977">
        <v>0</v>
      </c>
      <c r="C44" s="1977">
        <v>0</v>
      </c>
      <c r="D44" s="1977">
        <v>1</v>
      </c>
      <c r="E44" s="1977">
        <v>0</v>
      </c>
      <c r="F44" s="1977">
        <v>0</v>
      </c>
      <c r="G44" s="1977">
        <v>2</v>
      </c>
      <c r="H44" s="1970"/>
    </row>
    <row r="45" spans="1:8">
      <c r="A45" s="1976" t="s">
        <v>807</v>
      </c>
      <c r="B45" s="1977">
        <v>0</v>
      </c>
      <c r="C45" s="1977">
        <v>0</v>
      </c>
      <c r="D45" s="1977">
        <v>0</v>
      </c>
      <c r="E45" s="1977">
        <v>0</v>
      </c>
      <c r="F45" s="1977">
        <v>0</v>
      </c>
      <c r="G45" s="1977">
        <v>0</v>
      </c>
      <c r="H45" s="1970"/>
    </row>
    <row r="46" spans="1:8" ht="30.75" customHeight="1">
      <c r="A46" s="1978" t="s">
        <v>818</v>
      </c>
      <c r="B46" s="1972">
        <f t="shared" ref="B46:G46" si="8">SUM(B47:B50)</f>
        <v>3</v>
      </c>
      <c r="C46" s="1972">
        <f t="shared" si="8"/>
        <v>2</v>
      </c>
      <c r="D46" s="1972">
        <f t="shared" si="8"/>
        <v>2</v>
      </c>
      <c r="E46" s="1972">
        <f t="shared" si="8"/>
        <v>0</v>
      </c>
      <c r="F46" s="1972">
        <f t="shared" si="8"/>
        <v>0</v>
      </c>
      <c r="G46" s="1972">
        <f t="shared" si="8"/>
        <v>0</v>
      </c>
      <c r="H46" s="1975"/>
    </row>
    <row r="47" spans="1:8">
      <c r="A47" s="1976" t="s">
        <v>982</v>
      </c>
      <c r="B47" s="1977">
        <v>1</v>
      </c>
      <c r="C47" s="1977">
        <v>0</v>
      </c>
      <c r="D47" s="1977">
        <v>1</v>
      </c>
      <c r="E47" s="1977">
        <v>0</v>
      </c>
      <c r="F47" s="1977">
        <v>0</v>
      </c>
      <c r="G47" s="1977">
        <v>0</v>
      </c>
      <c r="H47" s="1970"/>
    </row>
    <row r="48" spans="1:8">
      <c r="A48" s="1976" t="s">
        <v>805</v>
      </c>
      <c r="B48" s="1977">
        <v>2</v>
      </c>
      <c r="C48" s="1977">
        <v>2</v>
      </c>
      <c r="D48" s="1977">
        <v>0</v>
      </c>
      <c r="E48" s="1977">
        <v>0</v>
      </c>
      <c r="F48" s="1977">
        <v>0</v>
      </c>
      <c r="G48" s="1977">
        <v>0</v>
      </c>
      <c r="H48" s="1970"/>
    </row>
    <row r="49" spans="1:8">
      <c r="A49" s="1976" t="s">
        <v>806</v>
      </c>
      <c r="B49" s="1977">
        <v>0</v>
      </c>
      <c r="C49" s="1977">
        <v>0</v>
      </c>
      <c r="D49" s="1977">
        <v>1</v>
      </c>
      <c r="E49" s="1977">
        <v>0</v>
      </c>
      <c r="F49" s="1977">
        <v>0</v>
      </c>
      <c r="G49" s="1977">
        <v>0</v>
      </c>
      <c r="H49" s="1970"/>
    </row>
    <row r="50" spans="1:8">
      <c r="A50" s="1976" t="s">
        <v>807</v>
      </c>
      <c r="B50" s="1977">
        <v>0</v>
      </c>
      <c r="C50" s="1977">
        <v>0</v>
      </c>
      <c r="D50" s="1977">
        <v>0</v>
      </c>
      <c r="E50" s="1977">
        <v>0</v>
      </c>
      <c r="F50" s="1977">
        <v>0</v>
      </c>
      <c r="G50" s="1977">
        <v>0</v>
      </c>
      <c r="H50" s="1970"/>
    </row>
    <row r="51" spans="1:8" ht="24.75" customHeight="1">
      <c r="A51" s="1978" t="s">
        <v>820</v>
      </c>
      <c r="B51" s="1972">
        <f t="shared" ref="B51:G51" si="9">SUM(B52:B55)</f>
        <v>3</v>
      </c>
      <c r="C51" s="1972">
        <f t="shared" si="9"/>
        <v>1</v>
      </c>
      <c r="D51" s="1972">
        <f t="shared" si="9"/>
        <v>4</v>
      </c>
      <c r="E51" s="1972">
        <f t="shared" si="9"/>
        <v>1</v>
      </c>
      <c r="F51" s="1972">
        <f t="shared" si="9"/>
        <v>1</v>
      </c>
      <c r="G51" s="1972">
        <f t="shared" si="9"/>
        <v>2</v>
      </c>
      <c r="H51" s="1975"/>
    </row>
    <row r="52" spans="1:8">
      <c r="A52" s="1976" t="s">
        <v>982</v>
      </c>
      <c r="B52" s="1977">
        <v>1</v>
      </c>
      <c r="C52" s="1977">
        <v>0</v>
      </c>
      <c r="D52" s="1977">
        <v>0</v>
      </c>
      <c r="E52" s="1977">
        <v>0</v>
      </c>
      <c r="F52" s="1977">
        <v>0</v>
      </c>
      <c r="G52" s="1977">
        <v>0</v>
      </c>
      <c r="H52" s="1970"/>
    </row>
    <row r="53" spans="1:8">
      <c r="A53" s="1976" t="s">
        <v>805</v>
      </c>
      <c r="B53" s="1977">
        <v>2</v>
      </c>
      <c r="C53" s="1977">
        <v>1</v>
      </c>
      <c r="D53" s="1977">
        <v>1</v>
      </c>
      <c r="E53" s="1977">
        <v>1</v>
      </c>
      <c r="F53" s="1977">
        <v>1</v>
      </c>
      <c r="G53" s="1977">
        <v>2</v>
      </c>
      <c r="H53" s="1970"/>
    </row>
    <row r="54" spans="1:8">
      <c r="A54" s="1976" t="s">
        <v>806</v>
      </c>
      <c r="B54" s="1977">
        <v>0</v>
      </c>
      <c r="C54" s="1977">
        <v>0</v>
      </c>
      <c r="D54" s="1977">
        <v>2</v>
      </c>
      <c r="E54" s="1977">
        <v>0</v>
      </c>
      <c r="F54" s="1977">
        <v>0</v>
      </c>
      <c r="G54" s="1977">
        <v>0</v>
      </c>
      <c r="H54" s="1970"/>
    </row>
    <row r="55" spans="1:8">
      <c r="A55" s="1976" t="s">
        <v>807</v>
      </c>
      <c r="B55" s="1977">
        <v>0</v>
      </c>
      <c r="C55" s="1977">
        <v>0</v>
      </c>
      <c r="D55" s="1977">
        <v>1</v>
      </c>
      <c r="E55" s="1977">
        <v>0</v>
      </c>
      <c r="F55" s="1977">
        <v>0</v>
      </c>
      <c r="G55" s="1977">
        <v>0</v>
      </c>
      <c r="H55" s="1970"/>
    </row>
    <row r="56" spans="1:8" ht="34.5" customHeight="1">
      <c r="A56" s="1978" t="s">
        <v>821</v>
      </c>
      <c r="B56" s="1972">
        <f t="shared" ref="B56:G56" si="10">SUM(B57:B60)</f>
        <v>0</v>
      </c>
      <c r="C56" s="1972">
        <f t="shared" si="10"/>
        <v>3</v>
      </c>
      <c r="D56" s="1972">
        <f t="shared" si="10"/>
        <v>5</v>
      </c>
      <c r="E56" s="1972">
        <f t="shared" si="10"/>
        <v>0</v>
      </c>
      <c r="F56" s="1972">
        <f t="shared" si="10"/>
        <v>0</v>
      </c>
      <c r="G56" s="1972">
        <f t="shared" si="10"/>
        <v>1</v>
      </c>
      <c r="H56" s="1975"/>
    </row>
    <row r="57" spans="1:8">
      <c r="A57" s="1976" t="s">
        <v>982</v>
      </c>
      <c r="B57" s="1977">
        <v>0</v>
      </c>
      <c r="C57" s="1977">
        <v>1</v>
      </c>
      <c r="D57" s="1977">
        <v>2</v>
      </c>
      <c r="E57" s="1977">
        <v>0</v>
      </c>
      <c r="F57" s="1977">
        <v>0</v>
      </c>
      <c r="G57" s="1977">
        <v>0</v>
      </c>
      <c r="H57" s="1970"/>
    </row>
    <row r="58" spans="1:8">
      <c r="A58" s="1976" t="s">
        <v>805</v>
      </c>
      <c r="B58" s="1977">
        <v>0</v>
      </c>
      <c r="C58" s="1977">
        <v>1</v>
      </c>
      <c r="D58" s="1977">
        <v>2</v>
      </c>
      <c r="E58" s="1977">
        <v>0</v>
      </c>
      <c r="F58" s="1977">
        <v>0</v>
      </c>
      <c r="G58" s="1977">
        <v>0</v>
      </c>
      <c r="H58" s="1970"/>
    </row>
    <row r="59" spans="1:8">
      <c r="A59" s="1976" t="s">
        <v>806</v>
      </c>
      <c r="B59" s="1977">
        <v>0</v>
      </c>
      <c r="C59" s="1977">
        <v>0</v>
      </c>
      <c r="D59" s="1977">
        <v>1</v>
      </c>
      <c r="E59" s="1977">
        <v>0</v>
      </c>
      <c r="F59" s="1977">
        <v>0</v>
      </c>
      <c r="G59" s="1977">
        <v>1</v>
      </c>
      <c r="H59" s="1970"/>
    </row>
    <row r="60" spans="1:8">
      <c r="A60" s="1976" t="s">
        <v>807</v>
      </c>
      <c r="B60" s="1977">
        <v>0</v>
      </c>
      <c r="C60" s="1977">
        <v>1</v>
      </c>
      <c r="D60" s="1977">
        <v>0</v>
      </c>
      <c r="E60" s="1977">
        <v>0</v>
      </c>
      <c r="F60" s="1977">
        <v>0</v>
      </c>
      <c r="G60" s="1977">
        <v>0</v>
      </c>
      <c r="H60" s="1970"/>
    </row>
    <row r="61" spans="1:8" ht="22.5">
      <c r="A61" s="1978" t="s">
        <v>822</v>
      </c>
      <c r="B61" s="1972">
        <f t="shared" ref="B61:G61" si="11">SUM(B62:B65)</f>
        <v>4</v>
      </c>
      <c r="C61" s="1972">
        <f t="shared" si="11"/>
        <v>0</v>
      </c>
      <c r="D61" s="1972">
        <f t="shared" si="11"/>
        <v>5</v>
      </c>
      <c r="E61" s="1972">
        <f t="shared" si="11"/>
        <v>2</v>
      </c>
      <c r="F61" s="1972">
        <f t="shared" si="11"/>
        <v>4</v>
      </c>
      <c r="G61" s="1972">
        <f t="shared" si="11"/>
        <v>1</v>
      </c>
      <c r="H61" s="1975"/>
    </row>
    <row r="62" spans="1:8">
      <c r="A62" s="1976" t="s">
        <v>982</v>
      </c>
      <c r="B62" s="1977">
        <v>1</v>
      </c>
      <c r="C62" s="1977">
        <v>0</v>
      </c>
      <c r="D62" s="1977">
        <v>1</v>
      </c>
      <c r="E62" s="1977">
        <v>0</v>
      </c>
      <c r="F62" s="1977">
        <v>0</v>
      </c>
      <c r="G62" s="1977">
        <v>0</v>
      </c>
      <c r="H62" s="1970"/>
    </row>
    <row r="63" spans="1:8">
      <c r="A63" s="1976" t="s">
        <v>805</v>
      </c>
      <c r="B63" s="1977">
        <v>3</v>
      </c>
      <c r="C63" s="1977">
        <v>0</v>
      </c>
      <c r="D63" s="1977">
        <v>2</v>
      </c>
      <c r="E63" s="1977">
        <v>0</v>
      </c>
      <c r="F63" s="1977">
        <v>2</v>
      </c>
      <c r="G63" s="1977">
        <v>0</v>
      </c>
      <c r="H63" s="1970"/>
    </row>
    <row r="64" spans="1:8">
      <c r="A64" s="1976" t="s">
        <v>806</v>
      </c>
      <c r="B64" s="1977">
        <v>0</v>
      </c>
      <c r="C64" s="1977">
        <v>0</v>
      </c>
      <c r="D64" s="1977">
        <v>1</v>
      </c>
      <c r="E64" s="1977">
        <v>2</v>
      </c>
      <c r="F64" s="1977">
        <v>1</v>
      </c>
      <c r="G64" s="1977">
        <v>1</v>
      </c>
      <c r="H64" s="1970"/>
    </row>
    <row r="65" spans="1:8">
      <c r="A65" s="1976" t="s">
        <v>807</v>
      </c>
      <c r="B65" s="1977">
        <v>0</v>
      </c>
      <c r="C65" s="1977">
        <v>0</v>
      </c>
      <c r="D65" s="1977">
        <v>1</v>
      </c>
      <c r="E65" s="1977">
        <v>0</v>
      </c>
      <c r="F65" s="1977">
        <v>1</v>
      </c>
      <c r="G65" s="1977">
        <v>0</v>
      </c>
      <c r="H65" s="1970"/>
    </row>
    <row r="67" spans="1:8">
      <c r="A67" s="1890" t="s">
        <v>747</v>
      </c>
    </row>
    <row r="68" spans="1:8">
      <c r="A68" s="1" t="s">
        <v>861</v>
      </c>
    </row>
  </sheetData>
  <mergeCells count="3">
    <mergeCell ref="A2:G2"/>
    <mergeCell ref="A4:A5"/>
    <mergeCell ref="B4:G4"/>
  </mergeCells>
  <pageMargins left="0.7" right="0.7" top="0.75" bottom="0.75" header="0.3" footer="0.3"/>
</worksheet>
</file>

<file path=xl/worksheets/sheet300.xml><?xml version="1.0" encoding="utf-8"?>
<worksheet xmlns="http://schemas.openxmlformats.org/spreadsheetml/2006/main" xmlns:r="http://schemas.openxmlformats.org/officeDocument/2006/relationships">
  <sheetPr>
    <pageSetUpPr fitToPage="1"/>
  </sheetPr>
  <dimension ref="A2:G33"/>
  <sheetViews>
    <sheetView zoomScaleNormal="100" workbookViewId="0">
      <selection activeCell="B38" sqref="B38"/>
    </sheetView>
  </sheetViews>
  <sheetFormatPr baseColWidth="10" defaultRowHeight="11.25"/>
  <cols>
    <col min="1" max="1" width="36.5703125" style="61" customWidth="1"/>
    <col min="2" max="3" width="19" style="61" bestFit="1" customWidth="1"/>
    <col min="4" max="4" width="24.5703125" style="61" bestFit="1" customWidth="1"/>
    <col min="5" max="5" width="19" style="61" bestFit="1" customWidth="1"/>
    <col min="6" max="7" width="20.28515625" style="61" bestFit="1" customWidth="1"/>
    <col min="8" max="16384" width="11.42578125" style="61"/>
  </cols>
  <sheetData>
    <row r="2" spans="1:7" ht="16.5" customHeight="1">
      <c r="A2" s="2838" t="s">
        <v>4669</v>
      </c>
      <c r="B2" s="2838"/>
      <c r="C2" s="2838"/>
      <c r="D2" s="2838"/>
      <c r="E2" s="2838"/>
      <c r="F2" s="2838"/>
      <c r="G2" s="2838"/>
    </row>
    <row r="3" spans="1:7">
      <c r="A3" s="60"/>
      <c r="B3" s="60"/>
      <c r="C3" s="60"/>
      <c r="D3" s="60"/>
      <c r="E3" s="60"/>
      <c r="F3" s="60"/>
    </row>
    <row r="4" spans="1:7">
      <c r="A4" s="343" t="s">
        <v>2061</v>
      </c>
      <c r="B4" s="343">
        <v>2009</v>
      </c>
      <c r="C4" s="343">
        <v>2010</v>
      </c>
      <c r="D4" s="343">
        <v>2011</v>
      </c>
      <c r="E4" s="343">
        <v>2012</v>
      </c>
      <c r="F4" s="343">
        <v>2013</v>
      </c>
      <c r="G4" s="343">
        <v>2014</v>
      </c>
    </row>
    <row r="5" spans="1:7">
      <c r="A5" s="60" t="s">
        <v>6</v>
      </c>
      <c r="B5" s="344">
        <f t="shared" ref="B5:G5" si="0">SUM(B6,B8,B12,B17,B22)</f>
        <v>91846661018.427094</v>
      </c>
      <c r="C5" s="344">
        <f t="shared" si="0"/>
        <v>74594541952.407654</v>
      </c>
      <c r="D5" s="344">
        <f t="shared" si="0"/>
        <v>99655686228.80925</v>
      </c>
      <c r="E5" s="344">
        <f t="shared" si="0"/>
        <v>92491201778.393707</v>
      </c>
      <c r="F5" s="344">
        <f t="shared" si="0"/>
        <v>116283562822.51202</v>
      </c>
      <c r="G5" s="344">
        <f t="shared" si="0"/>
        <v>136291470136.83961</v>
      </c>
    </row>
    <row r="6" spans="1:7">
      <c r="A6" s="60" t="s">
        <v>2078</v>
      </c>
      <c r="B6" s="344">
        <f>SUM(B7)</f>
        <v>1173941.5252066138</v>
      </c>
      <c r="C6" s="344">
        <v>4761160.222535464</v>
      </c>
      <c r="D6" s="344">
        <v>2502887.8963856539</v>
      </c>
      <c r="E6" s="344">
        <v>11934999.654114731</v>
      </c>
      <c r="F6" s="344">
        <v>0</v>
      </c>
      <c r="G6" s="344">
        <v>2429520</v>
      </c>
    </row>
    <row r="7" spans="1:7">
      <c r="A7" s="61" t="s">
        <v>1830</v>
      </c>
      <c r="B7" s="345">
        <v>1173941.5252066138</v>
      </c>
      <c r="C7" s="345">
        <v>4761160.222535464</v>
      </c>
      <c r="D7" s="345">
        <v>2502887.8963856539</v>
      </c>
      <c r="E7" s="345">
        <v>11934999.654114731</v>
      </c>
      <c r="F7" s="345">
        <v>0</v>
      </c>
      <c r="G7" s="345">
        <v>2429520</v>
      </c>
    </row>
    <row r="8" spans="1:7">
      <c r="A8" s="60" t="s">
        <v>2082</v>
      </c>
      <c r="B8" s="344">
        <f>SUM(B9:B11)</f>
        <v>2581537282.8107715</v>
      </c>
      <c r="C8" s="344">
        <v>2133563284.1019731</v>
      </c>
      <c r="D8" s="344">
        <v>2711046185.1901307</v>
      </c>
      <c r="E8" s="344">
        <v>2519498706.5371985</v>
      </c>
      <c r="F8" s="344">
        <v>2941824616.5387225</v>
      </c>
      <c r="G8" s="344">
        <v>3868393617.3221998</v>
      </c>
    </row>
    <row r="9" spans="1:7">
      <c r="A9" s="61" t="s">
        <v>2701</v>
      </c>
      <c r="B9" s="345">
        <v>2413267564.6508904</v>
      </c>
      <c r="C9" s="345">
        <v>1991188290.994489</v>
      </c>
      <c r="D9" s="345">
        <v>2608455398.7635536</v>
      </c>
      <c r="E9" s="345">
        <v>2418343616.9687495</v>
      </c>
      <c r="F9" s="345">
        <v>2764661466.4503446</v>
      </c>
      <c r="G9" s="345">
        <v>3769884477.2621999</v>
      </c>
    </row>
    <row r="10" spans="1:7">
      <c r="A10" s="61" t="s">
        <v>2702</v>
      </c>
      <c r="B10" s="345">
        <v>168269718.15988106</v>
      </c>
      <c r="C10" s="345">
        <v>142374993.10748374</v>
      </c>
      <c r="D10" s="345">
        <v>102590786.42657658</v>
      </c>
      <c r="E10" s="345">
        <v>101155089.56844939</v>
      </c>
      <c r="F10" s="345">
        <v>75698367.312616706</v>
      </c>
      <c r="G10" s="345">
        <v>98509140.060000002</v>
      </c>
    </row>
    <row r="11" spans="1:7">
      <c r="A11" s="61" t="s">
        <v>2703</v>
      </c>
      <c r="B11" s="345">
        <v>0</v>
      </c>
      <c r="C11" s="345">
        <v>0</v>
      </c>
      <c r="D11" s="345">
        <v>0</v>
      </c>
      <c r="E11" s="345">
        <v>0</v>
      </c>
      <c r="F11" s="345">
        <v>101464782.77576113</v>
      </c>
      <c r="G11" s="345">
        <v>0</v>
      </c>
    </row>
    <row r="12" spans="1:7">
      <c r="A12" s="60" t="s">
        <v>2084</v>
      </c>
      <c r="B12" s="344">
        <f>SUM(B13:B16)</f>
        <v>3994294712.1506991</v>
      </c>
      <c r="C12" s="344">
        <v>5140297784.3811979</v>
      </c>
      <c r="D12" s="344">
        <v>5340652028.4227171</v>
      </c>
      <c r="E12" s="344">
        <v>5781478769.175478</v>
      </c>
      <c r="F12" s="344">
        <v>7582291385.7471848</v>
      </c>
      <c r="G12" s="344">
        <v>9386444233.6170006</v>
      </c>
    </row>
    <row r="13" spans="1:7">
      <c r="A13" s="61" t="s">
        <v>2704</v>
      </c>
      <c r="B13" s="345">
        <v>0</v>
      </c>
      <c r="C13" s="345">
        <v>0</v>
      </c>
      <c r="D13" s="345">
        <v>63178880.084090129</v>
      </c>
      <c r="E13" s="345">
        <v>41901262.516919889</v>
      </c>
      <c r="F13" s="345">
        <v>125264828.06342266</v>
      </c>
      <c r="G13" s="345">
        <v>35263346.999400005</v>
      </c>
    </row>
    <row r="14" spans="1:7">
      <c r="A14" s="61" t="s">
        <v>926</v>
      </c>
      <c r="B14" s="345">
        <v>3729258562.6256304</v>
      </c>
      <c r="C14" s="345">
        <v>4528682557.3725109</v>
      </c>
      <c r="D14" s="345">
        <v>3804844567.9444332</v>
      </c>
      <c r="E14" s="345">
        <v>4711792773.6320333</v>
      </c>
      <c r="F14" s="345">
        <v>6202996049.6179085</v>
      </c>
      <c r="G14" s="345">
        <v>7213497270.6851997</v>
      </c>
    </row>
    <row r="15" spans="1:7">
      <c r="A15" s="61" t="s">
        <v>1222</v>
      </c>
      <c r="B15" s="345">
        <v>0</v>
      </c>
      <c r="C15" s="345">
        <v>0</v>
      </c>
      <c r="D15" s="345">
        <v>0</v>
      </c>
      <c r="E15" s="345">
        <v>0</v>
      </c>
      <c r="F15" s="345">
        <v>0</v>
      </c>
      <c r="G15" s="345">
        <v>0</v>
      </c>
    </row>
    <row r="16" spans="1:7">
      <c r="A16" s="61" t="s">
        <v>1223</v>
      </c>
      <c r="B16" s="345">
        <v>265036149.52506879</v>
      </c>
      <c r="C16" s="345">
        <v>611615227.00868702</v>
      </c>
      <c r="D16" s="345">
        <v>1472628580.3941948</v>
      </c>
      <c r="E16" s="345">
        <v>1027784733.0265251</v>
      </c>
      <c r="F16" s="345">
        <v>1254030508.0658531</v>
      </c>
      <c r="G16" s="345">
        <v>2137683615.9324</v>
      </c>
    </row>
    <row r="17" spans="1:7">
      <c r="A17" s="60" t="s">
        <v>2553</v>
      </c>
      <c r="B17" s="344">
        <f>SUM(B18:B21)</f>
        <v>11270554339.039261</v>
      </c>
      <c r="C17" s="344">
        <v>12488170531.046062</v>
      </c>
      <c r="D17" s="344">
        <v>14742819542.165171</v>
      </c>
      <c r="E17" s="344">
        <v>12257228249.070053</v>
      </c>
      <c r="F17" s="344">
        <v>15096626507.914644</v>
      </c>
      <c r="G17" s="344">
        <v>18845988642.440403</v>
      </c>
    </row>
    <row r="18" spans="1:7">
      <c r="A18" s="61" t="s">
        <v>2091</v>
      </c>
      <c r="B18" s="345">
        <v>2293225114.5265489</v>
      </c>
      <c r="C18" s="345">
        <v>1232046199.2006013</v>
      </c>
      <c r="D18" s="345">
        <v>1153654303.0951881</v>
      </c>
      <c r="E18" s="345">
        <v>441342114.39707351</v>
      </c>
      <c r="F18" s="345">
        <v>689495712.9938513</v>
      </c>
      <c r="G18" s="345">
        <v>552903778.03620005</v>
      </c>
    </row>
    <row r="19" spans="1:7">
      <c r="A19" s="61" t="s">
        <v>2092</v>
      </c>
      <c r="B19" s="345">
        <v>1215164044.3192313</v>
      </c>
      <c r="C19" s="345">
        <v>950469626.72037196</v>
      </c>
      <c r="D19" s="345">
        <v>2264356828.2304473</v>
      </c>
      <c r="E19" s="345">
        <v>1474257519.7769911</v>
      </c>
      <c r="F19" s="345">
        <v>982753311.36078084</v>
      </c>
      <c r="G19" s="345">
        <v>2206691465.1342001</v>
      </c>
    </row>
    <row r="20" spans="1:7">
      <c r="A20" s="61" t="s">
        <v>1833</v>
      </c>
      <c r="B20" s="345">
        <v>7607641640.3373346</v>
      </c>
      <c r="C20" s="345">
        <v>10044515960.333071</v>
      </c>
      <c r="D20" s="345">
        <v>11153335572.179596</v>
      </c>
      <c r="E20" s="345">
        <v>10206542311.365059</v>
      </c>
      <c r="F20" s="345">
        <v>13244817746.063168</v>
      </c>
      <c r="G20" s="345">
        <v>15623476041.576603</v>
      </c>
    </row>
    <row r="21" spans="1:7">
      <c r="A21" s="61" t="s">
        <v>2705</v>
      </c>
      <c r="B21" s="345">
        <v>154523539.85614672</v>
      </c>
      <c r="C21" s="345">
        <v>261138744.79201669</v>
      </c>
      <c r="D21" s="345">
        <v>171472838.65994287</v>
      </c>
      <c r="E21" s="345">
        <v>135086303.53093064</v>
      </c>
      <c r="F21" s="345">
        <v>179559737.49684164</v>
      </c>
      <c r="G21" s="345">
        <v>462917357.69339997</v>
      </c>
    </row>
    <row r="22" spans="1:7">
      <c r="A22" s="60" t="s">
        <v>2554</v>
      </c>
      <c r="B22" s="344">
        <f>SUM(B23:B24)</f>
        <v>73999100742.901154</v>
      </c>
      <c r="C22" s="344">
        <v>54827749192.655884</v>
      </c>
      <c r="D22" s="344">
        <v>76858665585.134842</v>
      </c>
      <c r="E22" s="344">
        <v>71921061053.956863</v>
      </c>
      <c r="F22" s="344">
        <v>90662820312.311478</v>
      </c>
      <c r="G22" s="344">
        <v>104188214123.46001</v>
      </c>
    </row>
    <row r="23" spans="1:7">
      <c r="A23" s="61" t="s">
        <v>2706</v>
      </c>
      <c r="B23" s="345">
        <v>275357808.86108607</v>
      </c>
      <c r="C23" s="345">
        <v>473314571.65003347</v>
      </c>
      <c r="D23" s="345">
        <v>590496872.88662386</v>
      </c>
      <c r="E23" s="345">
        <v>1136879332.4690483</v>
      </c>
      <c r="F23" s="345">
        <v>1930745801.4832032</v>
      </c>
      <c r="G23" s="345">
        <v>2393852824.2599998</v>
      </c>
    </row>
    <row r="24" spans="1:7">
      <c r="A24" s="61" t="s">
        <v>2095</v>
      </c>
      <c r="B24" s="345">
        <v>73723742934.04007</v>
      </c>
      <c r="C24" s="345">
        <v>54354434621.005852</v>
      </c>
      <c r="D24" s="345">
        <v>76268168712.248215</v>
      </c>
      <c r="E24" s="345">
        <v>70784181721.487823</v>
      </c>
      <c r="F24" s="345">
        <v>88732074510.828262</v>
      </c>
      <c r="G24" s="345">
        <v>101794361299.2</v>
      </c>
    </row>
    <row r="26" spans="1:7">
      <c r="A26" s="346" t="s">
        <v>4668</v>
      </c>
    </row>
    <row r="27" spans="1:7">
      <c r="A27" s="346" t="s">
        <v>3215</v>
      </c>
    </row>
    <row r="28" spans="1:7">
      <c r="A28" s="346" t="s">
        <v>3216</v>
      </c>
    </row>
    <row r="29" spans="1:7">
      <c r="A29" s="346" t="s">
        <v>3217</v>
      </c>
    </row>
    <row r="30" spans="1:7">
      <c r="A30" s="346" t="s">
        <v>3218</v>
      </c>
    </row>
    <row r="31" spans="1:7">
      <c r="A31" s="346" t="s">
        <v>3219</v>
      </c>
    </row>
    <row r="32" spans="1:7">
      <c r="A32" s="347" t="s">
        <v>22</v>
      </c>
    </row>
    <row r="33" spans="1:7" ht="23.25" customHeight="1">
      <c r="A33" s="2610" t="s">
        <v>2649</v>
      </c>
      <c r="B33" s="2610"/>
      <c r="C33" s="2610"/>
      <c r="D33" s="2610"/>
      <c r="E33" s="2610"/>
      <c r="F33" s="2610"/>
      <c r="G33" s="2610"/>
    </row>
  </sheetData>
  <mergeCells count="2">
    <mergeCell ref="A33:G33"/>
    <mergeCell ref="A2:G2"/>
  </mergeCells>
  <pageMargins left="0.70866141732283472" right="0.70866141732283472" top="0.74803149606299213" bottom="0.74803149606299213" header="0.31496062992125984" footer="0.31496062992125984"/>
  <pageSetup paperSize="9" orientation="landscape" r:id="rId1"/>
</worksheet>
</file>

<file path=xl/worksheets/sheet301.xml><?xml version="1.0" encoding="utf-8"?>
<worksheet xmlns="http://schemas.openxmlformats.org/spreadsheetml/2006/main" xmlns:r="http://schemas.openxmlformats.org/officeDocument/2006/relationships">
  <sheetPr>
    <pageSetUpPr fitToPage="1"/>
  </sheetPr>
  <dimension ref="A2:C82"/>
  <sheetViews>
    <sheetView topLeftCell="A64" zoomScaleNormal="100" workbookViewId="0">
      <selection activeCell="A86" sqref="A86"/>
    </sheetView>
  </sheetViews>
  <sheetFormatPr baseColWidth="10" defaultRowHeight="11.25"/>
  <cols>
    <col min="1" max="1" width="66.7109375" style="59" customWidth="1"/>
    <col min="2" max="2" width="23.7109375" style="59" customWidth="1"/>
    <col min="3" max="3" width="13.85546875" style="59" customWidth="1"/>
    <col min="4" max="16384" width="11.42578125" style="59"/>
  </cols>
  <sheetData>
    <row r="2" spans="1:3" ht="28.5" customHeight="1">
      <c r="A2" s="2500" t="s">
        <v>3248</v>
      </c>
      <c r="B2" s="2500"/>
    </row>
    <row r="3" spans="1:3">
      <c r="A3" s="332"/>
      <c r="B3" s="332"/>
    </row>
    <row r="4" spans="1:3" s="335" customFormat="1" ht="28.5" customHeight="1">
      <c r="A4" s="333" t="s">
        <v>2061</v>
      </c>
      <c r="B4" s="334" t="s">
        <v>2707</v>
      </c>
    </row>
    <row r="5" spans="1:3">
      <c r="A5" s="332" t="s">
        <v>6</v>
      </c>
      <c r="B5" s="336">
        <f>+B6+B10+B21+B35+B57</f>
        <v>224392423.42000002</v>
      </c>
      <c r="C5" s="336"/>
    </row>
    <row r="6" spans="1:3">
      <c r="A6" s="332" t="s">
        <v>2078</v>
      </c>
      <c r="B6" s="336">
        <f>SUM(B7:B8)</f>
        <v>4000</v>
      </c>
    </row>
    <row r="7" spans="1:3">
      <c r="A7" s="332" t="s">
        <v>1830</v>
      </c>
      <c r="B7" s="336">
        <v>4000</v>
      </c>
    </row>
    <row r="8" spans="1:3">
      <c r="A8" s="337" t="s">
        <v>2708</v>
      </c>
      <c r="B8" s="338">
        <v>0</v>
      </c>
    </row>
    <row r="9" spans="1:3">
      <c r="A9" s="337" t="s">
        <v>2709</v>
      </c>
      <c r="B9" s="338">
        <v>4000</v>
      </c>
    </row>
    <row r="10" spans="1:3">
      <c r="A10" s="332" t="s">
        <v>2082</v>
      </c>
      <c r="B10" s="336">
        <f>+B11+B16+B18</f>
        <v>6368984.1899999995</v>
      </c>
    </row>
    <row r="11" spans="1:3">
      <c r="A11" s="332" t="s">
        <v>2701</v>
      </c>
      <c r="B11" s="336">
        <f>SUM(B12:B15)</f>
        <v>6206797.1899999995</v>
      </c>
      <c r="C11" s="338"/>
    </row>
    <row r="12" spans="1:3">
      <c r="A12" s="337" t="s">
        <v>2710</v>
      </c>
      <c r="B12" s="338">
        <v>317700</v>
      </c>
    </row>
    <row r="13" spans="1:3">
      <c r="A13" s="337" t="s">
        <v>2711</v>
      </c>
      <c r="B13" s="338">
        <v>12820.52</v>
      </c>
    </row>
    <row r="14" spans="1:3">
      <c r="A14" s="337" t="s">
        <v>2712</v>
      </c>
      <c r="B14" s="338">
        <v>4674326.75</v>
      </c>
    </row>
    <row r="15" spans="1:3">
      <c r="A15" s="337" t="s">
        <v>2713</v>
      </c>
      <c r="B15" s="338">
        <v>1201949.92</v>
      </c>
    </row>
    <row r="16" spans="1:3">
      <c r="A16" s="332" t="s">
        <v>2702</v>
      </c>
      <c r="B16" s="336">
        <f>SUM(B17)</f>
        <v>162187</v>
      </c>
    </row>
    <row r="17" spans="1:3">
      <c r="A17" s="337" t="s">
        <v>2714</v>
      </c>
      <c r="B17" s="338">
        <v>162187</v>
      </c>
    </row>
    <row r="18" spans="1:3">
      <c r="A18" s="332" t="s">
        <v>2703</v>
      </c>
      <c r="B18" s="336">
        <v>0</v>
      </c>
    </row>
    <row r="19" spans="1:3">
      <c r="A19" s="337" t="s">
        <v>2715</v>
      </c>
      <c r="B19" s="338">
        <v>0</v>
      </c>
    </row>
    <row r="20" spans="1:3">
      <c r="A20" s="337" t="s">
        <v>2716</v>
      </c>
      <c r="B20" s="338">
        <v>0</v>
      </c>
    </row>
    <row r="21" spans="1:3">
      <c r="A21" s="332" t="s">
        <v>2084</v>
      </c>
      <c r="B21" s="336">
        <f>+B22+B24+B29+B27</f>
        <v>15453989.65</v>
      </c>
      <c r="C21" s="336"/>
    </row>
    <row r="22" spans="1:3">
      <c r="A22" s="332" t="s">
        <v>2704</v>
      </c>
      <c r="B22" s="336">
        <f>SUM(B23)</f>
        <v>58058.130000000005</v>
      </c>
    </row>
    <row r="23" spans="1:3">
      <c r="A23" s="337" t="s">
        <v>2717</v>
      </c>
      <c r="B23" s="338">
        <v>58058.130000000005</v>
      </c>
    </row>
    <row r="24" spans="1:3">
      <c r="A24" s="332" t="s">
        <v>926</v>
      </c>
      <c r="B24" s="336">
        <f>SUM(B25:B26)</f>
        <v>11876415.539999999</v>
      </c>
    </row>
    <row r="25" spans="1:3" ht="33.75">
      <c r="A25" s="337" t="s">
        <v>2718</v>
      </c>
      <c r="B25" s="338">
        <v>7811669.7999999998</v>
      </c>
    </row>
    <row r="26" spans="1:3" ht="22.5">
      <c r="A26" s="337" t="s">
        <v>2719</v>
      </c>
      <c r="B26" s="338">
        <v>4064745.7399999998</v>
      </c>
    </row>
    <row r="27" spans="1:3" s="339" customFormat="1">
      <c r="A27" s="332" t="s">
        <v>1222</v>
      </c>
      <c r="B27" s="336">
        <v>0</v>
      </c>
    </row>
    <row r="28" spans="1:3">
      <c r="A28" s="337" t="s">
        <v>2720</v>
      </c>
      <c r="B28" s="338">
        <v>0</v>
      </c>
    </row>
    <row r="29" spans="1:3">
      <c r="A29" s="332" t="s">
        <v>1223</v>
      </c>
      <c r="B29" s="336">
        <f>SUM(B30:B34)</f>
        <v>3519515.98</v>
      </c>
    </row>
    <row r="30" spans="1:3">
      <c r="A30" s="337" t="s">
        <v>2721</v>
      </c>
      <c r="B30" s="338">
        <v>360</v>
      </c>
    </row>
    <row r="31" spans="1:3" ht="22.5">
      <c r="A31" s="337" t="s">
        <v>2722</v>
      </c>
      <c r="B31" s="338">
        <v>107712</v>
      </c>
    </row>
    <row r="32" spans="1:3">
      <c r="A32" s="337" t="s">
        <v>2723</v>
      </c>
      <c r="B32" s="338">
        <v>1354257.21</v>
      </c>
    </row>
    <row r="33" spans="1:2">
      <c r="A33" s="337" t="s">
        <v>2724</v>
      </c>
      <c r="B33" s="338">
        <v>2057186.77</v>
      </c>
    </row>
    <row r="34" spans="1:2" ht="22.5">
      <c r="A34" s="337" t="s">
        <v>2725</v>
      </c>
      <c r="B34" s="338">
        <v>0</v>
      </c>
    </row>
    <row r="35" spans="1:2">
      <c r="A35" s="332" t="s">
        <v>2553</v>
      </c>
      <c r="B35" s="336">
        <f>+B36+B44+B49+B55</f>
        <v>31028332.579999998</v>
      </c>
    </row>
    <row r="36" spans="1:2">
      <c r="A36" s="332" t="s">
        <v>2091</v>
      </c>
      <c r="B36" s="336">
        <f>SUM(B37:B43)</f>
        <v>910309.49000000011</v>
      </c>
    </row>
    <row r="37" spans="1:2">
      <c r="A37" s="337" t="s">
        <v>2726</v>
      </c>
      <c r="B37" s="338">
        <v>0</v>
      </c>
    </row>
    <row r="38" spans="1:2" ht="22.5">
      <c r="A38" s="337" t="s">
        <v>2727</v>
      </c>
      <c r="B38" s="338">
        <v>0</v>
      </c>
    </row>
    <row r="39" spans="1:2" ht="22.5">
      <c r="A39" s="337" t="s">
        <v>2728</v>
      </c>
      <c r="B39" s="338">
        <v>212657.16</v>
      </c>
    </row>
    <row r="40" spans="1:2" ht="22.5">
      <c r="A40" s="337" t="s">
        <v>2729</v>
      </c>
      <c r="B40" s="338">
        <v>0</v>
      </c>
    </row>
    <row r="41" spans="1:2">
      <c r="A41" s="337" t="s">
        <v>2730</v>
      </c>
      <c r="B41" s="338">
        <v>47998</v>
      </c>
    </row>
    <row r="42" spans="1:2" ht="22.5">
      <c r="A42" s="337" t="s">
        <v>2731</v>
      </c>
      <c r="B42" s="338">
        <v>632888.33000000007</v>
      </c>
    </row>
    <row r="43" spans="1:2" ht="22.5">
      <c r="A43" s="337" t="s">
        <v>2732</v>
      </c>
      <c r="B43" s="338">
        <v>16766</v>
      </c>
    </row>
    <row r="44" spans="1:2">
      <c r="A44" s="332" t="s">
        <v>2092</v>
      </c>
      <c r="B44" s="336">
        <f>SUM(B45:B48)</f>
        <v>3633131.59</v>
      </c>
    </row>
    <row r="45" spans="1:2">
      <c r="A45" s="337" t="s">
        <v>2733</v>
      </c>
      <c r="B45" s="338">
        <v>0</v>
      </c>
    </row>
    <row r="46" spans="1:2">
      <c r="A46" s="337" t="s">
        <v>2734</v>
      </c>
      <c r="B46" s="338">
        <v>0</v>
      </c>
    </row>
    <row r="47" spans="1:2">
      <c r="A47" s="337" t="s">
        <v>2735</v>
      </c>
      <c r="B47" s="338">
        <v>3606046.25</v>
      </c>
    </row>
    <row r="48" spans="1:2">
      <c r="A48" s="337" t="s">
        <v>2736</v>
      </c>
      <c r="B48" s="338">
        <v>27085.34</v>
      </c>
    </row>
    <row r="49" spans="1:3">
      <c r="A49" s="332" t="s">
        <v>1833</v>
      </c>
      <c r="B49" s="336">
        <f>SUM(B50:B54)</f>
        <v>25722737.07</v>
      </c>
      <c r="C49" s="336"/>
    </row>
    <row r="50" spans="1:3" ht="17.25" customHeight="1">
      <c r="A50" s="337" t="s">
        <v>2737</v>
      </c>
      <c r="B50" s="338">
        <v>119491.62</v>
      </c>
    </row>
    <row r="51" spans="1:3">
      <c r="A51" s="337" t="s">
        <v>2738</v>
      </c>
      <c r="B51" s="338">
        <v>5195452.6900000004</v>
      </c>
    </row>
    <row r="52" spans="1:3">
      <c r="A52" s="337" t="s">
        <v>2739</v>
      </c>
      <c r="B52" s="338">
        <v>52235.69</v>
      </c>
    </row>
    <row r="53" spans="1:3" ht="22.5">
      <c r="A53" s="337" t="s">
        <v>2740</v>
      </c>
      <c r="B53" s="338">
        <v>20209968.359999999</v>
      </c>
    </row>
    <row r="54" spans="1:3">
      <c r="A54" s="337" t="s">
        <v>2741</v>
      </c>
      <c r="B54" s="338">
        <v>145588.71</v>
      </c>
    </row>
    <row r="55" spans="1:3">
      <c r="A55" s="332" t="s">
        <v>2705</v>
      </c>
      <c r="B55" s="336">
        <f>SUM(B56)</f>
        <v>762154.42999999993</v>
      </c>
    </row>
    <row r="56" spans="1:3">
      <c r="A56" s="337" t="s">
        <v>2742</v>
      </c>
      <c r="B56" s="338">
        <v>762154.42999999993</v>
      </c>
    </row>
    <row r="57" spans="1:3">
      <c r="A57" s="332" t="s">
        <v>2554</v>
      </c>
      <c r="B57" s="336">
        <f>+B58+B60</f>
        <v>171537117</v>
      </c>
    </row>
    <row r="58" spans="1:3">
      <c r="A58" s="332" t="s">
        <v>2706</v>
      </c>
      <c r="B58" s="336">
        <f>SUM(B59)</f>
        <v>3941277</v>
      </c>
    </row>
    <row r="59" spans="1:3">
      <c r="A59" s="337" t="s">
        <v>2743</v>
      </c>
      <c r="B59" s="338">
        <v>3941277</v>
      </c>
    </row>
    <row r="60" spans="1:3">
      <c r="A60" s="332" t="s">
        <v>2095</v>
      </c>
      <c r="B60" s="336">
        <f>SUM(B61:B78)</f>
        <v>167595840</v>
      </c>
      <c r="C60" s="336"/>
    </row>
    <row r="61" spans="1:3">
      <c r="A61" s="337" t="s">
        <v>2744</v>
      </c>
      <c r="B61" s="338">
        <v>4303808.8499999996</v>
      </c>
    </row>
    <row r="62" spans="1:3" ht="22.5">
      <c r="A62" s="337" t="s">
        <v>2745</v>
      </c>
      <c r="B62" s="338">
        <v>1620598.3200000003</v>
      </c>
    </row>
    <row r="63" spans="1:3" ht="22.5">
      <c r="A63" s="337" t="s">
        <v>2746</v>
      </c>
      <c r="B63" s="338">
        <v>29489503.460000001</v>
      </c>
    </row>
    <row r="64" spans="1:3">
      <c r="A64" s="337" t="s">
        <v>2747</v>
      </c>
      <c r="B64" s="338">
        <v>12609384.129999997</v>
      </c>
    </row>
    <row r="65" spans="1:3" ht="22.5">
      <c r="A65" s="337" t="s">
        <v>2748</v>
      </c>
      <c r="B65" s="338">
        <v>8765255.0899999999</v>
      </c>
    </row>
    <row r="66" spans="1:3">
      <c r="A66" s="337" t="s">
        <v>2749</v>
      </c>
      <c r="B66" s="338">
        <v>1860.94</v>
      </c>
    </row>
    <row r="67" spans="1:3">
      <c r="A67" s="337" t="s">
        <v>2750</v>
      </c>
      <c r="B67" s="338">
        <v>1376423.32</v>
      </c>
    </row>
    <row r="68" spans="1:3">
      <c r="A68" s="337" t="s">
        <v>2751</v>
      </c>
      <c r="B68" s="338">
        <v>49302490.839999996</v>
      </c>
    </row>
    <row r="69" spans="1:3" ht="22.5">
      <c r="A69" s="337" t="s">
        <v>2752</v>
      </c>
      <c r="B69" s="338">
        <v>435450.55</v>
      </c>
    </row>
    <row r="70" spans="1:3" ht="33.75">
      <c r="A70" s="337" t="s">
        <v>2753</v>
      </c>
      <c r="B70" s="338">
        <v>18082722.960000001</v>
      </c>
    </row>
    <row r="71" spans="1:3" ht="22.5">
      <c r="A71" s="337" t="s">
        <v>2754</v>
      </c>
      <c r="B71" s="338">
        <v>19810665.469999999</v>
      </c>
    </row>
    <row r="72" spans="1:3" ht="22.5">
      <c r="A72" s="337" t="s">
        <v>2755</v>
      </c>
      <c r="B72" s="338">
        <v>20108941.700000003</v>
      </c>
    </row>
    <row r="73" spans="1:3" ht="22.5">
      <c r="A73" s="337" t="s">
        <v>2756</v>
      </c>
      <c r="B73" s="338">
        <v>0</v>
      </c>
    </row>
    <row r="74" spans="1:3" ht="22.5">
      <c r="A74" s="337" t="s">
        <v>2757</v>
      </c>
      <c r="B74" s="338">
        <v>0</v>
      </c>
    </row>
    <row r="75" spans="1:3" ht="22.5">
      <c r="A75" s="337" t="s">
        <v>2758</v>
      </c>
      <c r="B75" s="338">
        <v>1602163.12</v>
      </c>
    </row>
    <row r="76" spans="1:3" ht="36" customHeight="1">
      <c r="A76" s="337" t="s">
        <v>2759</v>
      </c>
      <c r="B76" s="338">
        <v>0</v>
      </c>
    </row>
    <row r="77" spans="1:3">
      <c r="A77" s="337" t="s">
        <v>2760</v>
      </c>
      <c r="B77" s="338">
        <v>24486.55</v>
      </c>
    </row>
    <row r="78" spans="1:3" ht="30" customHeight="1">
      <c r="A78" s="337" t="s">
        <v>2761</v>
      </c>
      <c r="B78" s="338">
        <v>62084.7</v>
      </c>
    </row>
    <row r="80" spans="1:3" ht="26.25" customHeight="1">
      <c r="A80" s="2839" t="s">
        <v>3374</v>
      </c>
      <c r="B80" s="2839"/>
      <c r="C80" s="340"/>
    </row>
    <row r="81" spans="1:3" ht="20.25" customHeight="1">
      <c r="A81" s="321" t="s">
        <v>22</v>
      </c>
      <c r="B81" s="341"/>
      <c r="C81" s="341"/>
    </row>
    <row r="82" spans="1:3" ht="33" customHeight="1">
      <c r="A82" s="2608" t="s">
        <v>2649</v>
      </c>
      <c r="B82" s="2608"/>
      <c r="C82" s="342"/>
    </row>
  </sheetData>
  <mergeCells count="3">
    <mergeCell ref="A2:B2"/>
    <mergeCell ref="A80:B80"/>
    <mergeCell ref="A82:B82"/>
  </mergeCells>
  <pageMargins left="0.70866141732283472" right="0.70866141732283472" top="0.74803149606299213" bottom="0.74803149606299213" header="0.31496062992125984" footer="0.31496062992125984"/>
  <pageSetup paperSize="9" scale="81" orientation="portrait" r:id="rId1"/>
</worksheet>
</file>

<file path=xl/worksheets/sheet302.xml><?xml version="1.0" encoding="utf-8"?>
<worksheet xmlns="http://schemas.openxmlformats.org/spreadsheetml/2006/main" xmlns:r="http://schemas.openxmlformats.org/officeDocument/2006/relationships">
  <sheetPr>
    <pageSetUpPr fitToPage="1"/>
  </sheetPr>
  <dimension ref="A2:N28"/>
  <sheetViews>
    <sheetView zoomScaleNormal="100" workbookViewId="0">
      <selection activeCell="E36" sqref="E36"/>
    </sheetView>
  </sheetViews>
  <sheetFormatPr baseColWidth="10" defaultRowHeight="11.25"/>
  <cols>
    <col min="1" max="1" width="27" style="62" customWidth="1"/>
    <col min="2" max="2" width="15.7109375" style="329" bestFit="1" customWidth="1"/>
    <col min="3" max="3" width="14.42578125" style="329" bestFit="1" customWidth="1"/>
    <col min="4" max="4" width="13.140625" style="329" bestFit="1" customWidth="1"/>
    <col min="5" max="7" width="14.42578125" style="329" bestFit="1" customWidth="1"/>
    <col min="8" max="8" width="17.85546875" style="329" bestFit="1" customWidth="1"/>
    <col min="9" max="9" width="13.140625" style="329" bestFit="1" customWidth="1"/>
    <col min="10" max="10" width="16.7109375" style="329" bestFit="1" customWidth="1"/>
    <col min="11" max="11" width="11.28515625" style="329" bestFit="1" customWidth="1"/>
    <col min="12" max="12" width="14" style="329" bestFit="1" customWidth="1"/>
    <col min="13" max="14" width="11.5703125" style="329" bestFit="1" customWidth="1"/>
    <col min="15" max="16384" width="11.42578125" style="62"/>
  </cols>
  <sheetData>
    <row r="2" spans="1:14" s="326" customFormat="1" ht="15" customHeight="1">
      <c r="A2" s="57" t="s">
        <v>4670</v>
      </c>
      <c r="B2" s="58"/>
      <c r="C2" s="58"/>
      <c r="D2" s="58"/>
      <c r="E2" s="58"/>
      <c r="F2" s="58"/>
      <c r="G2" s="58"/>
      <c r="H2" s="58"/>
      <c r="I2" s="58"/>
      <c r="J2" s="58"/>
      <c r="K2" s="58"/>
      <c r="L2" s="58"/>
      <c r="M2" s="58"/>
      <c r="N2" s="58"/>
    </row>
    <row r="3" spans="1:14" s="326" customFormat="1">
      <c r="B3" s="58"/>
      <c r="C3" s="58"/>
      <c r="D3" s="58"/>
      <c r="E3" s="58"/>
      <c r="F3" s="58"/>
      <c r="G3" s="58"/>
      <c r="H3" s="58"/>
      <c r="I3" s="58"/>
      <c r="J3" s="58"/>
      <c r="K3" s="58"/>
      <c r="L3" s="58"/>
      <c r="M3" s="58"/>
      <c r="N3" s="58"/>
    </row>
    <row r="4" spans="1:14" s="326" customFormat="1" ht="12.75">
      <c r="A4" s="2119" t="s">
        <v>2061</v>
      </c>
      <c r="B4" s="2579" t="s">
        <v>6</v>
      </c>
      <c r="C4" s="2579" t="s">
        <v>3371</v>
      </c>
      <c r="D4" s="2579"/>
      <c r="E4" s="2579"/>
      <c r="F4" s="2579"/>
      <c r="G4" s="2579"/>
      <c r="H4" s="2579"/>
      <c r="I4" s="2579"/>
      <c r="J4" s="2579"/>
      <c r="K4" s="2579"/>
      <c r="L4" s="2579"/>
      <c r="M4" s="2579"/>
      <c r="N4" s="2579"/>
    </row>
    <row r="5" spans="1:14" ht="20.25" customHeight="1">
      <c r="A5" s="2119"/>
      <c r="B5" s="2579"/>
      <c r="C5" s="317" t="s">
        <v>1971</v>
      </c>
      <c r="D5" s="317" t="s">
        <v>2256</v>
      </c>
      <c r="E5" s="317" t="s">
        <v>2254</v>
      </c>
      <c r="F5" s="317" t="s">
        <v>2257</v>
      </c>
      <c r="G5" s="317" t="s">
        <v>2592</v>
      </c>
      <c r="H5" s="317" t="s">
        <v>2589</v>
      </c>
      <c r="I5" s="317" t="s">
        <v>2258</v>
      </c>
      <c r="J5" s="317" t="s">
        <v>2590</v>
      </c>
      <c r="K5" s="317" t="s">
        <v>2260</v>
      </c>
      <c r="L5" s="317" t="s">
        <v>2591</v>
      </c>
      <c r="M5" s="317" t="s">
        <v>159</v>
      </c>
      <c r="N5" s="317" t="s">
        <v>154</v>
      </c>
    </row>
    <row r="6" spans="1:14">
      <c r="A6" s="318" t="s">
        <v>6</v>
      </c>
      <c r="B6" s="322">
        <f>+B7+B9+B12+B16+B21</f>
        <v>224392423.42000002</v>
      </c>
      <c r="C6" s="322">
        <f t="shared" ref="C6:N6" si="0">+C7+C9+C12+C16+C21</f>
        <v>12071683.719999999</v>
      </c>
      <c r="D6" s="322">
        <f t="shared" si="0"/>
        <v>5633439.5599999996</v>
      </c>
      <c r="E6" s="322">
        <f t="shared" si="0"/>
        <v>29000094.66</v>
      </c>
      <c r="F6" s="322">
        <f t="shared" si="0"/>
        <v>21502944.699999999</v>
      </c>
      <c r="G6" s="322">
        <f t="shared" si="0"/>
        <v>86937957.909999996</v>
      </c>
      <c r="H6" s="322">
        <f t="shared" si="0"/>
        <v>49345229.390000008</v>
      </c>
      <c r="I6" s="322">
        <f t="shared" si="0"/>
        <v>7197919.0699999994</v>
      </c>
      <c r="J6" s="322">
        <f t="shared" si="0"/>
        <v>10781869.880000001</v>
      </c>
      <c r="K6" s="322">
        <f t="shared" si="0"/>
        <v>114872</v>
      </c>
      <c r="L6" s="322">
        <f t="shared" si="0"/>
        <v>1533934.31</v>
      </c>
      <c r="M6" s="322">
        <f t="shared" si="0"/>
        <v>171887.22</v>
      </c>
      <c r="N6" s="322">
        <f t="shared" si="0"/>
        <v>100591</v>
      </c>
    </row>
    <row r="7" spans="1:14">
      <c r="A7" s="318" t="s">
        <v>2078</v>
      </c>
      <c r="B7" s="322">
        <f>SUM(B8)</f>
        <v>4000</v>
      </c>
      <c r="C7" s="322">
        <v>0</v>
      </c>
      <c r="D7" s="322">
        <v>0</v>
      </c>
      <c r="E7" s="322">
        <v>4000</v>
      </c>
      <c r="F7" s="324">
        <v>0</v>
      </c>
      <c r="G7" s="324">
        <v>0</v>
      </c>
      <c r="H7" s="324">
        <v>0</v>
      </c>
      <c r="I7" s="324">
        <v>0</v>
      </c>
      <c r="J7" s="324">
        <v>0</v>
      </c>
      <c r="K7" s="324">
        <v>0</v>
      </c>
      <c r="L7" s="324">
        <v>0</v>
      </c>
      <c r="M7" s="324">
        <v>0</v>
      </c>
      <c r="N7" s="324">
        <v>0</v>
      </c>
    </row>
    <row r="8" spans="1:14">
      <c r="A8" s="55" t="s">
        <v>1830</v>
      </c>
      <c r="B8" s="324">
        <v>4000</v>
      </c>
      <c r="C8" s="324">
        <v>0</v>
      </c>
      <c r="D8" s="324">
        <v>0</v>
      </c>
      <c r="E8" s="324">
        <v>4000</v>
      </c>
      <c r="F8" s="324">
        <v>0</v>
      </c>
      <c r="G8" s="324">
        <v>0</v>
      </c>
      <c r="H8" s="324">
        <v>0</v>
      </c>
      <c r="I8" s="324">
        <v>0</v>
      </c>
      <c r="J8" s="324">
        <v>0</v>
      </c>
      <c r="K8" s="324">
        <v>0</v>
      </c>
      <c r="L8" s="324">
        <v>0</v>
      </c>
      <c r="M8" s="324">
        <v>0</v>
      </c>
      <c r="N8" s="324">
        <v>0</v>
      </c>
    </row>
    <row r="9" spans="1:14" ht="22.5">
      <c r="A9" s="318" t="s">
        <v>2082</v>
      </c>
      <c r="B9" s="322">
        <f>SUM(B10:B11)</f>
        <v>6368984.1900000004</v>
      </c>
      <c r="C9" s="322">
        <f t="shared" ref="C9:N9" si="1">SUM(C10:C11)</f>
        <v>79184</v>
      </c>
      <c r="D9" s="322">
        <f t="shared" si="1"/>
        <v>320287</v>
      </c>
      <c r="E9" s="322">
        <f t="shared" si="1"/>
        <v>0</v>
      </c>
      <c r="F9" s="322">
        <f t="shared" si="1"/>
        <v>0</v>
      </c>
      <c r="G9" s="322">
        <f t="shared" si="1"/>
        <v>5158601.0500000007</v>
      </c>
      <c r="H9" s="322">
        <f t="shared" si="1"/>
        <v>212821.39</v>
      </c>
      <c r="I9" s="322">
        <f t="shared" si="1"/>
        <v>0</v>
      </c>
      <c r="J9" s="322">
        <f t="shared" si="1"/>
        <v>527273.75</v>
      </c>
      <c r="K9" s="322">
        <f t="shared" si="1"/>
        <v>0</v>
      </c>
      <c r="L9" s="322">
        <f t="shared" si="1"/>
        <v>0</v>
      </c>
      <c r="M9" s="322">
        <f t="shared" si="1"/>
        <v>70817</v>
      </c>
      <c r="N9" s="322">
        <f t="shared" si="1"/>
        <v>0</v>
      </c>
    </row>
    <row r="10" spans="1:14">
      <c r="A10" s="55" t="s">
        <v>2701</v>
      </c>
      <c r="B10" s="324">
        <v>6206797.1900000004</v>
      </c>
      <c r="C10" s="324">
        <v>79184</v>
      </c>
      <c r="D10" s="324">
        <v>320087</v>
      </c>
      <c r="E10" s="324">
        <v>0</v>
      </c>
      <c r="F10" s="324">
        <v>0</v>
      </c>
      <c r="G10" s="324">
        <v>5158601.0500000007</v>
      </c>
      <c r="H10" s="324">
        <v>50834.39</v>
      </c>
      <c r="I10" s="324">
        <v>0</v>
      </c>
      <c r="J10" s="324">
        <v>527273.75</v>
      </c>
      <c r="K10" s="324">
        <v>0</v>
      </c>
      <c r="L10" s="324">
        <v>0</v>
      </c>
      <c r="M10" s="324">
        <v>70817</v>
      </c>
      <c r="N10" s="324">
        <v>0</v>
      </c>
    </row>
    <row r="11" spans="1:14">
      <c r="A11" s="55" t="s">
        <v>2702</v>
      </c>
      <c r="B11" s="324">
        <v>162187</v>
      </c>
      <c r="C11" s="324">
        <v>0</v>
      </c>
      <c r="D11" s="324">
        <v>200</v>
      </c>
      <c r="E11" s="324">
        <v>0</v>
      </c>
      <c r="F11" s="324">
        <v>0</v>
      </c>
      <c r="G11" s="324">
        <v>0</v>
      </c>
      <c r="H11" s="324">
        <v>161987</v>
      </c>
      <c r="I11" s="324">
        <v>0</v>
      </c>
      <c r="J11" s="324"/>
      <c r="K11" s="324">
        <v>0</v>
      </c>
      <c r="L11" s="324">
        <v>0</v>
      </c>
      <c r="M11" s="324">
        <v>0</v>
      </c>
      <c r="N11" s="324">
        <v>0</v>
      </c>
    </row>
    <row r="12" spans="1:14" ht="22.5">
      <c r="A12" s="318" t="s">
        <v>2084</v>
      </c>
      <c r="B12" s="322">
        <f>SUM(B13:B15)</f>
        <v>15453989.650000002</v>
      </c>
      <c r="C12" s="322">
        <f t="shared" ref="C12:N12" si="2">SUM(C13:C15)</f>
        <v>563520</v>
      </c>
      <c r="D12" s="322">
        <f t="shared" si="2"/>
        <v>44100</v>
      </c>
      <c r="E12" s="322">
        <f t="shared" si="2"/>
        <v>13746.65</v>
      </c>
      <c r="F12" s="322">
        <f t="shared" si="2"/>
        <v>8412</v>
      </c>
      <c r="G12" s="322">
        <f t="shared" si="2"/>
        <v>13576685.74</v>
      </c>
      <c r="H12" s="322">
        <f t="shared" si="2"/>
        <v>127439.67000000001</v>
      </c>
      <c r="I12" s="322">
        <f t="shared" si="2"/>
        <v>8133.02</v>
      </c>
      <c r="J12" s="322">
        <f t="shared" si="2"/>
        <v>1111952.57</v>
      </c>
      <c r="K12" s="322">
        <f t="shared" si="2"/>
        <v>0</v>
      </c>
      <c r="L12" s="322">
        <f t="shared" si="2"/>
        <v>0</v>
      </c>
      <c r="M12" s="322">
        <f t="shared" si="2"/>
        <v>0</v>
      </c>
      <c r="N12" s="322">
        <f t="shared" si="2"/>
        <v>0</v>
      </c>
    </row>
    <row r="13" spans="1:14">
      <c r="A13" s="55" t="s">
        <v>2704</v>
      </c>
      <c r="B13" s="324">
        <v>58058.130000000005</v>
      </c>
      <c r="C13" s="324">
        <v>0</v>
      </c>
      <c r="D13" s="324">
        <v>0</v>
      </c>
      <c r="E13" s="324">
        <v>0</v>
      </c>
      <c r="F13" s="324">
        <v>0</v>
      </c>
      <c r="G13" s="324">
        <v>0</v>
      </c>
      <c r="H13" s="324">
        <v>58058.130000000005</v>
      </c>
      <c r="I13" s="324"/>
      <c r="J13" s="324"/>
      <c r="K13" s="324">
        <v>0</v>
      </c>
      <c r="L13" s="324">
        <v>0</v>
      </c>
      <c r="M13" s="324">
        <v>0</v>
      </c>
      <c r="N13" s="324">
        <v>0</v>
      </c>
    </row>
    <row r="14" spans="1:14">
      <c r="A14" s="55" t="s">
        <v>926</v>
      </c>
      <c r="B14" s="324">
        <v>11876415.540000001</v>
      </c>
      <c r="C14" s="324">
        <v>0</v>
      </c>
      <c r="D14" s="324">
        <v>0</v>
      </c>
      <c r="E14" s="324">
        <v>8746.65</v>
      </c>
      <c r="F14" s="324">
        <v>7817</v>
      </c>
      <c r="G14" s="324">
        <v>10765188.550000001</v>
      </c>
      <c r="H14" s="324">
        <v>48281.54</v>
      </c>
      <c r="I14" s="324">
        <v>118</v>
      </c>
      <c r="J14" s="324">
        <v>1046263.8</v>
      </c>
      <c r="K14" s="324">
        <v>0</v>
      </c>
      <c r="L14" s="324">
        <v>0</v>
      </c>
      <c r="M14" s="324">
        <v>0</v>
      </c>
      <c r="N14" s="324">
        <v>0</v>
      </c>
    </row>
    <row r="15" spans="1:14">
      <c r="A15" s="55" t="s">
        <v>1223</v>
      </c>
      <c r="B15" s="324">
        <v>3519515.98</v>
      </c>
      <c r="C15" s="324">
        <v>563520</v>
      </c>
      <c r="D15" s="324">
        <v>44100</v>
      </c>
      <c r="E15" s="324">
        <v>5000</v>
      </c>
      <c r="F15" s="324">
        <v>595</v>
      </c>
      <c r="G15" s="324">
        <v>2811497.19</v>
      </c>
      <c r="H15" s="324">
        <v>21100</v>
      </c>
      <c r="I15" s="324">
        <v>8015.02</v>
      </c>
      <c r="J15" s="324">
        <v>65688.77</v>
      </c>
      <c r="K15" s="324">
        <v>0</v>
      </c>
      <c r="L15" s="324">
        <v>0</v>
      </c>
      <c r="M15" s="324">
        <v>0</v>
      </c>
      <c r="N15" s="324">
        <v>0</v>
      </c>
    </row>
    <row r="16" spans="1:14" ht="22.5">
      <c r="A16" s="318" t="s">
        <v>2553</v>
      </c>
      <c r="B16" s="322">
        <f>SUM(B17:B20)</f>
        <v>31028332.579999998</v>
      </c>
      <c r="C16" s="322">
        <f t="shared" ref="C16:N16" si="3">SUM(C17:C20)</f>
        <v>391070</v>
      </c>
      <c r="D16" s="322">
        <f t="shared" si="3"/>
        <v>876731</v>
      </c>
      <c r="E16" s="322">
        <f t="shared" si="3"/>
        <v>2195724.71</v>
      </c>
      <c r="F16" s="322">
        <f t="shared" si="3"/>
        <v>2289213.91</v>
      </c>
      <c r="G16" s="322">
        <f t="shared" si="3"/>
        <v>15621826.260000002</v>
      </c>
      <c r="H16" s="322">
        <f t="shared" si="3"/>
        <v>3935590.3099999996</v>
      </c>
      <c r="I16" s="322">
        <f t="shared" si="3"/>
        <v>206248.40000000002</v>
      </c>
      <c r="J16" s="322">
        <f t="shared" si="3"/>
        <v>5440470.29</v>
      </c>
      <c r="K16" s="322">
        <f t="shared" si="3"/>
        <v>8000</v>
      </c>
      <c r="L16" s="322">
        <f t="shared" si="3"/>
        <v>35220</v>
      </c>
      <c r="M16" s="322">
        <f t="shared" si="3"/>
        <v>28237.7</v>
      </c>
      <c r="N16" s="322">
        <f t="shared" si="3"/>
        <v>0</v>
      </c>
    </row>
    <row r="17" spans="1:14">
      <c r="A17" s="55" t="s">
        <v>2091</v>
      </c>
      <c r="B17" s="324">
        <v>910309.49</v>
      </c>
      <c r="C17" s="324">
        <v>0</v>
      </c>
      <c r="D17" s="324">
        <v>0</v>
      </c>
      <c r="E17" s="324">
        <v>269958.34999999998</v>
      </c>
      <c r="F17" s="324"/>
      <c r="G17" s="324">
        <v>3952</v>
      </c>
      <c r="H17" s="324">
        <v>357894.74</v>
      </c>
      <c r="I17" s="324">
        <v>0</v>
      </c>
      <c r="J17" s="324">
        <v>278504.40000000002</v>
      </c>
      <c r="K17" s="324">
        <v>0</v>
      </c>
      <c r="L17" s="324">
        <v>0</v>
      </c>
      <c r="M17" s="324">
        <v>0</v>
      </c>
      <c r="N17" s="324">
        <v>0</v>
      </c>
    </row>
    <row r="18" spans="1:14">
      <c r="A18" s="55" t="s">
        <v>2092</v>
      </c>
      <c r="B18" s="324">
        <v>3633131.59</v>
      </c>
      <c r="C18" s="324">
        <v>139650</v>
      </c>
      <c r="D18" s="324">
        <v>107900</v>
      </c>
      <c r="E18" s="324">
        <v>239191.77</v>
      </c>
      <c r="F18" s="324">
        <v>1307669.83</v>
      </c>
      <c r="G18" s="324">
        <v>174588.34</v>
      </c>
      <c r="H18" s="324">
        <v>1661219.45</v>
      </c>
      <c r="I18" s="324">
        <v>2912.2</v>
      </c>
      <c r="J18" s="324"/>
      <c r="K18" s="324">
        <v>0</v>
      </c>
      <c r="L18" s="324">
        <v>0</v>
      </c>
      <c r="M18" s="324">
        <v>0</v>
      </c>
      <c r="N18" s="324">
        <v>0</v>
      </c>
    </row>
    <row r="19" spans="1:14">
      <c r="A19" s="55" t="s">
        <v>1833</v>
      </c>
      <c r="B19" s="324">
        <v>25722737.07</v>
      </c>
      <c r="C19" s="324">
        <v>251420</v>
      </c>
      <c r="D19" s="324">
        <v>768831</v>
      </c>
      <c r="E19" s="324">
        <v>1686099.59</v>
      </c>
      <c r="F19" s="324">
        <v>684461.08</v>
      </c>
      <c r="G19" s="324">
        <v>14994684.170000002</v>
      </c>
      <c r="H19" s="324">
        <v>1905532.0499999998</v>
      </c>
      <c r="I19" s="324">
        <v>203336.2</v>
      </c>
      <c r="J19" s="324">
        <v>5156915.2799999993</v>
      </c>
      <c r="K19" s="324">
        <v>8000</v>
      </c>
      <c r="L19" s="324">
        <v>35220</v>
      </c>
      <c r="M19" s="324">
        <v>28237.7</v>
      </c>
      <c r="N19" s="324">
        <v>0</v>
      </c>
    </row>
    <row r="20" spans="1:14">
      <c r="A20" s="55" t="s">
        <v>2705</v>
      </c>
      <c r="B20" s="324">
        <v>762154.42999999993</v>
      </c>
      <c r="C20" s="324">
        <v>0</v>
      </c>
      <c r="D20" s="324">
        <v>0</v>
      </c>
      <c r="E20" s="324">
        <v>475</v>
      </c>
      <c r="F20" s="324">
        <v>297083</v>
      </c>
      <c r="G20" s="324">
        <v>448601.75</v>
      </c>
      <c r="H20" s="324">
        <v>10944.07</v>
      </c>
      <c r="I20" s="324">
        <v>0</v>
      </c>
      <c r="J20" s="324">
        <v>5050.6099999999997</v>
      </c>
      <c r="K20" s="324">
        <v>0</v>
      </c>
      <c r="L20" s="324">
        <v>0</v>
      </c>
      <c r="M20" s="324">
        <v>0</v>
      </c>
      <c r="N20" s="324">
        <v>0</v>
      </c>
    </row>
    <row r="21" spans="1:14" ht="22.5">
      <c r="A21" s="318" t="s">
        <v>2554</v>
      </c>
      <c r="B21" s="322">
        <f>SUM(B22:B23)</f>
        <v>171537117.00000003</v>
      </c>
      <c r="C21" s="322">
        <f t="shared" ref="C21:N21" si="4">SUM(C22:C23)</f>
        <v>11037909.719999999</v>
      </c>
      <c r="D21" s="322">
        <f t="shared" si="4"/>
        <v>4392321.5599999996</v>
      </c>
      <c r="E21" s="322">
        <f t="shared" si="4"/>
        <v>26786623.300000001</v>
      </c>
      <c r="F21" s="322">
        <f t="shared" si="4"/>
        <v>19205318.789999999</v>
      </c>
      <c r="G21" s="322">
        <f t="shared" si="4"/>
        <v>52580844.860000007</v>
      </c>
      <c r="H21" s="322">
        <f t="shared" si="4"/>
        <v>45069378.020000011</v>
      </c>
      <c r="I21" s="322">
        <f t="shared" si="4"/>
        <v>6983537.6499999994</v>
      </c>
      <c r="J21" s="322">
        <f t="shared" si="4"/>
        <v>3702173.27</v>
      </c>
      <c r="K21" s="322">
        <f t="shared" si="4"/>
        <v>106872</v>
      </c>
      <c r="L21" s="322">
        <f t="shared" si="4"/>
        <v>1498714.31</v>
      </c>
      <c r="M21" s="322">
        <f t="shared" si="4"/>
        <v>72832.52</v>
      </c>
      <c r="N21" s="322">
        <f t="shared" si="4"/>
        <v>100591</v>
      </c>
    </row>
    <row r="22" spans="1:14" ht="22.5">
      <c r="A22" s="55" t="s">
        <v>2706</v>
      </c>
      <c r="B22" s="324">
        <v>3941277</v>
      </c>
      <c r="C22" s="324">
        <v>0</v>
      </c>
      <c r="D22" s="324">
        <v>0</v>
      </c>
      <c r="E22" s="324">
        <v>0</v>
      </c>
      <c r="F22" s="324">
        <v>0</v>
      </c>
      <c r="G22" s="324">
        <v>0</v>
      </c>
      <c r="H22" s="324">
        <v>2952115</v>
      </c>
      <c r="I22" s="324">
        <v>0</v>
      </c>
      <c r="J22" s="324">
        <v>989162</v>
      </c>
      <c r="K22" s="324">
        <v>0</v>
      </c>
      <c r="L22" s="324">
        <v>0</v>
      </c>
      <c r="M22" s="324">
        <v>0</v>
      </c>
      <c r="N22" s="324">
        <v>0</v>
      </c>
    </row>
    <row r="23" spans="1:14">
      <c r="A23" s="55" t="s">
        <v>2095</v>
      </c>
      <c r="B23" s="324">
        <v>167595840.00000003</v>
      </c>
      <c r="C23" s="324">
        <v>11037909.719999999</v>
      </c>
      <c r="D23" s="324">
        <v>4392321.5599999996</v>
      </c>
      <c r="E23" s="324">
        <v>26786623.300000001</v>
      </c>
      <c r="F23" s="324">
        <v>19205318.789999999</v>
      </c>
      <c r="G23" s="324">
        <v>52580844.860000007</v>
      </c>
      <c r="H23" s="324">
        <v>42117263.020000011</v>
      </c>
      <c r="I23" s="324">
        <v>6983537.6499999994</v>
      </c>
      <c r="J23" s="324">
        <v>2713011.27</v>
      </c>
      <c r="K23" s="324">
        <v>106872</v>
      </c>
      <c r="L23" s="324">
        <v>1498714.31</v>
      </c>
      <c r="M23" s="324">
        <v>72832.52</v>
      </c>
      <c r="N23" s="324">
        <v>100591</v>
      </c>
    </row>
    <row r="25" spans="1:14" ht="10.5" customHeight="1">
      <c r="A25" s="327" t="s">
        <v>3372</v>
      </c>
      <c r="B25" s="328"/>
    </row>
    <row r="26" spans="1:14">
      <c r="A26" s="330" t="s">
        <v>3373</v>
      </c>
    </row>
    <row r="27" spans="1:14">
      <c r="A27" s="321" t="s">
        <v>22</v>
      </c>
      <c r="B27" s="331"/>
    </row>
    <row r="28" spans="1:14">
      <c r="A28" s="62" t="s">
        <v>49</v>
      </c>
    </row>
  </sheetData>
  <mergeCells count="3">
    <mergeCell ref="A4:A5"/>
    <mergeCell ref="B4:B5"/>
    <mergeCell ref="C4:N4"/>
  </mergeCells>
  <pageMargins left="0.70866141732283472" right="0.70866141732283472" top="0.74803149606299213" bottom="0.74803149606299213" header="0.31496062992125984" footer="0.31496062992125984"/>
  <pageSetup paperSize="9" scale="74" orientation="landscape" r:id="rId1"/>
</worksheet>
</file>

<file path=xl/worksheets/sheet303.xml><?xml version="1.0" encoding="utf-8"?>
<worksheet xmlns="http://schemas.openxmlformats.org/spreadsheetml/2006/main" xmlns:r="http://schemas.openxmlformats.org/officeDocument/2006/relationships">
  <sheetPr>
    <pageSetUpPr fitToPage="1"/>
  </sheetPr>
  <dimension ref="A2:N29"/>
  <sheetViews>
    <sheetView zoomScaleNormal="100" workbookViewId="0">
      <selection activeCell="A31" sqref="A31"/>
    </sheetView>
  </sheetViews>
  <sheetFormatPr baseColWidth="10" defaultRowHeight="11.25"/>
  <cols>
    <col min="1" max="1" width="31.28515625" style="62" customWidth="1"/>
    <col min="2" max="2" width="19.42578125" style="62" customWidth="1"/>
    <col min="3" max="3" width="15.28515625" style="62" customWidth="1"/>
    <col min="4" max="4" width="15.42578125" style="62" customWidth="1"/>
    <col min="5" max="5" width="20" style="62" customWidth="1"/>
    <col min="6" max="6" width="13.42578125" style="62" customWidth="1"/>
    <col min="7" max="7" width="12.140625" style="62" customWidth="1"/>
    <col min="8" max="8" width="11.5703125" style="62" bestFit="1" customWidth="1"/>
    <col min="9" max="10" width="13.85546875" style="62" customWidth="1"/>
    <col min="11" max="11" width="20.85546875" style="62" customWidth="1"/>
    <col min="12" max="12" width="12.7109375" style="62" bestFit="1" customWidth="1"/>
    <col min="13" max="16384" width="11.42578125" style="62"/>
  </cols>
  <sheetData>
    <row r="2" spans="1:14">
      <c r="A2" s="54" t="s">
        <v>3220</v>
      </c>
      <c r="B2" s="55"/>
      <c r="C2" s="56"/>
      <c r="D2" s="56"/>
      <c r="E2" s="56"/>
      <c r="F2" s="56"/>
      <c r="G2" s="56"/>
      <c r="H2" s="56"/>
      <c r="I2" s="56"/>
      <c r="J2" s="56"/>
      <c r="K2" s="56"/>
      <c r="L2" s="56"/>
      <c r="M2" s="56"/>
      <c r="N2" s="56"/>
    </row>
    <row r="3" spans="1:14">
      <c r="A3" s="54"/>
      <c r="B3" s="55"/>
      <c r="C3" s="56"/>
      <c r="D3" s="56"/>
      <c r="E3" s="56"/>
      <c r="F3" s="56"/>
      <c r="G3" s="56"/>
      <c r="H3" s="56"/>
      <c r="I3" s="56"/>
      <c r="J3" s="56"/>
      <c r="K3" s="56"/>
      <c r="L3" s="56"/>
      <c r="M3" s="56"/>
      <c r="N3" s="56"/>
    </row>
    <row r="4" spans="1:14" ht="15" customHeight="1">
      <c r="A4" s="2119" t="s">
        <v>2061</v>
      </c>
      <c r="B4" s="2119" t="s">
        <v>6</v>
      </c>
      <c r="C4" s="2119" t="s">
        <v>190</v>
      </c>
      <c r="D4" s="2119"/>
      <c r="E4" s="2119"/>
      <c r="F4" s="2119"/>
      <c r="G4" s="2119"/>
      <c r="H4" s="2119"/>
      <c r="I4" s="2119"/>
      <c r="J4" s="2119"/>
      <c r="K4" s="2119"/>
      <c r="L4" s="56"/>
      <c r="M4" s="56"/>
      <c r="N4" s="56"/>
    </row>
    <row r="5" spans="1:14" ht="35.25">
      <c r="A5" s="2119"/>
      <c r="B5" s="2119"/>
      <c r="C5" s="317" t="s">
        <v>11</v>
      </c>
      <c r="D5" s="317" t="s">
        <v>12</v>
      </c>
      <c r="E5" s="317" t="s">
        <v>13</v>
      </c>
      <c r="F5" s="317" t="s">
        <v>14</v>
      </c>
      <c r="G5" s="317" t="s">
        <v>16</v>
      </c>
      <c r="H5" s="317" t="s">
        <v>379</v>
      </c>
      <c r="I5" s="317" t="s">
        <v>276</v>
      </c>
      <c r="J5" s="317" t="s">
        <v>280</v>
      </c>
      <c r="K5" s="317" t="s">
        <v>3369</v>
      </c>
    </row>
    <row r="6" spans="1:14">
      <c r="A6" s="54" t="s">
        <v>6</v>
      </c>
      <c r="B6" s="322">
        <f>+B7+B9+B12+B17+B22</f>
        <v>224392423.41999996</v>
      </c>
      <c r="C6" s="322">
        <f t="shared" ref="C6:K6" si="0">+C7+C9+C12+C17+C22</f>
        <v>2000</v>
      </c>
      <c r="D6" s="322">
        <f t="shared" si="0"/>
        <v>3756135.5499999993</v>
      </c>
      <c r="E6" s="322">
        <f t="shared" si="0"/>
        <v>218681370.44999999</v>
      </c>
      <c r="F6" s="322">
        <f t="shared" si="0"/>
        <v>151000</v>
      </c>
      <c r="G6" s="322">
        <f t="shared" si="0"/>
        <v>62995.68</v>
      </c>
      <c r="H6" s="322">
        <f t="shared" si="0"/>
        <v>5290</v>
      </c>
      <c r="I6" s="322">
        <f t="shared" si="0"/>
        <v>219322.45</v>
      </c>
      <c r="J6" s="322">
        <f t="shared" si="0"/>
        <v>193870.76</v>
      </c>
      <c r="K6" s="322">
        <f t="shared" si="0"/>
        <v>1320438.5300000003</v>
      </c>
    </row>
    <row r="7" spans="1:14">
      <c r="A7" s="318" t="s">
        <v>2078</v>
      </c>
      <c r="B7" s="322">
        <f>SUM(B8)</f>
        <v>4000</v>
      </c>
      <c r="C7" s="322">
        <f t="shared" ref="C7:K7" si="1">SUM(C8)</f>
        <v>0</v>
      </c>
      <c r="D7" s="322">
        <f t="shared" si="1"/>
        <v>0</v>
      </c>
      <c r="E7" s="322">
        <f t="shared" si="1"/>
        <v>4000</v>
      </c>
      <c r="F7" s="322">
        <f t="shared" si="1"/>
        <v>0</v>
      </c>
      <c r="G7" s="322">
        <f t="shared" si="1"/>
        <v>0</v>
      </c>
      <c r="H7" s="322">
        <f t="shared" si="1"/>
        <v>0</v>
      </c>
      <c r="I7" s="322">
        <f t="shared" si="1"/>
        <v>0</v>
      </c>
      <c r="J7" s="322">
        <f t="shared" si="1"/>
        <v>0</v>
      </c>
      <c r="K7" s="322">
        <f t="shared" si="1"/>
        <v>0</v>
      </c>
    </row>
    <row r="8" spans="1:14">
      <c r="A8" s="323" t="s">
        <v>1830</v>
      </c>
      <c r="B8" s="324">
        <v>4000</v>
      </c>
      <c r="C8" s="324">
        <v>0</v>
      </c>
      <c r="D8" s="324">
        <v>0</v>
      </c>
      <c r="E8" s="324">
        <v>4000</v>
      </c>
      <c r="F8" s="324">
        <v>0</v>
      </c>
      <c r="G8" s="324">
        <v>0</v>
      </c>
      <c r="H8" s="324">
        <v>0</v>
      </c>
      <c r="I8" s="324">
        <v>0</v>
      </c>
      <c r="J8" s="324">
        <v>0</v>
      </c>
      <c r="K8" s="324">
        <v>0</v>
      </c>
    </row>
    <row r="9" spans="1:14">
      <c r="A9" s="318" t="s">
        <v>2082</v>
      </c>
      <c r="B9" s="322">
        <f>SUM(B10:B11)</f>
        <v>6368984.1900000004</v>
      </c>
      <c r="C9" s="322">
        <f t="shared" ref="C9:K9" si="2">SUM(C10:C11)</f>
        <v>0</v>
      </c>
      <c r="D9" s="322">
        <f t="shared" si="2"/>
        <v>322119.23000000004</v>
      </c>
      <c r="E9" s="322">
        <f t="shared" si="2"/>
        <v>6038274.2000000002</v>
      </c>
      <c r="F9" s="322">
        <f t="shared" si="2"/>
        <v>0</v>
      </c>
      <c r="G9" s="322">
        <f t="shared" si="2"/>
        <v>0</v>
      </c>
      <c r="H9" s="322">
        <f t="shared" si="2"/>
        <v>0</v>
      </c>
      <c r="I9" s="322">
        <f t="shared" si="2"/>
        <v>0</v>
      </c>
      <c r="J9" s="322">
        <f t="shared" si="2"/>
        <v>8590.76</v>
      </c>
      <c r="K9" s="322">
        <f t="shared" si="2"/>
        <v>0</v>
      </c>
    </row>
    <row r="10" spans="1:14">
      <c r="A10" s="323" t="s">
        <v>2701</v>
      </c>
      <c r="B10" s="324">
        <v>6206797.1900000004</v>
      </c>
      <c r="C10" s="324">
        <v>0</v>
      </c>
      <c r="D10" s="324">
        <v>322119.23000000004</v>
      </c>
      <c r="E10" s="324">
        <v>5876087.2000000002</v>
      </c>
      <c r="F10" s="324">
        <v>0</v>
      </c>
      <c r="G10" s="324">
        <v>0</v>
      </c>
      <c r="H10" s="324">
        <v>0</v>
      </c>
      <c r="I10" s="324">
        <v>0</v>
      </c>
      <c r="J10" s="324">
        <v>8590.76</v>
      </c>
      <c r="K10" s="324">
        <v>0</v>
      </c>
    </row>
    <row r="11" spans="1:14">
      <c r="A11" s="323" t="s">
        <v>2702</v>
      </c>
      <c r="B11" s="324">
        <v>162187</v>
      </c>
      <c r="C11" s="324">
        <v>0</v>
      </c>
      <c r="D11" s="324">
        <v>0</v>
      </c>
      <c r="E11" s="324">
        <v>162187</v>
      </c>
      <c r="F11" s="324">
        <v>0</v>
      </c>
      <c r="G11" s="324">
        <v>0</v>
      </c>
      <c r="H11" s="324">
        <v>0</v>
      </c>
      <c r="I11" s="324">
        <v>0</v>
      </c>
      <c r="J11" s="324">
        <v>0</v>
      </c>
      <c r="K11" s="324">
        <v>0</v>
      </c>
    </row>
    <row r="12" spans="1:14" ht="22.5">
      <c r="A12" s="318" t="s">
        <v>2084</v>
      </c>
      <c r="B12" s="322">
        <f>SUM(B14:B16)</f>
        <v>15453989.65</v>
      </c>
      <c r="C12" s="322">
        <f t="shared" ref="C12:K12" si="3">SUM(C14:C16)</f>
        <v>0</v>
      </c>
      <c r="D12" s="322">
        <f t="shared" si="3"/>
        <v>0</v>
      </c>
      <c r="E12" s="322">
        <f t="shared" si="3"/>
        <v>15329420.58</v>
      </c>
      <c r="F12" s="322">
        <f t="shared" si="3"/>
        <v>0</v>
      </c>
      <c r="G12" s="322">
        <f t="shared" si="3"/>
        <v>0</v>
      </c>
      <c r="H12" s="322">
        <f t="shared" si="3"/>
        <v>0</v>
      </c>
      <c r="I12" s="322">
        <f t="shared" si="3"/>
        <v>0</v>
      </c>
      <c r="J12" s="322">
        <f t="shared" si="3"/>
        <v>0</v>
      </c>
      <c r="K12" s="322">
        <f t="shared" si="3"/>
        <v>124569.07</v>
      </c>
    </row>
    <row r="13" spans="1:14">
      <c r="A13" s="318"/>
      <c r="B13" s="322"/>
      <c r="C13" s="325">
        <f>C12/$B$12</f>
        <v>0</v>
      </c>
      <c r="D13" s="325">
        <f t="shared" ref="D13:K13" si="4">D12/$B$12</f>
        <v>0</v>
      </c>
      <c r="E13" s="325">
        <f t="shared" si="4"/>
        <v>0.99193935852027693</v>
      </c>
      <c r="F13" s="325">
        <f t="shared" si="4"/>
        <v>0</v>
      </c>
      <c r="G13" s="325">
        <f t="shared" si="4"/>
        <v>0</v>
      </c>
      <c r="H13" s="325">
        <f t="shared" si="4"/>
        <v>0</v>
      </c>
      <c r="I13" s="325">
        <f t="shared" si="4"/>
        <v>0</v>
      </c>
      <c r="J13" s="325">
        <f t="shared" si="4"/>
        <v>0</v>
      </c>
      <c r="K13" s="325">
        <f t="shared" si="4"/>
        <v>8.0606414797230047E-3</v>
      </c>
    </row>
    <row r="14" spans="1:14">
      <c r="A14" s="323" t="s">
        <v>2704</v>
      </c>
      <c r="B14" s="324">
        <v>58058.130000000005</v>
      </c>
      <c r="C14" s="324">
        <v>0</v>
      </c>
      <c r="D14" s="324">
        <v>0</v>
      </c>
      <c r="E14" s="324">
        <v>44877.66</v>
      </c>
      <c r="F14" s="324">
        <v>0</v>
      </c>
      <c r="G14" s="324">
        <v>0</v>
      </c>
      <c r="H14" s="324">
        <v>0</v>
      </c>
      <c r="I14" s="324">
        <v>0</v>
      </c>
      <c r="J14" s="324">
        <v>0</v>
      </c>
      <c r="K14" s="324">
        <v>13180.47</v>
      </c>
    </row>
    <row r="15" spans="1:14">
      <c r="A15" s="323" t="s">
        <v>926</v>
      </c>
      <c r="B15" s="324">
        <v>11876415.539999999</v>
      </c>
      <c r="C15" s="324">
        <v>0</v>
      </c>
      <c r="D15" s="324">
        <v>0</v>
      </c>
      <c r="E15" s="324">
        <v>11775226.939999999</v>
      </c>
      <c r="F15" s="324">
        <v>0</v>
      </c>
      <c r="G15" s="324">
        <v>0</v>
      </c>
      <c r="H15" s="324">
        <v>0</v>
      </c>
      <c r="I15" s="324">
        <v>0</v>
      </c>
      <c r="J15" s="324">
        <v>0</v>
      </c>
      <c r="K15" s="324">
        <v>101188.6</v>
      </c>
    </row>
    <row r="16" spans="1:14">
      <c r="A16" s="323" t="s">
        <v>1223</v>
      </c>
      <c r="B16" s="324">
        <v>3519515.98</v>
      </c>
      <c r="C16" s="324">
        <v>0</v>
      </c>
      <c r="D16" s="324">
        <v>0</v>
      </c>
      <c r="E16" s="324">
        <v>3509315.98</v>
      </c>
      <c r="F16" s="324">
        <v>0</v>
      </c>
      <c r="G16" s="324">
        <v>0</v>
      </c>
      <c r="H16" s="324">
        <v>0</v>
      </c>
      <c r="I16" s="324">
        <v>0</v>
      </c>
      <c r="J16" s="324">
        <v>0</v>
      </c>
      <c r="K16" s="324">
        <v>10200</v>
      </c>
    </row>
    <row r="17" spans="1:12" ht="22.5">
      <c r="A17" s="318" t="s">
        <v>2553</v>
      </c>
      <c r="B17" s="322">
        <f>SUM(B18:B21)</f>
        <v>31028332.579999998</v>
      </c>
      <c r="C17" s="322">
        <f t="shared" ref="C17:K17" si="5">SUM(C18:C21)</f>
        <v>0</v>
      </c>
      <c r="D17" s="322">
        <f t="shared" si="5"/>
        <v>61005.440000000002</v>
      </c>
      <c r="E17" s="322">
        <f t="shared" si="5"/>
        <v>30909381.839999996</v>
      </c>
      <c r="F17" s="322">
        <f t="shared" si="5"/>
        <v>31000</v>
      </c>
      <c r="G17" s="322">
        <f t="shared" si="5"/>
        <v>0</v>
      </c>
      <c r="H17" s="322">
        <f t="shared" si="5"/>
        <v>0</v>
      </c>
      <c r="I17" s="322">
        <f t="shared" si="5"/>
        <v>0</v>
      </c>
      <c r="J17" s="322">
        <f t="shared" si="5"/>
        <v>0</v>
      </c>
      <c r="K17" s="322">
        <f t="shared" si="5"/>
        <v>26945.3</v>
      </c>
    </row>
    <row r="18" spans="1:12">
      <c r="A18" s="323" t="s">
        <v>2091</v>
      </c>
      <c r="B18" s="324">
        <v>910309.49000000011</v>
      </c>
      <c r="C18" s="324">
        <v>0</v>
      </c>
      <c r="D18" s="324">
        <v>0</v>
      </c>
      <c r="E18" s="324">
        <v>910309.49000000011</v>
      </c>
      <c r="F18" s="324">
        <v>0</v>
      </c>
      <c r="G18" s="324">
        <v>0</v>
      </c>
      <c r="H18" s="324">
        <v>0</v>
      </c>
      <c r="I18" s="324">
        <v>0</v>
      </c>
      <c r="J18" s="324">
        <v>0</v>
      </c>
      <c r="K18" s="324">
        <v>0</v>
      </c>
    </row>
    <row r="19" spans="1:12">
      <c r="A19" s="323" t="s">
        <v>2092</v>
      </c>
      <c r="B19" s="324">
        <v>3633131.5900000003</v>
      </c>
      <c r="C19" s="324">
        <v>0</v>
      </c>
      <c r="D19" s="324">
        <v>29997.54</v>
      </c>
      <c r="E19" s="324">
        <v>3578316.0500000003</v>
      </c>
      <c r="F19" s="324">
        <v>0</v>
      </c>
      <c r="G19" s="324">
        <v>0</v>
      </c>
      <c r="H19" s="324">
        <v>0</v>
      </c>
      <c r="I19" s="324">
        <v>0</v>
      </c>
      <c r="J19" s="324">
        <v>0</v>
      </c>
      <c r="K19" s="324">
        <v>24818</v>
      </c>
    </row>
    <row r="20" spans="1:12">
      <c r="A20" s="323" t="s">
        <v>1833</v>
      </c>
      <c r="B20" s="324">
        <v>25722737.07</v>
      </c>
      <c r="C20" s="324">
        <v>0</v>
      </c>
      <c r="D20" s="324">
        <v>28506.03</v>
      </c>
      <c r="E20" s="324">
        <v>25661103.739999998</v>
      </c>
      <c r="F20" s="324">
        <v>31000</v>
      </c>
      <c r="G20" s="324">
        <v>0</v>
      </c>
      <c r="H20" s="324">
        <v>0</v>
      </c>
      <c r="I20" s="324">
        <v>0</v>
      </c>
      <c r="J20" s="324">
        <v>0</v>
      </c>
      <c r="K20" s="324">
        <v>2127.3000000000002</v>
      </c>
    </row>
    <row r="21" spans="1:12">
      <c r="A21" s="323" t="s">
        <v>2705</v>
      </c>
      <c r="B21" s="324">
        <v>762154.43</v>
      </c>
      <c r="C21" s="324">
        <v>0</v>
      </c>
      <c r="D21" s="324">
        <v>2501.87</v>
      </c>
      <c r="E21" s="324">
        <v>759652.56</v>
      </c>
      <c r="F21" s="324"/>
      <c r="G21" s="324">
        <v>0</v>
      </c>
      <c r="H21" s="324">
        <v>0</v>
      </c>
      <c r="I21" s="324">
        <v>0</v>
      </c>
      <c r="J21" s="324">
        <v>0</v>
      </c>
      <c r="K21" s="324"/>
    </row>
    <row r="22" spans="1:12">
      <c r="A22" s="318" t="s">
        <v>2554</v>
      </c>
      <c r="B22" s="322">
        <f>SUM(B23:B24)</f>
        <v>171537116.99999997</v>
      </c>
      <c r="C22" s="322">
        <f t="shared" ref="C22:K22" si="6">SUM(C23:C24)</f>
        <v>2000</v>
      </c>
      <c r="D22" s="322">
        <f t="shared" si="6"/>
        <v>3373010.8799999994</v>
      </c>
      <c r="E22" s="322">
        <f t="shared" si="6"/>
        <v>166400293.82999998</v>
      </c>
      <c r="F22" s="322">
        <f t="shared" si="6"/>
        <v>120000</v>
      </c>
      <c r="G22" s="322">
        <f t="shared" si="6"/>
        <v>62995.68</v>
      </c>
      <c r="H22" s="322">
        <f t="shared" si="6"/>
        <v>5290</v>
      </c>
      <c r="I22" s="322">
        <f t="shared" si="6"/>
        <v>219322.45</v>
      </c>
      <c r="J22" s="322">
        <f t="shared" si="6"/>
        <v>185280</v>
      </c>
      <c r="K22" s="322">
        <f t="shared" si="6"/>
        <v>1168924.1600000004</v>
      </c>
    </row>
    <row r="23" spans="1:12" ht="22.5">
      <c r="A23" s="323" t="s">
        <v>2706</v>
      </c>
      <c r="B23" s="324">
        <v>3941277</v>
      </c>
      <c r="C23" s="324">
        <v>0</v>
      </c>
      <c r="D23" s="324">
        <v>0</v>
      </c>
      <c r="E23" s="324">
        <v>3941277</v>
      </c>
      <c r="F23" s="324">
        <v>0</v>
      </c>
      <c r="G23" s="324">
        <v>0</v>
      </c>
      <c r="H23" s="324">
        <v>0</v>
      </c>
      <c r="I23" s="324">
        <v>0</v>
      </c>
      <c r="J23" s="324">
        <v>0</v>
      </c>
      <c r="K23" s="324">
        <v>0</v>
      </c>
    </row>
    <row r="24" spans="1:12">
      <c r="A24" s="323" t="s">
        <v>2095</v>
      </c>
      <c r="B24" s="324">
        <v>167595839.99999997</v>
      </c>
      <c r="C24" s="324">
        <v>2000</v>
      </c>
      <c r="D24" s="324">
        <v>3373010.8799999994</v>
      </c>
      <c r="E24" s="324">
        <v>162459016.82999998</v>
      </c>
      <c r="F24" s="324">
        <v>120000</v>
      </c>
      <c r="G24" s="324">
        <v>62995.68</v>
      </c>
      <c r="H24" s="324">
        <v>5290</v>
      </c>
      <c r="I24" s="324">
        <v>219322.45</v>
      </c>
      <c r="J24" s="324">
        <v>185280</v>
      </c>
      <c r="K24" s="324">
        <v>1168924.1600000004</v>
      </c>
    </row>
    <row r="26" spans="1:12" ht="43.5" customHeight="1">
      <c r="A26" s="2580" t="s">
        <v>3368</v>
      </c>
      <c r="B26" s="2580"/>
      <c r="C26" s="2580"/>
      <c r="D26" s="2580"/>
      <c r="E26" s="2580"/>
      <c r="F26" s="2580"/>
      <c r="G26" s="2580"/>
      <c r="H26" s="2580"/>
      <c r="I26" s="2580"/>
      <c r="J26" s="2580"/>
      <c r="K26" s="2580"/>
      <c r="L26" s="56"/>
    </row>
    <row r="27" spans="1:12" ht="27.75" customHeight="1">
      <c r="A27" s="2124" t="s">
        <v>3370</v>
      </c>
      <c r="B27" s="2124"/>
      <c r="C27" s="2124"/>
      <c r="D27" s="2124"/>
      <c r="E27" s="2124"/>
      <c r="F27" s="2124"/>
      <c r="G27" s="2124"/>
      <c r="H27" s="2124"/>
      <c r="I27" s="2124"/>
      <c r="J27" s="2124"/>
      <c r="K27" s="2124"/>
      <c r="L27" s="56"/>
    </row>
    <row r="28" spans="1:12">
      <c r="A28" s="321" t="s">
        <v>22</v>
      </c>
    </row>
    <row r="29" spans="1:12">
      <c r="A29" s="62" t="s">
        <v>49</v>
      </c>
    </row>
  </sheetData>
  <mergeCells count="5">
    <mergeCell ref="A4:A5"/>
    <mergeCell ref="B4:B5"/>
    <mergeCell ref="C4:K4"/>
    <mergeCell ref="A26:K26"/>
    <mergeCell ref="A27:K27"/>
  </mergeCells>
  <pageMargins left="0.70866141732283472" right="0.70866141732283472" top="0.74803149606299213" bottom="0.74803149606299213" header="0.31496062992125984" footer="0.31496062992125984"/>
  <pageSetup paperSize="9" scale="77" orientation="landscape" r:id="rId1"/>
</worksheet>
</file>

<file path=xl/worksheets/sheet304.xml><?xml version="1.0" encoding="utf-8"?>
<worksheet xmlns="http://schemas.openxmlformats.org/spreadsheetml/2006/main" xmlns:r="http://schemas.openxmlformats.org/officeDocument/2006/relationships">
  <dimension ref="A2:N68"/>
  <sheetViews>
    <sheetView zoomScaleNormal="100" workbookViewId="0">
      <selection activeCell="A3" sqref="A3"/>
    </sheetView>
  </sheetViews>
  <sheetFormatPr baseColWidth="10" defaultRowHeight="11.25"/>
  <cols>
    <col min="1" max="1" width="46.28515625" style="62" customWidth="1"/>
    <col min="2" max="2" width="15.7109375" style="62" bestFit="1" customWidth="1"/>
    <col min="3" max="4" width="13.140625" style="62" customWidth="1"/>
    <col min="5" max="5" width="15.7109375" style="62" bestFit="1" customWidth="1"/>
    <col min="6" max="10" width="13.140625" style="62" customWidth="1"/>
    <col min="11" max="11" width="17" style="62" customWidth="1"/>
    <col min="12" max="12" width="11.42578125" style="62"/>
    <col min="13" max="13" width="15" style="62" customWidth="1"/>
    <col min="14" max="16384" width="11.42578125" style="62"/>
  </cols>
  <sheetData>
    <row r="2" spans="1:14" s="1999" customFormat="1" ht="19.5" customHeight="1">
      <c r="A2" s="2502" t="s">
        <v>4671</v>
      </c>
      <c r="B2" s="2502"/>
      <c r="C2" s="2502"/>
      <c r="D2" s="2502"/>
      <c r="E2" s="2502"/>
      <c r="F2" s="2502"/>
      <c r="G2" s="2502"/>
      <c r="H2" s="2502"/>
      <c r="I2" s="2502"/>
      <c r="J2" s="2502"/>
      <c r="K2" s="2502"/>
      <c r="L2" s="2502"/>
      <c r="M2" s="2022"/>
      <c r="N2" s="2022"/>
    </row>
    <row r="3" spans="1:14" ht="12">
      <c r="A3" s="315"/>
      <c r="B3" s="315"/>
      <c r="C3" s="315"/>
      <c r="D3" s="315"/>
      <c r="E3" s="315"/>
      <c r="F3" s="315"/>
      <c r="G3" s="315"/>
      <c r="H3" s="315"/>
      <c r="I3" s="315"/>
      <c r="J3" s="315"/>
      <c r="K3" s="315"/>
      <c r="L3" s="315"/>
      <c r="M3" s="314"/>
      <c r="N3" s="314"/>
    </row>
    <row r="4" spans="1:14" ht="12">
      <c r="A4" s="2119" t="s">
        <v>2762</v>
      </c>
      <c r="B4" s="2120" t="s">
        <v>26</v>
      </c>
      <c r="C4" s="2840" t="s">
        <v>190</v>
      </c>
      <c r="D4" s="2840"/>
      <c r="E4" s="2840"/>
      <c r="F4" s="2840"/>
      <c r="G4" s="2840"/>
      <c r="H4" s="2840"/>
      <c r="I4" s="2840"/>
      <c r="J4" s="2840"/>
      <c r="K4" s="2840"/>
      <c r="L4" s="315"/>
      <c r="M4" s="314"/>
      <c r="N4" s="314"/>
    </row>
    <row r="5" spans="1:14" ht="35.25">
      <c r="A5" s="2119"/>
      <c r="B5" s="2121"/>
      <c r="C5" s="316" t="s">
        <v>11</v>
      </c>
      <c r="D5" s="316" t="s">
        <v>12</v>
      </c>
      <c r="E5" s="316" t="s">
        <v>13</v>
      </c>
      <c r="F5" s="316" t="s">
        <v>14</v>
      </c>
      <c r="G5" s="316" t="s">
        <v>16</v>
      </c>
      <c r="H5" s="316" t="s">
        <v>379</v>
      </c>
      <c r="I5" s="316" t="s">
        <v>276</v>
      </c>
      <c r="J5" s="316" t="s">
        <v>280</v>
      </c>
      <c r="K5" s="317" t="s">
        <v>3367</v>
      </c>
    </row>
    <row r="6" spans="1:14" ht="20.25" customHeight="1">
      <c r="A6" s="318" t="s">
        <v>6</v>
      </c>
      <c r="B6" s="319">
        <f t="shared" ref="B6:K6" si="0">+B29+B10+B7+B46+B18</f>
        <v>224392423.41999999</v>
      </c>
      <c r="C6" s="319">
        <f t="shared" si="0"/>
        <v>2000</v>
      </c>
      <c r="D6" s="319">
        <f t="shared" si="0"/>
        <v>3756135.5499999993</v>
      </c>
      <c r="E6" s="319">
        <f t="shared" si="0"/>
        <v>218681370.44999999</v>
      </c>
      <c r="F6" s="319">
        <f t="shared" si="0"/>
        <v>151000</v>
      </c>
      <c r="G6" s="319">
        <f t="shared" si="0"/>
        <v>62995.68</v>
      </c>
      <c r="H6" s="319">
        <f t="shared" si="0"/>
        <v>5290</v>
      </c>
      <c r="I6" s="319">
        <f t="shared" si="0"/>
        <v>219322.45</v>
      </c>
      <c r="J6" s="319">
        <f t="shared" si="0"/>
        <v>193870.76</v>
      </c>
      <c r="K6" s="319">
        <f t="shared" si="0"/>
        <v>1320438.5300000003</v>
      </c>
      <c r="M6" s="319"/>
    </row>
    <row r="7" spans="1:14">
      <c r="A7" s="318" t="s">
        <v>2078</v>
      </c>
      <c r="B7" s="319">
        <f>+B8</f>
        <v>4000</v>
      </c>
      <c r="C7" s="319">
        <f t="shared" ref="C7:K7" si="1">+C8</f>
        <v>0</v>
      </c>
      <c r="D7" s="319">
        <f t="shared" si="1"/>
        <v>0</v>
      </c>
      <c r="E7" s="319">
        <f t="shared" si="1"/>
        <v>4000</v>
      </c>
      <c r="F7" s="319">
        <f t="shared" si="1"/>
        <v>0</v>
      </c>
      <c r="G7" s="319">
        <f t="shared" si="1"/>
        <v>0</v>
      </c>
      <c r="H7" s="319">
        <f t="shared" si="1"/>
        <v>0</v>
      </c>
      <c r="I7" s="319">
        <f t="shared" si="1"/>
        <v>0</v>
      </c>
      <c r="J7" s="319">
        <f t="shared" si="1"/>
        <v>0</v>
      </c>
      <c r="K7" s="319">
        <f t="shared" si="1"/>
        <v>0</v>
      </c>
    </row>
    <row r="8" spans="1:14">
      <c r="A8" s="318" t="s">
        <v>1830</v>
      </c>
      <c r="B8" s="319">
        <f>SUM(B9)</f>
        <v>4000</v>
      </c>
      <c r="C8" s="319">
        <f t="shared" ref="C8:K8" si="2">SUM(C9)</f>
        <v>0</v>
      </c>
      <c r="D8" s="319">
        <f t="shared" si="2"/>
        <v>0</v>
      </c>
      <c r="E8" s="319">
        <f t="shared" si="2"/>
        <v>4000</v>
      </c>
      <c r="F8" s="319">
        <f t="shared" si="2"/>
        <v>0</v>
      </c>
      <c r="G8" s="319">
        <f t="shared" si="2"/>
        <v>0</v>
      </c>
      <c r="H8" s="319">
        <f t="shared" si="2"/>
        <v>0</v>
      </c>
      <c r="I8" s="319">
        <f t="shared" si="2"/>
        <v>0</v>
      </c>
      <c r="J8" s="319">
        <f t="shared" si="2"/>
        <v>0</v>
      </c>
      <c r="K8" s="319">
        <f t="shared" si="2"/>
        <v>0</v>
      </c>
    </row>
    <row r="9" spans="1:14">
      <c r="A9" s="55" t="s">
        <v>2709</v>
      </c>
      <c r="B9" s="320">
        <v>4000</v>
      </c>
      <c r="C9" s="320">
        <v>0</v>
      </c>
      <c r="D9" s="320">
        <v>0</v>
      </c>
      <c r="E9" s="320">
        <v>4000</v>
      </c>
      <c r="F9" s="320">
        <v>0</v>
      </c>
      <c r="G9" s="320">
        <v>0</v>
      </c>
      <c r="H9" s="320">
        <v>0</v>
      </c>
      <c r="I9" s="320">
        <v>0</v>
      </c>
      <c r="J9" s="320">
        <v>0</v>
      </c>
      <c r="K9" s="320">
        <v>0</v>
      </c>
    </row>
    <row r="10" spans="1:14">
      <c r="A10" s="318" t="s">
        <v>2082</v>
      </c>
      <c r="B10" s="319">
        <f>+B11+B16</f>
        <v>6368984.1899999995</v>
      </c>
      <c r="C10" s="319">
        <f t="shared" ref="C10:K10" si="3">+C11+C16</f>
        <v>0</v>
      </c>
      <c r="D10" s="319">
        <f t="shared" si="3"/>
        <v>322119.23000000004</v>
      </c>
      <c r="E10" s="319">
        <f t="shared" si="3"/>
        <v>6038274.2000000002</v>
      </c>
      <c r="F10" s="319">
        <f t="shared" si="3"/>
        <v>0</v>
      </c>
      <c r="G10" s="319">
        <f t="shared" si="3"/>
        <v>0</v>
      </c>
      <c r="H10" s="319">
        <f t="shared" si="3"/>
        <v>0</v>
      </c>
      <c r="I10" s="319">
        <f t="shared" si="3"/>
        <v>0</v>
      </c>
      <c r="J10" s="319">
        <f t="shared" si="3"/>
        <v>8590.76</v>
      </c>
      <c r="K10" s="319">
        <f t="shared" si="3"/>
        <v>0</v>
      </c>
    </row>
    <row r="11" spans="1:14">
      <c r="A11" s="318" t="s">
        <v>2701</v>
      </c>
      <c r="B11" s="319">
        <f>SUM(B12:B15)</f>
        <v>6206797.1899999995</v>
      </c>
      <c r="C11" s="319">
        <f t="shared" ref="C11:K11" si="4">SUM(C12:C15)</f>
        <v>0</v>
      </c>
      <c r="D11" s="319">
        <f t="shared" si="4"/>
        <v>322119.23000000004</v>
      </c>
      <c r="E11" s="319">
        <f t="shared" si="4"/>
        <v>5876087.2000000002</v>
      </c>
      <c r="F11" s="319">
        <f t="shared" si="4"/>
        <v>0</v>
      </c>
      <c r="G11" s="319">
        <f t="shared" si="4"/>
        <v>0</v>
      </c>
      <c r="H11" s="319">
        <f t="shared" si="4"/>
        <v>0</v>
      </c>
      <c r="I11" s="319">
        <f t="shared" si="4"/>
        <v>0</v>
      </c>
      <c r="J11" s="319">
        <f t="shared" si="4"/>
        <v>8590.76</v>
      </c>
      <c r="K11" s="319">
        <f t="shared" si="4"/>
        <v>0</v>
      </c>
    </row>
    <row r="12" spans="1:14" ht="22.5">
      <c r="A12" s="55" t="s">
        <v>2710</v>
      </c>
      <c r="B12" s="320">
        <v>317700</v>
      </c>
      <c r="C12" s="320">
        <v>0</v>
      </c>
      <c r="D12" s="320">
        <v>0</v>
      </c>
      <c r="E12" s="320">
        <v>317700</v>
      </c>
      <c r="F12" s="320">
        <v>0</v>
      </c>
      <c r="G12" s="320">
        <v>0</v>
      </c>
      <c r="H12" s="320">
        <v>0</v>
      </c>
      <c r="I12" s="320">
        <v>0</v>
      </c>
      <c r="J12" s="320">
        <v>0</v>
      </c>
      <c r="K12" s="320">
        <v>0</v>
      </c>
    </row>
    <row r="13" spans="1:14" ht="22.5">
      <c r="A13" s="55" t="s">
        <v>2711</v>
      </c>
      <c r="B13" s="320">
        <v>12820.52</v>
      </c>
      <c r="C13" s="320">
        <v>0</v>
      </c>
      <c r="D13" s="320">
        <v>12820.52</v>
      </c>
      <c r="E13" s="320">
        <v>0</v>
      </c>
      <c r="F13" s="320">
        <v>0</v>
      </c>
      <c r="G13" s="320">
        <v>0</v>
      </c>
      <c r="H13" s="320">
        <v>0</v>
      </c>
      <c r="I13" s="320">
        <v>0</v>
      </c>
      <c r="J13" s="320">
        <v>0</v>
      </c>
      <c r="K13" s="320">
        <v>0</v>
      </c>
    </row>
    <row r="14" spans="1:14">
      <c r="A14" s="55" t="s">
        <v>2712</v>
      </c>
      <c r="B14" s="320">
        <v>4674326.75</v>
      </c>
      <c r="C14" s="320">
        <v>0</v>
      </c>
      <c r="D14" s="320">
        <v>4078.41</v>
      </c>
      <c r="E14" s="320">
        <v>4670248.34</v>
      </c>
      <c r="F14" s="320">
        <v>0</v>
      </c>
      <c r="G14" s="320">
        <v>0</v>
      </c>
      <c r="H14" s="320">
        <v>0</v>
      </c>
      <c r="I14" s="320">
        <v>0</v>
      </c>
      <c r="J14" s="320">
        <v>0</v>
      </c>
      <c r="K14" s="320">
        <v>0</v>
      </c>
    </row>
    <row r="15" spans="1:14">
      <c r="A15" s="55" t="s">
        <v>2713</v>
      </c>
      <c r="B15" s="320">
        <v>1201949.9200000002</v>
      </c>
      <c r="C15" s="320">
        <v>0</v>
      </c>
      <c r="D15" s="320">
        <v>305220.30000000005</v>
      </c>
      <c r="E15" s="320">
        <v>888138.8600000001</v>
      </c>
      <c r="F15" s="320">
        <v>0</v>
      </c>
      <c r="G15" s="320">
        <v>0</v>
      </c>
      <c r="H15" s="320">
        <v>0</v>
      </c>
      <c r="I15" s="320">
        <v>0</v>
      </c>
      <c r="J15" s="320">
        <v>8590.76</v>
      </c>
      <c r="K15" s="320">
        <v>0</v>
      </c>
    </row>
    <row r="16" spans="1:14">
      <c r="A16" s="318" t="s">
        <v>2702</v>
      </c>
      <c r="B16" s="319">
        <f>SUM(B17)</f>
        <v>162187</v>
      </c>
      <c r="C16" s="319">
        <f t="shared" ref="C16:K16" si="5">SUM(C17)</f>
        <v>0</v>
      </c>
      <c r="D16" s="319">
        <f t="shared" si="5"/>
        <v>0</v>
      </c>
      <c r="E16" s="319">
        <f t="shared" si="5"/>
        <v>162187</v>
      </c>
      <c r="F16" s="319">
        <f t="shared" si="5"/>
        <v>0</v>
      </c>
      <c r="G16" s="319">
        <f t="shared" si="5"/>
        <v>0</v>
      </c>
      <c r="H16" s="319">
        <f t="shared" si="5"/>
        <v>0</v>
      </c>
      <c r="I16" s="319">
        <f t="shared" si="5"/>
        <v>0</v>
      </c>
      <c r="J16" s="319">
        <f t="shared" si="5"/>
        <v>0</v>
      </c>
      <c r="K16" s="319">
        <f t="shared" si="5"/>
        <v>0</v>
      </c>
    </row>
    <row r="17" spans="1:13" ht="22.5">
      <c r="A17" s="55" t="s">
        <v>2714</v>
      </c>
      <c r="B17" s="320">
        <v>162187</v>
      </c>
      <c r="C17" s="320">
        <v>0</v>
      </c>
      <c r="D17" s="320">
        <v>0</v>
      </c>
      <c r="E17" s="320">
        <v>162187</v>
      </c>
      <c r="F17" s="320">
        <v>0</v>
      </c>
      <c r="G17" s="320">
        <v>0</v>
      </c>
      <c r="H17" s="320">
        <v>0</v>
      </c>
      <c r="I17" s="320">
        <v>0</v>
      </c>
      <c r="J17" s="320">
        <v>0</v>
      </c>
      <c r="K17" s="320">
        <v>0</v>
      </c>
    </row>
    <row r="18" spans="1:13">
      <c r="A18" s="318" t="s">
        <v>2084</v>
      </c>
      <c r="B18" s="319">
        <f>+B19+B21+B24</f>
        <v>15453989.65</v>
      </c>
      <c r="C18" s="319">
        <f t="shared" ref="C18:K18" si="6">+C19+C21+C24</f>
        <v>0</v>
      </c>
      <c r="D18" s="319">
        <f t="shared" si="6"/>
        <v>0</v>
      </c>
      <c r="E18" s="319">
        <f t="shared" si="6"/>
        <v>15329420.58</v>
      </c>
      <c r="F18" s="319">
        <f t="shared" si="6"/>
        <v>0</v>
      </c>
      <c r="G18" s="319">
        <f t="shared" si="6"/>
        <v>0</v>
      </c>
      <c r="H18" s="319">
        <f t="shared" si="6"/>
        <v>0</v>
      </c>
      <c r="I18" s="319">
        <f t="shared" si="6"/>
        <v>0</v>
      </c>
      <c r="J18" s="319">
        <f t="shared" si="6"/>
        <v>0</v>
      </c>
      <c r="K18" s="319">
        <f t="shared" si="6"/>
        <v>124569.07</v>
      </c>
    </row>
    <row r="19" spans="1:13">
      <c r="A19" s="318" t="s">
        <v>2704</v>
      </c>
      <c r="B19" s="319">
        <f>SUM(B20)</f>
        <v>58058.13</v>
      </c>
      <c r="C19" s="319">
        <f t="shared" ref="C19:K19" si="7">SUM(C20)</f>
        <v>0</v>
      </c>
      <c r="D19" s="319">
        <f t="shared" si="7"/>
        <v>0</v>
      </c>
      <c r="E19" s="319">
        <f t="shared" si="7"/>
        <v>44877.66</v>
      </c>
      <c r="F19" s="319">
        <f t="shared" si="7"/>
        <v>0</v>
      </c>
      <c r="G19" s="319">
        <f t="shared" si="7"/>
        <v>0</v>
      </c>
      <c r="H19" s="319">
        <f t="shared" si="7"/>
        <v>0</v>
      </c>
      <c r="I19" s="319">
        <f t="shared" si="7"/>
        <v>0</v>
      </c>
      <c r="J19" s="319">
        <f t="shared" si="7"/>
        <v>0</v>
      </c>
      <c r="K19" s="319">
        <f t="shared" si="7"/>
        <v>13180.47</v>
      </c>
    </row>
    <row r="20" spans="1:13">
      <c r="A20" s="55" t="s">
        <v>2717</v>
      </c>
      <c r="B20" s="320">
        <v>58058.13</v>
      </c>
      <c r="C20" s="320">
        <v>0</v>
      </c>
      <c r="D20" s="320">
        <v>0</v>
      </c>
      <c r="E20" s="320">
        <v>44877.66</v>
      </c>
      <c r="F20" s="320">
        <v>0</v>
      </c>
      <c r="G20" s="320">
        <v>0</v>
      </c>
      <c r="H20" s="320">
        <v>0</v>
      </c>
      <c r="I20" s="320">
        <v>0</v>
      </c>
      <c r="J20" s="320">
        <v>0</v>
      </c>
      <c r="K20" s="320">
        <v>13180.47</v>
      </c>
    </row>
    <row r="21" spans="1:13">
      <c r="A21" s="318" t="s">
        <v>926</v>
      </c>
      <c r="B21" s="319">
        <f>SUM(B22:B23)</f>
        <v>11876415.539999999</v>
      </c>
      <c r="C21" s="319">
        <f t="shared" ref="C21:K21" si="8">SUM(C22:C23)</f>
        <v>0</v>
      </c>
      <c r="D21" s="319">
        <f t="shared" si="8"/>
        <v>0</v>
      </c>
      <c r="E21" s="319">
        <f t="shared" si="8"/>
        <v>11775226.939999999</v>
      </c>
      <c r="F21" s="319">
        <f t="shared" si="8"/>
        <v>0</v>
      </c>
      <c r="G21" s="319">
        <f t="shared" si="8"/>
        <v>0</v>
      </c>
      <c r="H21" s="319">
        <f t="shared" si="8"/>
        <v>0</v>
      </c>
      <c r="I21" s="319">
        <f t="shared" si="8"/>
        <v>0</v>
      </c>
      <c r="J21" s="319">
        <f t="shared" si="8"/>
        <v>0</v>
      </c>
      <c r="K21" s="319">
        <f t="shared" si="8"/>
        <v>101188.6</v>
      </c>
    </row>
    <row r="22" spans="1:13" ht="45">
      <c r="A22" s="55" t="s">
        <v>2718</v>
      </c>
      <c r="B22" s="320">
        <v>7811669.7999999998</v>
      </c>
      <c r="C22" s="320">
        <v>0</v>
      </c>
      <c r="D22" s="320">
        <v>0</v>
      </c>
      <c r="E22" s="320">
        <v>7713567.7999999998</v>
      </c>
      <c r="F22" s="320">
        <v>0</v>
      </c>
      <c r="G22" s="320">
        <v>0</v>
      </c>
      <c r="H22" s="320">
        <v>0</v>
      </c>
      <c r="I22" s="320">
        <v>0</v>
      </c>
      <c r="J22" s="320">
        <v>0</v>
      </c>
      <c r="K22" s="320">
        <v>98102</v>
      </c>
    </row>
    <row r="23" spans="1:13" ht="22.5">
      <c r="A23" s="55" t="s">
        <v>2719</v>
      </c>
      <c r="B23" s="320">
        <v>4064745.7399999998</v>
      </c>
      <c r="C23" s="320">
        <v>0</v>
      </c>
      <c r="D23" s="320">
        <v>0</v>
      </c>
      <c r="E23" s="320">
        <v>4061659.1399999997</v>
      </c>
      <c r="F23" s="320">
        <v>0</v>
      </c>
      <c r="G23" s="320">
        <v>0</v>
      </c>
      <c r="H23" s="320">
        <v>0</v>
      </c>
      <c r="I23" s="320">
        <v>0</v>
      </c>
      <c r="J23" s="320">
        <v>0</v>
      </c>
      <c r="K23" s="320">
        <v>3086.6</v>
      </c>
    </row>
    <row r="24" spans="1:13">
      <c r="A24" s="318" t="s">
        <v>1223</v>
      </c>
      <c r="B24" s="319">
        <f>SUM(B25:B28)</f>
        <v>3519515.98</v>
      </c>
      <c r="C24" s="319">
        <f t="shared" ref="C24:K24" si="9">SUM(C25:C28)</f>
        <v>0</v>
      </c>
      <c r="D24" s="319">
        <f t="shared" si="9"/>
        <v>0</v>
      </c>
      <c r="E24" s="319">
        <f t="shared" si="9"/>
        <v>3509315.98</v>
      </c>
      <c r="F24" s="319">
        <f t="shared" si="9"/>
        <v>0</v>
      </c>
      <c r="G24" s="319">
        <f t="shared" si="9"/>
        <v>0</v>
      </c>
      <c r="H24" s="319">
        <f t="shared" si="9"/>
        <v>0</v>
      </c>
      <c r="I24" s="319">
        <f t="shared" si="9"/>
        <v>0</v>
      </c>
      <c r="J24" s="319">
        <f t="shared" si="9"/>
        <v>0</v>
      </c>
      <c r="K24" s="319">
        <f t="shared" si="9"/>
        <v>10200</v>
      </c>
    </row>
    <row r="25" spans="1:13" ht="22.5">
      <c r="A25" s="55" t="s">
        <v>2721</v>
      </c>
      <c r="B25" s="320">
        <v>360</v>
      </c>
      <c r="C25" s="320">
        <v>0</v>
      </c>
      <c r="D25" s="320">
        <v>0</v>
      </c>
      <c r="E25" s="320">
        <v>360</v>
      </c>
      <c r="F25" s="320">
        <v>0</v>
      </c>
      <c r="G25" s="320">
        <v>0</v>
      </c>
      <c r="H25" s="320">
        <v>0</v>
      </c>
      <c r="I25" s="320">
        <v>0</v>
      </c>
      <c r="J25" s="320">
        <v>0</v>
      </c>
      <c r="K25" s="320">
        <v>0</v>
      </c>
    </row>
    <row r="26" spans="1:13" ht="33.75">
      <c r="A26" s="55" t="s">
        <v>2722</v>
      </c>
      <c r="B26" s="320">
        <v>107712</v>
      </c>
      <c r="C26" s="320">
        <v>0</v>
      </c>
      <c r="D26" s="320">
        <v>0</v>
      </c>
      <c r="E26" s="320">
        <v>107712</v>
      </c>
      <c r="F26" s="320">
        <v>0</v>
      </c>
      <c r="G26" s="320">
        <v>0</v>
      </c>
      <c r="H26" s="320">
        <v>0</v>
      </c>
      <c r="I26" s="320">
        <v>0</v>
      </c>
      <c r="J26" s="320">
        <v>0</v>
      </c>
      <c r="K26" s="320">
        <v>0</v>
      </c>
    </row>
    <row r="27" spans="1:13" ht="22.5">
      <c r="A27" s="55" t="s">
        <v>2723</v>
      </c>
      <c r="B27" s="320">
        <v>1354257.21</v>
      </c>
      <c r="C27" s="320">
        <v>0</v>
      </c>
      <c r="D27" s="320">
        <v>0</v>
      </c>
      <c r="E27" s="320">
        <v>1354257.21</v>
      </c>
      <c r="F27" s="320">
        <v>0</v>
      </c>
      <c r="G27" s="320">
        <v>0</v>
      </c>
      <c r="H27" s="320">
        <v>0</v>
      </c>
      <c r="I27" s="320">
        <v>0</v>
      </c>
      <c r="J27" s="320">
        <v>0</v>
      </c>
      <c r="K27" s="320">
        <v>0</v>
      </c>
    </row>
    <row r="28" spans="1:13" ht="22.5">
      <c r="A28" s="55" t="s">
        <v>2724</v>
      </c>
      <c r="B28" s="320">
        <v>2057186.77</v>
      </c>
      <c r="C28" s="320">
        <v>0</v>
      </c>
      <c r="D28" s="320">
        <v>0</v>
      </c>
      <c r="E28" s="320">
        <v>2046986.77</v>
      </c>
      <c r="F28" s="320">
        <v>0</v>
      </c>
      <c r="G28" s="320">
        <v>0</v>
      </c>
      <c r="H28" s="320">
        <v>0</v>
      </c>
      <c r="I28" s="320">
        <v>0</v>
      </c>
      <c r="J28" s="320">
        <v>0</v>
      </c>
      <c r="K28" s="320">
        <v>10200</v>
      </c>
    </row>
    <row r="29" spans="1:13">
      <c r="A29" s="318" t="s">
        <v>2553</v>
      </c>
      <c r="B29" s="319">
        <f>SUM(B30,B35,B38,B44)</f>
        <v>31028332.579999998</v>
      </c>
      <c r="C29" s="319">
        <f t="shared" ref="C29:K29" si="10">SUM(C30,C35,C38,C44)</f>
        <v>0</v>
      </c>
      <c r="D29" s="319">
        <f t="shared" si="10"/>
        <v>61005.440000000002</v>
      </c>
      <c r="E29" s="319">
        <f t="shared" si="10"/>
        <v>30909381.84</v>
      </c>
      <c r="F29" s="319">
        <f t="shared" si="10"/>
        <v>31000</v>
      </c>
      <c r="G29" s="319">
        <f t="shared" si="10"/>
        <v>0</v>
      </c>
      <c r="H29" s="319">
        <f t="shared" si="10"/>
        <v>0</v>
      </c>
      <c r="I29" s="319">
        <f t="shared" si="10"/>
        <v>0</v>
      </c>
      <c r="J29" s="319">
        <f t="shared" si="10"/>
        <v>0</v>
      </c>
      <c r="K29" s="319">
        <f t="shared" si="10"/>
        <v>26945.3</v>
      </c>
      <c r="M29" s="320"/>
    </row>
    <row r="30" spans="1:13">
      <c r="A30" s="318" t="s">
        <v>2091</v>
      </c>
      <c r="B30" s="319">
        <f>SUM(B31:B34)</f>
        <v>910309.49000000011</v>
      </c>
      <c r="C30" s="319">
        <f t="shared" ref="C30:K30" si="11">SUM(C31:C34)</f>
        <v>0</v>
      </c>
      <c r="D30" s="319">
        <f t="shared" si="11"/>
        <v>0</v>
      </c>
      <c r="E30" s="319">
        <f t="shared" si="11"/>
        <v>910309.49000000011</v>
      </c>
      <c r="F30" s="319">
        <f t="shared" si="11"/>
        <v>0</v>
      </c>
      <c r="G30" s="319">
        <f t="shared" si="11"/>
        <v>0</v>
      </c>
      <c r="H30" s="319">
        <f t="shared" si="11"/>
        <v>0</v>
      </c>
      <c r="I30" s="319">
        <f t="shared" si="11"/>
        <v>0</v>
      </c>
      <c r="J30" s="319">
        <f t="shared" si="11"/>
        <v>0</v>
      </c>
      <c r="K30" s="319">
        <f t="shared" si="11"/>
        <v>0</v>
      </c>
    </row>
    <row r="31" spans="1:13" ht="22.5">
      <c r="A31" s="55" t="s">
        <v>2728</v>
      </c>
      <c r="B31" s="320">
        <v>212657.16</v>
      </c>
      <c r="C31" s="320">
        <v>0</v>
      </c>
      <c r="D31" s="320">
        <v>0</v>
      </c>
      <c r="E31" s="320">
        <v>212657.16</v>
      </c>
      <c r="F31" s="320">
        <v>0</v>
      </c>
      <c r="G31" s="320">
        <v>0</v>
      </c>
      <c r="H31" s="320">
        <v>0</v>
      </c>
      <c r="I31" s="320">
        <v>0</v>
      </c>
      <c r="J31" s="320">
        <v>0</v>
      </c>
      <c r="K31" s="320">
        <v>0</v>
      </c>
      <c r="M31" s="320"/>
    </row>
    <row r="32" spans="1:13" ht="22.5">
      <c r="A32" s="55" t="s">
        <v>2730</v>
      </c>
      <c r="B32" s="320">
        <v>47998</v>
      </c>
      <c r="C32" s="320">
        <v>0</v>
      </c>
      <c r="D32" s="320">
        <v>0</v>
      </c>
      <c r="E32" s="320">
        <v>47998</v>
      </c>
      <c r="F32" s="320">
        <v>0</v>
      </c>
      <c r="G32" s="320">
        <v>0</v>
      </c>
      <c r="H32" s="320">
        <v>0</v>
      </c>
      <c r="I32" s="320">
        <v>0</v>
      </c>
      <c r="J32" s="320">
        <v>0</v>
      </c>
      <c r="K32" s="320">
        <v>0</v>
      </c>
    </row>
    <row r="33" spans="1:11" ht="22.5">
      <c r="A33" s="55" t="s">
        <v>2731</v>
      </c>
      <c r="B33" s="320">
        <v>632888.33000000007</v>
      </c>
      <c r="C33" s="320">
        <v>0</v>
      </c>
      <c r="D33" s="320">
        <v>0</v>
      </c>
      <c r="E33" s="320">
        <v>632888.33000000007</v>
      </c>
      <c r="F33" s="320">
        <v>0</v>
      </c>
      <c r="G33" s="320">
        <v>0</v>
      </c>
      <c r="H33" s="320">
        <v>0</v>
      </c>
      <c r="I33" s="320">
        <v>0</v>
      </c>
      <c r="J33" s="320">
        <v>0</v>
      </c>
      <c r="K33" s="320">
        <v>0</v>
      </c>
    </row>
    <row r="34" spans="1:11" ht="22.5">
      <c r="A34" s="55" t="s">
        <v>2732</v>
      </c>
      <c r="B34" s="320">
        <v>16766</v>
      </c>
      <c r="C34" s="320">
        <v>0</v>
      </c>
      <c r="D34" s="320">
        <v>0</v>
      </c>
      <c r="E34" s="320">
        <v>16766</v>
      </c>
      <c r="F34" s="320">
        <v>0</v>
      </c>
      <c r="G34" s="320">
        <v>0</v>
      </c>
      <c r="H34" s="320">
        <v>0</v>
      </c>
      <c r="I34" s="320">
        <v>0</v>
      </c>
      <c r="J34" s="320">
        <v>0</v>
      </c>
      <c r="K34" s="320">
        <v>0</v>
      </c>
    </row>
    <row r="35" spans="1:11">
      <c r="A35" s="318" t="s">
        <v>2092</v>
      </c>
      <c r="B35" s="319">
        <f>SUM(B36:B37)</f>
        <v>3633131.5900000003</v>
      </c>
      <c r="C35" s="319">
        <f t="shared" ref="C35:K35" si="12">SUM(C36:C37)</f>
        <v>0</v>
      </c>
      <c r="D35" s="319">
        <f t="shared" si="12"/>
        <v>29997.54</v>
      </c>
      <c r="E35" s="319">
        <f t="shared" si="12"/>
        <v>3578316.0500000003</v>
      </c>
      <c r="F35" s="319">
        <f t="shared" si="12"/>
        <v>0</v>
      </c>
      <c r="G35" s="319">
        <f t="shared" si="12"/>
        <v>0</v>
      </c>
      <c r="H35" s="319">
        <f t="shared" si="12"/>
        <v>0</v>
      </c>
      <c r="I35" s="319">
        <f t="shared" si="12"/>
        <v>0</v>
      </c>
      <c r="J35" s="319">
        <f t="shared" si="12"/>
        <v>0</v>
      </c>
      <c r="K35" s="319">
        <f t="shared" si="12"/>
        <v>24818</v>
      </c>
    </row>
    <row r="36" spans="1:11">
      <c r="A36" s="55" t="s">
        <v>2735</v>
      </c>
      <c r="B36" s="320">
        <v>3606046.2500000005</v>
      </c>
      <c r="C36" s="320">
        <v>0</v>
      </c>
      <c r="D36" s="320">
        <v>2912.2</v>
      </c>
      <c r="E36" s="320">
        <v>3578316.0500000003</v>
      </c>
      <c r="F36" s="320">
        <v>0</v>
      </c>
      <c r="G36" s="320">
        <v>0</v>
      </c>
      <c r="H36" s="320">
        <v>0</v>
      </c>
      <c r="I36" s="320">
        <v>0</v>
      </c>
      <c r="J36" s="320">
        <v>0</v>
      </c>
      <c r="K36" s="320">
        <v>24818</v>
      </c>
    </row>
    <row r="37" spans="1:11">
      <c r="A37" s="55" t="s">
        <v>2736</v>
      </c>
      <c r="B37" s="320">
        <v>27085.34</v>
      </c>
      <c r="C37" s="320">
        <v>0</v>
      </c>
      <c r="D37" s="320">
        <v>27085.34</v>
      </c>
      <c r="E37" s="320">
        <v>0</v>
      </c>
      <c r="F37" s="320">
        <v>0</v>
      </c>
      <c r="G37" s="320">
        <v>0</v>
      </c>
      <c r="H37" s="320">
        <v>0</v>
      </c>
      <c r="I37" s="320">
        <v>0</v>
      </c>
      <c r="J37" s="320">
        <v>0</v>
      </c>
      <c r="K37" s="320">
        <v>0</v>
      </c>
    </row>
    <row r="38" spans="1:11">
      <c r="A38" s="318" t="s">
        <v>1833</v>
      </c>
      <c r="B38" s="319">
        <f>SUM(B39:B43)</f>
        <v>25722737.07</v>
      </c>
      <c r="C38" s="319">
        <f t="shared" ref="C38:K38" si="13">SUM(C39:C43)</f>
        <v>0</v>
      </c>
      <c r="D38" s="319">
        <f t="shared" si="13"/>
        <v>28506.03</v>
      </c>
      <c r="E38" s="319">
        <f t="shared" si="13"/>
        <v>25661103.740000002</v>
      </c>
      <c r="F38" s="319">
        <f t="shared" si="13"/>
        <v>31000</v>
      </c>
      <c r="G38" s="319">
        <f t="shared" si="13"/>
        <v>0</v>
      </c>
      <c r="H38" s="319">
        <f t="shared" si="13"/>
        <v>0</v>
      </c>
      <c r="I38" s="319">
        <f t="shared" si="13"/>
        <v>0</v>
      </c>
      <c r="J38" s="319">
        <f t="shared" si="13"/>
        <v>0</v>
      </c>
      <c r="K38" s="319">
        <f t="shared" si="13"/>
        <v>2127.3000000000002</v>
      </c>
    </row>
    <row r="39" spans="1:11" ht="22.5">
      <c r="A39" s="55" t="s">
        <v>2737</v>
      </c>
      <c r="B39" s="320">
        <v>119491.62</v>
      </c>
      <c r="C39" s="320">
        <v>0</v>
      </c>
      <c r="D39" s="320">
        <v>0</v>
      </c>
      <c r="E39" s="320">
        <v>119491.62</v>
      </c>
      <c r="F39" s="320">
        <v>0</v>
      </c>
      <c r="G39" s="320">
        <v>0</v>
      </c>
      <c r="H39" s="320">
        <v>0</v>
      </c>
      <c r="I39" s="320">
        <v>0</v>
      </c>
      <c r="J39" s="320">
        <v>0</v>
      </c>
      <c r="K39" s="320">
        <v>0</v>
      </c>
    </row>
    <row r="40" spans="1:11">
      <c r="A40" s="55" t="s">
        <v>2738</v>
      </c>
      <c r="B40" s="320">
        <v>5195452.6900000004</v>
      </c>
      <c r="C40" s="320">
        <v>0</v>
      </c>
      <c r="D40" s="320">
        <v>28506.03</v>
      </c>
      <c r="E40" s="320">
        <v>5133819.3600000003</v>
      </c>
      <c r="F40" s="320">
        <v>31000</v>
      </c>
      <c r="G40" s="320">
        <v>0</v>
      </c>
      <c r="H40" s="320">
        <v>0</v>
      </c>
      <c r="I40" s="320">
        <v>0</v>
      </c>
      <c r="J40" s="320">
        <v>0</v>
      </c>
      <c r="K40" s="320">
        <v>2127.3000000000002</v>
      </c>
    </row>
    <row r="41" spans="1:11">
      <c r="A41" s="55" t="s">
        <v>2739</v>
      </c>
      <c r="B41" s="320">
        <v>52235.69</v>
      </c>
      <c r="C41" s="320">
        <v>0</v>
      </c>
      <c r="D41" s="320">
        <v>0</v>
      </c>
      <c r="E41" s="320">
        <v>52235.69</v>
      </c>
      <c r="F41" s="320">
        <v>0</v>
      </c>
      <c r="G41" s="320">
        <v>0</v>
      </c>
      <c r="H41" s="320">
        <v>0</v>
      </c>
      <c r="I41" s="320">
        <v>0</v>
      </c>
      <c r="J41" s="320">
        <v>0</v>
      </c>
      <c r="K41" s="320">
        <v>0</v>
      </c>
    </row>
    <row r="42" spans="1:11" ht="33.75">
      <c r="A42" s="55" t="s">
        <v>2740</v>
      </c>
      <c r="B42" s="320">
        <v>20209968.359999999</v>
      </c>
      <c r="C42" s="320">
        <v>0</v>
      </c>
      <c r="D42" s="320">
        <v>0</v>
      </c>
      <c r="E42" s="320">
        <v>20209968.359999999</v>
      </c>
      <c r="F42" s="320">
        <v>0</v>
      </c>
      <c r="G42" s="320">
        <v>0</v>
      </c>
      <c r="H42" s="320">
        <v>0</v>
      </c>
      <c r="I42" s="320">
        <v>0</v>
      </c>
      <c r="J42" s="320">
        <v>0</v>
      </c>
      <c r="K42" s="320">
        <v>0</v>
      </c>
    </row>
    <row r="43" spans="1:11">
      <c r="A43" s="55" t="s">
        <v>2741</v>
      </c>
      <c r="B43" s="320">
        <v>145588.71</v>
      </c>
      <c r="C43" s="320">
        <v>0</v>
      </c>
      <c r="D43" s="320">
        <v>0</v>
      </c>
      <c r="E43" s="320">
        <v>145588.71</v>
      </c>
      <c r="F43" s="320">
        <v>0</v>
      </c>
      <c r="G43" s="320">
        <v>0</v>
      </c>
      <c r="H43" s="320">
        <v>0</v>
      </c>
      <c r="I43" s="320">
        <v>0</v>
      </c>
      <c r="J43" s="320">
        <v>0</v>
      </c>
      <c r="K43" s="320">
        <v>0</v>
      </c>
    </row>
    <row r="44" spans="1:11">
      <c r="A44" s="318" t="s">
        <v>2705</v>
      </c>
      <c r="B44" s="319">
        <f>SUM(B45)</f>
        <v>762154.43</v>
      </c>
      <c r="C44" s="319">
        <f t="shared" ref="C44:K44" si="14">SUM(C45)</f>
        <v>0</v>
      </c>
      <c r="D44" s="319">
        <f t="shared" si="14"/>
        <v>2501.87</v>
      </c>
      <c r="E44" s="319">
        <f t="shared" si="14"/>
        <v>759652.56</v>
      </c>
      <c r="F44" s="319">
        <f t="shared" si="14"/>
        <v>0</v>
      </c>
      <c r="G44" s="319">
        <f t="shared" si="14"/>
        <v>0</v>
      </c>
      <c r="H44" s="319">
        <f t="shared" si="14"/>
        <v>0</v>
      </c>
      <c r="I44" s="319">
        <f t="shared" si="14"/>
        <v>0</v>
      </c>
      <c r="J44" s="319">
        <f t="shared" si="14"/>
        <v>0</v>
      </c>
      <c r="K44" s="319">
        <f t="shared" si="14"/>
        <v>0</v>
      </c>
    </row>
    <row r="45" spans="1:11">
      <c r="A45" s="55" t="s">
        <v>2742</v>
      </c>
      <c r="B45" s="320">
        <v>762154.43</v>
      </c>
      <c r="C45" s="320">
        <v>0</v>
      </c>
      <c r="D45" s="320">
        <v>2501.87</v>
      </c>
      <c r="E45" s="320">
        <v>759652.56</v>
      </c>
      <c r="F45" s="320">
        <v>0</v>
      </c>
      <c r="G45" s="320">
        <v>0</v>
      </c>
      <c r="H45" s="320">
        <v>0</v>
      </c>
      <c r="I45" s="320">
        <v>0</v>
      </c>
      <c r="J45" s="320">
        <v>0</v>
      </c>
      <c r="K45" s="320">
        <v>0</v>
      </c>
    </row>
    <row r="46" spans="1:11" ht="15.75" customHeight="1">
      <c r="A46" s="318" t="s">
        <v>2554</v>
      </c>
      <c r="B46" s="319">
        <f>+B47+B49</f>
        <v>171537117</v>
      </c>
      <c r="C46" s="319">
        <f t="shared" ref="C46:K46" si="15">+C47+C49</f>
        <v>2000</v>
      </c>
      <c r="D46" s="319">
        <f t="shared" si="15"/>
        <v>3373010.8799999994</v>
      </c>
      <c r="E46" s="319">
        <f t="shared" si="15"/>
        <v>166400293.82999998</v>
      </c>
      <c r="F46" s="319">
        <f t="shared" si="15"/>
        <v>120000</v>
      </c>
      <c r="G46" s="319">
        <f t="shared" si="15"/>
        <v>62995.68</v>
      </c>
      <c r="H46" s="319">
        <f t="shared" si="15"/>
        <v>5290</v>
      </c>
      <c r="I46" s="319">
        <f t="shared" si="15"/>
        <v>219322.45</v>
      </c>
      <c r="J46" s="319">
        <f t="shared" si="15"/>
        <v>185280</v>
      </c>
      <c r="K46" s="319">
        <f t="shared" si="15"/>
        <v>1168924.1600000001</v>
      </c>
    </row>
    <row r="47" spans="1:11">
      <c r="A47" s="318" t="s">
        <v>2706</v>
      </c>
      <c r="B47" s="319">
        <f>SUM(B48)</f>
        <v>3941277</v>
      </c>
      <c r="C47" s="319">
        <f t="shared" ref="C47:K47" si="16">SUM(C48)</f>
        <v>0</v>
      </c>
      <c r="D47" s="319">
        <f t="shared" si="16"/>
        <v>0</v>
      </c>
      <c r="E47" s="319">
        <f t="shared" si="16"/>
        <v>3941277</v>
      </c>
      <c r="F47" s="319">
        <f t="shared" si="16"/>
        <v>0</v>
      </c>
      <c r="G47" s="319">
        <f t="shared" si="16"/>
        <v>0</v>
      </c>
      <c r="H47" s="319">
        <f t="shared" si="16"/>
        <v>0</v>
      </c>
      <c r="I47" s="319">
        <f t="shared" si="16"/>
        <v>0</v>
      </c>
      <c r="J47" s="319">
        <f t="shared" si="16"/>
        <v>0</v>
      </c>
      <c r="K47" s="319">
        <f t="shared" si="16"/>
        <v>0</v>
      </c>
    </row>
    <row r="48" spans="1:11" ht="22.5">
      <c r="A48" s="55" t="s">
        <v>2743</v>
      </c>
      <c r="B48" s="320">
        <v>3941277</v>
      </c>
      <c r="C48" s="320">
        <v>0</v>
      </c>
      <c r="D48" s="320">
        <v>0</v>
      </c>
      <c r="E48" s="320">
        <v>3941277</v>
      </c>
      <c r="F48" s="320">
        <v>0</v>
      </c>
      <c r="G48" s="320">
        <v>0</v>
      </c>
      <c r="H48" s="320">
        <v>0</v>
      </c>
      <c r="I48" s="320">
        <v>0</v>
      </c>
      <c r="J48" s="320">
        <v>0</v>
      </c>
      <c r="K48" s="320">
        <v>0</v>
      </c>
    </row>
    <row r="49" spans="1:11">
      <c r="A49" s="318" t="s">
        <v>2095</v>
      </c>
      <c r="B49" s="319">
        <f>SUM(B50:B64)</f>
        <v>167595840</v>
      </c>
      <c r="C49" s="319">
        <f t="shared" ref="C49:K49" si="17">SUM(C50:C64)</f>
        <v>2000</v>
      </c>
      <c r="D49" s="319">
        <f t="shared" si="17"/>
        <v>3373010.8799999994</v>
      </c>
      <c r="E49" s="319">
        <f t="shared" si="17"/>
        <v>162459016.82999998</v>
      </c>
      <c r="F49" s="319">
        <f t="shared" si="17"/>
        <v>120000</v>
      </c>
      <c r="G49" s="319">
        <f t="shared" si="17"/>
        <v>62995.68</v>
      </c>
      <c r="H49" s="319">
        <f t="shared" si="17"/>
        <v>5290</v>
      </c>
      <c r="I49" s="319">
        <f t="shared" si="17"/>
        <v>219322.45</v>
      </c>
      <c r="J49" s="319">
        <f t="shared" si="17"/>
        <v>185280</v>
      </c>
      <c r="K49" s="319">
        <f t="shared" si="17"/>
        <v>1168924.1600000001</v>
      </c>
    </row>
    <row r="50" spans="1:11" ht="22.5">
      <c r="A50" s="55" t="s">
        <v>2744</v>
      </c>
      <c r="B50" s="320">
        <v>4303808.8499999996</v>
      </c>
      <c r="C50" s="320">
        <v>0</v>
      </c>
      <c r="D50" s="320">
        <v>0</v>
      </c>
      <c r="E50" s="320">
        <v>3947375.85</v>
      </c>
      <c r="F50" s="320">
        <v>0</v>
      </c>
      <c r="G50" s="320">
        <v>0</v>
      </c>
      <c r="H50" s="320">
        <v>0</v>
      </c>
      <c r="I50" s="320">
        <v>0</v>
      </c>
      <c r="J50" s="320">
        <v>0</v>
      </c>
      <c r="K50" s="320">
        <v>356433</v>
      </c>
    </row>
    <row r="51" spans="1:11" ht="22.5">
      <c r="A51" s="55" t="s">
        <v>2745</v>
      </c>
      <c r="B51" s="320">
        <v>1620598.3200000003</v>
      </c>
      <c r="C51" s="320">
        <v>0</v>
      </c>
      <c r="D51" s="320">
        <v>0</v>
      </c>
      <c r="E51" s="320">
        <v>1620598.3200000003</v>
      </c>
      <c r="F51" s="320">
        <v>0</v>
      </c>
      <c r="G51" s="320">
        <v>0</v>
      </c>
      <c r="H51" s="320">
        <v>0</v>
      </c>
      <c r="I51" s="320">
        <v>0</v>
      </c>
      <c r="J51" s="320">
        <v>0</v>
      </c>
      <c r="K51" s="320">
        <v>0</v>
      </c>
    </row>
    <row r="52" spans="1:11" ht="33.75">
      <c r="A52" s="55" t="s">
        <v>2746</v>
      </c>
      <c r="B52" s="320">
        <v>29489503.460000001</v>
      </c>
      <c r="C52" s="320">
        <v>2000</v>
      </c>
      <c r="D52" s="320">
        <v>445008.24</v>
      </c>
      <c r="E52" s="320">
        <v>29025489.539999999</v>
      </c>
      <c r="F52" s="320">
        <v>0</v>
      </c>
      <c r="G52" s="320">
        <v>17005.68</v>
      </c>
      <c r="H52" s="320">
        <v>0</v>
      </c>
      <c r="I52" s="320">
        <v>0</v>
      </c>
      <c r="J52" s="320">
        <v>0</v>
      </c>
      <c r="K52" s="320">
        <v>0</v>
      </c>
    </row>
    <row r="53" spans="1:11" ht="22.5">
      <c r="A53" s="55" t="s">
        <v>2747</v>
      </c>
      <c r="B53" s="320">
        <v>12609384.129999999</v>
      </c>
      <c r="C53" s="320">
        <v>0</v>
      </c>
      <c r="D53" s="320">
        <v>452857.63</v>
      </c>
      <c r="E53" s="320">
        <v>11986861.329999998</v>
      </c>
      <c r="F53" s="320">
        <v>120000</v>
      </c>
      <c r="G53" s="320">
        <v>0</v>
      </c>
      <c r="H53" s="320">
        <v>5290</v>
      </c>
      <c r="I53" s="320">
        <v>0</v>
      </c>
      <c r="J53" s="320">
        <v>0</v>
      </c>
      <c r="K53" s="320">
        <v>44375.17</v>
      </c>
    </row>
    <row r="54" spans="1:11" ht="33.75">
      <c r="A54" s="55" t="s">
        <v>2748</v>
      </c>
      <c r="B54" s="320">
        <v>8765255.0899999999</v>
      </c>
      <c r="C54" s="320">
        <v>0</v>
      </c>
      <c r="D54" s="320">
        <v>497871.2</v>
      </c>
      <c r="E54" s="320">
        <v>8051833.8900000006</v>
      </c>
      <c r="F54" s="320">
        <v>0</v>
      </c>
      <c r="G54" s="320">
        <v>0</v>
      </c>
      <c r="H54" s="320">
        <v>0</v>
      </c>
      <c r="I54" s="320">
        <v>0</v>
      </c>
      <c r="J54" s="320">
        <v>185280</v>
      </c>
      <c r="K54" s="320">
        <v>30270</v>
      </c>
    </row>
    <row r="55" spans="1:11">
      <c r="A55" s="55" t="s">
        <v>2749</v>
      </c>
      <c r="B55" s="320">
        <v>1860.94</v>
      </c>
      <c r="C55" s="320">
        <v>0</v>
      </c>
      <c r="D55" s="320">
        <v>1250.94</v>
      </c>
      <c r="E55" s="320">
        <v>610</v>
      </c>
      <c r="F55" s="320">
        <v>0</v>
      </c>
      <c r="G55" s="320">
        <v>0</v>
      </c>
      <c r="H55" s="320">
        <v>0</v>
      </c>
      <c r="I55" s="320">
        <v>0</v>
      </c>
      <c r="J55" s="320">
        <v>0</v>
      </c>
      <c r="K55" s="320">
        <v>0</v>
      </c>
    </row>
    <row r="56" spans="1:11" ht="22.5">
      <c r="A56" s="55" t="s">
        <v>2750</v>
      </c>
      <c r="B56" s="320">
        <v>1376423.32</v>
      </c>
      <c r="C56" s="320">
        <v>0</v>
      </c>
      <c r="D56" s="320">
        <v>0</v>
      </c>
      <c r="E56" s="320">
        <v>1376423.32</v>
      </c>
      <c r="F56" s="320">
        <v>0</v>
      </c>
      <c r="G56" s="320">
        <v>0</v>
      </c>
      <c r="H56" s="320">
        <v>0</v>
      </c>
      <c r="I56" s="320">
        <v>0</v>
      </c>
      <c r="J56" s="320">
        <v>0</v>
      </c>
      <c r="K56" s="320">
        <v>0</v>
      </c>
    </row>
    <row r="57" spans="1:11">
      <c r="A57" s="55" t="s">
        <v>2751</v>
      </c>
      <c r="B57" s="320">
        <v>49302490.839999996</v>
      </c>
      <c r="C57" s="320">
        <v>0</v>
      </c>
      <c r="D57" s="320">
        <v>1715660.4699999997</v>
      </c>
      <c r="E57" s="320">
        <v>47311397.919999994</v>
      </c>
      <c r="F57" s="320">
        <v>0</v>
      </c>
      <c r="G57" s="320">
        <v>42000</v>
      </c>
      <c r="H57" s="320">
        <v>0</v>
      </c>
      <c r="I57" s="320">
        <v>219322.45</v>
      </c>
      <c r="J57" s="320">
        <v>0</v>
      </c>
      <c r="K57" s="320">
        <v>14110</v>
      </c>
    </row>
    <row r="58" spans="1:11" ht="22.5">
      <c r="A58" s="55" t="s">
        <v>2752</v>
      </c>
      <c r="B58" s="320">
        <v>435450.55</v>
      </c>
      <c r="C58" s="320">
        <v>0</v>
      </c>
      <c r="D58" s="320">
        <v>67416</v>
      </c>
      <c r="E58" s="320">
        <v>325892.95</v>
      </c>
      <c r="F58" s="320">
        <v>0</v>
      </c>
      <c r="G58" s="320">
        <v>0</v>
      </c>
      <c r="H58" s="320">
        <v>0</v>
      </c>
      <c r="I58" s="320">
        <v>0</v>
      </c>
      <c r="J58" s="320">
        <v>0</v>
      </c>
      <c r="K58" s="320">
        <v>42141.599999999999</v>
      </c>
    </row>
    <row r="59" spans="1:11" ht="45">
      <c r="A59" s="55" t="s">
        <v>2753</v>
      </c>
      <c r="B59" s="320">
        <v>18082722.960000001</v>
      </c>
      <c r="C59" s="320">
        <v>0</v>
      </c>
      <c r="D59" s="320">
        <v>0</v>
      </c>
      <c r="E59" s="320">
        <v>17732111.990000002</v>
      </c>
      <c r="F59" s="320">
        <v>0</v>
      </c>
      <c r="G59" s="320">
        <v>0</v>
      </c>
      <c r="H59" s="320">
        <v>0</v>
      </c>
      <c r="I59" s="320">
        <v>0</v>
      </c>
      <c r="J59" s="320">
        <v>0</v>
      </c>
      <c r="K59" s="320">
        <v>350610.97</v>
      </c>
    </row>
    <row r="60" spans="1:11" ht="22.5">
      <c r="A60" s="55" t="s">
        <v>2754</v>
      </c>
      <c r="B60" s="320">
        <v>19810665.469999999</v>
      </c>
      <c r="C60" s="320">
        <v>0</v>
      </c>
      <c r="D60" s="320">
        <v>141613.4</v>
      </c>
      <c r="E60" s="320">
        <v>19603045.780000001</v>
      </c>
      <c r="F60" s="320">
        <v>0</v>
      </c>
      <c r="G60" s="320">
        <v>0</v>
      </c>
      <c r="H60" s="320">
        <v>0</v>
      </c>
      <c r="I60" s="320">
        <v>0</v>
      </c>
      <c r="J60" s="320">
        <v>0</v>
      </c>
      <c r="K60" s="320">
        <v>66006.290000000008</v>
      </c>
    </row>
    <row r="61" spans="1:11" ht="22.5">
      <c r="A61" s="55" t="s">
        <v>2755</v>
      </c>
      <c r="B61" s="320">
        <v>20108941.700000003</v>
      </c>
      <c r="C61" s="320">
        <v>0</v>
      </c>
      <c r="D61" s="320">
        <v>23400</v>
      </c>
      <c r="E61" s="320">
        <v>19816574.570000004</v>
      </c>
      <c r="F61" s="320">
        <v>0</v>
      </c>
      <c r="G61" s="320">
        <v>3990</v>
      </c>
      <c r="H61" s="320">
        <v>0</v>
      </c>
      <c r="I61" s="320">
        <v>0</v>
      </c>
      <c r="J61" s="320">
        <v>0</v>
      </c>
      <c r="K61" s="320">
        <v>264977.13</v>
      </c>
    </row>
    <row r="62" spans="1:11" ht="22.5">
      <c r="A62" s="55" t="s">
        <v>2758</v>
      </c>
      <c r="B62" s="320">
        <v>1602163.12</v>
      </c>
      <c r="C62" s="320">
        <v>0</v>
      </c>
      <c r="D62" s="320">
        <v>27933</v>
      </c>
      <c r="E62" s="320">
        <v>1574230.12</v>
      </c>
      <c r="F62" s="320">
        <v>0</v>
      </c>
      <c r="G62" s="320">
        <v>0</v>
      </c>
      <c r="H62" s="320">
        <v>0</v>
      </c>
      <c r="I62" s="320">
        <v>0</v>
      </c>
      <c r="J62" s="320">
        <v>0</v>
      </c>
      <c r="K62" s="320">
        <v>0</v>
      </c>
    </row>
    <row r="63" spans="1:11" ht="22.5">
      <c r="A63" s="55" t="s">
        <v>2760</v>
      </c>
      <c r="B63" s="320">
        <v>24486.55</v>
      </c>
      <c r="C63" s="320">
        <v>0</v>
      </c>
      <c r="D63" s="320">
        <v>0</v>
      </c>
      <c r="E63" s="320">
        <v>24486.55</v>
      </c>
      <c r="F63" s="320">
        <v>0</v>
      </c>
      <c r="G63" s="320">
        <v>0</v>
      </c>
      <c r="H63" s="320">
        <v>0</v>
      </c>
      <c r="I63" s="320">
        <v>0</v>
      </c>
      <c r="J63" s="320">
        <v>0</v>
      </c>
      <c r="K63" s="320">
        <v>0</v>
      </c>
    </row>
    <row r="64" spans="1:11" ht="33.75">
      <c r="A64" s="55" t="s">
        <v>2761</v>
      </c>
      <c r="B64" s="320">
        <v>62084.7</v>
      </c>
      <c r="C64" s="320">
        <v>0</v>
      </c>
      <c r="D64" s="320">
        <v>0</v>
      </c>
      <c r="E64" s="320">
        <v>62084.7</v>
      </c>
      <c r="F64" s="320">
        <v>0</v>
      </c>
      <c r="G64" s="320">
        <v>0</v>
      </c>
      <c r="H64" s="320">
        <v>0</v>
      </c>
      <c r="I64" s="320">
        <v>0</v>
      </c>
      <c r="J64" s="320">
        <v>0</v>
      </c>
      <c r="K64" s="320">
        <v>0</v>
      </c>
    </row>
    <row r="66" spans="1:12" ht="36.75" customHeight="1">
      <c r="A66" s="2580" t="s">
        <v>3368</v>
      </c>
      <c r="B66" s="2580"/>
      <c r="C66" s="2580"/>
      <c r="D66" s="2580"/>
      <c r="E66" s="2580"/>
      <c r="F66" s="2580"/>
      <c r="G66" s="2580"/>
      <c r="H66" s="2580"/>
      <c r="I66" s="2580"/>
      <c r="J66" s="2580"/>
      <c r="K66" s="2580"/>
      <c r="L66" s="56"/>
    </row>
    <row r="67" spans="1:12">
      <c r="A67" s="321" t="s">
        <v>22</v>
      </c>
    </row>
    <row r="68" spans="1:12">
      <c r="A68" s="62" t="s">
        <v>49</v>
      </c>
    </row>
  </sheetData>
  <mergeCells count="5">
    <mergeCell ref="A2:L2"/>
    <mergeCell ref="A4:A5"/>
    <mergeCell ref="B4:B5"/>
    <mergeCell ref="C4:K4"/>
    <mergeCell ref="A66:K66"/>
  </mergeCells>
  <pageMargins left="0.7" right="0.7" top="0.75" bottom="0.75" header="0.3" footer="0.3"/>
  <pageSetup paperSize="9" orientation="portrait" r:id="rId1"/>
</worksheet>
</file>

<file path=xl/worksheets/sheet305.xml><?xml version="1.0" encoding="utf-8"?>
<worksheet xmlns="http://schemas.openxmlformats.org/spreadsheetml/2006/main" xmlns:r="http://schemas.openxmlformats.org/officeDocument/2006/relationships">
  <sheetPr>
    <pageSetUpPr fitToPage="1"/>
  </sheetPr>
  <dimension ref="A1:E65"/>
  <sheetViews>
    <sheetView zoomScaleNormal="100" workbookViewId="0">
      <selection activeCell="E20" sqref="E20"/>
    </sheetView>
  </sheetViews>
  <sheetFormatPr baseColWidth="10" defaultColWidth="11.5703125" defaultRowHeight="11.25"/>
  <cols>
    <col min="1" max="1" width="29" style="298" customWidth="1"/>
    <col min="2" max="2" width="59.28515625" style="299" customWidth="1"/>
    <col min="3" max="3" width="27.5703125" style="300" customWidth="1"/>
    <col min="4" max="4" width="4.5703125" style="61" customWidth="1"/>
    <col min="5" max="16384" width="11.5703125" style="53"/>
  </cols>
  <sheetData>
    <row r="1" spans="1:5" ht="11.25" customHeight="1"/>
    <row r="2" spans="1:5" ht="25.5" customHeight="1">
      <c r="A2" s="2619" t="s">
        <v>3247</v>
      </c>
      <c r="B2" s="2619"/>
      <c r="C2" s="2619"/>
      <c r="D2" s="52"/>
    </row>
    <row r="3" spans="1:5" ht="12.75" customHeight="1">
      <c r="A3" s="301"/>
      <c r="B3" s="302"/>
      <c r="C3" s="303"/>
    </row>
    <row r="4" spans="1:5">
      <c r="A4" s="2860"/>
      <c r="B4" s="2861"/>
      <c r="C4" s="2867" t="s">
        <v>2763</v>
      </c>
    </row>
    <row r="5" spans="1:5" ht="13.5" customHeight="1">
      <c r="A5" s="2862" t="s">
        <v>2764</v>
      </c>
      <c r="B5" s="2863"/>
      <c r="C5" s="2868">
        <v>34372050221</v>
      </c>
    </row>
    <row r="6" spans="1:5" ht="24" customHeight="1">
      <c r="A6" s="2864" t="s">
        <v>2765</v>
      </c>
      <c r="B6" s="2865"/>
      <c r="C6" s="2846">
        <f>SUM(C11,C37,C43,C55)</f>
        <v>121908460</v>
      </c>
    </row>
    <row r="7" spans="1:5" ht="16.5" customHeight="1">
      <c r="A7" s="2864" t="s">
        <v>2766</v>
      </c>
      <c r="B7" s="2866"/>
      <c r="C7" s="2869">
        <f>C6/C5</f>
        <v>3.5467322785860071E-3</v>
      </c>
    </row>
    <row r="8" spans="1:5" s="61" customFormat="1">
      <c r="A8" s="304"/>
      <c r="B8" s="305"/>
      <c r="C8" s="306"/>
    </row>
    <row r="9" spans="1:5" ht="28.5" customHeight="1">
      <c r="A9" s="2870" t="s">
        <v>2767</v>
      </c>
      <c r="B9" s="2870" t="s">
        <v>2768</v>
      </c>
      <c r="C9" s="2871" t="s">
        <v>2769</v>
      </c>
    </row>
    <row r="10" spans="1:5" s="61" customFormat="1">
      <c r="A10" s="2882" t="s">
        <v>2770</v>
      </c>
      <c r="B10" s="2883"/>
      <c r="C10" s="2884">
        <f>SUM(C11,C37,C43,C55)</f>
        <v>121908460</v>
      </c>
      <c r="E10" s="307"/>
    </row>
    <row r="11" spans="1:5" ht="10.5" customHeight="1">
      <c r="A11" s="2872" t="s">
        <v>2771</v>
      </c>
      <c r="B11" s="312" t="s">
        <v>2772</v>
      </c>
      <c r="C11" s="2876">
        <f>SUM(C12:C36)</f>
        <v>52579772</v>
      </c>
      <c r="D11" s="308"/>
    </row>
    <row r="12" spans="1:5">
      <c r="A12" s="2872"/>
      <c r="B12" s="309" t="s">
        <v>2773</v>
      </c>
      <c r="C12" s="2873">
        <v>520971</v>
      </c>
    </row>
    <row r="13" spans="1:5" ht="18" customHeight="1">
      <c r="A13" s="2872"/>
      <c r="B13" s="309" t="s">
        <v>3356</v>
      </c>
      <c r="C13" s="2873">
        <v>2221049</v>
      </c>
      <c r="E13" s="310"/>
    </row>
    <row r="14" spans="1:5">
      <c r="A14" s="2872"/>
      <c r="B14" s="309" t="s">
        <v>2774</v>
      </c>
      <c r="C14" s="2874">
        <v>1887837</v>
      </c>
    </row>
    <row r="15" spans="1:5">
      <c r="A15" s="2872"/>
      <c r="B15" s="309" t="s">
        <v>2775</v>
      </c>
      <c r="C15" s="2874">
        <v>1560520</v>
      </c>
    </row>
    <row r="16" spans="1:5">
      <c r="A16" s="2872"/>
      <c r="B16" s="309" t="s">
        <v>2776</v>
      </c>
      <c r="C16" s="2874">
        <v>1999448</v>
      </c>
    </row>
    <row r="17" spans="1:4">
      <c r="A17" s="2872"/>
      <c r="B17" s="309" t="s">
        <v>2777</v>
      </c>
      <c r="C17" s="2874">
        <v>283242</v>
      </c>
      <c r="D17" s="311"/>
    </row>
    <row r="18" spans="1:4">
      <c r="A18" s="2872"/>
      <c r="B18" s="309" t="s">
        <v>2778</v>
      </c>
      <c r="C18" s="2874">
        <v>214275</v>
      </c>
      <c r="D18" s="311"/>
    </row>
    <row r="19" spans="1:4">
      <c r="A19" s="2872"/>
      <c r="B19" s="309" t="s">
        <v>2779</v>
      </c>
      <c r="C19" s="2874">
        <v>214275</v>
      </c>
      <c r="D19" s="311"/>
    </row>
    <row r="20" spans="1:4">
      <c r="A20" s="2872"/>
      <c r="B20" s="309" t="s">
        <v>2780</v>
      </c>
      <c r="C20" s="2874">
        <v>13241</v>
      </c>
      <c r="D20" s="311"/>
    </row>
    <row r="21" spans="1:4">
      <c r="A21" s="2872"/>
      <c r="B21" s="309" t="s">
        <v>2781</v>
      </c>
      <c r="C21" s="2874">
        <v>11424</v>
      </c>
      <c r="D21" s="311"/>
    </row>
    <row r="22" spans="1:4">
      <c r="A22" s="2872"/>
      <c r="B22" s="309" t="s">
        <v>2782</v>
      </c>
      <c r="C22" s="2874">
        <v>206000</v>
      </c>
      <c r="D22" s="311"/>
    </row>
    <row r="23" spans="1:4">
      <c r="A23" s="2872"/>
      <c r="B23" s="309" t="s">
        <v>2783</v>
      </c>
      <c r="C23" s="2874">
        <v>206000</v>
      </c>
      <c r="D23" s="311"/>
    </row>
    <row r="24" spans="1:4">
      <c r="A24" s="2872"/>
      <c r="B24" s="309" t="s">
        <v>2784</v>
      </c>
      <c r="C24" s="2874">
        <v>457112</v>
      </c>
    </row>
    <row r="25" spans="1:4">
      <c r="A25" s="2872"/>
      <c r="B25" s="309" t="s">
        <v>2785</v>
      </c>
      <c r="C25" s="2874">
        <v>772500</v>
      </c>
    </row>
    <row r="26" spans="1:4" ht="22.5">
      <c r="A26" s="2872"/>
      <c r="B26" s="309" t="s">
        <v>2786</v>
      </c>
      <c r="C26" s="2875">
        <v>940122</v>
      </c>
    </row>
    <row r="27" spans="1:4">
      <c r="A27" s="2872"/>
      <c r="B27" s="309" t="s">
        <v>2787</v>
      </c>
      <c r="C27" s="2874">
        <v>6560927</v>
      </c>
    </row>
    <row r="28" spans="1:4" ht="10.5" customHeight="1">
      <c r="A28" s="2872"/>
      <c r="B28" s="309" t="s">
        <v>3357</v>
      </c>
      <c r="C28" s="2874">
        <v>506381</v>
      </c>
    </row>
    <row r="29" spans="1:4" ht="12.75">
      <c r="A29" s="2872"/>
      <c r="B29" s="309" t="s">
        <v>3358</v>
      </c>
      <c r="C29" s="2874">
        <v>2083290</v>
      </c>
    </row>
    <row r="30" spans="1:4">
      <c r="A30" s="2872"/>
      <c r="B30" s="309" t="s">
        <v>2788</v>
      </c>
      <c r="C30" s="2874">
        <v>763594</v>
      </c>
    </row>
    <row r="31" spans="1:4">
      <c r="A31" s="2872"/>
      <c r="B31" s="309" t="s">
        <v>2789</v>
      </c>
      <c r="C31" s="2874">
        <v>416829</v>
      </c>
      <c r="D31" s="308"/>
    </row>
    <row r="32" spans="1:4">
      <c r="A32" s="2872"/>
      <c r="B32" s="309" t="s">
        <v>2790</v>
      </c>
      <c r="C32" s="2874">
        <v>4245257</v>
      </c>
    </row>
    <row r="33" spans="1:4">
      <c r="A33" s="2872"/>
      <c r="B33" s="309" t="s">
        <v>2791</v>
      </c>
      <c r="C33" s="2874">
        <v>1566630</v>
      </c>
    </row>
    <row r="34" spans="1:4" ht="12.75">
      <c r="A34" s="2872"/>
      <c r="B34" s="309" t="s">
        <v>3359</v>
      </c>
      <c r="C34" s="2874">
        <v>3778064</v>
      </c>
    </row>
    <row r="35" spans="1:4" ht="12.75">
      <c r="A35" s="2872"/>
      <c r="B35" s="309" t="s">
        <v>3360</v>
      </c>
      <c r="C35" s="2874">
        <v>6598180</v>
      </c>
    </row>
    <row r="36" spans="1:4">
      <c r="A36" s="2872"/>
      <c r="B36" s="309" t="s">
        <v>2792</v>
      </c>
      <c r="C36" s="2874">
        <v>14552604</v>
      </c>
    </row>
    <row r="37" spans="1:4">
      <c r="A37" s="2872"/>
      <c r="B37" s="312" t="s">
        <v>2793</v>
      </c>
      <c r="C37" s="2876">
        <f>SUM(C38:C42)</f>
        <v>27399453</v>
      </c>
      <c r="D37" s="308"/>
    </row>
    <row r="38" spans="1:4">
      <c r="A38" s="2872"/>
      <c r="B38" s="309" t="s">
        <v>2794</v>
      </c>
      <c r="C38" s="2874">
        <v>4811220</v>
      </c>
    </row>
    <row r="39" spans="1:4">
      <c r="A39" s="2872"/>
      <c r="B39" s="309" t="s">
        <v>2795</v>
      </c>
      <c r="C39" s="2874">
        <v>10275697</v>
      </c>
    </row>
    <row r="40" spans="1:4">
      <c r="A40" s="2872"/>
      <c r="B40" s="309" t="s">
        <v>2796</v>
      </c>
      <c r="C40" s="2874">
        <v>4273198</v>
      </c>
    </row>
    <row r="41" spans="1:4">
      <c r="A41" s="2872"/>
      <c r="B41" s="309" t="s">
        <v>2797</v>
      </c>
      <c r="C41" s="2874">
        <v>5880004</v>
      </c>
    </row>
    <row r="42" spans="1:4">
      <c r="A42" s="2877"/>
      <c r="B42" s="313" t="s">
        <v>2798</v>
      </c>
      <c r="C42" s="2878">
        <v>2159334</v>
      </c>
    </row>
    <row r="43" spans="1:4" ht="10.5" customHeight="1">
      <c r="A43" s="2877" t="s">
        <v>2799</v>
      </c>
      <c r="B43" s="312" t="s">
        <v>2800</v>
      </c>
      <c r="C43" s="2876">
        <f>SUM(C44:C54)</f>
        <v>37509845</v>
      </c>
      <c r="D43" s="308"/>
    </row>
    <row r="44" spans="1:4">
      <c r="A44" s="2879"/>
      <c r="B44" s="309" t="s">
        <v>2801</v>
      </c>
      <c r="C44" s="2874">
        <v>183128</v>
      </c>
    </row>
    <row r="45" spans="1:4">
      <c r="A45" s="2879"/>
      <c r="B45" s="309" t="s">
        <v>2802</v>
      </c>
      <c r="C45" s="2874">
        <v>233722</v>
      </c>
    </row>
    <row r="46" spans="1:4">
      <c r="A46" s="2879"/>
      <c r="B46" s="309" t="s">
        <v>2803</v>
      </c>
      <c r="C46" s="2874">
        <v>138091</v>
      </c>
    </row>
    <row r="47" spans="1:4">
      <c r="A47" s="2879"/>
      <c r="B47" s="309" t="s">
        <v>2804</v>
      </c>
      <c r="C47" s="2874">
        <v>204960</v>
      </c>
    </row>
    <row r="48" spans="1:4">
      <c r="A48" s="2879"/>
      <c r="B48" s="309" t="s">
        <v>2805</v>
      </c>
      <c r="C48" s="2874">
        <v>61800</v>
      </c>
    </row>
    <row r="49" spans="1:5" s="61" customFormat="1">
      <c r="A49" s="2879"/>
      <c r="B49" s="309" t="s">
        <v>2806</v>
      </c>
      <c r="C49" s="2874">
        <v>37021</v>
      </c>
      <c r="E49" s="53"/>
    </row>
    <row r="50" spans="1:5" s="61" customFormat="1">
      <c r="A50" s="2879"/>
      <c r="B50" s="309" t="s">
        <v>2807</v>
      </c>
      <c r="C50" s="2874">
        <v>1535052</v>
      </c>
      <c r="E50" s="53"/>
    </row>
    <row r="51" spans="1:5" s="61" customFormat="1">
      <c r="A51" s="2879"/>
      <c r="B51" s="309" t="s">
        <v>2808</v>
      </c>
      <c r="C51" s="2874">
        <v>2415183</v>
      </c>
      <c r="E51" s="53"/>
    </row>
    <row r="52" spans="1:5" s="61" customFormat="1">
      <c r="A52" s="2879"/>
      <c r="B52" s="283" t="s">
        <v>2809</v>
      </c>
      <c r="C52" s="2874">
        <v>4784773</v>
      </c>
      <c r="E52" s="53"/>
    </row>
    <row r="53" spans="1:5" s="61" customFormat="1">
      <c r="A53" s="2879"/>
      <c r="B53" s="283" t="s">
        <v>2810</v>
      </c>
      <c r="C53" s="2874">
        <v>494400</v>
      </c>
      <c r="E53" s="53"/>
    </row>
    <row r="54" spans="1:5" s="61" customFormat="1">
      <c r="A54" s="2879"/>
      <c r="B54" s="283" t="s">
        <v>2811</v>
      </c>
      <c r="C54" s="2874">
        <v>27421715</v>
      </c>
      <c r="E54" s="53"/>
    </row>
    <row r="55" spans="1:5" s="61" customFormat="1">
      <c r="A55" s="2879"/>
      <c r="B55" s="2880" t="s">
        <v>2812</v>
      </c>
      <c r="C55" s="2881">
        <v>4419390</v>
      </c>
      <c r="E55" s="53"/>
    </row>
    <row r="57" spans="1:5" s="61" customFormat="1" ht="30.75" customHeight="1">
      <c r="A57" s="2618" t="s">
        <v>3361</v>
      </c>
      <c r="B57" s="2618"/>
      <c r="C57" s="2618"/>
      <c r="E57" s="53"/>
    </row>
    <row r="58" spans="1:5" s="61" customFormat="1" ht="15.75" customHeight="1">
      <c r="A58" s="2618" t="s">
        <v>3362</v>
      </c>
      <c r="B58" s="2618"/>
      <c r="C58" s="2618"/>
      <c r="E58" s="53"/>
    </row>
    <row r="59" spans="1:5" s="61" customFormat="1" ht="18" customHeight="1">
      <c r="A59" s="2620" t="s">
        <v>3363</v>
      </c>
      <c r="B59" s="2620"/>
      <c r="C59" s="2620"/>
      <c r="E59" s="53"/>
    </row>
    <row r="60" spans="1:5" s="61" customFormat="1" ht="16.5" customHeight="1">
      <c r="A60" s="2618" t="s">
        <v>3364</v>
      </c>
      <c r="B60" s="2618"/>
      <c r="C60" s="2618"/>
      <c r="E60" s="53"/>
    </row>
    <row r="61" spans="1:5" s="61" customFormat="1" ht="12" customHeight="1">
      <c r="A61" s="53" t="s">
        <v>3365</v>
      </c>
      <c r="B61" s="53"/>
      <c r="C61" s="53"/>
      <c r="E61" s="53"/>
    </row>
    <row r="62" spans="1:5" s="61" customFormat="1" ht="15" customHeight="1">
      <c r="A62" s="53" t="s">
        <v>3366</v>
      </c>
      <c r="B62" s="53"/>
      <c r="C62" s="53"/>
      <c r="E62" s="53"/>
    </row>
    <row r="63" spans="1:5" s="61" customFormat="1" ht="25.5" customHeight="1">
      <c r="A63" s="2618" t="s">
        <v>2813</v>
      </c>
      <c r="B63" s="2618"/>
      <c r="C63" s="2618"/>
      <c r="E63" s="53"/>
    </row>
    <row r="64" spans="1:5" s="61" customFormat="1">
      <c r="E64" s="53"/>
    </row>
    <row r="65" spans="5:5" s="61" customFormat="1">
      <c r="E65" s="53"/>
    </row>
  </sheetData>
  <mergeCells count="12">
    <mergeCell ref="A63:C63"/>
    <mergeCell ref="A2:C2"/>
    <mergeCell ref="A5:B5"/>
    <mergeCell ref="A6:B6"/>
    <mergeCell ref="A7:B7"/>
    <mergeCell ref="A10:B10"/>
    <mergeCell ref="A11:A42"/>
    <mergeCell ref="A43:A55"/>
    <mergeCell ref="A57:C57"/>
    <mergeCell ref="A58:C58"/>
    <mergeCell ref="A59:C59"/>
    <mergeCell ref="A60:C60"/>
  </mergeCells>
  <pageMargins left="0.70866141732283472" right="0.70866141732283472" top="0.74803149606299213" bottom="0.74803149606299213" header="0.31496062992125984" footer="0.31496062992125984"/>
  <pageSetup paperSize="281" scale="77" orientation="portrait" r:id="rId1"/>
</worksheet>
</file>

<file path=xl/worksheets/sheet306.xml><?xml version="1.0" encoding="utf-8"?>
<worksheet xmlns="http://schemas.openxmlformats.org/spreadsheetml/2006/main" xmlns:r="http://schemas.openxmlformats.org/officeDocument/2006/relationships">
  <sheetPr>
    <pageSetUpPr fitToPage="1"/>
  </sheetPr>
  <dimension ref="A2:E58"/>
  <sheetViews>
    <sheetView zoomScaleNormal="100" workbookViewId="0">
      <selection activeCell="B24" sqref="B24"/>
    </sheetView>
  </sheetViews>
  <sheetFormatPr baseColWidth="10" defaultRowHeight="12"/>
  <cols>
    <col min="1" max="1" width="38.140625" style="50" customWidth="1"/>
    <col min="2" max="2" width="50.28515625" style="50" customWidth="1"/>
    <col min="3" max="3" width="36.5703125" style="50" customWidth="1"/>
    <col min="4" max="4" width="11.42578125" style="50"/>
    <col min="5" max="5" width="13.140625" style="50" bestFit="1" customWidth="1"/>
    <col min="6" max="16384" width="11.42578125" style="50"/>
  </cols>
  <sheetData>
    <row r="2" spans="1:5" ht="25.5" customHeight="1">
      <c r="A2" s="2621" t="s">
        <v>3246</v>
      </c>
      <c r="B2" s="2621"/>
      <c r="C2" s="2621"/>
    </row>
    <row r="3" spans="1:5" ht="8.25" customHeight="1">
      <c r="A3" s="274"/>
      <c r="B3" s="274"/>
      <c r="C3" s="274"/>
    </row>
    <row r="4" spans="1:5" ht="18.75" customHeight="1">
      <c r="A4" s="2841" t="s">
        <v>2814</v>
      </c>
      <c r="B4" s="2841"/>
      <c r="C4" s="2842" t="s">
        <v>2815</v>
      </c>
    </row>
    <row r="5" spans="1:5" ht="22.5" customHeight="1">
      <c r="A5" s="2843" t="s">
        <v>2816</v>
      </c>
      <c r="B5" s="2843"/>
      <c r="C5" s="2844">
        <v>34372050221</v>
      </c>
    </row>
    <row r="6" spans="1:5" ht="21.75" customHeight="1">
      <c r="A6" s="2845" t="s">
        <v>2817</v>
      </c>
      <c r="B6" s="2845"/>
      <c r="C6" s="2846">
        <f>C10</f>
        <v>36148010</v>
      </c>
    </row>
    <row r="7" spans="1:5">
      <c r="A7" s="2843" t="s">
        <v>2818</v>
      </c>
      <c r="B7" s="2847"/>
      <c r="C7" s="2848">
        <f>C6/C5</f>
        <v>1.0516687182632754E-3</v>
      </c>
    </row>
    <row r="8" spans="1:5">
      <c r="A8" s="292"/>
      <c r="B8" s="292"/>
      <c r="C8" s="292"/>
    </row>
    <row r="9" spans="1:5">
      <c r="A9" s="2018" t="s">
        <v>2819</v>
      </c>
      <c r="B9" s="394" t="s">
        <v>2820</v>
      </c>
      <c r="C9" s="2018" t="s">
        <v>2821</v>
      </c>
    </row>
    <row r="10" spans="1:5" ht="15" customHeight="1">
      <c r="A10" s="2849" t="s">
        <v>2822</v>
      </c>
      <c r="B10" s="2850"/>
      <c r="C10" s="2851">
        <f>SUM(C11+C13+C18)</f>
        <v>36148010</v>
      </c>
    </row>
    <row r="11" spans="1:5" ht="24.75" customHeight="1">
      <c r="A11" s="2852" t="s">
        <v>2823</v>
      </c>
      <c r="B11" s="2853" t="s">
        <v>2824</v>
      </c>
      <c r="C11" s="2854">
        <v>10459624</v>
      </c>
    </row>
    <row r="12" spans="1:5">
      <c r="A12" s="2855"/>
      <c r="B12" s="293" t="s">
        <v>2825</v>
      </c>
      <c r="C12" s="2856">
        <v>10459624</v>
      </c>
    </row>
    <row r="13" spans="1:5" ht="24.95" customHeight="1">
      <c r="A13" s="2852" t="s">
        <v>2826</v>
      </c>
      <c r="B13" s="2853" t="s">
        <v>2827</v>
      </c>
      <c r="C13" s="2854">
        <f>SUM(C14:C17)</f>
        <v>7029313</v>
      </c>
      <c r="E13" s="294"/>
    </row>
    <row r="14" spans="1:5" ht="24.95" customHeight="1">
      <c r="A14" s="2857"/>
      <c r="B14" s="295" t="s">
        <v>2828</v>
      </c>
      <c r="C14" s="2858">
        <v>4012788</v>
      </c>
      <c r="E14" s="296"/>
    </row>
    <row r="15" spans="1:5" ht="24.95" customHeight="1">
      <c r="A15" s="2857"/>
      <c r="B15" s="295" t="s">
        <v>2829</v>
      </c>
      <c r="C15" s="2858">
        <v>205396</v>
      </c>
      <c r="E15" s="296"/>
    </row>
    <row r="16" spans="1:5" ht="24.95" customHeight="1">
      <c r="A16" s="2859"/>
      <c r="B16" s="295" t="s">
        <v>2830</v>
      </c>
      <c r="C16" s="2858">
        <v>744644</v>
      </c>
    </row>
    <row r="17" spans="1:3" ht="24.95" customHeight="1">
      <c r="A17" s="2855"/>
      <c r="B17" s="297" t="s">
        <v>2831</v>
      </c>
      <c r="C17" s="2856">
        <v>2066485</v>
      </c>
    </row>
    <row r="18" spans="1:3">
      <c r="A18" s="2852" t="s">
        <v>2832</v>
      </c>
      <c r="B18" s="2853" t="s">
        <v>2833</v>
      </c>
      <c r="C18" s="2854">
        <f>SUM(C19)</f>
        <v>18659073</v>
      </c>
    </row>
    <row r="19" spans="1:3">
      <c r="A19" s="2855"/>
      <c r="B19" s="297" t="s">
        <v>2834</v>
      </c>
      <c r="C19" s="2856">
        <v>18659073</v>
      </c>
    </row>
    <row r="20" spans="1:3" ht="19.5" customHeight="1">
      <c r="A20" s="61"/>
      <c r="B20" s="61"/>
      <c r="C20" s="61"/>
    </row>
    <row r="21" spans="1:3" ht="22.5" customHeight="1">
      <c r="A21" s="2611" t="s">
        <v>3352</v>
      </c>
      <c r="B21" s="2611"/>
      <c r="C21" s="2611"/>
    </row>
    <row r="22" spans="1:3">
      <c r="A22" s="2618" t="s">
        <v>2813</v>
      </c>
      <c r="B22" s="2618"/>
      <c r="C22" s="2618"/>
    </row>
    <row r="23" spans="1:3" ht="24.95" customHeight="1"/>
    <row r="24" spans="1:3" ht="24.95" customHeight="1"/>
    <row r="25" spans="1:3" ht="24.95" customHeight="1"/>
    <row r="26" spans="1:3" ht="24.95" customHeight="1"/>
    <row r="27" spans="1:3" ht="24.95" customHeight="1"/>
    <row r="28" spans="1:3" ht="24.95" customHeight="1"/>
    <row r="29" spans="1:3" ht="24.95" customHeight="1"/>
    <row r="30" spans="1:3" ht="24.95" customHeight="1"/>
    <row r="31" spans="1:3" ht="24.95" customHeight="1"/>
    <row r="32" spans="1:3"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row r="58" ht="24.95" customHeight="1"/>
  </sheetData>
  <mergeCells count="11">
    <mergeCell ref="A11:A12"/>
    <mergeCell ref="A13:A17"/>
    <mergeCell ref="A18:A19"/>
    <mergeCell ref="A21:C21"/>
    <mergeCell ref="A22:C22"/>
    <mergeCell ref="A10:B10"/>
    <mergeCell ref="A2:C2"/>
    <mergeCell ref="A4:B4"/>
    <mergeCell ref="A5:B5"/>
    <mergeCell ref="A6:B6"/>
    <mergeCell ref="A7:B7"/>
  </mergeCells>
  <pageMargins left="0.70866141732283472" right="0.70866141732283472" top="0.74803149606299213" bottom="0.74803149606299213" header="0.31496062992125984" footer="0.31496062992125984"/>
  <pageSetup scale="72" orientation="portrait" r:id="rId1"/>
</worksheet>
</file>

<file path=xl/worksheets/sheet307.xml><?xml version="1.0" encoding="utf-8"?>
<worksheet xmlns="http://schemas.openxmlformats.org/spreadsheetml/2006/main" xmlns:r="http://schemas.openxmlformats.org/officeDocument/2006/relationships">
  <sheetPr>
    <pageSetUpPr fitToPage="1"/>
  </sheetPr>
  <dimension ref="A1:C51"/>
  <sheetViews>
    <sheetView zoomScaleNormal="100" workbookViewId="0">
      <selection activeCell="F19" sqref="F19"/>
    </sheetView>
  </sheetViews>
  <sheetFormatPr baseColWidth="10" defaultRowHeight="12"/>
  <cols>
    <col min="1" max="1" width="35.28515625" style="50" customWidth="1"/>
    <col min="2" max="2" width="59" style="50" customWidth="1"/>
    <col min="3" max="3" width="29.7109375" style="50" customWidth="1"/>
    <col min="4" max="16384" width="11.42578125" style="50"/>
  </cols>
  <sheetData>
    <row r="1" spans="1:3" ht="4.5" customHeight="1"/>
    <row r="2" spans="1:3" ht="34.5" customHeight="1">
      <c r="A2" s="2500" t="s">
        <v>3245</v>
      </c>
      <c r="B2" s="2500"/>
      <c r="C2" s="2500"/>
    </row>
    <row r="3" spans="1:3" ht="6.75" customHeight="1">
      <c r="A3" s="284"/>
      <c r="B3" s="284"/>
      <c r="C3" s="284"/>
    </row>
    <row r="4" spans="1:3">
      <c r="A4" s="2841" t="s">
        <v>2814</v>
      </c>
      <c r="B4" s="2841"/>
      <c r="C4" s="2842" t="s">
        <v>2763</v>
      </c>
    </row>
    <row r="5" spans="1:3">
      <c r="A5" s="2843" t="s">
        <v>2816</v>
      </c>
      <c r="B5" s="2843"/>
      <c r="C5" s="2844">
        <v>34372050221</v>
      </c>
    </row>
    <row r="6" spans="1:3">
      <c r="A6" s="2845" t="s">
        <v>2835</v>
      </c>
      <c r="B6" s="2845"/>
      <c r="C6" s="2846">
        <f>C10</f>
        <v>138310576</v>
      </c>
    </row>
    <row r="7" spans="1:3">
      <c r="A7" s="2843" t="s">
        <v>2836</v>
      </c>
      <c r="B7" s="2885"/>
      <c r="C7" s="2848">
        <f>C6/C5</f>
        <v>4.0239256928438199E-3</v>
      </c>
    </row>
    <row r="9" spans="1:3" ht="22.5">
      <c r="A9" s="2018" t="s">
        <v>2819</v>
      </c>
      <c r="B9" s="2018" t="s">
        <v>1914</v>
      </c>
      <c r="C9" s="2018" t="s">
        <v>2821</v>
      </c>
    </row>
    <row r="10" spans="1:3">
      <c r="A10" s="2886" t="s">
        <v>2837</v>
      </c>
      <c r="B10" s="2887"/>
      <c r="C10" s="2888">
        <f>SUM(C11+C16+C20+C22+C25+C27+C29+C40+C42)</f>
        <v>138310576</v>
      </c>
    </row>
    <row r="11" spans="1:3">
      <c r="A11" s="2889" t="s">
        <v>2838</v>
      </c>
      <c r="B11" s="285" t="s">
        <v>2839</v>
      </c>
      <c r="C11" s="2890">
        <f>SUM(C12:C15)</f>
        <v>9170058</v>
      </c>
    </row>
    <row r="12" spans="1:3">
      <c r="A12" s="2891"/>
      <c r="B12" s="286" t="s">
        <v>2840</v>
      </c>
      <c r="C12" s="2892">
        <v>6649351</v>
      </c>
    </row>
    <row r="13" spans="1:3">
      <c r="A13" s="2891"/>
      <c r="B13" s="286" t="s">
        <v>2841</v>
      </c>
      <c r="C13" s="2892">
        <v>1700443</v>
      </c>
    </row>
    <row r="14" spans="1:3">
      <c r="A14" s="2891"/>
      <c r="B14" s="286" t="s">
        <v>2842</v>
      </c>
      <c r="C14" s="2892">
        <v>55983</v>
      </c>
    </row>
    <row r="15" spans="1:3">
      <c r="A15" s="2891"/>
      <c r="B15" s="286" t="s">
        <v>2843</v>
      </c>
      <c r="C15" s="2892">
        <v>764281</v>
      </c>
    </row>
    <row r="16" spans="1:3">
      <c r="A16" s="2889" t="s">
        <v>2844</v>
      </c>
      <c r="B16" s="285" t="s">
        <v>2845</v>
      </c>
      <c r="C16" s="2890">
        <f>SUM(C17:C19)</f>
        <v>13968205</v>
      </c>
    </row>
    <row r="17" spans="1:3">
      <c r="A17" s="2891"/>
      <c r="B17" s="287" t="s">
        <v>2846</v>
      </c>
      <c r="C17" s="2892">
        <v>12974363</v>
      </c>
    </row>
    <row r="18" spans="1:3">
      <c r="A18" s="2891"/>
      <c r="B18" s="287" t="s">
        <v>2847</v>
      </c>
      <c r="C18" s="2892">
        <v>896313</v>
      </c>
    </row>
    <row r="19" spans="1:3">
      <c r="A19" s="2893"/>
      <c r="B19" s="288" t="s">
        <v>2848</v>
      </c>
      <c r="C19" s="2894">
        <v>97529</v>
      </c>
    </row>
    <row r="20" spans="1:3">
      <c r="A20" s="2889" t="s">
        <v>2849</v>
      </c>
      <c r="B20" s="285" t="s">
        <v>2850</v>
      </c>
      <c r="C20" s="2895">
        <f>SUM(C21)</f>
        <v>40481532</v>
      </c>
    </row>
    <row r="21" spans="1:3" ht="12.75">
      <c r="A21" s="2896"/>
      <c r="B21" s="289" t="s">
        <v>3349</v>
      </c>
      <c r="C21" s="2897">
        <v>40481532</v>
      </c>
    </row>
    <row r="22" spans="1:3">
      <c r="A22" s="2889" t="s">
        <v>2851</v>
      </c>
      <c r="B22" s="290" t="s">
        <v>2852</v>
      </c>
      <c r="C22" s="2895">
        <f>SUM(C23:C24)</f>
        <v>5561853</v>
      </c>
    </row>
    <row r="23" spans="1:3">
      <c r="A23" s="2898"/>
      <c r="B23" s="287" t="s">
        <v>2853</v>
      </c>
      <c r="C23" s="2897">
        <v>2900518</v>
      </c>
    </row>
    <row r="24" spans="1:3">
      <c r="A24" s="2896"/>
      <c r="B24" s="289" t="s">
        <v>2854</v>
      </c>
      <c r="C24" s="2899">
        <v>2661335</v>
      </c>
    </row>
    <row r="25" spans="1:3">
      <c r="A25" s="2889" t="s">
        <v>2855</v>
      </c>
      <c r="B25" s="285" t="s">
        <v>2856</v>
      </c>
      <c r="C25" s="2895">
        <f>SUM(C26:C26)</f>
        <v>55450</v>
      </c>
    </row>
    <row r="26" spans="1:3">
      <c r="A26" s="2891"/>
      <c r="B26" s="287" t="s">
        <v>2857</v>
      </c>
      <c r="C26" s="2897">
        <v>55450</v>
      </c>
    </row>
    <row r="27" spans="1:3">
      <c r="A27" s="2891"/>
      <c r="B27" s="291" t="s">
        <v>2858</v>
      </c>
      <c r="C27" s="2900">
        <f>SUM(C28:C28)</f>
        <v>12999535</v>
      </c>
    </row>
    <row r="28" spans="1:3" ht="12.75">
      <c r="A28" s="2893"/>
      <c r="B28" s="287" t="s">
        <v>3350</v>
      </c>
      <c r="C28" s="2897">
        <v>12999535</v>
      </c>
    </row>
    <row r="29" spans="1:3" ht="22.5">
      <c r="A29" s="2889" t="s">
        <v>2859</v>
      </c>
      <c r="B29" s="285" t="s">
        <v>2860</v>
      </c>
      <c r="C29" s="2895">
        <f>SUM(C30:C39)</f>
        <v>54642255</v>
      </c>
    </row>
    <row r="30" spans="1:3">
      <c r="A30" s="2891"/>
      <c r="B30" s="287" t="s">
        <v>2861</v>
      </c>
      <c r="C30" s="2901">
        <v>2770506</v>
      </c>
    </row>
    <row r="31" spans="1:3">
      <c r="A31" s="2891"/>
      <c r="B31" s="287" t="s">
        <v>2862</v>
      </c>
      <c r="C31" s="2901">
        <v>440383</v>
      </c>
    </row>
    <row r="32" spans="1:3">
      <c r="A32" s="2891"/>
      <c r="B32" s="287" t="s">
        <v>2863</v>
      </c>
      <c r="C32" s="2901">
        <v>104272</v>
      </c>
    </row>
    <row r="33" spans="1:3">
      <c r="A33" s="2891"/>
      <c r="B33" s="287" t="s">
        <v>2864</v>
      </c>
      <c r="C33" s="2901">
        <v>3427</v>
      </c>
    </row>
    <row r="34" spans="1:3">
      <c r="A34" s="2891"/>
      <c r="B34" s="287" t="s">
        <v>2865</v>
      </c>
      <c r="C34" s="2901">
        <v>259109</v>
      </c>
    </row>
    <row r="35" spans="1:3">
      <c r="A35" s="2891"/>
      <c r="B35" s="287" t="s">
        <v>2866</v>
      </c>
      <c r="C35" s="2901">
        <v>1727947</v>
      </c>
    </row>
    <row r="36" spans="1:3">
      <c r="A36" s="2891"/>
      <c r="B36" s="2023" t="s">
        <v>2867</v>
      </c>
      <c r="C36" s="2902">
        <v>8238484</v>
      </c>
    </row>
    <row r="37" spans="1:3">
      <c r="A37" s="2891"/>
      <c r="B37" s="287" t="s">
        <v>2868</v>
      </c>
      <c r="C37" s="2901">
        <v>32769469</v>
      </c>
    </row>
    <row r="38" spans="1:3">
      <c r="A38" s="2891"/>
      <c r="B38" s="287" t="s">
        <v>2869</v>
      </c>
      <c r="C38" s="2901">
        <v>5934564</v>
      </c>
    </row>
    <row r="39" spans="1:3" ht="14.25">
      <c r="A39" s="2893"/>
      <c r="B39" s="289" t="s">
        <v>3351</v>
      </c>
      <c r="C39" s="2903">
        <v>2394094</v>
      </c>
    </row>
    <row r="40" spans="1:3" ht="24" customHeight="1">
      <c r="A40" s="2889" t="s">
        <v>2870</v>
      </c>
      <c r="B40" s="285" t="s">
        <v>2871</v>
      </c>
      <c r="C40" s="2890">
        <f>SUM(C41)</f>
        <v>325398</v>
      </c>
    </row>
    <row r="41" spans="1:3" ht="18" customHeight="1">
      <c r="A41" s="2896"/>
      <c r="B41" s="289" t="s">
        <v>2872</v>
      </c>
      <c r="C41" s="2894">
        <v>325398</v>
      </c>
    </row>
    <row r="42" spans="1:3">
      <c r="A42" s="2889" t="s">
        <v>2873</v>
      </c>
      <c r="B42" s="285" t="s">
        <v>2874</v>
      </c>
      <c r="C42" s="2890">
        <f>SUM(C43:C44)</f>
        <v>1106290</v>
      </c>
    </row>
    <row r="43" spans="1:3">
      <c r="A43" s="2891"/>
      <c r="B43" s="287" t="s">
        <v>2875</v>
      </c>
      <c r="C43" s="2892">
        <v>1056290</v>
      </c>
    </row>
    <row r="44" spans="1:3">
      <c r="A44" s="2893"/>
      <c r="B44" s="289" t="s">
        <v>2876</v>
      </c>
      <c r="C44" s="2894">
        <v>50000</v>
      </c>
    </row>
    <row r="46" spans="1:3" ht="29.25" customHeight="1">
      <c r="A46" s="2622" t="s">
        <v>3352</v>
      </c>
      <c r="B46" s="2622"/>
      <c r="C46" s="2622"/>
    </row>
    <row r="47" spans="1:3" ht="19.5" customHeight="1">
      <c r="A47" s="2622" t="s">
        <v>3353</v>
      </c>
      <c r="B47" s="2622"/>
      <c r="C47" s="2622"/>
    </row>
    <row r="48" spans="1:3" ht="34.5" customHeight="1">
      <c r="A48" s="2622" t="s">
        <v>3354</v>
      </c>
      <c r="B48" s="2622"/>
      <c r="C48" s="2622"/>
    </row>
    <row r="49" spans="1:3" ht="30.75" customHeight="1">
      <c r="A49" s="2118" t="s">
        <v>3355</v>
      </c>
      <c r="B49" s="2118"/>
      <c r="C49" s="2118"/>
    </row>
    <row r="50" spans="1:3" ht="15" customHeight="1"/>
    <row r="51" spans="1:3">
      <c r="A51" s="2618" t="s">
        <v>2813</v>
      </c>
      <c r="B51" s="2618"/>
      <c r="C51" s="2618"/>
    </row>
  </sheetData>
  <mergeCells count="19">
    <mergeCell ref="A51:C51"/>
    <mergeCell ref="A40:A41"/>
    <mergeCell ref="A42:A44"/>
    <mergeCell ref="A46:C46"/>
    <mergeCell ref="A47:C47"/>
    <mergeCell ref="A48:C48"/>
    <mergeCell ref="A49:C49"/>
    <mergeCell ref="A29:A39"/>
    <mergeCell ref="A2:C2"/>
    <mergeCell ref="A4:B4"/>
    <mergeCell ref="A5:B5"/>
    <mergeCell ref="A6:B6"/>
    <mergeCell ref="A7:B7"/>
    <mergeCell ref="A10:B10"/>
    <mergeCell ref="A11:A15"/>
    <mergeCell ref="A16:A19"/>
    <mergeCell ref="A20:A21"/>
    <mergeCell ref="A22:A24"/>
    <mergeCell ref="A25:A28"/>
  </mergeCells>
  <pageMargins left="0.70866141732283472" right="0.70866141732283472" top="0.74803149606299213" bottom="0.74803149606299213" header="0.31496062992125984" footer="0.31496062992125984"/>
  <pageSetup paperSize="281" scale="72" orientation="portrait" r:id="rId1"/>
</worksheet>
</file>

<file path=xl/worksheets/sheet308.xml><?xml version="1.0" encoding="utf-8"?>
<worksheet xmlns="http://schemas.openxmlformats.org/spreadsheetml/2006/main" xmlns:r="http://schemas.openxmlformats.org/officeDocument/2006/relationships">
  <sheetPr>
    <pageSetUpPr fitToPage="1"/>
  </sheetPr>
  <dimension ref="A1:E43"/>
  <sheetViews>
    <sheetView zoomScaleNormal="100" workbookViewId="0">
      <selection activeCell="E11" sqref="E11"/>
    </sheetView>
  </sheetViews>
  <sheetFormatPr baseColWidth="10" defaultRowHeight="12"/>
  <cols>
    <col min="1" max="1" width="33.5703125" style="51" customWidth="1"/>
    <col min="2" max="2" width="66.42578125" style="51" customWidth="1"/>
    <col min="3" max="3" width="25.42578125" style="51" customWidth="1"/>
    <col min="4" max="16384" width="11.42578125" style="51"/>
  </cols>
  <sheetData>
    <row r="1" spans="1:3" ht="6.75" customHeight="1"/>
    <row r="2" spans="1:3" ht="29.25" customHeight="1">
      <c r="A2" s="2500" t="s">
        <v>2877</v>
      </c>
      <c r="B2" s="2500"/>
      <c r="C2" s="2500"/>
    </row>
    <row r="3" spans="1:3" ht="6.75" customHeight="1">
      <c r="A3" s="61"/>
      <c r="B3" s="61"/>
      <c r="C3" s="61"/>
    </row>
    <row r="4" spans="1:3">
      <c r="A4" s="2904" t="s">
        <v>2814</v>
      </c>
      <c r="B4" s="2905"/>
      <c r="C4" s="2842" t="s">
        <v>2815</v>
      </c>
    </row>
    <row r="5" spans="1:3">
      <c r="A5" s="2843" t="s">
        <v>2878</v>
      </c>
      <c r="B5" s="2843"/>
      <c r="C5" s="2844">
        <v>34372050221</v>
      </c>
    </row>
    <row r="6" spans="1:3">
      <c r="A6" s="2845" t="s">
        <v>2879</v>
      </c>
      <c r="B6" s="2845"/>
      <c r="C6" s="2846">
        <f>C10</f>
        <v>25540601</v>
      </c>
    </row>
    <row r="7" spans="1:3" ht="22.5" customHeight="1">
      <c r="A7" s="2843" t="s">
        <v>2836</v>
      </c>
      <c r="B7" s="2885"/>
      <c r="C7" s="2848">
        <f>C6/C5</f>
        <v>7.4306306536220748E-4</v>
      </c>
    </row>
    <row r="8" spans="1:3">
      <c r="A8" s="61"/>
      <c r="B8" s="61"/>
      <c r="C8" s="61"/>
    </row>
    <row r="9" spans="1:3" ht="27" customHeight="1">
      <c r="A9" s="2018" t="s">
        <v>2819</v>
      </c>
      <c r="B9" s="2018" t="s">
        <v>1914</v>
      </c>
      <c r="C9" s="2018" t="s">
        <v>2821</v>
      </c>
    </row>
    <row r="10" spans="1:3">
      <c r="A10" s="2886" t="s">
        <v>2880</v>
      </c>
      <c r="B10" s="2887"/>
      <c r="C10" s="2888">
        <f>SUM(C11,C18,C21,C26,C30,C33)</f>
        <v>25540601</v>
      </c>
    </row>
    <row r="11" spans="1:3" ht="12.75">
      <c r="A11" s="2906" t="s">
        <v>2881</v>
      </c>
      <c r="B11" s="2907" t="s">
        <v>3335</v>
      </c>
      <c r="C11" s="2888">
        <f>SUM(C12:C17)</f>
        <v>642966</v>
      </c>
    </row>
    <row r="12" spans="1:3">
      <c r="A12" s="2906"/>
      <c r="B12" s="2908" t="s">
        <v>2882</v>
      </c>
      <c r="C12" s="2909">
        <v>142074</v>
      </c>
    </row>
    <row r="13" spans="1:3">
      <c r="A13" s="2906"/>
      <c r="B13" s="2908" t="s">
        <v>2883</v>
      </c>
      <c r="C13" s="2909">
        <v>107540</v>
      </c>
    </row>
    <row r="14" spans="1:3">
      <c r="A14" s="2906"/>
      <c r="B14" s="2908" t="s">
        <v>2884</v>
      </c>
      <c r="C14" s="2909">
        <v>336441</v>
      </c>
    </row>
    <row r="15" spans="1:3">
      <c r="A15" s="2906"/>
      <c r="B15" s="2908" t="s">
        <v>2885</v>
      </c>
      <c r="C15" s="2909">
        <v>5466</v>
      </c>
    </row>
    <row r="16" spans="1:3">
      <c r="A16" s="2906"/>
      <c r="B16" s="2908" t="s">
        <v>2886</v>
      </c>
      <c r="C16" s="2909">
        <v>33405</v>
      </c>
    </row>
    <row r="17" spans="1:5">
      <c r="A17" s="2906"/>
      <c r="B17" s="2908" t="s">
        <v>2887</v>
      </c>
      <c r="C17" s="2909">
        <v>18040</v>
      </c>
    </row>
    <row r="18" spans="1:5" ht="12.75">
      <c r="A18" s="2910" t="s">
        <v>2888</v>
      </c>
      <c r="B18" s="2907" t="s">
        <v>3336</v>
      </c>
      <c r="C18" s="2888">
        <f>SUM(C19:C20)</f>
        <v>1115242</v>
      </c>
    </row>
    <row r="19" spans="1:5" ht="12.75">
      <c r="A19" s="2910"/>
      <c r="B19" s="2908" t="s">
        <v>3337</v>
      </c>
      <c r="C19" s="2909">
        <v>642546</v>
      </c>
    </row>
    <row r="20" spans="1:5" ht="22.5">
      <c r="A20" s="2910"/>
      <c r="B20" s="2908" t="s">
        <v>2889</v>
      </c>
      <c r="C20" s="2909">
        <v>472696</v>
      </c>
    </row>
    <row r="21" spans="1:5" ht="12.75">
      <c r="A21" s="2911" t="s">
        <v>2890</v>
      </c>
      <c r="B21" s="2907" t="s">
        <v>3338</v>
      </c>
      <c r="C21" s="2854">
        <f>SUM(C22:C25)</f>
        <v>1965211</v>
      </c>
    </row>
    <row r="22" spans="1:5">
      <c r="A22" s="2859"/>
      <c r="B22" s="2912" t="s">
        <v>2891</v>
      </c>
      <c r="C22" s="2913">
        <v>565046</v>
      </c>
    </row>
    <row r="23" spans="1:5">
      <c r="A23" s="2859"/>
      <c r="B23" s="2912" t="s">
        <v>2892</v>
      </c>
      <c r="C23" s="2913">
        <v>1157854</v>
      </c>
    </row>
    <row r="24" spans="1:5">
      <c r="A24" s="2859"/>
      <c r="B24" s="2912" t="s">
        <v>2893</v>
      </c>
      <c r="C24" s="2914">
        <v>69390</v>
      </c>
    </row>
    <row r="25" spans="1:5">
      <c r="A25" s="2855"/>
      <c r="B25" s="2912" t="s">
        <v>2894</v>
      </c>
      <c r="C25" s="2914">
        <v>172921</v>
      </c>
    </row>
    <row r="26" spans="1:5" ht="12.75">
      <c r="A26" s="2911" t="s">
        <v>2895</v>
      </c>
      <c r="B26" s="2907" t="s">
        <v>3339</v>
      </c>
      <c r="C26" s="2854">
        <f>SUM(C27:C29)</f>
        <v>938944</v>
      </c>
    </row>
    <row r="27" spans="1:5">
      <c r="A27" s="2859"/>
      <c r="B27" s="2912" t="s">
        <v>2896</v>
      </c>
      <c r="C27" s="2913">
        <v>442893</v>
      </c>
    </row>
    <row r="28" spans="1:5" ht="24" customHeight="1">
      <c r="A28" s="2859"/>
      <c r="B28" s="2912" t="s">
        <v>2897</v>
      </c>
      <c r="C28" s="2914">
        <v>301584</v>
      </c>
    </row>
    <row r="29" spans="1:5" ht="18.75" customHeight="1">
      <c r="A29" s="2855"/>
      <c r="B29" s="2912" t="s">
        <v>2898</v>
      </c>
      <c r="C29" s="2914">
        <v>194467</v>
      </c>
      <c r="E29" s="38"/>
    </row>
    <row r="30" spans="1:5" ht="21" customHeight="1">
      <c r="A30" s="2852" t="s">
        <v>2899</v>
      </c>
      <c r="B30" s="2915" t="s">
        <v>3340</v>
      </c>
      <c r="C30" s="2916">
        <f>C31</f>
        <v>20878238</v>
      </c>
    </row>
    <row r="31" spans="1:5" ht="21.75" customHeight="1">
      <c r="A31" s="2917"/>
      <c r="B31" s="2908" t="s">
        <v>3341</v>
      </c>
      <c r="C31" s="2914">
        <v>20878238</v>
      </c>
    </row>
    <row r="32" spans="1:5" s="38" customFormat="1" ht="4.5" customHeight="1">
      <c r="A32" s="2918"/>
      <c r="B32" s="2023"/>
      <c r="C32" s="2919"/>
    </row>
    <row r="33" spans="1:3" ht="12.75">
      <c r="A33" s="2910" t="s">
        <v>2900</v>
      </c>
      <c r="B33" s="2907" t="s">
        <v>3342</v>
      </c>
      <c r="C33" s="2888">
        <f>SUM(C34)</f>
        <v>0</v>
      </c>
    </row>
    <row r="34" spans="1:3">
      <c r="A34" s="2906"/>
      <c r="B34" s="2912" t="s">
        <v>2901</v>
      </c>
      <c r="C34" s="2916">
        <v>0</v>
      </c>
    </row>
    <row r="35" spans="1:3" ht="8.25" customHeight="1">
      <c r="A35" s="61"/>
      <c r="B35" s="61"/>
      <c r="C35" s="61"/>
    </row>
    <row r="36" spans="1:3" ht="26.25" customHeight="1">
      <c r="A36" s="2623" t="s">
        <v>3343</v>
      </c>
      <c r="B36" s="2623"/>
      <c r="C36" s="2623"/>
    </row>
    <row r="37" spans="1:3" ht="69" customHeight="1">
      <c r="A37" s="2623" t="s">
        <v>3344</v>
      </c>
      <c r="B37" s="2623"/>
      <c r="C37" s="2623"/>
    </row>
    <row r="38" spans="1:3" ht="23.25" customHeight="1">
      <c r="A38" s="2618" t="s">
        <v>3345</v>
      </c>
      <c r="B38" s="2618"/>
      <c r="C38" s="2618"/>
    </row>
    <row r="39" spans="1:3" ht="37.5" customHeight="1">
      <c r="A39" s="2618" t="s">
        <v>3346</v>
      </c>
      <c r="B39" s="2618"/>
      <c r="C39" s="2618"/>
    </row>
    <row r="40" spans="1:3" ht="50.25" customHeight="1">
      <c r="A40" s="2623" t="s">
        <v>3347</v>
      </c>
      <c r="B40" s="2623"/>
      <c r="C40" s="2623"/>
    </row>
    <row r="41" spans="1:3" ht="54.75" customHeight="1">
      <c r="A41" s="2623" t="s">
        <v>3348</v>
      </c>
      <c r="B41" s="2623"/>
      <c r="C41" s="2623"/>
    </row>
    <row r="42" spans="1:3" ht="9.75" customHeight="1"/>
    <row r="43" spans="1:3" ht="39.75" customHeight="1">
      <c r="A43" s="2596" t="s">
        <v>2902</v>
      </c>
      <c r="B43" s="2596"/>
      <c r="C43" s="2596"/>
    </row>
  </sheetData>
  <mergeCells count="19">
    <mergeCell ref="A43:C43"/>
    <mergeCell ref="A11:A17"/>
    <mergeCell ref="A18:A20"/>
    <mergeCell ref="A21:A25"/>
    <mergeCell ref="A26:A29"/>
    <mergeCell ref="A30:A31"/>
    <mergeCell ref="A33:A34"/>
    <mergeCell ref="A36:C36"/>
    <mergeCell ref="A37:C37"/>
    <mergeCell ref="A39:C39"/>
    <mergeCell ref="A40:C40"/>
    <mergeCell ref="A41:C41"/>
    <mergeCell ref="A38:C38"/>
    <mergeCell ref="A10:B10"/>
    <mergeCell ref="A2:C2"/>
    <mergeCell ref="A4:B4"/>
    <mergeCell ref="A5:B5"/>
    <mergeCell ref="A6:B6"/>
    <mergeCell ref="A7:B7"/>
  </mergeCells>
  <pageMargins left="0.70866141732283472" right="0.70866141732283472" top="0.74803149606299213" bottom="0.74803149606299213" header="0.31496062992125984" footer="0.31496062992125984"/>
  <pageSetup scale="74" orientation="portrait" r:id="rId1"/>
</worksheet>
</file>

<file path=xl/worksheets/sheet309.xml><?xml version="1.0" encoding="utf-8"?>
<worksheet xmlns="http://schemas.openxmlformats.org/spreadsheetml/2006/main" xmlns:r="http://schemas.openxmlformats.org/officeDocument/2006/relationships">
  <sheetPr>
    <pageSetUpPr fitToPage="1"/>
  </sheetPr>
  <dimension ref="A2:C10"/>
  <sheetViews>
    <sheetView zoomScaleNormal="100" workbookViewId="0">
      <selection activeCell="A23" sqref="A23"/>
    </sheetView>
  </sheetViews>
  <sheetFormatPr baseColWidth="10" defaultRowHeight="12"/>
  <cols>
    <col min="1" max="1" width="79.42578125" style="50" customWidth="1"/>
    <col min="2" max="2" width="15.140625" style="50" customWidth="1"/>
    <col min="3" max="3" width="12.5703125" style="50" bestFit="1" customWidth="1"/>
    <col min="4" max="4" width="11.42578125" style="50"/>
    <col min="5" max="5" width="17" style="50" customWidth="1"/>
    <col min="6" max="6" width="16.28515625" style="50" bestFit="1" customWidth="1"/>
    <col min="7" max="7" width="5.5703125" style="50" bestFit="1" customWidth="1"/>
    <col min="8" max="8" width="14.28515625" style="50" customWidth="1"/>
    <col min="9" max="9" width="8.28515625" style="50" customWidth="1"/>
    <col min="10" max="10" width="32.85546875" style="50" bestFit="1" customWidth="1"/>
    <col min="11" max="16384" width="11.42578125" style="50"/>
  </cols>
  <sheetData>
    <row r="2" spans="1:3" ht="36.75" customHeight="1">
      <c r="A2" s="2621" t="s">
        <v>2903</v>
      </c>
      <c r="B2" s="2621"/>
    </row>
    <row r="3" spans="1:3" ht="6.75" customHeight="1">
      <c r="A3" s="273"/>
      <c r="B3" s="274"/>
    </row>
    <row r="4" spans="1:3" ht="23.25" customHeight="1">
      <c r="A4" s="275" t="s">
        <v>2904</v>
      </c>
      <c r="B4" s="256" t="s">
        <v>1149</v>
      </c>
    </row>
    <row r="5" spans="1:3">
      <c r="A5" s="276" t="s">
        <v>6</v>
      </c>
      <c r="B5" s="277">
        <f>B6+B7+B8</f>
        <v>1</v>
      </c>
    </row>
    <row r="6" spans="1:3" ht="23.25" customHeight="1">
      <c r="A6" s="278" t="s">
        <v>2905</v>
      </c>
      <c r="B6" s="279">
        <v>0.41</v>
      </c>
    </row>
    <row r="7" spans="1:3" ht="31.5" customHeight="1">
      <c r="A7" s="280" t="s">
        <v>2818</v>
      </c>
      <c r="B7" s="281">
        <v>0.13</v>
      </c>
    </row>
    <row r="8" spans="1:3" ht="27" customHeight="1">
      <c r="A8" s="280" t="s">
        <v>2836</v>
      </c>
      <c r="B8" s="281">
        <v>0.46</v>
      </c>
    </row>
    <row r="9" spans="1:3" ht="5.25" customHeight="1">
      <c r="A9" s="102"/>
      <c r="B9" s="102"/>
    </row>
    <row r="10" spans="1:3" ht="31.5" customHeight="1">
      <c r="A10" s="2618" t="s">
        <v>2813</v>
      </c>
      <c r="B10" s="2618"/>
      <c r="C10" s="282"/>
    </row>
  </sheetData>
  <mergeCells count="2">
    <mergeCell ref="A2:B2"/>
    <mergeCell ref="A10:B10"/>
  </mergeCells>
  <pageMargins left="0.70866141732283472" right="0.70866141732283472" top="0.74803149606299213" bottom="0.74803149606299213" header="0.31496062992125984" footer="0.31496062992125984"/>
  <pageSetup scale="95" orientation="portrait" r:id="rId1"/>
</worksheet>
</file>

<file path=xl/worksheets/sheet31.xml><?xml version="1.0" encoding="utf-8"?>
<worksheet xmlns="http://schemas.openxmlformats.org/spreadsheetml/2006/main" xmlns:r="http://schemas.openxmlformats.org/officeDocument/2006/relationships">
  <dimension ref="A2:H56"/>
  <sheetViews>
    <sheetView zoomScaleNormal="100" workbookViewId="0">
      <selection activeCell="D68" sqref="D68"/>
    </sheetView>
  </sheetViews>
  <sheetFormatPr baseColWidth="10" defaultRowHeight="11.25"/>
  <cols>
    <col min="1" max="1" width="26.7109375" style="1" customWidth="1"/>
    <col min="2" max="5" width="11.42578125" style="1"/>
    <col min="6" max="6" width="13.140625" style="1" customWidth="1"/>
    <col min="7" max="7" width="14.140625" style="1" customWidth="1"/>
    <col min="8" max="8" width="4.140625" style="1" customWidth="1"/>
    <col min="9" max="16384" width="11.42578125" style="1"/>
  </cols>
  <sheetData>
    <row r="2" spans="1:8" ht="27.75" customHeight="1">
      <c r="A2" s="2075" t="s">
        <v>3174</v>
      </c>
      <c r="B2" s="2075"/>
      <c r="C2" s="2075"/>
      <c r="D2" s="2075"/>
      <c r="E2" s="2075"/>
      <c r="F2" s="2075"/>
      <c r="G2" s="2075"/>
    </row>
    <row r="3" spans="1:8" ht="8.25" customHeight="1"/>
    <row r="4" spans="1:8" ht="16.5" customHeight="1">
      <c r="A4" s="2090" t="s">
        <v>986</v>
      </c>
      <c r="B4" s="2092" t="s">
        <v>671</v>
      </c>
      <c r="C4" s="2092"/>
      <c r="D4" s="2092"/>
      <c r="E4" s="2092"/>
      <c r="F4" s="2092"/>
      <c r="G4" s="2092"/>
    </row>
    <row r="5" spans="1:8">
      <c r="A5" s="2091"/>
      <c r="B5" s="1979" t="s">
        <v>799</v>
      </c>
      <c r="C5" s="1979" t="s">
        <v>800</v>
      </c>
      <c r="D5" s="1979" t="s">
        <v>801</v>
      </c>
      <c r="E5" s="1979" t="s">
        <v>802</v>
      </c>
      <c r="F5" s="1979" t="s">
        <v>803</v>
      </c>
      <c r="G5" s="1979" t="s">
        <v>804</v>
      </c>
    </row>
    <row r="6" spans="1:8">
      <c r="A6" s="1980" t="s">
        <v>6</v>
      </c>
      <c r="B6" s="1981">
        <f t="shared" ref="B6:G6" si="0">SUM(B9,B12,B15,B18,B21,B24,B27,B30,B33,B36,B39,B42,B45,B48,B51)</f>
        <v>78</v>
      </c>
      <c r="C6" s="1981">
        <f t="shared" si="0"/>
        <v>73</v>
      </c>
      <c r="D6" s="1981">
        <f t="shared" si="0"/>
        <v>124</v>
      </c>
      <c r="E6" s="1981">
        <f t="shared" si="0"/>
        <v>144</v>
      </c>
      <c r="F6" s="1981">
        <f t="shared" si="0"/>
        <v>103</v>
      </c>
      <c r="G6" s="1981">
        <f t="shared" si="0"/>
        <v>82</v>
      </c>
    </row>
    <row r="7" spans="1:8">
      <c r="A7" s="1980" t="s">
        <v>987</v>
      </c>
      <c r="B7" s="1981">
        <f>+B10+B13+B16+B19+B22+B25+B28+B31+B34+B37+B40+B43+B46+B49+B52</f>
        <v>51</v>
      </c>
      <c r="C7" s="1981">
        <f t="shared" ref="C7:G8" si="1">+C10+C13+C16+C19+C22+C25+C28+C31+C34+C37+C40+C43+C46+C49+C52</f>
        <v>62</v>
      </c>
      <c r="D7" s="1981">
        <f t="shared" si="1"/>
        <v>92</v>
      </c>
      <c r="E7" s="1981">
        <f t="shared" si="1"/>
        <v>110</v>
      </c>
      <c r="F7" s="1981">
        <f t="shared" si="1"/>
        <v>81</v>
      </c>
      <c r="G7" s="1981">
        <f t="shared" si="1"/>
        <v>59</v>
      </c>
      <c r="H7" s="1964"/>
    </row>
    <row r="8" spans="1:8">
      <c r="A8" s="1980" t="s">
        <v>823</v>
      </c>
      <c r="B8" s="1981">
        <f>+B11+B14+B17+B20+B23+B26+B29+B32+B35+B38+B41+B44+B47+B50+B53</f>
        <v>27</v>
      </c>
      <c r="C8" s="1981">
        <f t="shared" si="1"/>
        <v>11</v>
      </c>
      <c r="D8" s="1981">
        <f t="shared" si="1"/>
        <v>32</v>
      </c>
      <c r="E8" s="1981">
        <f t="shared" si="1"/>
        <v>34</v>
      </c>
      <c r="F8" s="1981">
        <f t="shared" si="1"/>
        <v>22</v>
      </c>
      <c r="G8" s="1981">
        <f t="shared" si="1"/>
        <v>23</v>
      </c>
    </row>
    <row r="9" spans="1:8" ht="12.75" customHeight="1">
      <c r="A9" s="1978" t="s">
        <v>7</v>
      </c>
      <c r="B9" s="1981">
        <f t="shared" ref="B9:G9" si="2">SUM(B10:B11)</f>
        <v>9</v>
      </c>
      <c r="C9" s="1981">
        <f t="shared" si="2"/>
        <v>4</v>
      </c>
      <c r="D9" s="1981">
        <f t="shared" si="2"/>
        <v>6</v>
      </c>
      <c r="E9" s="1981">
        <f t="shared" si="2"/>
        <v>3</v>
      </c>
      <c r="F9" s="1981">
        <f t="shared" si="2"/>
        <v>4</v>
      </c>
      <c r="G9" s="1981">
        <f t="shared" si="2"/>
        <v>3</v>
      </c>
    </row>
    <row r="10" spans="1:8">
      <c r="A10" s="1982" t="s">
        <v>987</v>
      </c>
      <c r="B10" s="1983">
        <v>5</v>
      </c>
      <c r="C10" s="1983">
        <v>3</v>
      </c>
      <c r="D10" s="1983">
        <v>4</v>
      </c>
      <c r="E10" s="1983">
        <v>2</v>
      </c>
      <c r="F10" s="1983">
        <v>3</v>
      </c>
      <c r="G10" s="1983">
        <v>2</v>
      </c>
    </row>
    <row r="11" spans="1:8">
      <c r="A11" s="1982" t="s">
        <v>823</v>
      </c>
      <c r="B11" s="1983">
        <v>4</v>
      </c>
      <c r="C11" s="1983">
        <v>1</v>
      </c>
      <c r="D11" s="1983">
        <v>2</v>
      </c>
      <c r="E11" s="1983">
        <v>1</v>
      </c>
      <c r="F11" s="1983">
        <v>1</v>
      </c>
      <c r="G11" s="1983">
        <v>1</v>
      </c>
    </row>
    <row r="12" spans="1:8">
      <c r="A12" s="1978" t="s">
        <v>8</v>
      </c>
      <c r="B12" s="1981">
        <f t="shared" ref="B12:G12" si="3">SUM(B13:B14)</f>
        <v>3</v>
      </c>
      <c r="C12" s="1981">
        <f t="shared" si="3"/>
        <v>2</v>
      </c>
      <c r="D12" s="1981">
        <f t="shared" si="3"/>
        <v>4</v>
      </c>
      <c r="E12" s="1981">
        <f t="shared" si="3"/>
        <v>9</v>
      </c>
      <c r="F12" s="1981">
        <f t="shared" si="3"/>
        <v>2</v>
      </c>
      <c r="G12" s="1981">
        <f t="shared" si="3"/>
        <v>3</v>
      </c>
    </row>
    <row r="13" spans="1:8">
      <c r="A13" s="1982" t="s">
        <v>987</v>
      </c>
      <c r="B13" s="1983">
        <v>2</v>
      </c>
      <c r="C13" s="1983">
        <v>2</v>
      </c>
      <c r="D13" s="1983">
        <v>4</v>
      </c>
      <c r="E13" s="1983">
        <v>6</v>
      </c>
      <c r="F13" s="1983">
        <v>2</v>
      </c>
      <c r="G13" s="1983">
        <v>2</v>
      </c>
    </row>
    <row r="14" spans="1:8">
      <c r="A14" s="1982" t="s">
        <v>823</v>
      </c>
      <c r="B14" s="1983">
        <v>1</v>
      </c>
      <c r="C14" s="1983">
        <v>0</v>
      </c>
      <c r="D14" s="1983">
        <v>0</v>
      </c>
      <c r="E14" s="1983">
        <v>3</v>
      </c>
      <c r="F14" s="1983">
        <v>0</v>
      </c>
      <c r="G14" s="1983">
        <v>1</v>
      </c>
    </row>
    <row r="15" spans="1:8">
      <c r="A15" s="1978" t="s">
        <v>9</v>
      </c>
      <c r="B15" s="1981">
        <f t="shared" ref="B15:G15" si="4">SUM(B16:B17)</f>
        <v>4</v>
      </c>
      <c r="C15" s="1981">
        <f t="shared" si="4"/>
        <v>2</v>
      </c>
      <c r="D15" s="1981">
        <f t="shared" si="4"/>
        <v>2</v>
      </c>
      <c r="E15" s="1981">
        <f t="shared" si="4"/>
        <v>3</v>
      </c>
      <c r="F15" s="1981">
        <f t="shared" si="4"/>
        <v>6</v>
      </c>
      <c r="G15" s="1981">
        <f t="shared" si="4"/>
        <v>0</v>
      </c>
    </row>
    <row r="16" spans="1:8">
      <c r="A16" s="1982" t="s">
        <v>987</v>
      </c>
      <c r="B16" s="1983">
        <v>3</v>
      </c>
      <c r="C16" s="1983">
        <v>1</v>
      </c>
      <c r="D16" s="1983">
        <v>2</v>
      </c>
      <c r="E16" s="1983">
        <v>2</v>
      </c>
      <c r="F16" s="1983">
        <v>6</v>
      </c>
      <c r="G16" s="1983">
        <v>0</v>
      </c>
    </row>
    <row r="17" spans="1:7">
      <c r="A17" s="1982" t="s">
        <v>823</v>
      </c>
      <c r="B17" s="1983">
        <v>1</v>
      </c>
      <c r="C17" s="1983">
        <v>1</v>
      </c>
      <c r="D17" s="1983">
        <v>0</v>
      </c>
      <c r="E17" s="1983">
        <v>1</v>
      </c>
      <c r="F17" s="1983">
        <v>0</v>
      </c>
      <c r="G17" s="1983">
        <v>0</v>
      </c>
    </row>
    <row r="18" spans="1:7">
      <c r="A18" s="1978" t="s">
        <v>10</v>
      </c>
      <c r="B18" s="1981">
        <f t="shared" ref="B18:G18" si="5">SUM(B19:B20)</f>
        <v>4</v>
      </c>
      <c r="C18" s="1981">
        <f t="shared" si="5"/>
        <v>13</v>
      </c>
      <c r="D18" s="1981">
        <f t="shared" si="5"/>
        <v>6</v>
      </c>
      <c r="E18" s="1981">
        <f t="shared" si="5"/>
        <v>13</v>
      </c>
      <c r="F18" s="1981">
        <f t="shared" si="5"/>
        <v>5</v>
      </c>
      <c r="G18" s="1981">
        <f t="shared" si="5"/>
        <v>3</v>
      </c>
    </row>
    <row r="19" spans="1:7">
      <c r="A19" s="1982" t="s">
        <v>987</v>
      </c>
      <c r="B19" s="1983">
        <v>1</v>
      </c>
      <c r="C19" s="1983">
        <v>9</v>
      </c>
      <c r="D19" s="1983">
        <v>4</v>
      </c>
      <c r="E19" s="1983">
        <v>11</v>
      </c>
      <c r="F19" s="1983">
        <v>4</v>
      </c>
      <c r="G19" s="1983">
        <v>2</v>
      </c>
    </row>
    <row r="20" spans="1:7">
      <c r="A20" s="1982" t="s">
        <v>823</v>
      </c>
      <c r="B20" s="1983">
        <v>3</v>
      </c>
      <c r="C20" s="1983">
        <v>4</v>
      </c>
      <c r="D20" s="1983">
        <v>2</v>
      </c>
      <c r="E20" s="1983">
        <v>2</v>
      </c>
      <c r="F20" s="1983">
        <v>1</v>
      </c>
      <c r="G20" s="1983">
        <v>1</v>
      </c>
    </row>
    <row r="21" spans="1:7">
      <c r="A21" s="1978" t="s">
        <v>11</v>
      </c>
      <c r="B21" s="1981">
        <f t="shared" ref="B21:G21" si="6">SUM(B22:B23)</f>
        <v>5</v>
      </c>
      <c r="C21" s="1981">
        <f t="shared" si="6"/>
        <v>7</v>
      </c>
      <c r="D21" s="1981">
        <f t="shared" si="6"/>
        <v>10</v>
      </c>
      <c r="E21" s="1981">
        <f t="shared" si="6"/>
        <v>4</v>
      </c>
      <c r="F21" s="1981">
        <f t="shared" si="6"/>
        <v>1</v>
      </c>
      <c r="G21" s="1981">
        <f t="shared" si="6"/>
        <v>4</v>
      </c>
    </row>
    <row r="22" spans="1:7">
      <c r="A22" s="1982" t="s">
        <v>987</v>
      </c>
      <c r="B22" s="1983">
        <v>4</v>
      </c>
      <c r="C22" s="1983">
        <v>4</v>
      </c>
      <c r="D22" s="1983">
        <v>8</v>
      </c>
      <c r="E22" s="1983">
        <v>3</v>
      </c>
      <c r="F22" s="1983">
        <v>1</v>
      </c>
      <c r="G22" s="1983">
        <v>3</v>
      </c>
    </row>
    <row r="23" spans="1:7">
      <c r="A23" s="1982" t="s">
        <v>823</v>
      </c>
      <c r="B23" s="1983">
        <v>1</v>
      </c>
      <c r="C23" s="1983">
        <v>3</v>
      </c>
      <c r="D23" s="1983">
        <v>2</v>
      </c>
      <c r="E23" s="1983">
        <v>1</v>
      </c>
      <c r="F23" s="1983">
        <v>0</v>
      </c>
      <c r="G23" s="1983">
        <v>1</v>
      </c>
    </row>
    <row r="24" spans="1:7">
      <c r="A24" s="1978" t="s">
        <v>12</v>
      </c>
      <c r="B24" s="1981">
        <f t="shared" ref="B24:G24" si="7">SUM(B25:B26)</f>
        <v>12</v>
      </c>
      <c r="C24" s="1981">
        <f t="shared" si="7"/>
        <v>6</v>
      </c>
      <c r="D24" s="1981">
        <f t="shared" si="7"/>
        <v>16</v>
      </c>
      <c r="E24" s="1981">
        <f t="shared" si="7"/>
        <v>17</v>
      </c>
      <c r="F24" s="1981">
        <f t="shared" si="7"/>
        <v>10</v>
      </c>
      <c r="G24" s="1981">
        <f t="shared" si="7"/>
        <v>7</v>
      </c>
    </row>
    <row r="25" spans="1:7">
      <c r="A25" s="1982" t="s">
        <v>987</v>
      </c>
      <c r="B25" s="1983">
        <v>6</v>
      </c>
      <c r="C25" s="1983">
        <v>6</v>
      </c>
      <c r="D25" s="1983">
        <v>8</v>
      </c>
      <c r="E25" s="1983">
        <v>13</v>
      </c>
      <c r="F25" s="1983">
        <v>7</v>
      </c>
      <c r="G25" s="1983">
        <v>4</v>
      </c>
    </row>
    <row r="26" spans="1:7">
      <c r="A26" s="1982" t="s">
        <v>823</v>
      </c>
      <c r="B26" s="1983">
        <v>6</v>
      </c>
      <c r="C26" s="1983">
        <v>0</v>
      </c>
      <c r="D26" s="1983">
        <v>8</v>
      </c>
      <c r="E26" s="1983">
        <v>4</v>
      </c>
      <c r="F26" s="1983">
        <v>3</v>
      </c>
      <c r="G26" s="1983">
        <v>3</v>
      </c>
    </row>
    <row r="27" spans="1:7">
      <c r="A27" s="1984" t="s">
        <v>13</v>
      </c>
      <c r="B27" s="1981">
        <f t="shared" ref="B27:G27" si="8">SUM(B28:B29)</f>
        <v>10</v>
      </c>
      <c r="C27" s="1981">
        <f t="shared" si="8"/>
        <v>8</v>
      </c>
      <c r="D27" s="1981">
        <f t="shared" si="8"/>
        <v>16</v>
      </c>
      <c r="E27" s="1981">
        <f t="shared" si="8"/>
        <v>20</v>
      </c>
      <c r="F27" s="1981">
        <f t="shared" si="8"/>
        <v>15</v>
      </c>
      <c r="G27" s="1981">
        <f t="shared" si="8"/>
        <v>8</v>
      </c>
    </row>
    <row r="28" spans="1:7">
      <c r="A28" s="1982" t="s">
        <v>987</v>
      </c>
      <c r="B28" s="1983">
        <v>6</v>
      </c>
      <c r="C28" s="1983">
        <v>8</v>
      </c>
      <c r="D28" s="1983">
        <v>11</v>
      </c>
      <c r="E28" s="1983">
        <v>15</v>
      </c>
      <c r="F28" s="1983">
        <v>13</v>
      </c>
      <c r="G28" s="1983">
        <v>5</v>
      </c>
    </row>
    <row r="29" spans="1:7">
      <c r="A29" s="1982" t="s">
        <v>823</v>
      </c>
      <c r="B29" s="1983">
        <v>4</v>
      </c>
      <c r="C29" s="1983">
        <v>0</v>
      </c>
      <c r="D29" s="1983">
        <v>5</v>
      </c>
      <c r="E29" s="1983">
        <v>5</v>
      </c>
      <c r="F29" s="1983">
        <v>2</v>
      </c>
      <c r="G29" s="1983">
        <v>3</v>
      </c>
    </row>
    <row r="30" spans="1:7">
      <c r="A30" s="1978" t="s">
        <v>14</v>
      </c>
      <c r="B30" s="1981">
        <f t="shared" ref="B30:G30" si="9">SUM(B31:B32)</f>
        <v>2</v>
      </c>
      <c r="C30" s="1981">
        <f t="shared" si="9"/>
        <v>5</v>
      </c>
      <c r="D30" s="1981">
        <f t="shared" si="9"/>
        <v>15</v>
      </c>
      <c r="E30" s="1981">
        <f t="shared" si="9"/>
        <v>12</v>
      </c>
      <c r="F30" s="1981">
        <f t="shared" si="9"/>
        <v>11</v>
      </c>
      <c r="G30" s="1981">
        <f t="shared" si="9"/>
        <v>7</v>
      </c>
    </row>
    <row r="31" spans="1:7">
      <c r="A31" s="1982" t="s">
        <v>987</v>
      </c>
      <c r="B31" s="1983">
        <v>2</v>
      </c>
      <c r="C31" s="1983">
        <v>4</v>
      </c>
      <c r="D31" s="1983">
        <v>11</v>
      </c>
      <c r="E31" s="1983">
        <v>10</v>
      </c>
      <c r="F31" s="1983">
        <v>7</v>
      </c>
      <c r="G31" s="1983">
        <v>4</v>
      </c>
    </row>
    <row r="32" spans="1:7">
      <c r="A32" s="1982" t="s">
        <v>823</v>
      </c>
      <c r="B32" s="1983">
        <v>0</v>
      </c>
      <c r="C32" s="1983">
        <v>1</v>
      </c>
      <c r="D32" s="1983">
        <v>4</v>
      </c>
      <c r="E32" s="1983">
        <v>2</v>
      </c>
      <c r="F32" s="1983">
        <v>4</v>
      </c>
      <c r="G32" s="1983">
        <v>3</v>
      </c>
    </row>
    <row r="33" spans="1:7">
      <c r="A33" s="1978" t="s">
        <v>15</v>
      </c>
      <c r="B33" s="1981">
        <f t="shared" ref="B33:G33" si="10">SUM(B34:B35)</f>
        <v>4</v>
      </c>
      <c r="C33" s="1981">
        <f t="shared" si="10"/>
        <v>3</v>
      </c>
      <c r="D33" s="1981">
        <f t="shared" si="10"/>
        <v>4</v>
      </c>
      <c r="E33" s="1981">
        <f t="shared" si="10"/>
        <v>23</v>
      </c>
      <c r="F33" s="1981">
        <f t="shared" si="10"/>
        <v>5</v>
      </c>
      <c r="G33" s="1981">
        <f t="shared" si="10"/>
        <v>9</v>
      </c>
    </row>
    <row r="34" spans="1:7">
      <c r="A34" s="1982" t="s">
        <v>987</v>
      </c>
      <c r="B34" s="1983">
        <v>2</v>
      </c>
      <c r="C34" s="1983">
        <v>2</v>
      </c>
      <c r="D34" s="1983">
        <v>3</v>
      </c>
      <c r="E34" s="1983">
        <v>17</v>
      </c>
      <c r="F34" s="1983">
        <v>3</v>
      </c>
      <c r="G34" s="1983">
        <v>6</v>
      </c>
    </row>
    <row r="35" spans="1:7">
      <c r="A35" s="1982" t="s">
        <v>823</v>
      </c>
      <c r="B35" s="1983">
        <v>2</v>
      </c>
      <c r="C35" s="1983">
        <v>1</v>
      </c>
      <c r="D35" s="1983">
        <v>1</v>
      </c>
      <c r="E35" s="1983">
        <v>6</v>
      </c>
      <c r="F35" s="1983">
        <v>2</v>
      </c>
      <c r="G35" s="1983">
        <v>3</v>
      </c>
    </row>
    <row r="36" spans="1:7">
      <c r="A36" s="1978" t="s">
        <v>16</v>
      </c>
      <c r="B36" s="1981">
        <f t="shared" ref="B36:G36" si="11">SUM(B37:B38)</f>
        <v>11</v>
      </c>
      <c r="C36" s="1981">
        <f t="shared" si="11"/>
        <v>3</v>
      </c>
      <c r="D36" s="1981">
        <f t="shared" si="11"/>
        <v>8</v>
      </c>
      <c r="E36" s="1981">
        <f t="shared" si="11"/>
        <v>8</v>
      </c>
      <c r="F36" s="1981">
        <f t="shared" si="11"/>
        <v>8</v>
      </c>
      <c r="G36" s="1981">
        <f t="shared" si="11"/>
        <v>17</v>
      </c>
    </row>
    <row r="37" spans="1:7">
      <c r="A37" s="1982" t="s">
        <v>987</v>
      </c>
      <c r="B37" s="1983">
        <v>9</v>
      </c>
      <c r="C37" s="1983">
        <v>3</v>
      </c>
      <c r="D37" s="1983">
        <v>6</v>
      </c>
      <c r="E37" s="1983">
        <v>7</v>
      </c>
      <c r="F37" s="1983">
        <v>7</v>
      </c>
      <c r="G37" s="1983">
        <v>14</v>
      </c>
    </row>
    <row r="38" spans="1:7">
      <c r="A38" s="1982" t="s">
        <v>823</v>
      </c>
      <c r="B38" s="1983">
        <v>2</v>
      </c>
      <c r="C38" s="1983">
        <v>0</v>
      </c>
      <c r="D38" s="1983">
        <v>2</v>
      </c>
      <c r="E38" s="1983">
        <v>1</v>
      </c>
      <c r="F38" s="1983">
        <v>1</v>
      </c>
      <c r="G38" s="1983">
        <v>3</v>
      </c>
    </row>
    <row r="39" spans="1:7">
      <c r="A39" s="1978" t="s">
        <v>379</v>
      </c>
      <c r="B39" s="1981">
        <f t="shared" ref="B39:G39" si="12">SUM(B40:B41)</f>
        <v>6</v>
      </c>
      <c r="C39" s="1981">
        <f t="shared" si="12"/>
        <v>9</v>
      </c>
      <c r="D39" s="1981">
        <f t="shared" si="12"/>
        <v>19</v>
      </c>
      <c r="E39" s="1981">
        <f t="shared" si="12"/>
        <v>11</v>
      </c>
      <c r="F39" s="1981">
        <f t="shared" si="12"/>
        <v>8</v>
      </c>
      <c r="G39" s="1981">
        <f t="shared" si="12"/>
        <v>15</v>
      </c>
    </row>
    <row r="40" spans="1:7">
      <c r="A40" s="1982" t="s">
        <v>987</v>
      </c>
      <c r="B40" s="1983">
        <v>5</v>
      </c>
      <c r="C40" s="1983">
        <v>9</v>
      </c>
      <c r="D40" s="1983">
        <v>15</v>
      </c>
      <c r="E40" s="1983">
        <v>7</v>
      </c>
      <c r="F40" s="1983">
        <v>8</v>
      </c>
      <c r="G40" s="1983">
        <v>13</v>
      </c>
    </row>
    <row r="41" spans="1:7">
      <c r="A41" s="1982" t="s">
        <v>823</v>
      </c>
      <c r="B41" s="1983">
        <v>1</v>
      </c>
      <c r="C41" s="1983">
        <v>0</v>
      </c>
      <c r="D41" s="1983">
        <v>4</v>
      </c>
      <c r="E41" s="1983">
        <v>4</v>
      </c>
      <c r="F41" s="1983">
        <v>0</v>
      </c>
      <c r="G41" s="1983">
        <v>2</v>
      </c>
    </row>
    <row r="42" spans="1:7">
      <c r="A42" s="1978" t="s">
        <v>276</v>
      </c>
      <c r="B42" s="1981">
        <f t="shared" ref="B42:G42" si="13">SUM(B43:B44)</f>
        <v>4</v>
      </c>
      <c r="C42" s="1981">
        <f t="shared" si="13"/>
        <v>2</v>
      </c>
      <c r="D42" s="1981">
        <f t="shared" si="13"/>
        <v>4</v>
      </c>
      <c r="E42" s="1981">
        <f t="shared" si="13"/>
        <v>9</v>
      </c>
      <c r="F42" s="1981">
        <f t="shared" si="13"/>
        <v>5</v>
      </c>
      <c r="G42" s="1981">
        <f t="shared" si="13"/>
        <v>2</v>
      </c>
    </row>
    <row r="43" spans="1:7">
      <c r="A43" s="1982" t="s">
        <v>987</v>
      </c>
      <c r="B43" s="1983">
        <v>4</v>
      </c>
      <c r="C43" s="1983">
        <v>2</v>
      </c>
      <c r="D43" s="1983">
        <v>4</v>
      </c>
      <c r="E43" s="1983">
        <v>7</v>
      </c>
      <c r="F43" s="1983">
        <v>4</v>
      </c>
      <c r="G43" s="1983">
        <v>0</v>
      </c>
    </row>
    <row r="44" spans="1:7">
      <c r="A44" s="1982" t="s">
        <v>823</v>
      </c>
      <c r="B44" s="1983">
        <v>0</v>
      </c>
      <c r="C44" s="1983">
        <v>0</v>
      </c>
      <c r="D44" s="1983">
        <v>0</v>
      </c>
      <c r="E44" s="1983">
        <v>2</v>
      </c>
      <c r="F44" s="1983">
        <v>1</v>
      </c>
      <c r="G44" s="1983">
        <v>2</v>
      </c>
    </row>
    <row r="45" spans="1:7">
      <c r="A45" s="1978" t="s">
        <v>280</v>
      </c>
      <c r="B45" s="1981">
        <f t="shared" ref="B45:G45" si="14">SUM(B46:B47)</f>
        <v>2</v>
      </c>
      <c r="C45" s="1981">
        <f t="shared" si="14"/>
        <v>4</v>
      </c>
      <c r="D45" s="1981">
        <f t="shared" si="14"/>
        <v>11</v>
      </c>
      <c r="E45" s="1981">
        <f t="shared" si="14"/>
        <v>8</v>
      </c>
      <c r="F45" s="1981">
        <f t="shared" si="14"/>
        <v>10</v>
      </c>
      <c r="G45" s="1981">
        <f t="shared" si="14"/>
        <v>1</v>
      </c>
    </row>
    <row r="46" spans="1:7">
      <c r="A46" s="1982" t="s">
        <v>987</v>
      </c>
      <c r="B46" s="1983">
        <v>1</v>
      </c>
      <c r="C46" s="1983">
        <v>4</v>
      </c>
      <c r="D46" s="1983">
        <v>9</v>
      </c>
      <c r="E46" s="1983">
        <v>6</v>
      </c>
      <c r="F46" s="1983">
        <v>5</v>
      </c>
      <c r="G46" s="1983">
        <v>1</v>
      </c>
    </row>
    <row r="47" spans="1:7">
      <c r="A47" s="1982" t="s">
        <v>823</v>
      </c>
      <c r="B47" s="1983">
        <v>1</v>
      </c>
      <c r="C47" s="1983">
        <v>0</v>
      </c>
      <c r="D47" s="1983">
        <v>2</v>
      </c>
      <c r="E47" s="1983">
        <v>2</v>
      </c>
      <c r="F47" s="1983">
        <v>5</v>
      </c>
      <c r="G47" s="1983">
        <v>0</v>
      </c>
    </row>
    <row r="48" spans="1:7">
      <c r="A48" s="1978" t="s">
        <v>20</v>
      </c>
      <c r="B48" s="1981">
        <f t="shared" ref="B48:G48" si="15">SUM(B49:B50)</f>
        <v>0</v>
      </c>
      <c r="C48" s="1981">
        <f t="shared" si="15"/>
        <v>2</v>
      </c>
      <c r="D48" s="1981">
        <f t="shared" si="15"/>
        <v>1</v>
      </c>
      <c r="E48" s="1981">
        <f t="shared" si="15"/>
        <v>2</v>
      </c>
      <c r="F48" s="1981">
        <f t="shared" si="15"/>
        <v>13</v>
      </c>
      <c r="G48" s="1981">
        <f t="shared" si="15"/>
        <v>2</v>
      </c>
    </row>
    <row r="49" spans="1:7">
      <c r="A49" s="1982" t="s">
        <v>987</v>
      </c>
      <c r="B49" s="1983">
        <v>0</v>
      </c>
      <c r="C49" s="1983">
        <v>2</v>
      </c>
      <c r="D49" s="1983">
        <v>1</v>
      </c>
      <c r="E49" s="1983">
        <v>2</v>
      </c>
      <c r="F49" s="1983">
        <v>11</v>
      </c>
      <c r="G49" s="1983">
        <v>2</v>
      </c>
    </row>
    <row r="50" spans="1:7">
      <c r="A50" s="1982" t="s">
        <v>823</v>
      </c>
      <c r="B50" s="1983">
        <v>0</v>
      </c>
      <c r="C50" s="1983">
        <v>0</v>
      </c>
      <c r="D50" s="1983">
        <v>0</v>
      </c>
      <c r="E50" s="1983">
        <v>0</v>
      </c>
      <c r="F50" s="1983">
        <v>2</v>
      </c>
      <c r="G50" s="1983">
        <v>0</v>
      </c>
    </row>
    <row r="51" spans="1:7">
      <c r="A51" s="1978" t="s">
        <v>21</v>
      </c>
      <c r="B51" s="1981">
        <f t="shared" ref="B51:G51" si="16">SUM(B52:B53)</f>
        <v>2</v>
      </c>
      <c r="C51" s="1981">
        <f t="shared" si="16"/>
        <v>3</v>
      </c>
      <c r="D51" s="1981">
        <f t="shared" si="16"/>
        <v>2</v>
      </c>
      <c r="E51" s="1981">
        <f t="shared" si="16"/>
        <v>2</v>
      </c>
      <c r="F51" s="1981">
        <f t="shared" si="16"/>
        <v>0</v>
      </c>
      <c r="G51" s="1981">
        <f t="shared" si="16"/>
        <v>1</v>
      </c>
    </row>
    <row r="52" spans="1:7">
      <c r="A52" s="1982" t="s">
        <v>987</v>
      </c>
      <c r="B52" s="1983">
        <v>1</v>
      </c>
      <c r="C52" s="1983">
        <v>3</v>
      </c>
      <c r="D52" s="1983">
        <v>2</v>
      </c>
      <c r="E52" s="1983">
        <v>2</v>
      </c>
      <c r="F52" s="1983">
        <v>0</v>
      </c>
      <c r="G52" s="1983">
        <v>1</v>
      </c>
    </row>
    <row r="53" spans="1:7">
      <c r="A53" s="1982" t="s">
        <v>823</v>
      </c>
      <c r="B53" s="1983">
        <v>1</v>
      </c>
      <c r="C53" s="1983">
        <v>0</v>
      </c>
      <c r="D53" s="1983">
        <v>0</v>
      </c>
      <c r="E53" s="1983">
        <v>0</v>
      </c>
      <c r="F53" s="1983">
        <v>0</v>
      </c>
      <c r="G53" s="1983">
        <v>0</v>
      </c>
    </row>
    <row r="54" spans="1:7">
      <c r="A54" s="1985"/>
      <c r="B54" s="1983"/>
      <c r="C54" s="1983"/>
      <c r="D54" s="1983"/>
      <c r="E54" s="1983"/>
      <c r="F54" s="1983"/>
      <c r="G54" s="1983"/>
    </row>
    <row r="55" spans="1:7" ht="21" customHeight="1">
      <c r="A55" s="1890" t="s">
        <v>747</v>
      </c>
    </row>
    <row r="56" spans="1:7" ht="24" customHeight="1">
      <c r="A56" s="2103" t="s">
        <v>861</v>
      </c>
      <c r="B56" s="2103"/>
      <c r="C56" s="2103"/>
      <c r="D56" s="2103"/>
      <c r="E56" s="2103"/>
      <c r="F56" s="2103"/>
      <c r="G56" s="2103"/>
    </row>
  </sheetData>
  <mergeCells count="4">
    <mergeCell ref="A2:G2"/>
    <mergeCell ref="A4:A5"/>
    <mergeCell ref="B4:G4"/>
    <mergeCell ref="A56:G56"/>
  </mergeCells>
  <pageMargins left="0.7" right="0.7" top="0.75" bottom="0.75" header="0.3" footer="0.3"/>
</worksheet>
</file>

<file path=xl/worksheets/sheet310.xml><?xml version="1.0" encoding="utf-8"?>
<worksheet xmlns="http://schemas.openxmlformats.org/spreadsheetml/2006/main" xmlns:r="http://schemas.openxmlformats.org/officeDocument/2006/relationships">
  <dimension ref="A2:E24"/>
  <sheetViews>
    <sheetView zoomScaleNormal="100" workbookViewId="0">
      <selection activeCell="C29" sqref="C29"/>
    </sheetView>
  </sheetViews>
  <sheetFormatPr baseColWidth="10" defaultRowHeight="12"/>
  <cols>
    <col min="1" max="1" width="39.28515625" style="50" bestFit="1" customWidth="1"/>
    <col min="2" max="2" width="13.28515625" style="50" customWidth="1"/>
    <col min="3" max="3" width="16.28515625" style="50" customWidth="1"/>
    <col min="4" max="4" width="17" style="50" customWidth="1"/>
    <col min="5" max="5" width="16.85546875" style="50" customWidth="1"/>
    <col min="6" max="16384" width="11.42578125" style="50"/>
  </cols>
  <sheetData>
    <row r="2" spans="1:5" ht="47.25" customHeight="1">
      <c r="A2" s="2927" t="s">
        <v>3241</v>
      </c>
      <c r="B2" s="2927"/>
      <c r="C2" s="2927"/>
      <c r="D2" s="2927"/>
      <c r="E2" s="2927"/>
    </row>
    <row r="3" spans="1:5" ht="6.75" customHeight="1">
      <c r="A3" s="272"/>
      <c r="B3" s="104"/>
      <c r="C3" s="85"/>
      <c r="D3" s="85"/>
      <c r="E3" s="104"/>
    </row>
    <row r="4" spans="1:5">
      <c r="A4" s="2922" t="s">
        <v>0</v>
      </c>
      <c r="B4" s="2923" t="s">
        <v>191</v>
      </c>
      <c r="C4" s="2923"/>
      <c r="D4" s="2923"/>
      <c r="E4" s="2924" t="s">
        <v>192</v>
      </c>
    </row>
    <row r="5" spans="1:5" ht="33" customHeight="1">
      <c r="A5" s="2922"/>
      <c r="B5" s="2925" t="s">
        <v>6</v>
      </c>
      <c r="C5" s="2926" t="s">
        <v>193</v>
      </c>
      <c r="D5" s="2926" t="s">
        <v>194</v>
      </c>
      <c r="E5" s="2924"/>
    </row>
    <row r="6" spans="1:5">
      <c r="A6" s="2920" t="s">
        <v>6</v>
      </c>
      <c r="B6" s="264">
        <f>SUM(B7:B21)</f>
        <v>1021</v>
      </c>
      <c r="C6" s="264">
        <f>SUM(C7:C21)</f>
        <v>57</v>
      </c>
      <c r="D6" s="264">
        <f>SUM(D7:D21)</f>
        <v>964</v>
      </c>
      <c r="E6" s="264">
        <f>SUM(E7:E21)</f>
        <v>1121</v>
      </c>
    </row>
    <row r="7" spans="1:5">
      <c r="A7" s="2921" t="s">
        <v>7</v>
      </c>
      <c r="B7" s="264">
        <f t="shared" ref="B7:B21" si="0">SUM(C7:D7)</f>
        <v>5</v>
      </c>
      <c r="C7" s="265">
        <v>0</v>
      </c>
      <c r="D7" s="265">
        <v>5</v>
      </c>
      <c r="E7" s="265">
        <v>6</v>
      </c>
    </row>
    <row r="8" spans="1:5">
      <c r="A8" s="2921" t="s">
        <v>8</v>
      </c>
      <c r="B8" s="264">
        <f t="shared" si="0"/>
        <v>44</v>
      </c>
      <c r="C8" s="265">
        <v>4</v>
      </c>
      <c r="D8" s="265">
        <v>40</v>
      </c>
      <c r="E8" s="265">
        <v>49</v>
      </c>
    </row>
    <row r="9" spans="1:5">
      <c r="A9" s="2921" t="s">
        <v>9</v>
      </c>
      <c r="B9" s="264">
        <f t="shared" si="0"/>
        <v>49</v>
      </c>
      <c r="C9" s="265">
        <v>0</v>
      </c>
      <c r="D9" s="265">
        <v>49</v>
      </c>
      <c r="E9" s="265">
        <v>67</v>
      </c>
    </row>
    <row r="10" spans="1:5">
      <c r="A10" s="2921" t="s">
        <v>10</v>
      </c>
      <c r="B10" s="264">
        <f t="shared" si="0"/>
        <v>13</v>
      </c>
      <c r="C10" s="265">
        <v>0</v>
      </c>
      <c r="D10" s="265">
        <v>13</v>
      </c>
      <c r="E10" s="265">
        <v>15</v>
      </c>
    </row>
    <row r="11" spans="1:5">
      <c r="A11" s="2921" t="s">
        <v>11</v>
      </c>
      <c r="B11" s="264">
        <f t="shared" si="0"/>
        <v>12</v>
      </c>
      <c r="C11" s="265">
        <v>1</v>
      </c>
      <c r="D11" s="265">
        <v>11</v>
      </c>
      <c r="E11" s="265">
        <v>11</v>
      </c>
    </row>
    <row r="12" spans="1:5">
      <c r="A12" s="2921" t="s">
        <v>12</v>
      </c>
      <c r="B12" s="264">
        <f t="shared" si="0"/>
        <v>127</v>
      </c>
      <c r="C12" s="265">
        <v>6</v>
      </c>
      <c r="D12" s="265">
        <v>121</v>
      </c>
      <c r="E12" s="265">
        <v>142</v>
      </c>
    </row>
    <row r="13" spans="1:5">
      <c r="A13" s="2921" t="s">
        <v>13</v>
      </c>
      <c r="B13" s="264">
        <f t="shared" si="0"/>
        <v>541</v>
      </c>
      <c r="C13" s="265">
        <v>30</v>
      </c>
      <c r="D13" s="265">
        <v>511</v>
      </c>
      <c r="E13" s="265">
        <v>598</v>
      </c>
    </row>
    <row r="14" spans="1:5">
      <c r="A14" s="2921" t="s">
        <v>14</v>
      </c>
      <c r="B14" s="264">
        <f t="shared" si="0"/>
        <v>33</v>
      </c>
      <c r="C14" s="265">
        <v>3</v>
      </c>
      <c r="D14" s="265">
        <v>30</v>
      </c>
      <c r="E14" s="265">
        <v>32</v>
      </c>
    </row>
    <row r="15" spans="1:5">
      <c r="A15" s="2921" t="s">
        <v>15</v>
      </c>
      <c r="B15" s="264">
        <f t="shared" si="0"/>
        <v>32</v>
      </c>
      <c r="C15" s="265">
        <v>0</v>
      </c>
      <c r="D15" s="265">
        <v>32</v>
      </c>
      <c r="E15" s="265">
        <v>34</v>
      </c>
    </row>
    <row r="16" spans="1:5">
      <c r="A16" s="2921" t="s">
        <v>16</v>
      </c>
      <c r="B16" s="264">
        <f t="shared" si="0"/>
        <v>96</v>
      </c>
      <c r="C16" s="265">
        <v>9</v>
      </c>
      <c r="D16" s="265">
        <v>87</v>
      </c>
      <c r="E16" s="265">
        <v>92</v>
      </c>
    </row>
    <row r="17" spans="1:5">
      <c r="A17" s="2921" t="s">
        <v>17</v>
      </c>
      <c r="B17" s="264">
        <f t="shared" si="0"/>
        <v>30</v>
      </c>
      <c r="C17" s="265">
        <v>4</v>
      </c>
      <c r="D17" s="265">
        <v>26</v>
      </c>
      <c r="E17" s="265">
        <v>30</v>
      </c>
    </row>
    <row r="18" spans="1:5">
      <c r="A18" s="2921" t="s">
        <v>18</v>
      </c>
      <c r="B18" s="264">
        <f t="shared" si="0"/>
        <v>6</v>
      </c>
      <c r="C18" s="265">
        <v>0</v>
      </c>
      <c r="D18" s="265">
        <v>6</v>
      </c>
      <c r="E18" s="265">
        <v>6</v>
      </c>
    </row>
    <row r="19" spans="1:5">
      <c r="A19" s="2921" t="s">
        <v>19</v>
      </c>
      <c r="B19" s="264">
        <f t="shared" si="0"/>
        <v>31</v>
      </c>
      <c r="C19" s="265">
        <v>0</v>
      </c>
      <c r="D19" s="265">
        <v>31</v>
      </c>
      <c r="E19" s="265">
        <v>36</v>
      </c>
    </row>
    <row r="20" spans="1:5">
      <c r="A20" s="2921" t="s">
        <v>20</v>
      </c>
      <c r="B20" s="264">
        <f t="shared" si="0"/>
        <v>0</v>
      </c>
      <c r="C20" s="265">
        <v>0</v>
      </c>
      <c r="D20" s="265">
        <v>0</v>
      </c>
      <c r="E20" s="265">
        <v>0</v>
      </c>
    </row>
    <row r="21" spans="1:5">
      <c r="A21" s="2921" t="s">
        <v>21</v>
      </c>
      <c r="B21" s="264">
        <f t="shared" si="0"/>
        <v>2</v>
      </c>
      <c r="C21" s="265">
        <v>0</v>
      </c>
      <c r="D21" s="265">
        <v>2</v>
      </c>
      <c r="E21" s="265">
        <v>3</v>
      </c>
    </row>
    <row r="22" spans="1:5">
      <c r="A22" s="263"/>
      <c r="B22" s="264"/>
      <c r="C22" s="265"/>
      <c r="D22" s="265"/>
      <c r="E22" s="265"/>
    </row>
    <row r="23" spans="1:5">
      <c r="A23" s="2625" t="s">
        <v>22</v>
      </c>
      <c r="B23" s="2625"/>
      <c r="C23" s="2625"/>
      <c r="D23" s="2625"/>
      <c r="E23" s="2625"/>
    </row>
    <row r="24" spans="1:5">
      <c r="A24" s="2406" t="s">
        <v>195</v>
      </c>
      <c r="B24" s="2406"/>
      <c r="C24" s="2406"/>
      <c r="D24" s="2406"/>
      <c r="E24" s="2406"/>
    </row>
  </sheetData>
  <mergeCells count="6">
    <mergeCell ref="A24:E24"/>
    <mergeCell ref="A2:E2"/>
    <mergeCell ref="A4:A5"/>
    <mergeCell ref="B4:D4"/>
    <mergeCell ref="E4:E5"/>
    <mergeCell ref="A23:E23"/>
  </mergeCells>
  <pageMargins left="0.7" right="0.7" top="0.75" bottom="0.75" header="0.3" footer="0.3"/>
</worksheet>
</file>

<file path=xl/worksheets/sheet311.xml><?xml version="1.0" encoding="utf-8"?>
<worksheet xmlns="http://schemas.openxmlformats.org/spreadsheetml/2006/main" xmlns:r="http://schemas.openxmlformats.org/officeDocument/2006/relationships">
  <dimension ref="A1:J25"/>
  <sheetViews>
    <sheetView zoomScaleNormal="100" workbookViewId="0">
      <selection activeCell="D36" sqref="D36"/>
    </sheetView>
  </sheetViews>
  <sheetFormatPr baseColWidth="10" defaultRowHeight="12"/>
  <cols>
    <col min="1" max="1" width="19" style="50" customWidth="1"/>
    <col min="2" max="2" width="15.42578125" style="50" customWidth="1"/>
    <col min="3" max="10" width="10.28515625" style="50" customWidth="1"/>
    <col min="11" max="16384" width="11.42578125" style="50"/>
  </cols>
  <sheetData>
    <row r="1" spans="1:10" ht="9" customHeight="1"/>
    <row r="2" spans="1:10" ht="39" customHeight="1">
      <c r="A2" s="2626" t="s">
        <v>2911</v>
      </c>
      <c r="B2" s="2626"/>
      <c r="C2" s="2626"/>
      <c r="D2" s="2626"/>
      <c r="E2" s="2626"/>
      <c r="F2" s="2626"/>
      <c r="G2" s="2626"/>
      <c r="H2" s="2626"/>
      <c r="I2" s="2626"/>
      <c r="J2" s="2626"/>
    </row>
    <row r="3" spans="1:10" ht="8.25" customHeight="1">
      <c r="A3" s="268"/>
      <c r="B3" s="268"/>
      <c r="C3" s="268"/>
      <c r="D3" s="268"/>
      <c r="E3" s="268"/>
      <c r="F3" s="104"/>
      <c r="G3" s="269"/>
      <c r="H3" s="269"/>
      <c r="I3" s="269"/>
      <c r="J3" s="269"/>
    </row>
    <row r="4" spans="1:10" ht="16.5" customHeight="1">
      <c r="A4" s="2931" t="s">
        <v>0</v>
      </c>
      <c r="B4" s="2931" t="s">
        <v>2910</v>
      </c>
      <c r="C4" s="2932" t="s">
        <v>2909</v>
      </c>
      <c r="D4" s="2932"/>
      <c r="E4" s="2932"/>
      <c r="F4" s="2932"/>
      <c r="G4" s="2932"/>
      <c r="H4" s="2932"/>
      <c r="I4" s="2932"/>
      <c r="J4" s="2932"/>
    </row>
    <row r="5" spans="1:10">
      <c r="A5" s="2931"/>
      <c r="B5" s="2931"/>
      <c r="C5" s="2931" t="s">
        <v>197</v>
      </c>
      <c r="D5" s="2933" t="s">
        <v>163</v>
      </c>
      <c r="E5" s="2933"/>
      <c r="F5" s="2933"/>
      <c r="G5" s="2931" t="s">
        <v>198</v>
      </c>
      <c r="H5" s="2933" t="s">
        <v>164</v>
      </c>
      <c r="I5" s="2933"/>
      <c r="J5" s="2933"/>
    </row>
    <row r="6" spans="1:10" ht="22.5">
      <c r="A6" s="2931"/>
      <c r="B6" s="2931"/>
      <c r="C6" s="2931"/>
      <c r="D6" s="2934" t="s">
        <v>2908</v>
      </c>
      <c r="E6" s="2934" t="s">
        <v>2907</v>
      </c>
      <c r="F6" s="2934" t="s">
        <v>2906</v>
      </c>
      <c r="G6" s="2931"/>
      <c r="H6" s="2934" t="s">
        <v>2908</v>
      </c>
      <c r="I6" s="2934" t="s">
        <v>2907</v>
      </c>
      <c r="J6" s="2934" t="s">
        <v>2906</v>
      </c>
    </row>
    <row r="7" spans="1:10">
      <c r="A7" s="2920" t="s">
        <v>6</v>
      </c>
      <c r="B7" s="2928">
        <f t="shared" ref="B7:B22" si="0">SUM(C7+G7)</f>
        <v>1121</v>
      </c>
      <c r="C7" s="2928">
        <f t="shared" ref="C7:J7" si="1">SUM(C8:C22)</f>
        <v>883</v>
      </c>
      <c r="D7" s="2928">
        <f t="shared" si="1"/>
        <v>76</v>
      </c>
      <c r="E7" s="2928">
        <f t="shared" si="1"/>
        <v>383</v>
      </c>
      <c r="F7" s="2928">
        <f t="shared" si="1"/>
        <v>424</v>
      </c>
      <c r="G7" s="2928">
        <f t="shared" si="1"/>
        <v>238</v>
      </c>
      <c r="H7" s="2928">
        <f t="shared" si="1"/>
        <v>13</v>
      </c>
      <c r="I7" s="2928">
        <f t="shared" si="1"/>
        <v>105</v>
      </c>
      <c r="J7" s="2928">
        <f t="shared" si="1"/>
        <v>120</v>
      </c>
    </row>
    <row r="8" spans="1:10">
      <c r="A8" s="2921" t="s">
        <v>7</v>
      </c>
      <c r="B8" s="2928">
        <f t="shared" si="0"/>
        <v>6</v>
      </c>
      <c r="C8" s="2928">
        <f t="shared" ref="C8:C22" si="2">SUM(D8:F8)</f>
        <v>2</v>
      </c>
      <c r="D8" s="2929">
        <v>0</v>
      </c>
      <c r="E8" s="2929">
        <v>1</v>
      </c>
      <c r="F8" s="2929">
        <v>1</v>
      </c>
      <c r="G8" s="2928">
        <f t="shared" ref="G8:G22" si="3">SUM(H8:J8)</f>
        <v>4</v>
      </c>
      <c r="H8" s="2929">
        <v>1</v>
      </c>
      <c r="I8" s="2929">
        <v>2</v>
      </c>
      <c r="J8" s="2929">
        <v>1</v>
      </c>
    </row>
    <row r="9" spans="1:10">
      <c r="A9" s="2921" t="s">
        <v>8</v>
      </c>
      <c r="B9" s="2928">
        <f t="shared" si="0"/>
        <v>49</v>
      </c>
      <c r="C9" s="2928">
        <f t="shared" si="2"/>
        <v>35</v>
      </c>
      <c r="D9" s="2929">
        <v>3</v>
      </c>
      <c r="E9" s="2929">
        <v>17</v>
      </c>
      <c r="F9" s="2929">
        <v>15</v>
      </c>
      <c r="G9" s="2928">
        <f t="shared" si="3"/>
        <v>14</v>
      </c>
      <c r="H9" s="2929">
        <v>1</v>
      </c>
      <c r="I9" s="2929">
        <v>5</v>
      </c>
      <c r="J9" s="2929">
        <v>8</v>
      </c>
    </row>
    <row r="10" spans="1:10">
      <c r="A10" s="2921" t="s">
        <v>9</v>
      </c>
      <c r="B10" s="2928">
        <f t="shared" si="0"/>
        <v>67</v>
      </c>
      <c r="C10" s="2928">
        <f t="shared" si="2"/>
        <v>46</v>
      </c>
      <c r="D10" s="2929">
        <v>13</v>
      </c>
      <c r="E10" s="2929">
        <v>11</v>
      </c>
      <c r="F10" s="2929">
        <v>22</v>
      </c>
      <c r="G10" s="2928">
        <f t="shared" si="3"/>
        <v>21</v>
      </c>
      <c r="H10" s="2929">
        <v>0</v>
      </c>
      <c r="I10" s="2929">
        <v>9</v>
      </c>
      <c r="J10" s="2929">
        <v>12</v>
      </c>
    </row>
    <row r="11" spans="1:10">
      <c r="A11" s="2921" t="s">
        <v>10</v>
      </c>
      <c r="B11" s="2928">
        <f t="shared" si="0"/>
        <v>15</v>
      </c>
      <c r="C11" s="2928">
        <f t="shared" si="2"/>
        <v>9</v>
      </c>
      <c r="D11" s="2929">
        <v>1</v>
      </c>
      <c r="E11" s="2929">
        <v>1</v>
      </c>
      <c r="F11" s="2929">
        <v>7</v>
      </c>
      <c r="G11" s="2928">
        <f t="shared" si="3"/>
        <v>6</v>
      </c>
      <c r="H11" s="2929">
        <v>0</v>
      </c>
      <c r="I11" s="2929">
        <v>2</v>
      </c>
      <c r="J11" s="2929">
        <v>4</v>
      </c>
    </row>
    <row r="12" spans="1:10">
      <c r="A12" s="2921" t="s">
        <v>11</v>
      </c>
      <c r="B12" s="2928">
        <f t="shared" si="0"/>
        <v>11</v>
      </c>
      <c r="C12" s="2928">
        <f t="shared" si="2"/>
        <v>9</v>
      </c>
      <c r="D12" s="2929">
        <v>0</v>
      </c>
      <c r="E12" s="2929">
        <v>3</v>
      </c>
      <c r="F12" s="2929">
        <v>6</v>
      </c>
      <c r="G12" s="2928">
        <f t="shared" si="3"/>
        <v>2</v>
      </c>
      <c r="H12" s="2929">
        <v>0</v>
      </c>
      <c r="I12" s="2929">
        <v>1</v>
      </c>
      <c r="J12" s="2929">
        <v>1</v>
      </c>
    </row>
    <row r="13" spans="1:10">
      <c r="A13" s="2921" t="s">
        <v>12</v>
      </c>
      <c r="B13" s="2928">
        <f t="shared" si="0"/>
        <v>142</v>
      </c>
      <c r="C13" s="2928">
        <f t="shared" si="2"/>
        <v>117</v>
      </c>
      <c r="D13" s="2929">
        <v>17</v>
      </c>
      <c r="E13" s="2929">
        <v>61</v>
      </c>
      <c r="F13" s="2929">
        <v>39</v>
      </c>
      <c r="G13" s="2928">
        <f t="shared" si="3"/>
        <v>25</v>
      </c>
      <c r="H13" s="2929">
        <v>2</v>
      </c>
      <c r="I13" s="2929">
        <v>12</v>
      </c>
      <c r="J13" s="2929">
        <v>11</v>
      </c>
    </row>
    <row r="14" spans="1:10">
      <c r="A14" s="2921" t="s">
        <v>13</v>
      </c>
      <c r="B14" s="2928">
        <f t="shared" si="0"/>
        <v>598</v>
      </c>
      <c r="C14" s="2928">
        <f t="shared" si="2"/>
        <v>470</v>
      </c>
      <c r="D14" s="2929">
        <v>26</v>
      </c>
      <c r="E14" s="2929">
        <v>196</v>
      </c>
      <c r="F14" s="2929">
        <v>248</v>
      </c>
      <c r="G14" s="2928">
        <f t="shared" si="3"/>
        <v>128</v>
      </c>
      <c r="H14" s="2929">
        <v>7</v>
      </c>
      <c r="I14" s="2929">
        <v>58</v>
      </c>
      <c r="J14" s="2929">
        <v>63</v>
      </c>
    </row>
    <row r="15" spans="1:10">
      <c r="A15" s="2921" t="s">
        <v>14</v>
      </c>
      <c r="B15" s="2928">
        <f t="shared" si="0"/>
        <v>32</v>
      </c>
      <c r="C15" s="2928">
        <f t="shared" si="2"/>
        <v>28</v>
      </c>
      <c r="D15" s="2929">
        <v>2</v>
      </c>
      <c r="E15" s="2929">
        <v>11</v>
      </c>
      <c r="F15" s="2929">
        <v>15</v>
      </c>
      <c r="G15" s="2928">
        <f t="shared" si="3"/>
        <v>4</v>
      </c>
      <c r="H15" s="2929">
        <v>0</v>
      </c>
      <c r="I15" s="2929">
        <v>1</v>
      </c>
      <c r="J15" s="2929">
        <v>3</v>
      </c>
    </row>
    <row r="16" spans="1:10">
      <c r="A16" s="2921" t="s">
        <v>15</v>
      </c>
      <c r="B16" s="2928">
        <f t="shared" si="0"/>
        <v>34</v>
      </c>
      <c r="C16" s="2928">
        <f t="shared" si="2"/>
        <v>26</v>
      </c>
      <c r="D16" s="2929">
        <v>1</v>
      </c>
      <c r="E16" s="2929">
        <v>13</v>
      </c>
      <c r="F16" s="2929">
        <v>12</v>
      </c>
      <c r="G16" s="2928">
        <f t="shared" si="3"/>
        <v>8</v>
      </c>
      <c r="H16" s="2929">
        <v>0</v>
      </c>
      <c r="I16" s="2929">
        <v>4</v>
      </c>
      <c r="J16" s="2929">
        <v>4</v>
      </c>
    </row>
    <row r="17" spans="1:10">
      <c r="A17" s="2921" t="s">
        <v>16</v>
      </c>
      <c r="B17" s="2928">
        <f t="shared" si="0"/>
        <v>92</v>
      </c>
      <c r="C17" s="2928">
        <f t="shared" si="2"/>
        <v>80</v>
      </c>
      <c r="D17" s="2929">
        <v>5</v>
      </c>
      <c r="E17" s="2929">
        <v>39</v>
      </c>
      <c r="F17" s="2929">
        <v>36</v>
      </c>
      <c r="G17" s="2928">
        <f t="shared" si="3"/>
        <v>12</v>
      </c>
      <c r="H17" s="2929">
        <v>2</v>
      </c>
      <c r="I17" s="2929">
        <v>6</v>
      </c>
      <c r="J17" s="2929">
        <v>4</v>
      </c>
    </row>
    <row r="18" spans="1:10">
      <c r="A18" s="2921" t="s">
        <v>17</v>
      </c>
      <c r="B18" s="2928">
        <f t="shared" si="0"/>
        <v>30</v>
      </c>
      <c r="C18" s="2928">
        <f t="shared" si="2"/>
        <v>20</v>
      </c>
      <c r="D18" s="2929">
        <v>0</v>
      </c>
      <c r="E18" s="2929">
        <v>8</v>
      </c>
      <c r="F18" s="2929">
        <v>12</v>
      </c>
      <c r="G18" s="2928">
        <f t="shared" si="3"/>
        <v>10</v>
      </c>
      <c r="H18" s="2929">
        <v>0</v>
      </c>
      <c r="I18" s="2929">
        <v>3</v>
      </c>
      <c r="J18" s="2929">
        <v>7</v>
      </c>
    </row>
    <row r="19" spans="1:10">
      <c r="A19" s="2921" t="s">
        <v>18</v>
      </c>
      <c r="B19" s="2928">
        <f t="shared" si="0"/>
        <v>6</v>
      </c>
      <c r="C19" s="2928">
        <f t="shared" si="2"/>
        <v>6</v>
      </c>
      <c r="D19" s="2929">
        <v>1</v>
      </c>
      <c r="E19" s="2929">
        <v>2</v>
      </c>
      <c r="F19" s="2929">
        <v>3</v>
      </c>
      <c r="G19" s="2928">
        <f t="shared" si="3"/>
        <v>0</v>
      </c>
      <c r="H19" s="2929">
        <v>0</v>
      </c>
      <c r="I19" s="2929">
        <v>0</v>
      </c>
      <c r="J19" s="2929">
        <v>0</v>
      </c>
    </row>
    <row r="20" spans="1:10">
      <c r="A20" s="2921" t="s">
        <v>19</v>
      </c>
      <c r="B20" s="2928">
        <f t="shared" si="0"/>
        <v>36</v>
      </c>
      <c r="C20" s="2928">
        <f t="shared" si="2"/>
        <v>33</v>
      </c>
      <c r="D20" s="2929">
        <v>7</v>
      </c>
      <c r="E20" s="2929">
        <v>18</v>
      </c>
      <c r="F20" s="2929">
        <v>8</v>
      </c>
      <c r="G20" s="2928">
        <f t="shared" si="3"/>
        <v>3</v>
      </c>
      <c r="H20" s="2929">
        <v>0</v>
      </c>
      <c r="I20" s="2929">
        <v>1</v>
      </c>
      <c r="J20" s="2929">
        <v>2</v>
      </c>
    </row>
    <row r="21" spans="1:10">
      <c r="A21" s="2921" t="s">
        <v>20</v>
      </c>
      <c r="B21" s="2928">
        <f t="shared" si="0"/>
        <v>0</v>
      </c>
      <c r="C21" s="2928">
        <f t="shared" si="2"/>
        <v>0</v>
      </c>
      <c r="D21" s="2930">
        <v>0</v>
      </c>
      <c r="E21" s="2930">
        <v>0</v>
      </c>
      <c r="F21" s="2930">
        <v>0</v>
      </c>
      <c r="G21" s="2928">
        <f t="shared" si="3"/>
        <v>0</v>
      </c>
      <c r="H21" s="2930">
        <v>0</v>
      </c>
      <c r="I21" s="2930">
        <v>0</v>
      </c>
      <c r="J21" s="2930">
        <v>0</v>
      </c>
    </row>
    <row r="22" spans="1:10">
      <c r="A22" s="2921" t="s">
        <v>21</v>
      </c>
      <c r="B22" s="2928">
        <f t="shared" si="0"/>
        <v>3</v>
      </c>
      <c r="C22" s="2928">
        <f t="shared" si="2"/>
        <v>2</v>
      </c>
      <c r="D22" s="2929">
        <v>0</v>
      </c>
      <c r="E22" s="2929">
        <v>2</v>
      </c>
      <c r="F22" s="2929">
        <v>0</v>
      </c>
      <c r="G22" s="2928">
        <f t="shared" si="3"/>
        <v>1</v>
      </c>
      <c r="H22" s="2929">
        <v>0</v>
      </c>
      <c r="I22" s="2929">
        <v>1</v>
      </c>
      <c r="J22" s="2929">
        <v>0</v>
      </c>
    </row>
    <row r="23" spans="1:10">
      <c r="A23" s="270"/>
      <c r="B23" s="270"/>
      <c r="C23" s="104"/>
      <c r="D23" s="104"/>
      <c r="E23" s="104"/>
      <c r="F23" s="104"/>
      <c r="G23" s="104"/>
      <c r="H23" s="104"/>
      <c r="I23" s="104"/>
      <c r="J23" s="104"/>
    </row>
    <row r="24" spans="1:10">
      <c r="A24" s="241" t="s">
        <v>22</v>
      </c>
      <c r="B24" s="104"/>
      <c r="C24" s="104"/>
      <c r="D24" s="104"/>
      <c r="E24" s="104"/>
      <c r="F24" s="271"/>
      <c r="G24" s="271"/>
      <c r="H24" s="271"/>
      <c r="I24" s="271"/>
      <c r="J24" s="271"/>
    </row>
    <row r="25" spans="1:10">
      <c r="A25" s="2406" t="s">
        <v>195</v>
      </c>
      <c r="B25" s="2406"/>
      <c r="C25" s="2406"/>
      <c r="D25" s="2406"/>
      <c r="E25" s="2406"/>
      <c r="F25" s="2406"/>
      <c r="G25" s="2406"/>
      <c r="H25" s="2406"/>
      <c r="I25" s="259"/>
      <c r="J25" s="259"/>
    </row>
  </sheetData>
  <mergeCells count="9">
    <mergeCell ref="A25:H25"/>
    <mergeCell ref="A2:J2"/>
    <mergeCell ref="A4:A6"/>
    <mergeCell ref="B4:B6"/>
    <mergeCell ref="C4:J4"/>
    <mergeCell ref="C5:C6"/>
    <mergeCell ref="D5:F5"/>
    <mergeCell ref="G5:G6"/>
    <mergeCell ref="H5:J5"/>
  </mergeCells>
  <pageMargins left="0.7" right="0.7" top="0.75" bottom="0.75" header="0.3" footer="0.3"/>
</worksheet>
</file>

<file path=xl/worksheets/sheet312.xml><?xml version="1.0" encoding="utf-8"?>
<worksheet xmlns="http://schemas.openxmlformats.org/spreadsheetml/2006/main" xmlns:r="http://schemas.openxmlformats.org/officeDocument/2006/relationships">
  <dimension ref="A1:I24"/>
  <sheetViews>
    <sheetView zoomScaleNormal="100" workbookViewId="0">
      <selection activeCell="C30" sqref="C30"/>
    </sheetView>
  </sheetViews>
  <sheetFormatPr baseColWidth="10" defaultRowHeight="12"/>
  <cols>
    <col min="1" max="1" width="17.28515625" style="50" customWidth="1"/>
    <col min="2" max="2" width="8" style="50" customWidth="1"/>
    <col min="3" max="3" width="14.5703125" style="50" customWidth="1"/>
    <col min="4" max="4" width="14.7109375" style="50" customWidth="1"/>
    <col min="5" max="5" width="14.85546875" style="50" customWidth="1"/>
    <col min="6" max="6" width="7.5703125" style="50" customWidth="1"/>
    <col min="7" max="7" width="13.5703125" style="50" customWidth="1"/>
    <col min="8" max="8" width="14.85546875" style="50" customWidth="1"/>
    <col min="9" max="9" width="14.140625" style="50" customWidth="1"/>
    <col min="10" max="16384" width="11.42578125" style="50"/>
  </cols>
  <sheetData>
    <row r="1" spans="1:9" ht="9.75" customHeight="1"/>
    <row r="2" spans="1:9" ht="27.75" customHeight="1">
      <c r="A2" s="2624" t="s">
        <v>2912</v>
      </c>
      <c r="B2" s="2624"/>
      <c r="C2" s="2624"/>
      <c r="D2" s="2624"/>
      <c r="E2" s="2624"/>
      <c r="F2" s="2624"/>
      <c r="G2" s="2624"/>
      <c r="H2" s="2624"/>
      <c r="I2" s="2624"/>
    </row>
    <row r="3" spans="1:9" ht="9" customHeight="1">
      <c r="A3" s="260"/>
      <c r="B3" s="261"/>
      <c r="C3" s="261"/>
      <c r="D3" s="261"/>
      <c r="E3" s="261"/>
      <c r="F3" s="104"/>
      <c r="G3" s="104"/>
      <c r="H3" s="104"/>
      <c r="I3" s="104"/>
    </row>
    <row r="4" spans="1:9" ht="41.25" customHeight="1">
      <c r="A4" s="2924" t="s">
        <v>0</v>
      </c>
      <c r="B4" s="2924" t="s">
        <v>6</v>
      </c>
      <c r="C4" s="2924" t="s">
        <v>3222</v>
      </c>
      <c r="D4" s="2924"/>
      <c r="E4" s="2924" t="s">
        <v>192</v>
      </c>
      <c r="F4" s="2924" t="s">
        <v>6</v>
      </c>
      <c r="G4" s="2924" t="s">
        <v>3221</v>
      </c>
      <c r="H4" s="2924"/>
      <c r="I4" s="2924" t="s">
        <v>192</v>
      </c>
    </row>
    <row r="5" spans="1:9" ht="33.75">
      <c r="A5" s="2924"/>
      <c r="B5" s="2924"/>
      <c r="C5" s="2926" t="s">
        <v>193</v>
      </c>
      <c r="D5" s="2926" t="s">
        <v>194</v>
      </c>
      <c r="E5" s="2924"/>
      <c r="F5" s="2924"/>
      <c r="G5" s="2926" t="s">
        <v>193</v>
      </c>
      <c r="H5" s="2926" t="s">
        <v>194</v>
      </c>
      <c r="I5" s="2924"/>
    </row>
    <row r="6" spans="1:9">
      <c r="A6" s="2920" t="s">
        <v>6</v>
      </c>
      <c r="B6" s="264">
        <v>92</v>
      </c>
      <c r="C6" s="264">
        <v>12</v>
      </c>
      <c r="D6" s="264">
        <v>80</v>
      </c>
      <c r="E6" s="264">
        <v>108</v>
      </c>
      <c r="F6" s="266">
        <v>363</v>
      </c>
      <c r="G6" s="266">
        <v>6</v>
      </c>
      <c r="H6" s="266">
        <v>357</v>
      </c>
      <c r="I6" s="266">
        <v>432</v>
      </c>
    </row>
    <row r="7" spans="1:9">
      <c r="A7" s="2921" t="s">
        <v>7</v>
      </c>
      <c r="B7" s="264">
        <v>2</v>
      </c>
      <c r="C7" s="265">
        <v>0</v>
      </c>
      <c r="D7" s="265">
        <v>2</v>
      </c>
      <c r="E7" s="265">
        <v>2</v>
      </c>
      <c r="F7" s="266">
        <v>5</v>
      </c>
      <c r="G7" s="267">
        <v>0</v>
      </c>
      <c r="H7" s="267">
        <v>5</v>
      </c>
      <c r="I7" s="266">
        <v>6</v>
      </c>
    </row>
    <row r="8" spans="1:9">
      <c r="A8" s="2921" t="s">
        <v>8</v>
      </c>
      <c r="B8" s="264">
        <v>2</v>
      </c>
      <c r="C8" s="265">
        <v>0</v>
      </c>
      <c r="D8" s="265">
        <v>2</v>
      </c>
      <c r="E8" s="265">
        <v>2</v>
      </c>
      <c r="F8" s="266">
        <v>33</v>
      </c>
      <c r="G8" s="267">
        <v>0</v>
      </c>
      <c r="H8" s="267">
        <v>33</v>
      </c>
      <c r="I8" s="266">
        <v>47</v>
      </c>
    </row>
    <row r="9" spans="1:9">
      <c r="A9" s="2921" t="s">
        <v>9</v>
      </c>
      <c r="B9" s="264">
        <v>8</v>
      </c>
      <c r="C9" s="265">
        <v>0</v>
      </c>
      <c r="D9" s="265">
        <v>8</v>
      </c>
      <c r="E9" s="265">
        <v>11</v>
      </c>
      <c r="F9" s="266">
        <v>82</v>
      </c>
      <c r="G9" s="267">
        <v>0</v>
      </c>
      <c r="H9" s="267">
        <v>82</v>
      </c>
      <c r="I9" s="266">
        <v>102</v>
      </c>
    </row>
    <row r="10" spans="1:9">
      <c r="A10" s="2921" t="s">
        <v>10</v>
      </c>
      <c r="B10" s="264">
        <v>5</v>
      </c>
      <c r="C10" s="265">
        <v>0</v>
      </c>
      <c r="D10" s="265">
        <v>5</v>
      </c>
      <c r="E10" s="265">
        <v>6</v>
      </c>
      <c r="F10" s="266">
        <v>7</v>
      </c>
      <c r="G10" s="267">
        <v>0</v>
      </c>
      <c r="H10" s="267">
        <v>7</v>
      </c>
      <c r="I10" s="266">
        <v>8</v>
      </c>
    </row>
    <row r="11" spans="1:9">
      <c r="A11" s="2921" t="s">
        <v>11</v>
      </c>
      <c r="B11" s="264">
        <v>8</v>
      </c>
      <c r="C11" s="265">
        <v>0</v>
      </c>
      <c r="D11" s="265">
        <v>8</v>
      </c>
      <c r="E11" s="265">
        <v>11</v>
      </c>
      <c r="F11" s="266">
        <v>18</v>
      </c>
      <c r="G11" s="267">
        <v>0</v>
      </c>
      <c r="H11" s="267">
        <v>18</v>
      </c>
      <c r="I11" s="266">
        <v>21</v>
      </c>
    </row>
    <row r="12" spans="1:9">
      <c r="A12" s="2921" t="s">
        <v>12</v>
      </c>
      <c r="B12" s="264">
        <v>26</v>
      </c>
      <c r="C12" s="265">
        <v>0</v>
      </c>
      <c r="D12" s="265">
        <v>26</v>
      </c>
      <c r="E12" s="265">
        <v>42</v>
      </c>
      <c r="F12" s="266">
        <v>85</v>
      </c>
      <c r="G12" s="267">
        <v>1</v>
      </c>
      <c r="H12" s="267">
        <v>84</v>
      </c>
      <c r="I12" s="266">
        <v>97</v>
      </c>
    </row>
    <row r="13" spans="1:9">
      <c r="A13" s="2921" t="s">
        <v>13</v>
      </c>
      <c r="B13" s="264">
        <v>15</v>
      </c>
      <c r="C13" s="265">
        <v>8</v>
      </c>
      <c r="D13" s="265">
        <v>7</v>
      </c>
      <c r="E13" s="265">
        <v>7</v>
      </c>
      <c r="F13" s="266">
        <v>22</v>
      </c>
      <c r="G13" s="267">
        <v>1</v>
      </c>
      <c r="H13" s="267">
        <v>21</v>
      </c>
      <c r="I13" s="266">
        <v>23</v>
      </c>
    </row>
    <row r="14" spans="1:9">
      <c r="A14" s="2921" t="s">
        <v>14</v>
      </c>
      <c r="B14" s="264">
        <v>4</v>
      </c>
      <c r="C14" s="265">
        <v>0</v>
      </c>
      <c r="D14" s="265">
        <v>4</v>
      </c>
      <c r="E14" s="265">
        <v>5</v>
      </c>
      <c r="F14" s="266">
        <v>28</v>
      </c>
      <c r="G14" s="267">
        <v>1</v>
      </c>
      <c r="H14" s="267">
        <v>27</v>
      </c>
      <c r="I14" s="266">
        <v>31</v>
      </c>
    </row>
    <row r="15" spans="1:9">
      <c r="A15" s="2921" t="s">
        <v>15</v>
      </c>
      <c r="B15" s="264">
        <v>6</v>
      </c>
      <c r="C15" s="265">
        <v>0</v>
      </c>
      <c r="D15" s="265">
        <v>6</v>
      </c>
      <c r="E15" s="265">
        <v>7</v>
      </c>
      <c r="F15" s="266">
        <v>16</v>
      </c>
      <c r="G15" s="267">
        <v>0</v>
      </c>
      <c r="H15" s="267">
        <v>16</v>
      </c>
      <c r="I15" s="266">
        <v>20</v>
      </c>
    </row>
    <row r="16" spans="1:9">
      <c r="A16" s="2921" t="s">
        <v>16</v>
      </c>
      <c r="B16" s="264">
        <v>14</v>
      </c>
      <c r="C16" s="265">
        <v>4</v>
      </c>
      <c r="D16" s="265">
        <v>10</v>
      </c>
      <c r="E16" s="265">
        <v>13</v>
      </c>
      <c r="F16" s="266">
        <v>41</v>
      </c>
      <c r="G16" s="267">
        <v>3</v>
      </c>
      <c r="H16" s="267">
        <v>38</v>
      </c>
      <c r="I16" s="266">
        <v>49</v>
      </c>
    </row>
    <row r="17" spans="1:9">
      <c r="A17" s="2921" t="s">
        <v>17</v>
      </c>
      <c r="B17" s="264">
        <v>1</v>
      </c>
      <c r="C17" s="265">
        <v>0</v>
      </c>
      <c r="D17" s="265">
        <v>1</v>
      </c>
      <c r="E17" s="265">
        <v>1</v>
      </c>
      <c r="F17" s="266">
        <v>6</v>
      </c>
      <c r="G17" s="267">
        <v>0</v>
      </c>
      <c r="H17" s="267">
        <v>6</v>
      </c>
      <c r="I17" s="266">
        <v>6</v>
      </c>
    </row>
    <row r="18" spans="1:9">
      <c r="A18" s="2921" t="s">
        <v>18</v>
      </c>
      <c r="B18" s="264">
        <v>1</v>
      </c>
      <c r="C18" s="265">
        <v>0</v>
      </c>
      <c r="D18" s="265">
        <v>1</v>
      </c>
      <c r="E18" s="265">
        <v>1</v>
      </c>
      <c r="F18" s="266">
        <v>4</v>
      </c>
      <c r="G18" s="267">
        <v>0</v>
      </c>
      <c r="H18" s="267">
        <v>4</v>
      </c>
      <c r="I18" s="266">
        <v>5</v>
      </c>
    </row>
    <row r="19" spans="1:9">
      <c r="A19" s="2921" t="s">
        <v>19</v>
      </c>
      <c r="B19" s="264">
        <v>0</v>
      </c>
      <c r="C19" s="265">
        <v>0</v>
      </c>
      <c r="D19" s="265">
        <v>0</v>
      </c>
      <c r="E19" s="265">
        <v>0</v>
      </c>
      <c r="F19" s="266">
        <v>14</v>
      </c>
      <c r="G19" s="267">
        <v>0</v>
      </c>
      <c r="H19" s="267">
        <v>14</v>
      </c>
      <c r="I19" s="266">
        <v>15</v>
      </c>
    </row>
    <row r="20" spans="1:9">
      <c r="A20" s="2921" t="s">
        <v>20</v>
      </c>
      <c r="B20" s="264">
        <v>0</v>
      </c>
      <c r="C20" s="265">
        <v>0</v>
      </c>
      <c r="D20" s="265">
        <v>0</v>
      </c>
      <c r="E20" s="265">
        <v>0</v>
      </c>
      <c r="F20" s="266">
        <v>0</v>
      </c>
      <c r="G20" s="267">
        <v>0</v>
      </c>
      <c r="H20" s="267">
        <v>0</v>
      </c>
      <c r="I20" s="266">
        <v>0</v>
      </c>
    </row>
    <row r="21" spans="1:9">
      <c r="A21" s="2921" t="s">
        <v>21</v>
      </c>
      <c r="B21" s="264">
        <v>0</v>
      </c>
      <c r="C21" s="265">
        <v>0</v>
      </c>
      <c r="D21" s="265">
        <v>0</v>
      </c>
      <c r="E21" s="265">
        <v>0</v>
      </c>
      <c r="F21" s="266">
        <v>2</v>
      </c>
      <c r="G21" s="267">
        <v>0</v>
      </c>
      <c r="H21" s="267">
        <v>2</v>
      </c>
      <c r="I21" s="266">
        <v>2</v>
      </c>
    </row>
    <row r="22" spans="1:9">
      <c r="A22" s="263"/>
      <c r="B22" s="264"/>
      <c r="C22" s="265"/>
      <c r="D22" s="265"/>
      <c r="E22" s="265"/>
      <c r="F22" s="266"/>
      <c r="G22" s="267"/>
      <c r="H22" s="267"/>
      <c r="I22" s="266"/>
    </row>
    <row r="23" spans="1:9">
      <c r="A23" s="2625" t="s">
        <v>22</v>
      </c>
      <c r="B23" s="2625"/>
      <c r="C23" s="2625"/>
      <c r="D23" s="2625"/>
      <c r="E23" s="2625"/>
      <c r="F23" s="104"/>
      <c r="G23" s="104"/>
      <c r="H23" s="104"/>
      <c r="I23" s="104"/>
    </row>
    <row r="24" spans="1:9">
      <c r="A24" s="2406" t="s">
        <v>195</v>
      </c>
      <c r="B24" s="2406"/>
      <c r="C24" s="2406"/>
      <c r="D24" s="2406"/>
      <c r="E24" s="2406"/>
      <c r="F24" s="2406"/>
      <c r="G24" s="2406"/>
      <c r="H24" s="2406"/>
      <c r="I24" s="2406"/>
    </row>
  </sheetData>
  <mergeCells count="10">
    <mergeCell ref="A23:E23"/>
    <mergeCell ref="A2:I2"/>
    <mergeCell ref="A4:A5"/>
    <mergeCell ref="B4:B5"/>
    <mergeCell ref="C4:D4"/>
    <mergeCell ref="E4:E5"/>
    <mergeCell ref="F4:F5"/>
    <mergeCell ref="G4:H4"/>
    <mergeCell ref="I4:I5"/>
    <mergeCell ref="A24:I24"/>
  </mergeCells>
  <pageMargins left="0.7" right="0.7" top="0.75" bottom="0.75" header="0.3" footer="0.3"/>
</worksheet>
</file>

<file path=xl/worksheets/sheet313.xml><?xml version="1.0" encoding="utf-8"?>
<worksheet xmlns="http://schemas.openxmlformats.org/spreadsheetml/2006/main" xmlns:r="http://schemas.openxmlformats.org/officeDocument/2006/relationships">
  <dimension ref="A2:J24"/>
  <sheetViews>
    <sheetView zoomScaleNormal="100" workbookViewId="0">
      <selection activeCell="E27" sqref="E27"/>
    </sheetView>
  </sheetViews>
  <sheetFormatPr baseColWidth="10" defaultRowHeight="12"/>
  <cols>
    <col min="1" max="1" width="15.140625" style="50" customWidth="1"/>
    <col min="2" max="2" width="15.28515625" style="50" customWidth="1"/>
    <col min="3" max="3" width="13.140625" style="50" customWidth="1"/>
    <col min="4" max="10" width="9.85546875" style="50" customWidth="1"/>
    <col min="11" max="16384" width="11.42578125" style="50"/>
  </cols>
  <sheetData>
    <row r="2" spans="1:10" ht="43.5" customHeight="1">
      <c r="A2" s="2626" t="s">
        <v>2916</v>
      </c>
      <c r="B2" s="2626"/>
      <c r="C2" s="2626"/>
      <c r="D2" s="2626"/>
      <c r="E2" s="2626"/>
      <c r="F2" s="2626"/>
      <c r="G2" s="2626"/>
      <c r="H2" s="2626"/>
      <c r="I2" s="2626"/>
      <c r="J2" s="2626"/>
    </row>
    <row r="3" spans="1:10" ht="8.25" customHeight="1">
      <c r="A3" s="85"/>
      <c r="B3" s="85"/>
      <c r="C3" s="85"/>
      <c r="D3" s="85"/>
      <c r="E3" s="85"/>
      <c r="F3" s="85"/>
      <c r="G3" s="85"/>
      <c r="H3" s="85"/>
      <c r="I3" s="85"/>
      <c r="J3" s="85"/>
    </row>
    <row r="4" spans="1:10" ht="16.5" customHeight="1">
      <c r="A4" s="2939" t="s">
        <v>0</v>
      </c>
      <c r="B4" s="2939" t="s">
        <v>2915</v>
      </c>
      <c r="C4" s="2939"/>
      <c r="D4" s="2939"/>
      <c r="E4" s="2940" t="s">
        <v>2914</v>
      </c>
      <c r="F4" s="2940"/>
      <c r="G4" s="2940"/>
      <c r="H4" s="2940" t="s">
        <v>2913</v>
      </c>
      <c r="I4" s="2940"/>
      <c r="J4" s="2940"/>
    </row>
    <row r="5" spans="1:10" ht="16.5" customHeight="1">
      <c r="A5" s="2939"/>
      <c r="B5" s="2941" t="s">
        <v>26</v>
      </c>
      <c r="C5" s="2941" t="s">
        <v>163</v>
      </c>
      <c r="D5" s="2773" t="s">
        <v>164</v>
      </c>
      <c r="E5" s="2941" t="s">
        <v>26</v>
      </c>
      <c r="F5" s="2941" t="s">
        <v>163</v>
      </c>
      <c r="G5" s="2773" t="s">
        <v>164</v>
      </c>
      <c r="H5" s="2941" t="s">
        <v>26</v>
      </c>
      <c r="I5" s="2941" t="s">
        <v>163</v>
      </c>
      <c r="J5" s="2773" t="s">
        <v>164</v>
      </c>
    </row>
    <row r="6" spans="1:10">
      <c r="A6" s="2920" t="s">
        <v>6</v>
      </c>
      <c r="B6" s="2935">
        <f t="shared" ref="B6:B21" si="0">SUM(C6:D6)</f>
        <v>540</v>
      </c>
      <c r="C6" s="2935">
        <f t="shared" ref="C6:C21" si="1">SUM(F6+I6)</f>
        <v>419</v>
      </c>
      <c r="D6" s="2935">
        <f t="shared" ref="D6:D21" si="2">SUM(G6+J6)</f>
        <v>121</v>
      </c>
      <c r="E6" s="2936">
        <f t="shared" ref="E6:J6" si="3">SUM(E7:E21)</f>
        <v>108</v>
      </c>
      <c r="F6" s="2936">
        <f t="shared" si="3"/>
        <v>90</v>
      </c>
      <c r="G6" s="2936">
        <f t="shared" si="3"/>
        <v>18</v>
      </c>
      <c r="H6" s="2936">
        <f t="shared" si="3"/>
        <v>432</v>
      </c>
      <c r="I6" s="2936">
        <f t="shared" si="3"/>
        <v>329</v>
      </c>
      <c r="J6" s="2936">
        <f t="shared" si="3"/>
        <v>103</v>
      </c>
    </row>
    <row r="7" spans="1:10">
      <c r="A7" s="2921" t="s">
        <v>7</v>
      </c>
      <c r="B7" s="2935">
        <f t="shared" si="0"/>
        <v>8</v>
      </c>
      <c r="C7" s="2935">
        <f t="shared" si="1"/>
        <v>1</v>
      </c>
      <c r="D7" s="2935">
        <f t="shared" si="2"/>
        <v>7</v>
      </c>
      <c r="E7" s="2936">
        <f t="shared" ref="E7:E21" si="4">SUM(F7:G7)</f>
        <v>2</v>
      </c>
      <c r="F7" s="2929">
        <v>1</v>
      </c>
      <c r="G7" s="2929">
        <v>1</v>
      </c>
      <c r="H7" s="2936">
        <f t="shared" ref="H7:H21" si="5">SUM(I7:J7)</f>
        <v>6</v>
      </c>
      <c r="I7" s="2929">
        <v>0</v>
      </c>
      <c r="J7" s="2929">
        <v>6</v>
      </c>
    </row>
    <row r="8" spans="1:10">
      <c r="A8" s="2921" t="s">
        <v>8</v>
      </c>
      <c r="B8" s="2935">
        <f t="shared" si="0"/>
        <v>49</v>
      </c>
      <c r="C8" s="2935">
        <f t="shared" si="1"/>
        <v>32</v>
      </c>
      <c r="D8" s="2935">
        <f t="shared" si="2"/>
        <v>17</v>
      </c>
      <c r="E8" s="2936">
        <f t="shared" si="4"/>
        <v>2</v>
      </c>
      <c r="F8" s="2929">
        <v>2</v>
      </c>
      <c r="G8" s="2929">
        <v>0</v>
      </c>
      <c r="H8" s="2936">
        <f t="shared" si="5"/>
        <v>47</v>
      </c>
      <c r="I8" s="2929">
        <v>30</v>
      </c>
      <c r="J8" s="2929">
        <v>17</v>
      </c>
    </row>
    <row r="9" spans="1:10">
      <c r="A9" s="2921" t="s">
        <v>9</v>
      </c>
      <c r="B9" s="2935">
        <f t="shared" si="0"/>
        <v>113</v>
      </c>
      <c r="C9" s="2935">
        <f t="shared" si="1"/>
        <v>80</v>
      </c>
      <c r="D9" s="2935">
        <f t="shared" si="2"/>
        <v>33</v>
      </c>
      <c r="E9" s="2936">
        <f t="shared" si="4"/>
        <v>11</v>
      </c>
      <c r="F9" s="2929">
        <v>6</v>
      </c>
      <c r="G9" s="2929">
        <v>5</v>
      </c>
      <c r="H9" s="2936">
        <f t="shared" si="5"/>
        <v>102</v>
      </c>
      <c r="I9" s="2929">
        <v>74</v>
      </c>
      <c r="J9" s="2929">
        <v>28</v>
      </c>
    </row>
    <row r="10" spans="1:10">
      <c r="A10" s="2921" t="s">
        <v>10</v>
      </c>
      <c r="B10" s="2935">
        <f t="shared" si="0"/>
        <v>14</v>
      </c>
      <c r="C10" s="2935">
        <f t="shared" si="1"/>
        <v>10</v>
      </c>
      <c r="D10" s="2935">
        <f t="shared" si="2"/>
        <v>4</v>
      </c>
      <c r="E10" s="2936">
        <f t="shared" si="4"/>
        <v>6</v>
      </c>
      <c r="F10" s="2929">
        <v>5</v>
      </c>
      <c r="G10" s="2929">
        <v>1</v>
      </c>
      <c r="H10" s="2936">
        <f t="shared" si="5"/>
        <v>8</v>
      </c>
      <c r="I10" s="2929">
        <v>5</v>
      </c>
      <c r="J10" s="2929">
        <v>3</v>
      </c>
    </row>
    <row r="11" spans="1:10">
      <c r="A11" s="2921" t="s">
        <v>11</v>
      </c>
      <c r="B11" s="2935">
        <f t="shared" si="0"/>
        <v>32</v>
      </c>
      <c r="C11" s="2935">
        <f t="shared" si="1"/>
        <v>24</v>
      </c>
      <c r="D11" s="2935">
        <f t="shared" si="2"/>
        <v>8</v>
      </c>
      <c r="E11" s="2936">
        <f t="shared" si="4"/>
        <v>11</v>
      </c>
      <c r="F11" s="2929">
        <v>10</v>
      </c>
      <c r="G11" s="2929">
        <v>1</v>
      </c>
      <c r="H11" s="2936">
        <f t="shared" si="5"/>
        <v>21</v>
      </c>
      <c r="I11" s="2929">
        <v>14</v>
      </c>
      <c r="J11" s="2929">
        <v>7</v>
      </c>
    </row>
    <row r="12" spans="1:10">
      <c r="A12" s="2921" t="s">
        <v>12</v>
      </c>
      <c r="B12" s="2935">
        <f t="shared" si="0"/>
        <v>139</v>
      </c>
      <c r="C12" s="2935">
        <f t="shared" si="1"/>
        <v>116</v>
      </c>
      <c r="D12" s="2935">
        <f t="shared" si="2"/>
        <v>23</v>
      </c>
      <c r="E12" s="2936">
        <f t="shared" si="4"/>
        <v>42</v>
      </c>
      <c r="F12" s="2929">
        <v>36</v>
      </c>
      <c r="G12" s="2929">
        <v>6</v>
      </c>
      <c r="H12" s="2936">
        <f t="shared" si="5"/>
        <v>97</v>
      </c>
      <c r="I12" s="2929">
        <v>80</v>
      </c>
      <c r="J12" s="2929">
        <v>17</v>
      </c>
    </row>
    <row r="13" spans="1:10">
      <c r="A13" s="2921" t="s">
        <v>13</v>
      </c>
      <c r="B13" s="2935">
        <f t="shared" si="0"/>
        <v>30</v>
      </c>
      <c r="C13" s="2935">
        <f t="shared" si="1"/>
        <v>24</v>
      </c>
      <c r="D13" s="2935">
        <f t="shared" si="2"/>
        <v>6</v>
      </c>
      <c r="E13" s="2936">
        <f t="shared" si="4"/>
        <v>7</v>
      </c>
      <c r="F13" s="2929">
        <v>7</v>
      </c>
      <c r="G13" s="2929">
        <v>0</v>
      </c>
      <c r="H13" s="2936">
        <f t="shared" si="5"/>
        <v>23</v>
      </c>
      <c r="I13" s="2929">
        <v>17</v>
      </c>
      <c r="J13" s="2929">
        <v>6</v>
      </c>
    </row>
    <row r="14" spans="1:10">
      <c r="A14" s="2921" t="s">
        <v>14</v>
      </c>
      <c r="B14" s="2935">
        <f t="shared" si="0"/>
        <v>36</v>
      </c>
      <c r="C14" s="2935">
        <f t="shared" si="1"/>
        <v>33</v>
      </c>
      <c r="D14" s="2935">
        <f t="shared" si="2"/>
        <v>3</v>
      </c>
      <c r="E14" s="2936">
        <f t="shared" si="4"/>
        <v>5</v>
      </c>
      <c r="F14" s="2929">
        <v>5</v>
      </c>
      <c r="G14" s="2929">
        <v>0</v>
      </c>
      <c r="H14" s="2936">
        <f t="shared" si="5"/>
        <v>31</v>
      </c>
      <c r="I14" s="2929">
        <v>28</v>
      </c>
      <c r="J14" s="2929">
        <v>3</v>
      </c>
    </row>
    <row r="15" spans="1:10">
      <c r="A15" s="2921" t="s">
        <v>15</v>
      </c>
      <c r="B15" s="2935">
        <f t="shared" si="0"/>
        <v>27</v>
      </c>
      <c r="C15" s="2935">
        <f t="shared" si="1"/>
        <v>23</v>
      </c>
      <c r="D15" s="2935">
        <f t="shared" si="2"/>
        <v>4</v>
      </c>
      <c r="E15" s="2936">
        <f t="shared" si="4"/>
        <v>7</v>
      </c>
      <c r="F15" s="2929">
        <v>5</v>
      </c>
      <c r="G15" s="2929">
        <v>2</v>
      </c>
      <c r="H15" s="2936">
        <f t="shared" si="5"/>
        <v>20</v>
      </c>
      <c r="I15" s="2929">
        <v>18</v>
      </c>
      <c r="J15" s="2929">
        <v>2</v>
      </c>
    </row>
    <row r="16" spans="1:10">
      <c r="A16" s="2921" t="s">
        <v>16</v>
      </c>
      <c r="B16" s="2935">
        <f t="shared" si="0"/>
        <v>62</v>
      </c>
      <c r="C16" s="2935">
        <f t="shared" si="1"/>
        <v>49</v>
      </c>
      <c r="D16" s="2935">
        <f t="shared" si="2"/>
        <v>13</v>
      </c>
      <c r="E16" s="2936">
        <f t="shared" si="4"/>
        <v>13</v>
      </c>
      <c r="F16" s="2929">
        <v>11</v>
      </c>
      <c r="G16" s="2929">
        <v>2</v>
      </c>
      <c r="H16" s="2936">
        <f t="shared" si="5"/>
        <v>49</v>
      </c>
      <c r="I16" s="2929">
        <v>38</v>
      </c>
      <c r="J16" s="2929">
        <v>11</v>
      </c>
    </row>
    <row r="17" spans="1:10">
      <c r="A17" s="2921" t="s">
        <v>17</v>
      </c>
      <c r="B17" s="2935">
        <f t="shared" si="0"/>
        <v>7</v>
      </c>
      <c r="C17" s="2935">
        <f t="shared" si="1"/>
        <v>7</v>
      </c>
      <c r="D17" s="2935">
        <f t="shared" si="2"/>
        <v>0</v>
      </c>
      <c r="E17" s="2936">
        <f t="shared" si="4"/>
        <v>1</v>
      </c>
      <c r="F17" s="2929">
        <v>1</v>
      </c>
      <c r="G17" s="2929">
        <v>0</v>
      </c>
      <c r="H17" s="2936">
        <f t="shared" si="5"/>
        <v>6</v>
      </c>
      <c r="I17" s="2929">
        <v>6</v>
      </c>
      <c r="J17" s="2929">
        <v>0</v>
      </c>
    </row>
    <row r="18" spans="1:10">
      <c r="A18" s="2921" t="s">
        <v>18</v>
      </c>
      <c r="B18" s="2935">
        <f t="shared" si="0"/>
        <v>6</v>
      </c>
      <c r="C18" s="2935">
        <f t="shared" si="1"/>
        <v>5</v>
      </c>
      <c r="D18" s="2935">
        <f t="shared" si="2"/>
        <v>1</v>
      </c>
      <c r="E18" s="2936">
        <f t="shared" si="4"/>
        <v>1</v>
      </c>
      <c r="F18" s="2929">
        <v>1</v>
      </c>
      <c r="G18" s="2929">
        <v>0</v>
      </c>
      <c r="H18" s="2936">
        <f t="shared" si="5"/>
        <v>5</v>
      </c>
      <c r="I18" s="2929">
        <v>4</v>
      </c>
      <c r="J18" s="2929">
        <v>1</v>
      </c>
    </row>
    <row r="19" spans="1:10">
      <c r="A19" s="2921" t="s">
        <v>19</v>
      </c>
      <c r="B19" s="2935">
        <f t="shared" si="0"/>
        <v>15</v>
      </c>
      <c r="C19" s="2935">
        <f t="shared" si="1"/>
        <v>14</v>
      </c>
      <c r="D19" s="2935">
        <f t="shared" si="2"/>
        <v>1</v>
      </c>
      <c r="E19" s="2936">
        <f t="shared" si="4"/>
        <v>0</v>
      </c>
      <c r="F19" s="2937">
        <v>0</v>
      </c>
      <c r="G19" s="2937">
        <v>0</v>
      </c>
      <c r="H19" s="2936">
        <f t="shared" si="5"/>
        <v>15</v>
      </c>
      <c r="I19" s="2929">
        <v>14</v>
      </c>
      <c r="J19" s="2929">
        <v>1</v>
      </c>
    </row>
    <row r="20" spans="1:10">
      <c r="A20" s="2921" t="s">
        <v>20</v>
      </c>
      <c r="B20" s="2935">
        <f t="shared" si="0"/>
        <v>0</v>
      </c>
      <c r="C20" s="2935">
        <f t="shared" si="1"/>
        <v>0</v>
      </c>
      <c r="D20" s="2935">
        <f t="shared" si="2"/>
        <v>0</v>
      </c>
      <c r="E20" s="2936">
        <f t="shared" si="4"/>
        <v>0</v>
      </c>
      <c r="F20" s="2937">
        <v>0</v>
      </c>
      <c r="G20" s="2937">
        <v>0</v>
      </c>
      <c r="H20" s="2936">
        <f t="shared" si="5"/>
        <v>0</v>
      </c>
      <c r="I20" s="2938">
        <v>0</v>
      </c>
      <c r="J20" s="2938">
        <v>0</v>
      </c>
    </row>
    <row r="21" spans="1:10">
      <c r="A21" s="2921" t="s">
        <v>21</v>
      </c>
      <c r="B21" s="2935">
        <f t="shared" si="0"/>
        <v>2</v>
      </c>
      <c r="C21" s="2935">
        <f t="shared" si="1"/>
        <v>1</v>
      </c>
      <c r="D21" s="2935">
        <f t="shared" si="2"/>
        <v>1</v>
      </c>
      <c r="E21" s="2936">
        <f t="shared" si="4"/>
        <v>0</v>
      </c>
      <c r="F21" s="2937">
        <v>0</v>
      </c>
      <c r="G21" s="2937">
        <v>0</v>
      </c>
      <c r="H21" s="2936">
        <f t="shared" si="5"/>
        <v>2</v>
      </c>
      <c r="I21" s="2929">
        <v>1</v>
      </c>
      <c r="J21" s="2929">
        <v>1</v>
      </c>
    </row>
    <row r="22" spans="1:10">
      <c r="A22" s="257"/>
      <c r="B22" s="257"/>
      <c r="C22" s="257"/>
      <c r="D22" s="257"/>
      <c r="E22" s="257"/>
      <c r="F22" s="257"/>
      <c r="G22" s="257"/>
      <c r="H22" s="257"/>
      <c r="I22" s="257"/>
      <c r="J22" s="257"/>
    </row>
    <row r="23" spans="1:10">
      <c r="A23" s="241" t="s">
        <v>22</v>
      </c>
      <c r="B23" s="104"/>
      <c r="C23" s="104"/>
      <c r="D23" s="104"/>
      <c r="E23" s="104"/>
      <c r="F23" s="258"/>
      <c r="G23" s="258"/>
      <c r="H23" s="258"/>
      <c r="I23" s="258"/>
      <c r="J23" s="258"/>
    </row>
    <row r="24" spans="1:10">
      <c r="A24" s="2406" t="s">
        <v>195</v>
      </c>
      <c r="B24" s="2406"/>
      <c r="C24" s="2406"/>
      <c r="D24" s="2406"/>
      <c r="E24" s="2406"/>
      <c r="F24" s="2406"/>
      <c r="G24" s="2406"/>
      <c r="H24" s="2406"/>
      <c r="I24" s="259"/>
      <c r="J24" s="259"/>
    </row>
  </sheetData>
  <mergeCells count="6">
    <mergeCell ref="A24:H24"/>
    <mergeCell ref="A2:J2"/>
    <mergeCell ref="A4:A5"/>
    <mergeCell ref="B4:D4"/>
    <mergeCell ref="E4:G4"/>
    <mergeCell ref="H4:J4"/>
  </mergeCells>
  <pageMargins left="0.7" right="0.7" top="0.75" bottom="0.75" header="0.3" footer="0.3"/>
</worksheet>
</file>

<file path=xl/worksheets/sheet314.xml><?xml version="1.0" encoding="utf-8"?>
<worksheet xmlns="http://schemas.openxmlformats.org/spreadsheetml/2006/main" xmlns:r="http://schemas.openxmlformats.org/officeDocument/2006/relationships">
  <dimension ref="A2:H24"/>
  <sheetViews>
    <sheetView zoomScaleNormal="100" workbookViewId="0">
      <selection activeCell="D29" sqref="D29"/>
    </sheetView>
  </sheetViews>
  <sheetFormatPr baseColWidth="10" defaultRowHeight="12"/>
  <cols>
    <col min="1" max="1" width="26.5703125" style="118" customWidth="1"/>
    <col min="2" max="2" width="11.42578125" style="118"/>
    <col min="3" max="8" width="14" style="118" customWidth="1"/>
    <col min="9" max="16384" width="11.42578125" style="118"/>
  </cols>
  <sheetData>
    <row r="2" spans="1:8" ht="34.5" customHeight="1">
      <c r="A2" s="2595" t="s">
        <v>2925</v>
      </c>
      <c r="B2" s="2595"/>
      <c r="C2" s="2595"/>
      <c r="D2" s="2595"/>
      <c r="E2" s="2595"/>
      <c r="F2" s="2595"/>
      <c r="G2" s="2595"/>
      <c r="H2" s="2595"/>
    </row>
    <row r="3" spans="1:8">
      <c r="A3" s="254"/>
      <c r="B3" s="254"/>
      <c r="C3" s="255"/>
      <c r="D3" s="255"/>
      <c r="E3" s="255"/>
      <c r="F3" s="255"/>
      <c r="G3" s="255"/>
      <c r="H3" s="255"/>
    </row>
    <row r="4" spans="1:8">
      <c r="A4" s="2945" t="s">
        <v>2924</v>
      </c>
      <c r="B4" s="2946" t="s">
        <v>26</v>
      </c>
      <c r="C4" s="2946" t="s">
        <v>2923</v>
      </c>
      <c r="D4" s="2946"/>
      <c r="E4" s="2946"/>
      <c r="F4" s="2946"/>
      <c r="G4" s="2946"/>
      <c r="H4" s="2946"/>
    </row>
    <row r="5" spans="1:8" ht="135">
      <c r="A5" s="2945"/>
      <c r="B5" s="2946"/>
      <c r="C5" s="2947" t="s">
        <v>2922</v>
      </c>
      <c r="D5" s="2947" t="s">
        <v>2921</v>
      </c>
      <c r="E5" s="2947" t="s">
        <v>2920</v>
      </c>
      <c r="F5" s="2947" t="s">
        <v>2919</v>
      </c>
      <c r="G5" s="2947" t="s">
        <v>2918</v>
      </c>
      <c r="H5" s="2947" t="s">
        <v>2917</v>
      </c>
    </row>
    <row r="6" spans="1:8">
      <c r="A6" s="191" t="s">
        <v>6</v>
      </c>
      <c r="B6" s="2942">
        <f t="shared" ref="B6:H6" si="0">SUM(B7:B21)</f>
        <v>271</v>
      </c>
      <c r="C6" s="2943">
        <f t="shared" si="0"/>
        <v>13</v>
      </c>
      <c r="D6" s="2943">
        <f t="shared" si="0"/>
        <v>16</v>
      </c>
      <c r="E6" s="2943">
        <f t="shared" si="0"/>
        <v>9</v>
      </c>
      <c r="F6" s="2943">
        <f t="shared" si="0"/>
        <v>1</v>
      </c>
      <c r="G6" s="2943">
        <f t="shared" si="0"/>
        <v>180</v>
      </c>
      <c r="H6" s="2943">
        <f t="shared" si="0"/>
        <v>52</v>
      </c>
    </row>
    <row r="7" spans="1:8">
      <c r="A7" s="2944" t="s">
        <v>7</v>
      </c>
      <c r="B7" s="2942">
        <f t="shared" ref="B7:B21" si="1">SUM(C7:H7)</f>
        <v>14</v>
      </c>
      <c r="C7" s="320">
        <v>1</v>
      </c>
      <c r="D7" s="320">
        <v>2</v>
      </c>
      <c r="E7" s="320">
        <v>0</v>
      </c>
      <c r="F7" s="320">
        <v>0</v>
      </c>
      <c r="G7" s="320">
        <v>3</v>
      </c>
      <c r="H7" s="320">
        <v>8</v>
      </c>
    </row>
    <row r="8" spans="1:8">
      <c r="A8" s="2944" t="s">
        <v>8</v>
      </c>
      <c r="B8" s="2942">
        <f t="shared" si="1"/>
        <v>21</v>
      </c>
      <c r="C8" s="320">
        <v>1</v>
      </c>
      <c r="D8" s="320">
        <v>0</v>
      </c>
      <c r="E8" s="320">
        <v>7</v>
      </c>
      <c r="F8" s="320">
        <v>0</v>
      </c>
      <c r="G8" s="320">
        <v>13</v>
      </c>
      <c r="H8" s="320">
        <v>0</v>
      </c>
    </row>
    <row r="9" spans="1:8">
      <c r="A9" s="2944" t="s">
        <v>9</v>
      </c>
      <c r="B9" s="2942">
        <f t="shared" si="1"/>
        <v>14</v>
      </c>
      <c r="C9" s="320">
        <v>0</v>
      </c>
      <c r="D9" s="320">
        <v>0</v>
      </c>
      <c r="E9" s="320">
        <v>0</v>
      </c>
      <c r="F9" s="320">
        <v>0</v>
      </c>
      <c r="G9" s="320">
        <v>8</v>
      </c>
      <c r="H9" s="320">
        <v>6</v>
      </c>
    </row>
    <row r="10" spans="1:8">
      <c r="A10" s="2944" t="s">
        <v>10</v>
      </c>
      <c r="B10" s="2942">
        <f t="shared" si="1"/>
        <v>1</v>
      </c>
      <c r="C10" s="320">
        <v>0</v>
      </c>
      <c r="D10" s="320">
        <v>0</v>
      </c>
      <c r="E10" s="320">
        <v>0</v>
      </c>
      <c r="F10" s="320">
        <v>0</v>
      </c>
      <c r="G10" s="320">
        <v>1</v>
      </c>
      <c r="H10" s="320">
        <v>0</v>
      </c>
    </row>
    <row r="11" spans="1:8">
      <c r="A11" s="2944" t="s">
        <v>11</v>
      </c>
      <c r="B11" s="2942">
        <f t="shared" si="1"/>
        <v>5</v>
      </c>
      <c r="C11" s="320">
        <v>0</v>
      </c>
      <c r="D11" s="320">
        <v>0</v>
      </c>
      <c r="E11" s="320">
        <v>0</v>
      </c>
      <c r="F11" s="320">
        <v>1</v>
      </c>
      <c r="G11" s="320">
        <v>4</v>
      </c>
      <c r="H11" s="320">
        <v>0</v>
      </c>
    </row>
    <row r="12" spans="1:8">
      <c r="A12" s="2944" t="s">
        <v>12</v>
      </c>
      <c r="B12" s="2942">
        <f t="shared" si="1"/>
        <v>26</v>
      </c>
      <c r="C12" s="320">
        <v>2</v>
      </c>
      <c r="D12" s="320">
        <v>7</v>
      </c>
      <c r="E12" s="320">
        <v>0</v>
      </c>
      <c r="F12" s="320">
        <v>0</v>
      </c>
      <c r="G12" s="320">
        <v>15</v>
      </c>
      <c r="H12" s="320">
        <v>2</v>
      </c>
    </row>
    <row r="13" spans="1:8">
      <c r="A13" s="2944" t="s">
        <v>13</v>
      </c>
      <c r="B13" s="2942">
        <f t="shared" si="1"/>
        <v>129</v>
      </c>
      <c r="C13" s="320">
        <v>3</v>
      </c>
      <c r="D13" s="320">
        <v>3</v>
      </c>
      <c r="E13" s="320">
        <v>2</v>
      </c>
      <c r="F13" s="320">
        <v>0</v>
      </c>
      <c r="G13" s="320">
        <v>96</v>
      </c>
      <c r="H13" s="320">
        <v>25</v>
      </c>
    </row>
    <row r="14" spans="1:8">
      <c r="A14" s="2944" t="s">
        <v>14</v>
      </c>
      <c r="B14" s="2942">
        <f t="shared" si="1"/>
        <v>4</v>
      </c>
      <c r="C14" s="320">
        <v>1</v>
      </c>
      <c r="D14" s="320">
        <v>0</v>
      </c>
      <c r="E14" s="320">
        <v>0</v>
      </c>
      <c r="F14" s="320">
        <v>0</v>
      </c>
      <c r="G14" s="320">
        <v>3</v>
      </c>
      <c r="H14" s="320">
        <v>0</v>
      </c>
    </row>
    <row r="15" spans="1:8">
      <c r="A15" s="2944" t="s">
        <v>15</v>
      </c>
      <c r="B15" s="2942">
        <f t="shared" si="1"/>
        <v>5</v>
      </c>
      <c r="C15" s="320">
        <v>2</v>
      </c>
      <c r="D15" s="320">
        <v>1</v>
      </c>
      <c r="E15" s="320">
        <v>0</v>
      </c>
      <c r="F15" s="320">
        <v>0</v>
      </c>
      <c r="G15" s="320">
        <v>1</v>
      </c>
      <c r="H15" s="320">
        <v>1</v>
      </c>
    </row>
    <row r="16" spans="1:8">
      <c r="A16" s="2944" t="s">
        <v>16</v>
      </c>
      <c r="B16" s="2942">
        <f t="shared" si="1"/>
        <v>26</v>
      </c>
      <c r="C16" s="320">
        <v>1</v>
      </c>
      <c r="D16" s="320">
        <v>1</v>
      </c>
      <c r="E16" s="320">
        <v>0</v>
      </c>
      <c r="F16" s="320">
        <v>0</v>
      </c>
      <c r="G16" s="320">
        <v>21</v>
      </c>
      <c r="H16" s="320">
        <v>3</v>
      </c>
    </row>
    <row r="17" spans="1:8">
      <c r="A17" s="2944" t="s">
        <v>17</v>
      </c>
      <c r="B17" s="2942">
        <f t="shared" si="1"/>
        <v>7</v>
      </c>
      <c r="C17" s="320">
        <v>0</v>
      </c>
      <c r="D17" s="320">
        <v>0</v>
      </c>
      <c r="E17" s="320">
        <v>0</v>
      </c>
      <c r="F17" s="320">
        <v>0</v>
      </c>
      <c r="G17" s="320">
        <v>6</v>
      </c>
      <c r="H17" s="320">
        <v>1</v>
      </c>
    </row>
    <row r="18" spans="1:8">
      <c r="A18" s="2944" t="s">
        <v>18</v>
      </c>
      <c r="B18" s="2942">
        <f t="shared" si="1"/>
        <v>10</v>
      </c>
      <c r="C18" s="320">
        <v>1</v>
      </c>
      <c r="D18" s="320">
        <v>1</v>
      </c>
      <c r="E18" s="320">
        <v>0</v>
      </c>
      <c r="F18" s="320">
        <v>0</v>
      </c>
      <c r="G18" s="320">
        <v>3</v>
      </c>
      <c r="H18" s="320">
        <v>5</v>
      </c>
    </row>
    <row r="19" spans="1:8">
      <c r="A19" s="2944" t="s">
        <v>19</v>
      </c>
      <c r="B19" s="2942">
        <f t="shared" si="1"/>
        <v>1</v>
      </c>
      <c r="C19" s="320">
        <v>0</v>
      </c>
      <c r="D19" s="320">
        <v>0</v>
      </c>
      <c r="E19" s="320">
        <v>0</v>
      </c>
      <c r="F19" s="320">
        <v>0</v>
      </c>
      <c r="G19" s="320">
        <v>1</v>
      </c>
      <c r="H19" s="320">
        <v>0</v>
      </c>
    </row>
    <row r="20" spans="1:8">
      <c r="A20" s="2944" t="s">
        <v>20</v>
      </c>
      <c r="B20" s="2942">
        <f t="shared" si="1"/>
        <v>3</v>
      </c>
      <c r="C20" s="320">
        <v>1</v>
      </c>
      <c r="D20" s="320">
        <v>0</v>
      </c>
      <c r="E20" s="320">
        <v>0</v>
      </c>
      <c r="F20" s="320">
        <v>0</v>
      </c>
      <c r="G20" s="320">
        <v>1</v>
      </c>
      <c r="H20" s="320">
        <v>1</v>
      </c>
    </row>
    <row r="21" spans="1:8">
      <c r="A21" s="2944" t="s">
        <v>21</v>
      </c>
      <c r="B21" s="2942">
        <f t="shared" si="1"/>
        <v>5</v>
      </c>
      <c r="C21" s="320">
        <v>0</v>
      </c>
      <c r="D21" s="320">
        <v>1</v>
      </c>
      <c r="E21" s="320">
        <v>0</v>
      </c>
      <c r="F21" s="320">
        <v>0</v>
      </c>
      <c r="G21" s="320">
        <v>4</v>
      </c>
      <c r="H21" s="320">
        <v>0</v>
      </c>
    </row>
    <row r="22" spans="1:8">
      <c r="A22" s="254"/>
      <c r="B22" s="254"/>
      <c r="C22" s="255"/>
      <c r="D22" s="255"/>
      <c r="E22" s="255"/>
      <c r="F22" s="255"/>
      <c r="G22" s="255"/>
      <c r="H22" s="255"/>
    </row>
    <row r="23" spans="1:8">
      <c r="A23" s="2629" t="s">
        <v>22</v>
      </c>
      <c r="B23" s="2629"/>
      <c r="C23" s="2629"/>
      <c r="D23" s="2629"/>
      <c r="E23" s="2629"/>
      <c r="F23" s="2629"/>
      <c r="G23" s="2629"/>
      <c r="H23" s="2629"/>
    </row>
    <row r="24" spans="1:8">
      <c r="A24" s="2627" t="s">
        <v>2926</v>
      </c>
      <c r="B24" s="2628"/>
      <c r="C24" s="2628"/>
      <c r="D24" s="2628"/>
      <c r="E24" s="2628"/>
      <c r="F24" s="2628"/>
      <c r="G24" s="2628"/>
      <c r="H24" s="2628"/>
    </row>
  </sheetData>
  <mergeCells count="6">
    <mergeCell ref="A24:H24"/>
    <mergeCell ref="A2:H2"/>
    <mergeCell ref="A4:A5"/>
    <mergeCell ref="B4:B5"/>
    <mergeCell ref="C4:H4"/>
    <mergeCell ref="A23:H23"/>
  </mergeCells>
  <pageMargins left="0.7" right="0.7" top="0.75" bottom="0.75" header="0.3" footer="0.3"/>
</worksheet>
</file>

<file path=xl/worksheets/sheet315.xml><?xml version="1.0" encoding="utf-8"?>
<worksheet xmlns="http://schemas.openxmlformats.org/spreadsheetml/2006/main" xmlns:r="http://schemas.openxmlformats.org/officeDocument/2006/relationships">
  <dimension ref="A2:Q128"/>
  <sheetViews>
    <sheetView topLeftCell="A16" zoomScaleNormal="100" workbookViewId="0">
      <selection activeCell="J9" sqref="J9"/>
    </sheetView>
  </sheetViews>
  <sheetFormatPr baseColWidth="10" defaultRowHeight="11.25"/>
  <cols>
    <col min="1" max="1" width="25.85546875" style="195" customWidth="1"/>
    <col min="2" max="2" width="9.42578125" style="195" customWidth="1"/>
    <col min="3" max="3" width="17.7109375" style="195" customWidth="1"/>
    <col min="4" max="4" width="17.5703125" style="195" customWidth="1"/>
    <col min="5" max="5" width="18.85546875" style="195" customWidth="1"/>
    <col min="6" max="6" width="17.85546875" style="195" customWidth="1"/>
    <col min="7" max="7" width="19.28515625" style="195" customWidth="1"/>
    <col min="8" max="8" width="16.85546875" style="195" customWidth="1"/>
    <col min="9" max="9" width="4.28515625" style="244" customWidth="1"/>
    <col min="10" max="16384" width="11.42578125" style="195"/>
  </cols>
  <sheetData>
    <row r="2" spans="1:17" ht="38.25" customHeight="1">
      <c r="A2" s="2631" t="s">
        <v>2979</v>
      </c>
      <c r="B2" s="2631"/>
      <c r="C2" s="2631"/>
      <c r="D2" s="2631"/>
      <c r="E2" s="2631"/>
      <c r="F2" s="2631"/>
      <c r="G2" s="2631"/>
      <c r="H2" s="2631"/>
    </row>
    <row r="3" spans="1:17">
      <c r="A3" s="248"/>
      <c r="B3" s="248"/>
      <c r="C3" s="248"/>
      <c r="D3" s="248"/>
      <c r="E3" s="248"/>
      <c r="F3" s="248"/>
      <c r="G3" s="248"/>
      <c r="H3" s="248"/>
      <c r="I3" s="249"/>
    </row>
    <row r="4" spans="1:17" ht="17.25" customHeight="1">
      <c r="A4" s="2200" t="s">
        <v>3331</v>
      </c>
      <c r="B4" s="2946" t="s">
        <v>26</v>
      </c>
      <c r="C4" s="2946" t="s">
        <v>2923</v>
      </c>
      <c r="D4" s="2946"/>
      <c r="E4" s="2946"/>
      <c r="F4" s="2946"/>
      <c r="G4" s="2946"/>
      <c r="H4" s="2946"/>
      <c r="I4" s="195"/>
    </row>
    <row r="5" spans="1:17" ht="90">
      <c r="A5" s="2200"/>
      <c r="B5" s="2946"/>
      <c r="C5" s="2947" t="s">
        <v>2978</v>
      </c>
      <c r="D5" s="2947" t="s">
        <v>2921</v>
      </c>
      <c r="E5" s="2947" t="s">
        <v>2920</v>
      </c>
      <c r="F5" s="2947" t="s">
        <v>2977</v>
      </c>
      <c r="G5" s="2947" t="s">
        <v>2976</v>
      </c>
      <c r="H5" s="2947" t="s">
        <v>2917</v>
      </c>
      <c r="I5" s="195"/>
      <c r="K5" s="96"/>
    </row>
    <row r="6" spans="1:17" ht="11.25" customHeight="1">
      <c r="A6" s="192" t="s">
        <v>6</v>
      </c>
      <c r="B6" s="202">
        <f t="shared" ref="B6:B37" si="0">SUM(C6:H6)</f>
        <v>271</v>
      </c>
      <c r="C6" s="202">
        <f t="shared" ref="C6:H6" si="1">+C7+C10+C13+C17+C19+C24+C36+C70+C73+C77+C93+C99+C109+C111+C114</f>
        <v>13</v>
      </c>
      <c r="D6" s="202">
        <f t="shared" si="1"/>
        <v>16</v>
      </c>
      <c r="E6" s="202">
        <f t="shared" si="1"/>
        <v>9</v>
      </c>
      <c r="F6" s="202">
        <f t="shared" si="1"/>
        <v>1</v>
      </c>
      <c r="G6" s="202">
        <f t="shared" si="1"/>
        <v>180</v>
      </c>
      <c r="H6" s="202">
        <f t="shared" si="1"/>
        <v>52</v>
      </c>
      <c r="I6" s="195"/>
      <c r="K6" s="177"/>
      <c r="L6" s="177"/>
      <c r="M6" s="177"/>
      <c r="N6" s="177"/>
      <c r="O6" s="177"/>
      <c r="P6" s="177"/>
      <c r="Q6" s="177"/>
    </row>
    <row r="7" spans="1:17">
      <c r="A7" s="2948" t="s">
        <v>7</v>
      </c>
      <c r="B7" s="202">
        <f t="shared" si="0"/>
        <v>10</v>
      </c>
      <c r="C7" s="202">
        <v>1</v>
      </c>
      <c r="D7" s="202">
        <v>1</v>
      </c>
      <c r="E7" s="202">
        <v>0</v>
      </c>
      <c r="F7" s="202">
        <v>0</v>
      </c>
      <c r="G7" s="202">
        <v>3</v>
      </c>
      <c r="H7" s="202">
        <v>5</v>
      </c>
      <c r="I7" s="195"/>
    </row>
    <row r="8" spans="1:17">
      <c r="A8" s="196" t="s">
        <v>35</v>
      </c>
      <c r="B8" s="202">
        <f t="shared" si="0"/>
        <v>1</v>
      </c>
      <c r="C8" s="250">
        <v>0</v>
      </c>
      <c r="D8" s="250">
        <v>0</v>
      </c>
      <c r="E8" s="250">
        <v>0</v>
      </c>
      <c r="F8" s="250">
        <v>0</v>
      </c>
      <c r="G8" s="250">
        <v>0</v>
      </c>
      <c r="H8" s="250">
        <v>1</v>
      </c>
      <c r="I8" s="195"/>
    </row>
    <row r="9" spans="1:17">
      <c r="A9" s="196" t="s">
        <v>33</v>
      </c>
      <c r="B9" s="202">
        <f t="shared" si="0"/>
        <v>9</v>
      </c>
      <c r="C9" s="250">
        <v>1</v>
      </c>
      <c r="D9" s="250">
        <v>1</v>
      </c>
      <c r="E9" s="250">
        <v>0</v>
      </c>
      <c r="F9" s="250">
        <v>0</v>
      </c>
      <c r="G9" s="250">
        <v>3</v>
      </c>
      <c r="H9" s="250">
        <v>4</v>
      </c>
      <c r="I9" s="195"/>
    </row>
    <row r="10" spans="1:17">
      <c r="A10" s="2948" t="s">
        <v>8</v>
      </c>
      <c r="B10" s="202">
        <f t="shared" si="0"/>
        <v>21</v>
      </c>
      <c r="C10" s="202">
        <v>1</v>
      </c>
      <c r="D10" s="202">
        <v>0</v>
      </c>
      <c r="E10" s="202">
        <v>7</v>
      </c>
      <c r="F10" s="202">
        <v>0</v>
      </c>
      <c r="G10" s="202">
        <v>13</v>
      </c>
      <c r="H10" s="202">
        <v>0</v>
      </c>
      <c r="I10" s="195"/>
    </row>
    <row r="11" spans="1:17">
      <c r="A11" s="177" t="s">
        <v>35</v>
      </c>
      <c r="B11" s="202">
        <f t="shared" si="0"/>
        <v>19</v>
      </c>
      <c r="C11" s="250">
        <v>1</v>
      </c>
      <c r="D11" s="250">
        <v>0</v>
      </c>
      <c r="E11" s="250">
        <v>5</v>
      </c>
      <c r="F11" s="250">
        <v>0</v>
      </c>
      <c r="G11" s="250">
        <v>13</v>
      </c>
      <c r="H11" s="250">
        <v>0</v>
      </c>
      <c r="I11" s="195"/>
    </row>
    <row r="12" spans="1:17" ht="12.75">
      <c r="A12" s="177" t="s">
        <v>3332</v>
      </c>
      <c r="B12" s="202">
        <f t="shared" si="0"/>
        <v>2</v>
      </c>
      <c r="C12" s="250">
        <v>0</v>
      </c>
      <c r="D12" s="250">
        <v>0</v>
      </c>
      <c r="E12" s="250">
        <v>2</v>
      </c>
      <c r="F12" s="250">
        <v>0</v>
      </c>
      <c r="G12" s="250">
        <v>0</v>
      </c>
      <c r="H12" s="250">
        <v>0</v>
      </c>
      <c r="I12" s="195"/>
    </row>
    <row r="13" spans="1:17">
      <c r="A13" s="2948" t="s">
        <v>9</v>
      </c>
      <c r="B13" s="202">
        <f t="shared" si="0"/>
        <v>14</v>
      </c>
      <c r="C13" s="202">
        <v>0</v>
      </c>
      <c r="D13" s="202">
        <v>0</v>
      </c>
      <c r="E13" s="202">
        <v>0</v>
      </c>
      <c r="F13" s="202">
        <v>0</v>
      </c>
      <c r="G13" s="202">
        <v>8</v>
      </c>
      <c r="H13" s="202">
        <v>6</v>
      </c>
      <c r="I13" s="195"/>
    </row>
    <row r="14" spans="1:17">
      <c r="A14" s="177" t="s">
        <v>35</v>
      </c>
      <c r="B14" s="202">
        <f t="shared" si="0"/>
        <v>1</v>
      </c>
      <c r="C14" s="250">
        <v>0</v>
      </c>
      <c r="D14" s="250">
        <v>0</v>
      </c>
      <c r="E14" s="250">
        <v>0</v>
      </c>
      <c r="F14" s="250">
        <v>0</v>
      </c>
      <c r="G14" s="250">
        <v>0</v>
      </c>
      <c r="H14" s="250">
        <v>1</v>
      </c>
      <c r="I14" s="195"/>
    </row>
    <row r="15" spans="1:17">
      <c r="A15" s="177" t="s">
        <v>2325</v>
      </c>
      <c r="B15" s="202">
        <f t="shared" si="0"/>
        <v>3</v>
      </c>
      <c r="C15" s="250">
        <v>0</v>
      </c>
      <c r="D15" s="250">
        <v>0</v>
      </c>
      <c r="E15" s="250">
        <v>0</v>
      </c>
      <c r="F15" s="250">
        <v>0</v>
      </c>
      <c r="G15" s="250">
        <v>1</v>
      </c>
      <c r="H15" s="250">
        <v>2</v>
      </c>
      <c r="I15" s="195"/>
    </row>
    <row r="16" spans="1:17">
      <c r="A16" s="177" t="s">
        <v>9</v>
      </c>
      <c r="B16" s="202">
        <f t="shared" si="0"/>
        <v>10</v>
      </c>
      <c r="C16" s="250">
        <v>0</v>
      </c>
      <c r="D16" s="250">
        <v>0</v>
      </c>
      <c r="E16" s="250">
        <v>0</v>
      </c>
      <c r="F16" s="250">
        <v>0</v>
      </c>
      <c r="G16" s="250">
        <v>7</v>
      </c>
      <c r="H16" s="250">
        <v>3</v>
      </c>
      <c r="I16" s="195"/>
    </row>
    <row r="17" spans="1:9">
      <c r="A17" s="2949" t="s">
        <v>10</v>
      </c>
      <c r="B17" s="202">
        <f t="shared" si="0"/>
        <v>1</v>
      </c>
      <c r="C17" s="202">
        <v>0</v>
      </c>
      <c r="D17" s="202">
        <v>0</v>
      </c>
      <c r="E17" s="202">
        <v>0</v>
      </c>
      <c r="F17" s="202">
        <v>0</v>
      </c>
      <c r="G17" s="202">
        <v>1</v>
      </c>
      <c r="H17" s="202">
        <v>0</v>
      </c>
      <c r="I17" s="195"/>
    </row>
    <row r="18" spans="1:9">
      <c r="A18" s="177" t="s">
        <v>175</v>
      </c>
      <c r="B18" s="202">
        <f t="shared" si="0"/>
        <v>1</v>
      </c>
      <c r="C18" s="250">
        <v>0</v>
      </c>
      <c r="D18" s="250">
        <v>0</v>
      </c>
      <c r="E18" s="250">
        <v>0</v>
      </c>
      <c r="F18" s="250">
        <v>0</v>
      </c>
      <c r="G18" s="250">
        <v>1</v>
      </c>
      <c r="H18" s="250">
        <v>0</v>
      </c>
      <c r="I18" s="195"/>
    </row>
    <row r="19" spans="1:9">
      <c r="A19" s="2948" t="s">
        <v>11</v>
      </c>
      <c r="B19" s="202">
        <f t="shared" si="0"/>
        <v>5</v>
      </c>
      <c r="C19" s="202">
        <v>0</v>
      </c>
      <c r="D19" s="202">
        <v>0</v>
      </c>
      <c r="E19" s="202">
        <v>0</v>
      </c>
      <c r="F19" s="202">
        <v>1</v>
      </c>
      <c r="G19" s="202">
        <v>4</v>
      </c>
      <c r="H19" s="202">
        <v>0</v>
      </c>
      <c r="I19" s="195"/>
    </row>
    <row r="20" spans="1:9">
      <c r="A20" s="177" t="s">
        <v>176</v>
      </c>
      <c r="B20" s="202">
        <f t="shared" si="0"/>
        <v>2</v>
      </c>
      <c r="C20" s="250">
        <v>0</v>
      </c>
      <c r="D20" s="250">
        <v>0</v>
      </c>
      <c r="E20" s="250">
        <v>0</v>
      </c>
      <c r="F20" s="250">
        <v>1</v>
      </c>
      <c r="G20" s="250">
        <v>1</v>
      </c>
      <c r="H20" s="250">
        <v>0</v>
      </c>
      <c r="I20" s="195"/>
    </row>
    <row r="21" spans="1:9">
      <c r="A21" s="244" t="s">
        <v>11</v>
      </c>
      <c r="B21" s="202">
        <f t="shared" si="0"/>
        <v>1</v>
      </c>
      <c r="C21" s="250">
        <v>0</v>
      </c>
      <c r="D21" s="250">
        <v>0</v>
      </c>
      <c r="E21" s="250">
        <v>0</v>
      </c>
      <c r="F21" s="250">
        <v>0</v>
      </c>
      <c r="G21" s="250">
        <v>1</v>
      </c>
      <c r="H21" s="250">
        <v>0</v>
      </c>
      <c r="I21" s="195"/>
    </row>
    <row r="22" spans="1:9">
      <c r="A22" s="177" t="s">
        <v>332</v>
      </c>
      <c r="B22" s="202">
        <f t="shared" si="0"/>
        <v>1</v>
      </c>
      <c r="C22" s="250">
        <v>0</v>
      </c>
      <c r="D22" s="250">
        <v>0</v>
      </c>
      <c r="E22" s="250">
        <v>0</v>
      </c>
      <c r="F22" s="250">
        <v>0</v>
      </c>
      <c r="G22" s="250">
        <v>1</v>
      </c>
      <c r="H22" s="250">
        <v>0</v>
      </c>
      <c r="I22" s="195"/>
    </row>
    <row r="23" spans="1:9" ht="12.75">
      <c r="A23" s="177" t="s">
        <v>3332</v>
      </c>
      <c r="B23" s="202">
        <f t="shared" si="0"/>
        <v>1</v>
      </c>
      <c r="C23" s="250">
        <v>0</v>
      </c>
      <c r="D23" s="250">
        <v>0</v>
      </c>
      <c r="E23" s="250">
        <v>0</v>
      </c>
      <c r="F23" s="250">
        <v>0</v>
      </c>
      <c r="G23" s="250">
        <v>1</v>
      </c>
      <c r="H23" s="250">
        <v>0</v>
      </c>
      <c r="I23" s="195"/>
    </row>
    <row r="24" spans="1:9">
      <c r="A24" s="2948" t="s">
        <v>12</v>
      </c>
      <c r="B24" s="202">
        <f t="shared" si="0"/>
        <v>26</v>
      </c>
      <c r="C24" s="202">
        <v>2</v>
      </c>
      <c r="D24" s="202">
        <v>7</v>
      </c>
      <c r="E24" s="202">
        <v>0</v>
      </c>
      <c r="F24" s="202">
        <v>0</v>
      </c>
      <c r="G24" s="202">
        <v>15</v>
      </c>
      <c r="H24" s="202">
        <v>2</v>
      </c>
      <c r="I24" s="195"/>
    </row>
    <row r="25" spans="1:9">
      <c r="A25" s="177" t="s">
        <v>1050</v>
      </c>
      <c r="B25" s="202">
        <f t="shared" si="0"/>
        <v>3</v>
      </c>
      <c r="C25" s="250">
        <v>0</v>
      </c>
      <c r="D25" s="250">
        <v>3</v>
      </c>
      <c r="E25" s="250">
        <v>0</v>
      </c>
      <c r="F25" s="250">
        <v>0</v>
      </c>
      <c r="G25" s="250">
        <v>0</v>
      </c>
      <c r="H25" s="250">
        <v>0</v>
      </c>
      <c r="I25" s="195"/>
    </row>
    <row r="26" spans="1:9">
      <c r="A26" s="177" t="s">
        <v>43</v>
      </c>
      <c r="B26" s="202">
        <f t="shared" si="0"/>
        <v>2</v>
      </c>
      <c r="C26" s="250">
        <v>0</v>
      </c>
      <c r="D26" s="250">
        <v>0</v>
      </c>
      <c r="E26" s="250">
        <v>0</v>
      </c>
      <c r="F26" s="250">
        <v>0</v>
      </c>
      <c r="G26" s="250">
        <v>1</v>
      </c>
      <c r="H26" s="250">
        <v>1</v>
      </c>
      <c r="I26" s="195"/>
    </row>
    <row r="27" spans="1:9">
      <c r="A27" s="177" t="s">
        <v>2975</v>
      </c>
      <c r="B27" s="202">
        <f t="shared" si="0"/>
        <v>2</v>
      </c>
      <c r="C27" s="250">
        <v>0</v>
      </c>
      <c r="D27" s="250">
        <v>2</v>
      </c>
      <c r="E27" s="250">
        <v>0</v>
      </c>
      <c r="F27" s="250">
        <v>0</v>
      </c>
      <c r="G27" s="250">
        <v>0</v>
      </c>
      <c r="H27" s="250">
        <v>0</v>
      </c>
      <c r="I27" s="195"/>
    </row>
    <row r="28" spans="1:9">
      <c r="A28" s="177" t="s">
        <v>248</v>
      </c>
      <c r="B28" s="202">
        <f t="shared" si="0"/>
        <v>2</v>
      </c>
      <c r="C28" s="250">
        <v>0</v>
      </c>
      <c r="D28" s="250">
        <v>0</v>
      </c>
      <c r="E28" s="250">
        <v>0</v>
      </c>
      <c r="F28" s="250">
        <v>0</v>
      </c>
      <c r="G28" s="250">
        <v>2</v>
      </c>
      <c r="H28" s="250">
        <v>0</v>
      </c>
      <c r="I28" s="195"/>
    </row>
    <row r="29" spans="1:9">
      <c r="A29" s="244" t="s">
        <v>2974</v>
      </c>
      <c r="B29" s="202">
        <f t="shared" si="0"/>
        <v>2</v>
      </c>
      <c r="C29" s="250">
        <v>0</v>
      </c>
      <c r="D29" s="250">
        <v>0</v>
      </c>
      <c r="E29" s="250">
        <v>0</v>
      </c>
      <c r="F29" s="250">
        <v>0</v>
      </c>
      <c r="G29" s="250">
        <v>2</v>
      </c>
      <c r="H29" s="250">
        <v>0</v>
      </c>
      <c r="I29" s="195"/>
    </row>
    <row r="30" spans="1:9">
      <c r="A30" s="177" t="s">
        <v>2973</v>
      </c>
      <c r="B30" s="202">
        <f t="shared" si="0"/>
        <v>1</v>
      </c>
      <c r="C30" s="250">
        <v>0</v>
      </c>
      <c r="D30" s="250">
        <v>0</v>
      </c>
      <c r="E30" s="250">
        <v>0</v>
      </c>
      <c r="F30" s="250">
        <v>0</v>
      </c>
      <c r="G30" s="250">
        <v>1</v>
      </c>
      <c r="H30" s="250">
        <v>0</v>
      </c>
      <c r="I30" s="195"/>
    </row>
    <row r="31" spans="1:9">
      <c r="A31" s="177" t="s">
        <v>12</v>
      </c>
      <c r="B31" s="202">
        <f t="shared" si="0"/>
        <v>2</v>
      </c>
      <c r="C31" s="250">
        <v>0</v>
      </c>
      <c r="D31" s="250">
        <v>0</v>
      </c>
      <c r="E31" s="250">
        <v>0</v>
      </c>
      <c r="F31" s="250">
        <v>0</v>
      </c>
      <c r="G31" s="250">
        <v>2</v>
      </c>
      <c r="H31" s="250">
        <v>0</v>
      </c>
      <c r="I31" s="195"/>
    </row>
    <row r="32" spans="1:9">
      <c r="A32" s="177" t="s">
        <v>338</v>
      </c>
      <c r="B32" s="202">
        <f t="shared" si="0"/>
        <v>1</v>
      </c>
      <c r="C32" s="250">
        <v>0</v>
      </c>
      <c r="D32" s="250">
        <v>0</v>
      </c>
      <c r="E32" s="250">
        <v>0</v>
      </c>
      <c r="F32" s="250">
        <v>0</v>
      </c>
      <c r="G32" s="250">
        <v>1</v>
      </c>
      <c r="H32" s="250">
        <v>0</v>
      </c>
      <c r="I32" s="195"/>
    </row>
    <row r="33" spans="1:9">
      <c r="A33" s="177" t="s">
        <v>251</v>
      </c>
      <c r="B33" s="202">
        <f t="shared" si="0"/>
        <v>1</v>
      </c>
      <c r="C33" s="250">
        <v>0</v>
      </c>
      <c r="D33" s="250">
        <v>0</v>
      </c>
      <c r="E33" s="250">
        <v>0</v>
      </c>
      <c r="F33" s="250">
        <v>0</v>
      </c>
      <c r="G33" s="250">
        <v>0</v>
      </c>
      <c r="H33" s="250">
        <v>1</v>
      </c>
      <c r="I33" s="195"/>
    </row>
    <row r="34" spans="1:9">
      <c r="A34" s="244" t="s">
        <v>2965</v>
      </c>
      <c r="B34" s="202">
        <f t="shared" si="0"/>
        <v>1</v>
      </c>
      <c r="C34" s="250">
        <v>0</v>
      </c>
      <c r="D34" s="250">
        <v>0</v>
      </c>
      <c r="E34" s="250">
        <v>0</v>
      </c>
      <c r="F34" s="250">
        <v>0</v>
      </c>
      <c r="G34" s="250">
        <v>1</v>
      </c>
      <c r="H34" s="250">
        <v>0</v>
      </c>
      <c r="I34" s="195"/>
    </row>
    <row r="35" spans="1:9" ht="12.75">
      <c r="A35" s="177" t="s">
        <v>3332</v>
      </c>
      <c r="B35" s="202">
        <f t="shared" si="0"/>
        <v>9</v>
      </c>
      <c r="C35" s="250">
        <v>2</v>
      </c>
      <c r="D35" s="250">
        <v>2</v>
      </c>
      <c r="E35" s="250">
        <v>0</v>
      </c>
      <c r="F35" s="250">
        <v>0</v>
      </c>
      <c r="G35" s="250">
        <v>5</v>
      </c>
      <c r="H35" s="250">
        <v>0</v>
      </c>
      <c r="I35" s="195"/>
    </row>
    <row r="36" spans="1:9">
      <c r="A36" s="2948" t="s">
        <v>13</v>
      </c>
      <c r="B36" s="202">
        <f t="shared" si="0"/>
        <v>129</v>
      </c>
      <c r="C36" s="202">
        <v>3</v>
      </c>
      <c r="D36" s="202">
        <v>3</v>
      </c>
      <c r="E36" s="202">
        <v>2</v>
      </c>
      <c r="F36" s="202">
        <v>0</v>
      </c>
      <c r="G36" s="202">
        <v>96</v>
      </c>
      <c r="H36" s="202">
        <v>25</v>
      </c>
      <c r="I36" s="195"/>
    </row>
    <row r="37" spans="1:9">
      <c r="A37" s="177" t="s">
        <v>248</v>
      </c>
      <c r="B37" s="202">
        <f t="shared" si="0"/>
        <v>1</v>
      </c>
      <c r="C37" s="250">
        <v>0</v>
      </c>
      <c r="D37" s="250">
        <v>0</v>
      </c>
      <c r="E37" s="250">
        <v>0</v>
      </c>
      <c r="F37" s="250">
        <v>0</v>
      </c>
      <c r="G37" s="250">
        <v>0</v>
      </c>
      <c r="H37" s="250">
        <v>1</v>
      </c>
      <c r="I37" s="195"/>
    </row>
    <row r="38" spans="1:9">
      <c r="A38" s="177" t="s">
        <v>2973</v>
      </c>
      <c r="B38" s="202">
        <f t="shared" ref="B38:B69" si="2">SUM(C38:H38)</f>
        <v>1</v>
      </c>
      <c r="C38" s="250">
        <v>0</v>
      </c>
      <c r="D38" s="250">
        <v>0</v>
      </c>
      <c r="E38" s="250">
        <v>0</v>
      </c>
      <c r="F38" s="250">
        <v>0</v>
      </c>
      <c r="G38" s="250">
        <v>1</v>
      </c>
      <c r="H38" s="250">
        <v>0</v>
      </c>
      <c r="I38" s="195"/>
    </row>
    <row r="39" spans="1:9">
      <c r="A39" s="177" t="s">
        <v>12</v>
      </c>
      <c r="B39" s="202">
        <f t="shared" si="2"/>
        <v>1</v>
      </c>
      <c r="C39" s="250">
        <v>0</v>
      </c>
      <c r="D39" s="250">
        <v>0</v>
      </c>
      <c r="E39" s="250">
        <v>0</v>
      </c>
      <c r="F39" s="250">
        <v>0</v>
      </c>
      <c r="G39" s="250">
        <v>0</v>
      </c>
      <c r="H39" s="250">
        <v>1</v>
      </c>
      <c r="I39" s="195"/>
    </row>
    <row r="40" spans="1:9">
      <c r="A40" s="177" t="s">
        <v>2972</v>
      </c>
      <c r="B40" s="202">
        <f t="shared" si="2"/>
        <v>3</v>
      </c>
      <c r="C40" s="250">
        <v>0</v>
      </c>
      <c r="D40" s="250">
        <v>0</v>
      </c>
      <c r="E40" s="250">
        <v>0</v>
      </c>
      <c r="F40" s="250">
        <v>0</v>
      </c>
      <c r="G40" s="250">
        <v>3</v>
      </c>
      <c r="H40" s="250">
        <v>0</v>
      </c>
      <c r="I40" s="195"/>
    </row>
    <row r="41" spans="1:9">
      <c r="A41" s="177" t="s">
        <v>2971</v>
      </c>
      <c r="B41" s="202">
        <f t="shared" si="2"/>
        <v>1</v>
      </c>
      <c r="C41" s="250">
        <v>0</v>
      </c>
      <c r="D41" s="250">
        <v>0</v>
      </c>
      <c r="E41" s="250">
        <v>0</v>
      </c>
      <c r="F41" s="250">
        <v>0</v>
      </c>
      <c r="G41" s="250">
        <v>1</v>
      </c>
      <c r="H41" s="250">
        <v>0</v>
      </c>
      <c r="I41" s="195"/>
    </row>
    <row r="42" spans="1:9">
      <c r="A42" s="177" t="s">
        <v>186</v>
      </c>
      <c r="B42" s="202">
        <f t="shared" si="2"/>
        <v>33</v>
      </c>
      <c r="C42" s="250">
        <v>0</v>
      </c>
      <c r="D42" s="250">
        <v>0</v>
      </c>
      <c r="E42" s="250">
        <v>0</v>
      </c>
      <c r="F42" s="250">
        <v>0</v>
      </c>
      <c r="G42" s="250">
        <v>22</v>
      </c>
      <c r="H42" s="250">
        <v>11</v>
      </c>
      <c r="I42" s="195"/>
    </row>
    <row r="43" spans="1:9">
      <c r="A43" s="177" t="s">
        <v>2970</v>
      </c>
      <c r="B43" s="202">
        <f t="shared" si="2"/>
        <v>1</v>
      </c>
      <c r="C43" s="250">
        <v>0</v>
      </c>
      <c r="D43" s="250">
        <v>0</v>
      </c>
      <c r="E43" s="250">
        <v>0</v>
      </c>
      <c r="F43" s="250">
        <v>0</v>
      </c>
      <c r="G43" s="250">
        <v>1</v>
      </c>
      <c r="H43" s="250">
        <v>0</v>
      </c>
      <c r="I43" s="195"/>
    </row>
    <row r="44" spans="1:9">
      <c r="A44" s="177" t="s">
        <v>2969</v>
      </c>
      <c r="B44" s="202">
        <f t="shared" si="2"/>
        <v>1</v>
      </c>
      <c r="C44" s="250">
        <v>0</v>
      </c>
      <c r="D44" s="250">
        <v>0</v>
      </c>
      <c r="E44" s="250">
        <v>0</v>
      </c>
      <c r="F44" s="250">
        <v>0</v>
      </c>
      <c r="G44" s="250">
        <v>1</v>
      </c>
      <c r="H44" s="250">
        <v>0</v>
      </c>
      <c r="I44" s="195"/>
    </row>
    <row r="45" spans="1:9">
      <c r="A45" s="177" t="s">
        <v>2968</v>
      </c>
      <c r="B45" s="202">
        <f t="shared" si="2"/>
        <v>1</v>
      </c>
      <c r="C45" s="250">
        <v>0</v>
      </c>
      <c r="D45" s="250">
        <v>0</v>
      </c>
      <c r="E45" s="250">
        <v>0</v>
      </c>
      <c r="F45" s="250">
        <v>0</v>
      </c>
      <c r="G45" s="250">
        <v>1</v>
      </c>
      <c r="H45" s="250">
        <v>0</v>
      </c>
      <c r="I45" s="195"/>
    </row>
    <row r="46" spans="1:9">
      <c r="A46" s="177" t="s">
        <v>2967</v>
      </c>
      <c r="B46" s="202">
        <f t="shared" si="2"/>
        <v>8</v>
      </c>
      <c r="C46" s="250">
        <v>0</v>
      </c>
      <c r="D46" s="250">
        <v>0</v>
      </c>
      <c r="E46" s="250">
        <v>0</v>
      </c>
      <c r="F46" s="250">
        <v>0</v>
      </c>
      <c r="G46" s="250">
        <v>3</v>
      </c>
      <c r="H46" s="250">
        <v>5</v>
      </c>
      <c r="I46" s="195"/>
    </row>
    <row r="47" spans="1:9">
      <c r="A47" s="177" t="s">
        <v>2966</v>
      </c>
      <c r="B47" s="202">
        <f t="shared" si="2"/>
        <v>17</v>
      </c>
      <c r="C47" s="250">
        <v>0</v>
      </c>
      <c r="D47" s="250">
        <v>1</v>
      </c>
      <c r="E47" s="250">
        <v>0</v>
      </c>
      <c r="F47" s="250">
        <v>0</v>
      </c>
      <c r="G47" s="250">
        <v>14</v>
      </c>
      <c r="H47" s="250">
        <v>2</v>
      </c>
      <c r="I47" s="195"/>
    </row>
    <row r="48" spans="1:9">
      <c r="A48" s="177" t="s">
        <v>2965</v>
      </c>
      <c r="B48" s="202">
        <f t="shared" si="2"/>
        <v>3</v>
      </c>
      <c r="C48" s="250">
        <v>0</v>
      </c>
      <c r="D48" s="250">
        <v>0</v>
      </c>
      <c r="E48" s="250">
        <v>0</v>
      </c>
      <c r="F48" s="250">
        <v>0</v>
      </c>
      <c r="G48" s="250">
        <v>3</v>
      </c>
      <c r="H48" s="250">
        <v>0</v>
      </c>
      <c r="I48" s="195"/>
    </row>
    <row r="49" spans="1:9">
      <c r="A49" s="177" t="s">
        <v>2964</v>
      </c>
      <c r="B49" s="202">
        <f t="shared" si="2"/>
        <v>1</v>
      </c>
      <c r="C49" s="250">
        <v>0</v>
      </c>
      <c r="D49" s="250">
        <v>0</v>
      </c>
      <c r="E49" s="250">
        <v>0</v>
      </c>
      <c r="F49" s="250">
        <v>0</v>
      </c>
      <c r="G49" s="250">
        <v>1</v>
      </c>
      <c r="H49" s="250">
        <v>0</v>
      </c>
      <c r="I49" s="195"/>
    </row>
    <row r="50" spans="1:9">
      <c r="A50" s="177" t="s">
        <v>2938</v>
      </c>
      <c r="B50" s="202">
        <f t="shared" si="2"/>
        <v>8</v>
      </c>
      <c r="C50" s="250">
        <v>1</v>
      </c>
      <c r="D50" s="250">
        <v>0</v>
      </c>
      <c r="E50" s="250">
        <v>1</v>
      </c>
      <c r="F50" s="250">
        <v>0</v>
      </c>
      <c r="G50" s="250">
        <v>5</v>
      </c>
      <c r="H50" s="250">
        <v>1</v>
      </c>
      <c r="I50" s="195"/>
    </row>
    <row r="51" spans="1:9">
      <c r="A51" s="177" t="s">
        <v>2963</v>
      </c>
      <c r="B51" s="202">
        <f t="shared" si="2"/>
        <v>1</v>
      </c>
      <c r="C51" s="250">
        <v>0</v>
      </c>
      <c r="D51" s="250">
        <v>0</v>
      </c>
      <c r="E51" s="250">
        <v>0</v>
      </c>
      <c r="F51" s="250">
        <v>0</v>
      </c>
      <c r="G51" s="250">
        <v>1</v>
      </c>
      <c r="H51" s="250">
        <v>0</v>
      </c>
      <c r="I51" s="195"/>
    </row>
    <row r="52" spans="1:9">
      <c r="A52" s="177" t="s">
        <v>2962</v>
      </c>
      <c r="B52" s="202">
        <f t="shared" si="2"/>
        <v>3</v>
      </c>
      <c r="C52" s="250">
        <v>0</v>
      </c>
      <c r="D52" s="250">
        <v>0</v>
      </c>
      <c r="E52" s="250">
        <v>0</v>
      </c>
      <c r="F52" s="250">
        <v>0</v>
      </c>
      <c r="G52" s="250">
        <v>3</v>
      </c>
      <c r="H52" s="250">
        <v>0</v>
      </c>
      <c r="I52" s="195"/>
    </row>
    <row r="53" spans="1:9">
      <c r="A53" s="177" t="s">
        <v>2961</v>
      </c>
      <c r="B53" s="202">
        <f t="shared" si="2"/>
        <v>1</v>
      </c>
      <c r="C53" s="250">
        <v>0</v>
      </c>
      <c r="D53" s="250">
        <v>0</v>
      </c>
      <c r="E53" s="250">
        <v>0</v>
      </c>
      <c r="F53" s="250">
        <v>0</v>
      </c>
      <c r="G53" s="250">
        <v>1</v>
      </c>
      <c r="H53" s="250">
        <v>0</v>
      </c>
      <c r="I53" s="195"/>
    </row>
    <row r="54" spans="1:9">
      <c r="A54" s="244" t="s">
        <v>187</v>
      </c>
      <c r="B54" s="202">
        <f t="shared" si="2"/>
        <v>1</v>
      </c>
      <c r="C54" s="250">
        <v>0</v>
      </c>
      <c r="D54" s="250">
        <v>0</v>
      </c>
      <c r="E54" s="250">
        <v>0</v>
      </c>
      <c r="F54" s="250">
        <v>0</v>
      </c>
      <c r="G54" s="250">
        <v>1</v>
      </c>
      <c r="H54" s="250">
        <v>0</v>
      </c>
      <c r="I54" s="195"/>
    </row>
    <row r="55" spans="1:9">
      <c r="A55" s="244" t="s">
        <v>2960</v>
      </c>
      <c r="B55" s="202">
        <f t="shared" si="2"/>
        <v>1</v>
      </c>
      <c r="C55" s="250">
        <v>0</v>
      </c>
      <c r="D55" s="250">
        <v>0</v>
      </c>
      <c r="E55" s="250">
        <v>0</v>
      </c>
      <c r="F55" s="250">
        <v>0</v>
      </c>
      <c r="G55" s="250">
        <v>1</v>
      </c>
      <c r="H55" s="250">
        <v>0</v>
      </c>
      <c r="I55" s="195"/>
    </row>
    <row r="56" spans="1:9">
      <c r="A56" s="177" t="s">
        <v>2959</v>
      </c>
      <c r="B56" s="202">
        <f t="shared" si="2"/>
        <v>1</v>
      </c>
      <c r="C56" s="250">
        <v>0</v>
      </c>
      <c r="D56" s="250">
        <v>0</v>
      </c>
      <c r="E56" s="250">
        <v>0</v>
      </c>
      <c r="F56" s="250">
        <v>0</v>
      </c>
      <c r="G56" s="250">
        <v>0</v>
      </c>
      <c r="H56" s="250">
        <v>1</v>
      </c>
      <c r="I56" s="195"/>
    </row>
    <row r="57" spans="1:9">
      <c r="A57" s="177" t="s">
        <v>2958</v>
      </c>
      <c r="B57" s="202">
        <f t="shared" si="2"/>
        <v>1</v>
      </c>
      <c r="C57" s="250">
        <v>0</v>
      </c>
      <c r="D57" s="250">
        <v>0</v>
      </c>
      <c r="E57" s="250">
        <v>0</v>
      </c>
      <c r="F57" s="250">
        <v>0</v>
      </c>
      <c r="G57" s="250">
        <v>1</v>
      </c>
      <c r="H57" s="250">
        <v>0</v>
      </c>
      <c r="I57" s="195"/>
    </row>
    <row r="58" spans="1:9">
      <c r="A58" s="177" t="s">
        <v>2957</v>
      </c>
      <c r="B58" s="202">
        <f t="shared" si="2"/>
        <v>1</v>
      </c>
      <c r="C58" s="250">
        <v>0</v>
      </c>
      <c r="D58" s="250">
        <v>0</v>
      </c>
      <c r="E58" s="250">
        <v>0</v>
      </c>
      <c r="F58" s="250">
        <v>0</v>
      </c>
      <c r="G58" s="250">
        <v>1</v>
      </c>
      <c r="H58" s="250">
        <v>0</v>
      </c>
      <c r="I58" s="195"/>
    </row>
    <row r="59" spans="1:9">
      <c r="A59" s="177" t="s">
        <v>2956</v>
      </c>
      <c r="B59" s="202">
        <f t="shared" si="2"/>
        <v>1</v>
      </c>
      <c r="C59" s="250">
        <v>0</v>
      </c>
      <c r="D59" s="250">
        <v>0</v>
      </c>
      <c r="E59" s="250">
        <v>0</v>
      </c>
      <c r="F59" s="250">
        <v>0</v>
      </c>
      <c r="G59" s="250">
        <v>1</v>
      </c>
      <c r="H59" s="250">
        <v>0</v>
      </c>
      <c r="I59" s="195"/>
    </row>
    <row r="60" spans="1:9">
      <c r="A60" s="244" t="s">
        <v>2955</v>
      </c>
      <c r="B60" s="202">
        <f t="shared" si="2"/>
        <v>3</v>
      </c>
      <c r="C60" s="250">
        <v>0</v>
      </c>
      <c r="D60" s="250">
        <v>0</v>
      </c>
      <c r="E60" s="250">
        <v>0</v>
      </c>
      <c r="F60" s="250">
        <v>0</v>
      </c>
      <c r="G60" s="250">
        <v>2</v>
      </c>
      <c r="H60" s="250">
        <v>1</v>
      </c>
      <c r="I60" s="195"/>
    </row>
    <row r="61" spans="1:9">
      <c r="A61" s="177" t="s">
        <v>2954</v>
      </c>
      <c r="B61" s="202">
        <f t="shared" si="2"/>
        <v>4</v>
      </c>
      <c r="C61" s="250">
        <v>0</v>
      </c>
      <c r="D61" s="250">
        <v>0</v>
      </c>
      <c r="E61" s="250">
        <v>0</v>
      </c>
      <c r="F61" s="250">
        <v>0</v>
      </c>
      <c r="G61" s="250">
        <v>3</v>
      </c>
      <c r="H61" s="250">
        <v>1</v>
      </c>
      <c r="I61" s="195"/>
    </row>
    <row r="62" spans="1:9">
      <c r="A62" s="177" t="s">
        <v>2953</v>
      </c>
      <c r="B62" s="202">
        <f t="shared" si="2"/>
        <v>1</v>
      </c>
      <c r="C62" s="250">
        <v>0</v>
      </c>
      <c r="D62" s="250">
        <v>0</v>
      </c>
      <c r="E62" s="250">
        <v>0</v>
      </c>
      <c r="F62" s="250">
        <v>0</v>
      </c>
      <c r="G62" s="250">
        <v>1</v>
      </c>
      <c r="H62" s="250">
        <v>0</v>
      </c>
      <c r="I62" s="195"/>
    </row>
    <row r="63" spans="1:9">
      <c r="A63" s="177" t="s">
        <v>2952</v>
      </c>
      <c r="B63" s="202">
        <f t="shared" si="2"/>
        <v>1</v>
      </c>
      <c r="C63" s="250">
        <v>0</v>
      </c>
      <c r="D63" s="250">
        <v>0</v>
      </c>
      <c r="E63" s="250">
        <v>0</v>
      </c>
      <c r="F63" s="250">
        <v>0</v>
      </c>
      <c r="G63" s="250">
        <v>1</v>
      </c>
      <c r="H63" s="250">
        <v>0</v>
      </c>
      <c r="I63" s="195"/>
    </row>
    <row r="64" spans="1:9">
      <c r="A64" s="177" t="s">
        <v>2951</v>
      </c>
      <c r="B64" s="202">
        <f t="shared" si="2"/>
        <v>1</v>
      </c>
      <c r="C64" s="250">
        <v>0</v>
      </c>
      <c r="D64" s="250">
        <v>0</v>
      </c>
      <c r="E64" s="250">
        <v>0</v>
      </c>
      <c r="F64" s="250">
        <v>0</v>
      </c>
      <c r="G64" s="250">
        <v>1</v>
      </c>
      <c r="H64" s="250">
        <v>0</v>
      </c>
      <c r="I64" s="195"/>
    </row>
    <row r="65" spans="1:9">
      <c r="A65" s="177" t="s">
        <v>2950</v>
      </c>
      <c r="B65" s="202">
        <f t="shared" si="2"/>
        <v>1</v>
      </c>
      <c r="C65" s="250">
        <v>0</v>
      </c>
      <c r="D65" s="250">
        <v>0</v>
      </c>
      <c r="E65" s="250">
        <v>0</v>
      </c>
      <c r="F65" s="250">
        <v>0</v>
      </c>
      <c r="G65" s="250">
        <v>1</v>
      </c>
      <c r="H65" s="250">
        <v>0</v>
      </c>
      <c r="I65" s="195"/>
    </row>
    <row r="66" spans="1:9">
      <c r="A66" s="177" t="s">
        <v>2949</v>
      </c>
      <c r="B66" s="202">
        <f t="shared" si="2"/>
        <v>1</v>
      </c>
      <c r="C66" s="250">
        <v>0</v>
      </c>
      <c r="D66" s="250">
        <v>0</v>
      </c>
      <c r="E66" s="250">
        <v>0</v>
      </c>
      <c r="F66" s="250">
        <v>0</v>
      </c>
      <c r="G66" s="250">
        <v>1</v>
      </c>
      <c r="H66" s="250">
        <v>0</v>
      </c>
      <c r="I66" s="195"/>
    </row>
    <row r="67" spans="1:9">
      <c r="A67" s="244" t="s">
        <v>2948</v>
      </c>
      <c r="B67" s="202">
        <f t="shared" si="2"/>
        <v>1</v>
      </c>
      <c r="C67" s="250">
        <v>0</v>
      </c>
      <c r="D67" s="250">
        <v>0</v>
      </c>
      <c r="E67" s="250">
        <v>0</v>
      </c>
      <c r="F67" s="250">
        <v>0</v>
      </c>
      <c r="G67" s="250">
        <v>1</v>
      </c>
      <c r="H67" s="250">
        <v>0</v>
      </c>
      <c r="I67" s="195"/>
    </row>
    <row r="68" spans="1:9">
      <c r="A68" s="177" t="s">
        <v>343</v>
      </c>
      <c r="B68" s="202">
        <f t="shared" si="2"/>
        <v>5</v>
      </c>
      <c r="C68" s="250">
        <v>0</v>
      </c>
      <c r="D68" s="250">
        <v>0</v>
      </c>
      <c r="E68" s="250">
        <v>0</v>
      </c>
      <c r="F68" s="250">
        <v>0</v>
      </c>
      <c r="G68" s="250">
        <v>5</v>
      </c>
      <c r="H68" s="250">
        <v>0</v>
      </c>
      <c r="I68" s="195"/>
    </row>
    <row r="69" spans="1:9" ht="12.75">
      <c r="A69" s="177" t="s">
        <v>3332</v>
      </c>
      <c r="B69" s="202">
        <f t="shared" si="2"/>
        <v>20</v>
      </c>
      <c r="C69" s="250">
        <v>2</v>
      </c>
      <c r="D69" s="250">
        <v>2</v>
      </c>
      <c r="E69" s="250">
        <v>1</v>
      </c>
      <c r="F69" s="250">
        <v>0</v>
      </c>
      <c r="G69" s="250">
        <v>14</v>
      </c>
      <c r="H69" s="250">
        <v>1</v>
      </c>
      <c r="I69" s="195"/>
    </row>
    <row r="70" spans="1:9">
      <c r="A70" s="2948" t="s">
        <v>14</v>
      </c>
      <c r="B70" s="202">
        <f t="shared" ref="B70:B101" si="3">SUM(C70:H70)</f>
        <v>4</v>
      </c>
      <c r="C70" s="202">
        <v>1</v>
      </c>
      <c r="D70" s="202">
        <v>0</v>
      </c>
      <c r="E70" s="202">
        <v>0</v>
      </c>
      <c r="F70" s="202">
        <v>0</v>
      </c>
      <c r="G70" s="202">
        <v>3</v>
      </c>
      <c r="H70" s="202">
        <v>0</v>
      </c>
      <c r="I70" s="195"/>
    </row>
    <row r="71" spans="1:9">
      <c r="A71" s="177" t="s">
        <v>177</v>
      </c>
      <c r="B71" s="202">
        <f t="shared" si="3"/>
        <v>3</v>
      </c>
      <c r="C71" s="250">
        <v>1</v>
      </c>
      <c r="D71" s="250">
        <v>0</v>
      </c>
      <c r="E71" s="250">
        <v>0</v>
      </c>
      <c r="F71" s="250">
        <v>0</v>
      </c>
      <c r="G71" s="250">
        <v>2</v>
      </c>
      <c r="H71" s="250">
        <v>0</v>
      </c>
      <c r="I71" s="195"/>
    </row>
    <row r="72" spans="1:9" ht="12.75">
      <c r="A72" s="177" t="s">
        <v>3332</v>
      </c>
      <c r="B72" s="202">
        <f t="shared" si="3"/>
        <v>1</v>
      </c>
      <c r="C72" s="250">
        <v>0</v>
      </c>
      <c r="D72" s="250">
        <v>0</v>
      </c>
      <c r="E72" s="250">
        <v>0</v>
      </c>
      <c r="F72" s="250">
        <v>0</v>
      </c>
      <c r="G72" s="250">
        <v>1</v>
      </c>
      <c r="H72" s="250">
        <v>0</v>
      </c>
      <c r="I72" s="195"/>
    </row>
    <row r="73" spans="1:9">
      <c r="A73" s="2948" t="s">
        <v>15</v>
      </c>
      <c r="B73" s="202">
        <f t="shared" si="3"/>
        <v>5</v>
      </c>
      <c r="C73" s="202">
        <v>2</v>
      </c>
      <c r="D73" s="202">
        <v>1</v>
      </c>
      <c r="E73" s="202">
        <v>0</v>
      </c>
      <c r="F73" s="202">
        <v>0</v>
      </c>
      <c r="G73" s="202">
        <v>1</v>
      </c>
      <c r="H73" s="202">
        <v>1</v>
      </c>
      <c r="I73" s="195"/>
    </row>
    <row r="74" spans="1:9">
      <c r="A74" s="177" t="s">
        <v>257</v>
      </c>
      <c r="B74" s="202">
        <f t="shared" si="3"/>
        <v>2</v>
      </c>
      <c r="C74" s="250">
        <v>1</v>
      </c>
      <c r="D74" s="250">
        <v>0</v>
      </c>
      <c r="E74" s="250">
        <v>0</v>
      </c>
      <c r="F74" s="250">
        <v>0</v>
      </c>
      <c r="G74" s="250">
        <v>1</v>
      </c>
      <c r="H74" s="250">
        <v>0</v>
      </c>
      <c r="I74" s="195"/>
    </row>
    <row r="75" spans="1:9">
      <c r="A75" s="177" t="s">
        <v>2947</v>
      </c>
      <c r="B75" s="202">
        <f t="shared" si="3"/>
        <v>1</v>
      </c>
      <c r="C75" s="250">
        <v>0</v>
      </c>
      <c r="D75" s="250">
        <v>1</v>
      </c>
      <c r="E75" s="250">
        <v>0</v>
      </c>
      <c r="F75" s="250">
        <v>0</v>
      </c>
      <c r="G75" s="250">
        <v>0</v>
      </c>
      <c r="H75" s="250">
        <v>0</v>
      </c>
      <c r="I75" s="195"/>
    </row>
    <row r="76" spans="1:9" ht="12.75">
      <c r="A76" s="177" t="s">
        <v>3332</v>
      </c>
      <c r="B76" s="202">
        <f t="shared" si="3"/>
        <v>2</v>
      </c>
      <c r="C76" s="250">
        <v>1</v>
      </c>
      <c r="D76" s="250">
        <v>0</v>
      </c>
      <c r="E76" s="250">
        <v>0</v>
      </c>
      <c r="F76" s="250">
        <v>0</v>
      </c>
      <c r="G76" s="250">
        <v>0</v>
      </c>
      <c r="H76" s="250">
        <v>1</v>
      </c>
      <c r="I76" s="195"/>
    </row>
    <row r="77" spans="1:9">
      <c r="A77" s="2948" t="s">
        <v>16</v>
      </c>
      <c r="B77" s="202">
        <f t="shared" si="3"/>
        <v>26</v>
      </c>
      <c r="C77" s="202">
        <v>1</v>
      </c>
      <c r="D77" s="202">
        <v>1</v>
      </c>
      <c r="E77" s="202">
        <v>0</v>
      </c>
      <c r="F77" s="202">
        <v>0</v>
      </c>
      <c r="G77" s="202">
        <v>21</v>
      </c>
      <c r="H77" s="202">
        <v>3</v>
      </c>
      <c r="I77" s="195"/>
    </row>
    <row r="78" spans="1:9">
      <c r="A78" s="177" t="s">
        <v>179</v>
      </c>
      <c r="B78" s="202">
        <f t="shared" si="3"/>
        <v>3</v>
      </c>
      <c r="C78" s="250">
        <v>0</v>
      </c>
      <c r="D78" s="250">
        <v>0</v>
      </c>
      <c r="E78" s="250">
        <v>0</v>
      </c>
      <c r="F78" s="250">
        <v>0</v>
      </c>
      <c r="G78" s="250">
        <v>3</v>
      </c>
      <c r="H78" s="250">
        <v>0</v>
      </c>
      <c r="I78" s="195"/>
    </row>
    <row r="79" spans="1:9">
      <c r="A79" s="177" t="s">
        <v>2946</v>
      </c>
      <c r="B79" s="202">
        <f t="shared" si="3"/>
        <v>1</v>
      </c>
      <c r="C79" s="250">
        <v>0</v>
      </c>
      <c r="D79" s="250">
        <v>0</v>
      </c>
      <c r="E79" s="250">
        <v>0</v>
      </c>
      <c r="F79" s="250">
        <v>0</v>
      </c>
      <c r="G79" s="250">
        <v>1</v>
      </c>
      <c r="H79" s="250">
        <v>0</v>
      </c>
      <c r="I79" s="195"/>
    </row>
    <row r="80" spans="1:9">
      <c r="A80" s="244" t="s">
        <v>2945</v>
      </c>
      <c r="B80" s="202">
        <f t="shared" si="3"/>
        <v>2</v>
      </c>
      <c r="C80" s="250">
        <v>0</v>
      </c>
      <c r="D80" s="250">
        <v>0</v>
      </c>
      <c r="E80" s="250">
        <v>0</v>
      </c>
      <c r="F80" s="250">
        <v>0</v>
      </c>
      <c r="G80" s="250">
        <v>0</v>
      </c>
      <c r="H80" s="250">
        <v>2</v>
      </c>
      <c r="I80" s="195"/>
    </row>
    <row r="81" spans="1:9">
      <c r="A81" s="177" t="s">
        <v>2944</v>
      </c>
      <c r="B81" s="202">
        <f t="shared" si="3"/>
        <v>1</v>
      </c>
      <c r="C81" s="250">
        <v>0</v>
      </c>
      <c r="D81" s="250">
        <v>0</v>
      </c>
      <c r="E81" s="250">
        <v>0</v>
      </c>
      <c r="F81" s="250">
        <v>0</v>
      </c>
      <c r="G81" s="250">
        <v>1</v>
      </c>
      <c r="H81" s="250">
        <v>0</v>
      </c>
      <c r="I81" s="195"/>
    </row>
    <row r="82" spans="1:9">
      <c r="A82" s="177" t="s">
        <v>2943</v>
      </c>
      <c r="B82" s="202">
        <f t="shared" si="3"/>
        <v>1</v>
      </c>
      <c r="C82" s="250">
        <v>0</v>
      </c>
      <c r="D82" s="250">
        <v>0</v>
      </c>
      <c r="E82" s="250">
        <v>0</v>
      </c>
      <c r="F82" s="250">
        <v>0</v>
      </c>
      <c r="G82" s="250">
        <v>1</v>
      </c>
      <c r="H82" s="250">
        <v>0</v>
      </c>
      <c r="I82" s="195"/>
    </row>
    <row r="83" spans="1:9">
      <c r="A83" s="177" t="s">
        <v>180</v>
      </c>
      <c r="B83" s="202">
        <f t="shared" si="3"/>
        <v>6</v>
      </c>
      <c r="C83" s="250">
        <v>0</v>
      </c>
      <c r="D83" s="250">
        <v>0</v>
      </c>
      <c r="E83" s="250">
        <v>0</v>
      </c>
      <c r="F83" s="250">
        <v>0</v>
      </c>
      <c r="G83" s="250">
        <v>6</v>
      </c>
      <c r="H83" s="250">
        <v>0</v>
      </c>
      <c r="I83" s="195"/>
    </row>
    <row r="84" spans="1:9">
      <c r="A84" s="177" t="s">
        <v>2934</v>
      </c>
      <c r="B84" s="202">
        <f t="shared" si="3"/>
        <v>1</v>
      </c>
      <c r="C84" s="250">
        <v>1</v>
      </c>
      <c r="D84" s="250">
        <v>0</v>
      </c>
      <c r="E84" s="250">
        <v>0</v>
      </c>
      <c r="F84" s="250">
        <v>0</v>
      </c>
      <c r="G84" s="250">
        <v>0</v>
      </c>
      <c r="H84" s="250">
        <v>0</v>
      </c>
      <c r="I84" s="195"/>
    </row>
    <row r="85" spans="1:9">
      <c r="A85" s="177" t="s">
        <v>2933</v>
      </c>
      <c r="B85" s="202">
        <f t="shared" si="3"/>
        <v>1</v>
      </c>
      <c r="C85" s="250">
        <v>0</v>
      </c>
      <c r="D85" s="250">
        <v>0</v>
      </c>
      <c r="E85" s="250">
        <v>0</v>
      </c>
      <c r="F85" s="250">
        <v>0</v>
      </c>
      <c r="G85" s="250">
        <v>1</v>
      </c>
      <c r="H85" s="250">
        <v>0</v>
      </c>
      <c r="I85" s="195"/>
    </row>
    <row r="86" spans="1:9">
      <c r="A86" s="244" t="s">
        <v>2942</v>
      </c>
      <c r="B86" s="202">
        <f t="shared" si="3"/>
        <v>1</v>
      </c>
      <c r="C86" s="250">
        <v>0</v>
      </c>
      <c r="D86" s="250">
        <v>0</v>
      </c>
      <c r="E86" s="250">
        <v>0</v>
      </c>
      <c r="F86" s="250">
        <v>0</v>
      </c>
      <c r="G86" s="250">
        <v>1</v>
      </c>
      <c r="H86" s="250">
        <v>0</v>
      </c>
      <c r="I86" s="195"/>
    </row>
    <row r="87" spans="1:9">
      <c r="A87" s="177" t="s">
        <v>2941</v>
      </c>
      <c r="B87" s="202">
        <f t="shared" si="3"/>
        <v>2</v>
      </c>
      <c r="C87" s="250">
        <v>0</v>
      </c>
      <c r="D87" s="250">
        <v>1</v>
      </c>
      <c r="E87" s="250">
        <v>0</v>
      </c>
      <c r="F87" s="250">
        <v>0</v>
      </c>
      <c r="G87" s="250">
        <v>1</v>
      </c>
      <c r="H87" s="250">
        <v>0</v>
      </c>
      <c r="I87" s="195"/>
    </row>
    <row r="88" spans="1:9">
      <c r="A88" s="177" t="s">
        <v>2940</v>
      </c>
      <c r="B88" s="202">
        <f t="shared" si="3"/>
        <v>2</v>
      </c>
      <c r="C88" s="250">
        <v>0</v>
      </c>
      <c r="D88" s="250">
        <v>0</v>
      </c>
      <c r="E88" s="250">
        <v>0</v>
      </c>
      <c r="F88" s="250">
        <v>0</v>
      </c>
      <c r="G88" s="250">
        <v>2</v>
      </c>
      <c r="H88" s="250">
        <v>0</v>
      </c>
      <c r="I88" s="195"/>
    </row>
    <row r="89" spans="1:9">
      <c r="A89" s="177" t="s">
        <v>2939</v>
      </c>
      <c r="B89" s="202">
        <f t="shared" si="3"/>
        <v>1</v>
      </c>
      <c r="C89" s="250">
        <v>0</v>
      </c>
      <c r="D89" s="250">
        <v>0</v>
      </c>
      <c r="E89" s="250">
        <v>0</v>
      </c>
      <c r="F89" s="250">
        <v>0</v>
      </c>
      <c r="G89" s="250">
        <v>0</v>
      </c>
      <c r="H89" s="250">
        <v>1</v>
      </c>
      <c r="I89" s="195"/>
    </row>
    <row r="90" spans="1:9">
      <c r="A90" s="177" t="s">
        <v>186</v>
      </c>
      <c r="B90" s="202">
        <f t="shared" si="3"/>
        <v>1</v>
      </c>
      <c r="C90" s="250">
        <v>0</v>
      </c>
      <c r="D90" s="250">
        <v>0</v>
      </c>
      <c r="E90" s="250">
        <v>0</v>
      </c>
      <c r="F90" s="250">
        <v>0</v>
      </c>
      <c r="G90" s="250">
        <v>1</v>
      </c>
      <c r="H90" s="250">
        <v>0</v>
      </c>
      <c r="I90" s="195"/>
    </row>
    <row r="91" spans="1:9">
      <c r="A91" s="177" t="s">
        <v>2938</v>
      </c>
      <c r="B91" s="202">
        <f t="shared" si="3"/>
        <v>1</v>
      </c>
      <c r="C91" s="250">
        <v>0</v>
      </c>
      <c r="D91" s="250">
        <v>0</v>
      </c>
      <c r="E91" s="250">
        <v>0</v>
      </c>
      <c r="F91" s="250">
        <v>0</v>
      </c>
      <c r="G91" s="250">
        <v>1</v>
      </c>
      <c r="H91" s="250">
        <v>0</v>
      </c>
      <c r="I91" s="195"/>
    </row>
    <row r="92" spans="1:9" ht="12.75">
      <c r="A92" s="177" t="s">
        <v>3332</v>
      </c>
      <c r="B92" s="202">
        <f t="shared" si="3"/>
        <v>2</v>
      </c>
      <c r="C92" s="250">
        <v>0</v>
      </c>
      <c r="D92" s="250">
        <v>0</v>
      </c>
      <c r="E92" s="250">
        <v>0</v>
      </c>
      <c r="F92" s="250">
        <v>0</v>
      </c>
      <c r="G92" s="250">
        <v>2</v>
      </c>
      <c r="H92" s="250">
        <v>0</v>
      </c>
      <c r="I92" s="195"/>
    </row>
    <row r="93" spans="1:9">
      <c r="A93" s="2948" t="s">
        <v>17</v>
      </c>
      <c r="B93" s="202">
        <f t="shared" si="3"/>
        <v>7</v>
      </c>
      <c r="C93" s="202">
        <v>0</v>
      </c>
      <c r="D93" s="202">
        <v>0</v>
      </c>
      <c r="E93" s="202">
        <v>0</v>
      </c>
      <c r="F93" s="202">
        <v>0</v>
      </c>
      <c r="G93" s="202">
        <v>6</v>
      </c>
      <c r="H93" s="202">
        <v>1</v>
      </c>
      <c r="I93" s="195"/>
    </row>
    <row r="94" spans="1:9">
      <c r="A94" s="196" t="s">
        <v>381</v>
      </c>
      <c r="B94" s="202">
        <f t="shared" si="3"/>
        <v>1</v>
      </c>
      <c r="C94" s="250">
        <v>0</v>
      </c>
      <c r="D94" s="250">
        <v>0</v>
      </c>
      <c r="E94" s="250">
        <v>0</v>
      </c>
      <c r="F94" s="250">
        <v>0</v>
      </c>
      <c r="G94" s="250">
        <v>0</v>
      </c>
      <c r="H94" s="250">
        <v>1</v>
      </c>
      <c r="I94" s="195"/>
    </row>
    <row r="95" spans="1:9">
      <c r="A95" s="177" t="s">
        <v>2937</v>
      </c>
      <c r="B95" s="202">
        <f t="shared" si="3"/>
        <v>1</v>
      </c>
      <c r="C95" s="250">
        <v>0</v>
      </c>
      <c r="D95" s="250">
        <v>0</v>
      </c>
      <c r="E95" s="250">
        <v>0</v>
      </c>
      <c r="F95" s="250">
        <v>0</v>
      </c>
      <c r="G95" s="250">
        <v>1</v>
      </c>
      <c r="H95" s="250">
        <v>0</v>
      </c>
      <c r="I95" s="195"/>
    </row>
    <row r="96" spans="1:9">
      <c r="A96" s="177" t="s">
        <v>2936</v>
      </c>
      <c r="B96" s="202">
        <f t="shared" si="3"/>
        <v>1</v>
      </c>
      <c r="C96" s="250">
        <v>0</v>
      </c>
      <c r="D96" s="250">
        <v>0</v>
      </c>
      <c r="E96" s="250">
        <v>0</v>
      </c>
      <c r="F96" s="250">
        <v>0</v>
      </c>
      <c r="G96" s="250">
        <v>1</v>
      </c>
      <c r="H96" s="250">
        <v>0</v>
      </c>
      <c r="I96" s="195"/>
    </row>
    <row r="97" spans="1:9">
      <c r="A97" s="177" t="s">
        <v>2935</v>
      </c>
      <c r="B97" s="202">
        <f t="shared" si="3"/>
        <v>1</v>
      </c>
      <c r="C97" s="250">
        <v>0</v>
      </c>
      <c r="D97" s="250">
        <v>0</v>
      </c>
      <c r="E97" s="250">
        <v>0</v>
      </c>
      <c r="F97" s="250">
        <v>0</v>
      </c>
      <c r="G97" s="250">
        <v>1</v>
      </c>
      <c r="H97" s="250">
        <v>0</v>
      </c>
      <c r="I97" s="195"/>
    </row>
    <row r="98" spans="1:9" ht="12.75">
      <c r="A98" s="177" t="s">
        <v>3332</v>
      </c>
      <c r="B98" s="202">
        <f t="shared" si="3"/>
        <v>3</v>
      </c>
      <c r="C98" s="250">
        <v>0</v>
      </c>
      <c r="D98" s="250">
        <v>0</v>
      </c>
      <c r="E98" s="250">
        <v>0</v>
      </c>
      <c r="F98" s="250">
        <v>0</v>
      </c>
      <c r="G98" s="250">
        <v>3</v>
      </c>
      <c r="H98" s="250">
        <v>0</v>
      </c>
      <c r="I98" s="195"/>
    </row>
    <row r="99" spans="1:9">
      <c r="A99" s="2948" t="s">
        <v>18</v>
      </c>
      <c r="B99" s="202">
        <f t="shared" si="3"/>
        <v>14</v>
      </c>
      <c r="C99" s="202">
        <v>1</v>
      </c>
      <c r="D99" s="202">
        <v>2</v>
      </c>
      <c r="E99" s="202">
        <v>0</v>
      </c>
      <c r="F99" s="202">
        <v>0</v>
      </c>
      <c r="G99" s="202">
        <v>3</v>
      </c>
      <c r="H99" s="202">
        <v>8</v>
      </c>
      <c r="I99" s="195"/>
    </row>
    <row r="100" spans="1:9">
      <c r="A100" s="196" t="s">
        <v>180</v>
      </c>
      <c r="B100" s="202">
        <f t="shared" si="3"/>
        <v>1</v>
      </c>
      <c r="C100" s="250">
        <v>0</v>
      </c>
      <c r="D100" s="250">
        <v>0</v>
      </c>
      <c r="E100" s="250">
        <v>0</v>
      </c>
      <c r="F100" s="250">
        <v>0</v>
      </c>
      <c r="G100" s="250">
        <v>0</v>
      </c>
      <c r="H100" s="250">
        <v>1</v>
      </c>
    </row>
    <row r="101" spans="1:9">
      <c r="A101" s="196" t="s">
        <v>2934</v>
      </c>
      <c r="B101" s="202">
        <f t="shared" si="3"/>
        <v>1</v>
      </c>
      <c r="C101" s="250">
        <v>0</v>
      </c>
      <c r="D101" s="250">
        <v>0</v>
      </c>
      <c r="E101" s="250">
        <v>0</v>
      </c>
      <c r="F101" s="250">
        <v>0</v>
      </c>
      <c r="G101" s="250">
        <v>0</v>
      </c>
      <c r="H101" s="250">
        <v>1</v>
      </c>
    </row>
    <row r="102" spans="1:9">
      <c r="A102" s="177" t="s">
        <v>2933</v>
      </c>
      <c r="B102" s="202">
        <f t="shared" ref="B102:B116" si="4">SUM(C102:H102)</f>
        <v>1</v>
      </c>
      <c r="C102" s="250">
        <v>0</v>
      </c>
      <c r="D102" s="250">
        <v>0</v>
      </c>
      <c r="E102" s="250">
        <v>0</v>
      </c>
      <c r="F102" s="250">
        <v>0</v>
      </c>
      <c r="G102" s="250">
        <v>0</v>
      </c>
      <c r="H102" s="250">
        <v>1</v>
      </c>
    </row>
    <row r="103" spans="1:9">
      <c r="A103" s="177" t="s">
        <v>183</v>
      </c>
      <c r="B103" s="202">
        <f t="shared" si="4"/>
        <v>1</v>
      </c>
      <c r="C103" s="250">
        <v>0</v>
      </c>
      <c r="D103" s="250">
        <v>0</v>
      </c>
      <c r="E103" s="250">
        <v>0</v>
      </c>
      <c r="F103" s="250">
        <v>0</v>
      </c>
      <c r="G103" s="250">
        <v>0</v>
      </c>
      <c r="H103" s="250">
        <v>1</v>
      </c>
    </row>
    <row r="104" spans="1:9">
      <c r="A104" s="177" t="s">
        <v>2932</v>
      </c>
      <c r="B104" s="202">
        <f t="shared" si="4"/>
        <v>1</v>
      </c>
      <c r="C104" s="250">
        <v>0</v>
      </c>
      <c r="D104" s="250">
        <v>0</v>
      </c>
      <c r="E104" s="250">
        <v>0</v>
      </c>
      <c r="F104" s="250">
        <v>0</v>
      </c>
      <c r="G104" s="250">
        <v>0</v>
      </c>
      <c r="H104" s="250">
        <v>1</v>
      </c>
    </row>
    <row r="105" spans="1:9">
      <c r="A105" s="177" t="s">
        <v>182</v>
      </c>
      <c r="B105" s="202">
        <f t="shared" si="4"/>
        <v>1</v>
      </c>
      <c r="C105" s="250">
        <v>1</v>
      </c>
      <c r="D105" s="250">
        <v>0</v>
      </c>
      <c r="E105" s="250">
        <v>0</v>
      </c>
      <c r="F105" s="250">
        <v>0</v>
      </c>
      <c r="G105" s="250">
        <v>0</v>
      </c>
      <c r="H105" s="250">
        <v>0</v>
      </c>
    </row>
    <row r="106" spans="1:9">
      <c r="A106" s="177" t="s">
        <v>2931</v>
      </c>
      <c r="B106" s="202">
        <f t="shared" si="4"/>
        <v>3</v>
      </c>
      <c r="C106" s="250">
        <v>0</v>
      </c>
      <c r="D106" s="250">
        <v>0</v>
      </c>
      <c r="E106" s="250">
        <v>0</v>
      </c>
      <c r="F106" s="250">
        <v>0</v>
      </c>
      <c r="G106" s="250">
        <v>0</v>
      </c>
      <c r="H106" s="250">
        <v>3</v>
      </c>
    </row>
    <row r="107" spans="1:9">
      <c r="A107" s="177" t="s">
        <v>2930</v>
      </c>
      <c r="B107" s="202">
        <f t="shared" si="4"/>
        <v>3</v>
      </c>
      <c r="C107" s="250">
        <v>0</v>
      </c>
      <c r="D107" s="250">
        <v>1</v>
      </c>
      <c r="E107" s="250">
        <v>0</v>
      </c>
      <c r="F107" s="250">
        <v>0</v>
      </c>
      <c r="G107" s="250">
        <v>2</v>
      </c>
      <c r="H107" s="250">
        <v>0</v>
      </c>
    </row>
    <row r="108" spans="1:9" ht="12.75">
      <c r="A108" s="177" t="s">
        <v>3332</v>
      </c>
      <c r="B108" s="202">
        <f t="shared" si="4"/>
        <v>2</v>
      </c>
      <c r="C108" s="250">
        <v>0</v>
      </c>
      <c r="D108" s="250">
        <v>1</v>
      </c>
      <c r="E108" s="250">
        <v>0</v>
      </c>
      <c r="F108" s="250">
        <v>0</v>
      </c>
      <c r="G108" s="250">
        <v>1</v>
      </c>
      <c r="H108" s="250">
        <v>0</v>
      </c>
    </row>
    <row r="109" spans="1:9">
      <c r="A109" s="2948" t="s">
        <v>19</v>
      </c>
      <c r="B109" s="202">
        <f t="shared" si="4"/>
        <v>1</v>
      </c>
      <c r="C109" s="202">
        <v>0</v>
      </c>
      <c r="D109" s="202">
        <v>0</v>
      </c>
      <c r="E109" s="202">
        <v>0</v>
      </c>
      <c r="F109" s="202">
        <v>0</v>
      </c>
      <c r="G109" s="202">
        <v>1</v>
      </c>
      <c r="H109" s="202">
        <v>0</v>
      </c>
      <c r="I109" s="195"/>
    </row>
    <row r="110" spans="1:9">
      <c r="A110" s="177" t="s">
        <v>183</v>
      </c>
      <c r="B110" s="202">
        <f t="shared" si="4"/>
        <v>1</v>
      </c>
      <c r="C110" s="250">
        <v>0</v>
      </c>
      <c r="D110" s="250">
        <v>0</v>
      </c>
      <c r="E110" s="250">
        <v>0</v>
      </c>
      <c r="F110" s="250">
        <v>0</v>
      </c>
      <c r="G110" s="250">
        <v>1</v>
      </c>
      <c r="H110" s="250">
        <v>0</v>
      </c>
      <c r="I110" s="195"/>
    </row>
    <row r="111" spans="1:9">
      <c r="A111" s="2948" t="s">
        <v>20</v>
      </c>
      <c r="B111" s="202">
        <f t="shared" si="4"/>
        <v>3</v>
      </c>
      <c r="C111" s="202">
        <v>1</v>
      </c>
      <c r="D111" s="202">
        <v>0</v>
      </c>
      <c r="E111" s="202">
        <v>0</v>
      </c>
      <c r="F111" s="202">
        <v>0</v>
      </c>
      <c r="G111" s="202">
        <v>1</v>
      </c>
      <c r="H111" s="202">
        <v>1</v>
      </c>
      <c r="I111" s="195"/>
    </row>
    <row r="112" spans="1:9">
      <c r="A112" s="177" t="s">
        <v>2929</v>
      </c>
      <c r="B112" s="202">
        <f t="shared" si="4"/>
        <v>2</v>
      </c>
      <c r="C112" s="250">
        <v>0</v>
      </c>
      <c r="D112" s="250">
        <v>0</v>
      </c>
      <c r="E112" s="250">
        <v>0</v>
      </c>
      <c r="F112" s="250">
        <v>0</v>
      </c>
      <c r="G112" s="250">
        <v>1</v>
      </c>
      <c r="H112" s="250">
        <v>1</v>
      </c>
      <c r="I112" s="195"/>
    </row>
    <row r="113" spans="1:9">
      <c r="A113" s="177" t="s">
        <v>2928</v>
      </c>
      <c r="B113" s="202">
        <f t="shared" si="4"/>
        <v>1</v>
      </c>
      <c r="C113" s="250">
        <v>1</v>
      </c>
      <c r="D113" s="250">
        <v>0</v>
      </c>
      <c r="E113" s="250">
        <v>0</v>
      </c>
      <c r="F113" s="250">
        <v>0</v>
      </c>
      <c r="G113" s="250">
        <v>0</v>
      </c>
      <c r="H113" s="250">
        <v>0</v>
      </c>
      <c r="I113" s="195"/>
    </row>
    <row r="114" spans="1:9">
      <c r="A114" s="2948" t="s">
        <v>21</v>
      </c>
      <c r="B114" s="202">
        <f t="shared" si="4"/>
        <v>5</v>
      </c>
      <c r="C114" s="202">
        <v>0</v>
      </c>
      <c r="D114" s="202">
        <v>1</v>
      </c>
      <c r="E114" s="202">
        <v>0</v>
      </c>
      <c r="F114" s="202">
        <v>0</v>
      </c>
      <c r="G114" s="202">
        <v>4</v>
      </c>
      <c r="H114" s="202">
        <v>0</v>
      </c>
      <c r="I114" s="195"/>
    </row>
    <row r="115" spans="1:9">
      <c r="A115" s="177" t="s">
        <v>2927</v>
      </c>
      <c r="B115" s="202">
        <f t="shared" si="4"/>
        <v>1</v>
      </c>
      <c r="C115" s="250">
        <v>0</v>
      </c>
      <c r="D115" s="250">
        <v>0</v>
      </c>
      <c r="E115" s="250">
        <v>0</v>
      </c>
      <c r="F115" s="250">
        <v>0</v>
      </c>
      <c r="G115" s="250">
        <v>1</v>
      </c>
      <c r="H115" s="250">
        <v>0</v>
      </c>
      <c r="I115" s="195"/>
    </row>
    <row r="116" spans="1:9">
      <c r="A116" s="177" t="s">
        <v>185</v>
      </c>
      <c r="B116" s="202">
        <f t="shared" si="4"/>
        <v>4</v>
      </c>
      <c r="C116" s="250">
        <v>0</v>
      </c>
      <c r="D116" s="250">
        <v>1</v>
      </c>
      <c r="E116" s="250">
        <v>0</v>
      </c>
      <c r="F116" s="250">
        <v>0</v>
      </c>
      <c r="G116" s="250">
        <v>3</v>
      </c>
      <c r="H116" s="250">
        <v>0</v>
      </c>
      <c r="I116" s="195"/>
    </row>
    <row r="117" spans="1:9">
      <c r="A117" s="177"/>
      <c r="B117" s="202"/>
      <c r="C117" s="250"/>
      <c r="D117" s="250"/>
      <c r="E117" s="250"/>
      <c r="F117" s="250"/>
      <c r="G117" s="250"/>
      <c r="H117" s="250"/>
      <c r="I117" s="195"/>
    </row>
    <row r="118" spans="1:9" ht="33" customHeight="1">
      <c r="A118" s="2632" t="s">
        <v>3333</v>
      </c>
      <c r="B118" s="2633"/>
      <c r="C118" s="2633"/>
      <c r="D118" s="2633"/>
      <c r="E118" s="2633"/>
      <c r="F118" s="2633"/>
      <c r="G118" s="2633"/>
      <c r="H118" s="2633"/>
      <c r="I118" s="2630"/>
    </row>
    <row r="119" spans="1:9" ht="15.75" customHeight="1">
      <c r="A119" s="2628" t="s">
        <v>3334</v>
      </c>
      <c r="B119" s="2628"/>
      <c r="C119" s="2628"/>
      <c r="D119" s="2628"/>
      <c r="E119" s="2628"/>
      <c r="F119" s="2628"/>
      <c r="G119" s="193"/>
      <c r="H119" s="193"/>
      <c r="I119" s="2630"/>
    </row>
    <row r="120" spans="1:9">
      <c r="A120" s="189" t="s">
        <v>22</v>
      </c>
      <c r="B120" s="251"/>
      <c r="C120" s="251"/>
      <c r="D120" s="251"/>
      <c r="E120" s="252"/>
      <c r="F120" s="252"/>
      <c r="G120" s="251"/>
      <c r="H120" s="253"/>
      <c r="I120" s="2630"/>
    </row>
    <row r="121" spans="1:9">
      <c r="A121" s="196" t="s">
        <v>2926</v>
      </c>
      <c r="B121" s="251"/>
      <c r="C121" s="251"/>
      <c r="D121" s="251"/>
      <c r="E121" s="252"/>
      <c r="F121" s="252"/>
      <c r="G121" s="251"/>
      <c r="H121" s="253"/>
      <c r="I121" s="204"/>
    </row>
    <row r="122" spans="1:9">
      <c r="A122" s="196"/>
      <c r="B122" s="251"/>
      <c r="C122" s="251"/>
      <c r="D122" s="251"/>
      <c r="E122" s="252"/>
      <c r="F122" s="252"/>
      <c r="G122" s="251"/>
      <c r="H122" s="253"/>
      <c r="I122" s="192"/>
    </row>
    <row r="123" spans="1:9">
      <c r="A123" s="196"/>
      <c r="B123" s="251"/>
      <c r="C123" s="251"/>
      <c r="D123" s="251"/>
      <c r="E123" s="252"/>
      <c r="F123" s="252"/>
      <c r="G123" s="251"/>
      <c r="H123" s="253"/>
      <c r="I123" s="192"/>
    </row>
    <row r="124" spans="1:9">
      <c r="A124" s="196"/>
      <c r="B124" s="251"/>
      <c r="C124" s="251"/>
      <c r="D124" s="251"/>
      <c r="E124" s="252"/>
      <c r="F124" s="252"/>
      <c r="G124" s="251"/>
      <c r="H124" s="253"/>
      <c r="I124" s="192"/>
    </row>
    <row r="125" spans="1:9">
      <c r="A125" s="196"/>
      <c r="B125" s="251"/>
      <c r="C125" s="251"/>
      <c r="D125" s="251"/>
      <c r="E125" s="252"/>
      <c r="F125" s="252"/>
      <c r="G125" s="251"/>
      <c r="H125" s="253"/>
      <c r="I125" s="192"/>
    </row>
    <row r="126" spans="1:9">
      <c r="A126" s="196"/>
      <c r="B126" s="251"/>
      <c r="C126" s="251"/>
      <c r="D126" s="251"/>
      <c r="E126" s="252"/>
      <c r="F126" s="252"/>
      <c r="G126" s="251"/>
      <c r="H126" s="253"/>
      <c r="I126" s="192"/>
    </row>
    <row r="127" spans="1:9">
      <c r="A127" s="196"/>
      <c r="B127" s="251"/>
      <c r="C127" s="251"/>
      <c r="D127" s="251"/>
      <c r="E127" s="252"/>
      <c r="F127" s="252"/>
      <c r="G127" s="251"/>
      <c r="H127" s="253"/>
      <c r="I127" s="192"/>
    </row>
    <row r="128" spans="1:9" ht="11.25" customHeight="1">
      <c r="A128" s="196"/>
      <c r="B128" s="251"/>
      <c r="C128" s="251"/>
      <c r="D128" s="251"/>
      <c r="E128" s="252"/>
      <c r="F128" s="252"/>
      <c r="G128" s="251"/>
      <c r="H128" s="253"/>
      <c r="I128" s="192"/>
    </row>
  </sheetData>
  <mergeCells count="7">
    <mergeCell ref="I118:I120"/>
    <mergeCell ref="A2:H2"/>
    <mergeCell ref="A4:A5"/>
    <mergeCell ref="B4:B5"/>
    <mergeCell ref="C4:H4"/>
    <mergeCell ref="A118:H118"/>
    <mergeCell ref="A119:F119"/>
  </mergeCells>
  <pageMargins left="0.39370078740157483" right="0.47244094488188981" top="0.38" bottom="0.39370078740157483" header="0.31496062992125984" footer="0.31496062992125984"/>
  <pageSetup paperSize="14" scale="67" orientation="portrait" r:id="rId1"/>
</worksheet>
</file>

<file path=xl/worksheets/sheet316.xml><?xml version="1.0" encoding="utf-8"?>
<worksheet xmlns="http://schemas.openxmlformats.org/spreadsheetml/2006/main" xmlns:r="http://schemas.openxmlformats.org/officeDocument/2006/relationships">
  <dimension ref="A2:J112"/>
  <sheetViews>
    <sheetView showGridLines="0" zoomScaleNormal="100" workbookViewId="0">
      <selection activeCell="I12" sqref="I12"/>
    </sheetView>
  </sheetViews>
  <sheetFormatPr baseColWidth="10" defaultRowHeight="11.25"/>
  <cols>
    <col min="1" max="1" width="26.85546875" style="195" customWidth="1"/>
    <col min="2" max="2" width="9.42578125" style="195" customWidth="1"/>
    <col min="3" max="3" width="14.85546875" style="243" customWidth="1"/>
    <col min="4" max="4" width="16.42578125" style="243" customWidth="1"/>
    <col min="5" max="5" width="18" style="243" customWidth="1"/>
    <col min="6" max="6" width="18.140625" style="243" customWidth="1"/>
    <col min="7" max="7" width="15" style="243" customWidth="1"/>
    <col min="8" max="8" width="16.140625" style="243" customWidth="1"/>
    <col min="9" max="9" width="11.42578125" style="194"/>
    <col min="10" max="16384" width="11.42578125" style="195"/>
  </cols>
  <sheetData>
    <row r="2" spans="1:10" ht="39.75" customHeight="1">
      <c r="A2" s="2631" t="s">
        <v>3009</v>
      </c>
      <c r="B2" s="2631"/>
      <c r="C2" s="2631"/>
      <c r="D2" s="2631"/>
      <c r="E2" s="2631"/>
      <c r="F2" s="2631"/>
      <c r="G2" s="2631"/>
      <c r="H2" s="2631"/>
    </row>
    <row r="4" spans="1:10">
      <c r="A4" s="2946" t="s">
        <v>3008</v>
      </c>
      <c r="B4" s="2946" t="s">
        <v>26</v>
      </c>
      <c r="C4" s="2946" t="s">
        <v>2923</v>
      </c>
      <c r="D4" s="2946"/>
      <c r="E4" s="2946"/>
      <c r="F4" s="2946"/>
      <c r="G4" s="2946"/>
      <c r="H4" s="2946"/>
      <c r="I4" s="195"/>
      <c r="J4" s="244"/>
    </row>
    <row r="5" spans="1:10" ht="101.25">
      <c r="A5" s="2946"/>
      <c r="B5" s="2946"/>
      <c r="C5" s="2947" t="s">
        <v>3007</v>
      </c>
      <c r="D5" s="2947" t="s">
        <v>3006</v>
      </c>
      <c r="E5" s="2947" t="s">
        <v>3005</v>
      </c>
      <c r="F5" s="2947" t="s">
        <v>2977</v>
      </c>
      <c r="G5" s="2947" t="s">
        <v>2976</v>
      </c>
      <c r="H5" s="2947" t="s">
        <v>3004</v>
      </c>
      <c r="I5" s="195"/>
    </row>
    <row r="6" spans="1:10">
      <c r="A6" s="2950" t="s">
        <v>6</v>
      </c>
      <c r="B6" s="2951">
        <f t="shared" ref="B6:H6" si="0">+B7+B13+B24+B34+B36+B40+B48+B70+B75+B78+B89+B94+B98+B100+B104</f>
        <v>271</v>
      </c>
      <c r="C6" s="2951">
        <f t="shared" si="0"/>
        <v>13</v>
      </c>
      <c r="D6" s="2951">
        <f t="shared" si="0"/>
        <v>16</v>
      </c>
      <c r="E6" s="2951">
        <f t="shared" si="0"/>
        <v>9</v>
      </c>
      <c r="F6" s="2951">
        <f t="shared" si="0"/>
        <v>1</v>
      </c>
      <c r="G6" s="2951">
        <f t="shared" si="0"/>
        <v>180</v>
      </c>
      <c r="H6" s="2951">
        <f t="shared" si="0"/>
        <v>52</v>
      </c>
      <c r="I6" s="195"/>
    </row>
    <row r="7" spans="1:10" ht="11.25" customHeight="1">
      <c r="A7" s="2948" t="s">
        <v>7</v>
      </c>
      <c r="B7" s="246">
        <f t="shared" ref="B7:B38" si="1">SUM(C7:H7)</f>
        <v>10</v>
      </c>
      <c r="C7" s="2952">
        <f t="shared" ref="C7:H7" si="2">SUM(C8:C12)</f>
        <v>1</v>
      </c>
      <c r="D7" s="2952">
        <f t="shared" si="2"/>
        <v>1</v>
      </c>
      <c r="E7" s="2952">
        <f t="shared" si="2"/>
        <v>0</v>
      </c>
      <c r="F7" s="2952">
        <f t="shared" si="2"/>
        <v>0</v>
      </c>
      <c r="G7" s="2952">
        <f t="shared" si="2"/>
        <v>3</v>
      </c>
      <c r="H7" s="2952">
        <f t="shared" si="2"/>
        <v>5</v>
      </c>
      <c r="I7" s="195"/>
    </row>
    <row r="8" spans="1:10">
      <c r="A8" s="177" t="s">
        <v>3000</v>
      </c>
      <c r="B8" s="246">
        <f t="shared" si="1"/>
        <v>3</v>
      </c>
      <c r="C8" s="250">
        <v>0</v>
      </c>
      <c r="D8" s="250">
        <v>0</v>
      </c>
      <c r="E8" s="250">
        <v>0</v>
      </c>
      <c r="F8" s="250">
        <v>0</v>
      </c>
      <c r="G8" s="250">
        <v>0</v>
      </c>
      <c r="H8" s="250">
        <v>3</v>
      </c>
      <c r="I8" s="195"/>
    </row>
    <row r="9" spans="1:10">
      <c r="A9" s="177" t="s">
        <v>2999</v>
      </c>
      <c r="B9" s="246">
        <f t="shared" si="1"/>
        <v>2</v>
      </c>
      <c r="C9" s="250">
        <v>0</v>
      </c>
      <c r="D9" s="250">
        <v>1</v>
      </c>
      <c r="E9" s="250">
        <v>0</v>
      </c>
      <c r="F9" s="250">
        <v>0</v>
      </c>
      <c r="G9" s="250">
        <v>1</v>
      </c>
      <c r="H9" s="250">
        <v>0</v>
      </c>
      <c r="I9" s="195"/>
    </row>
    <row r="10" spans="1:10">
      <c r="A10" s="177" t="s">
        <v>2996</v>
      </c>
      <c r="B10" s="246">
        <f t="shared" si="1"/>
        <v>1</v>
      </c>
      <c r="C10" s="250">
        <v>0</v>
      </c>
      <c r="D10" s="250">
        <v>0</v>
      </c>
      <c r="E10" s="250">
        <v>0</v>
      </c>
      <c r="F10" s="250">
        <v>0</v>
      </c>
      <c r="G10" s="250">
        <v>1</v>
      </c>
      <c r="H10" s="250">
        <v>0</v>
      </c>
      <c r="I10" s="195"/>
    </row>
    <row r="11" spans="1:10">
      <c r="A11" s="177" t="s">
        <v>2980</v>
      </c>
      <c r="B11" s="246">
        <f t="shared" si="1"/>
        <v>3</v>
      </c>
      <c r="C11" s="250">
        <v>0</v>
      </c>
      <c r="D11" s="250">
        <v>0</v>
      </c>
      <c r="E11" s="250">
        <v>0</v>
      </c>
      <c r="F11" s="250">
        <v>0</v>
      </c>
      <c r="G11" s="250">
        <v>1</v>
      </c>
      <c r="H11" s="250">
        <v>2</v>
      </c>
      <c r="I11" s="195"/>
    </row>
    <row r="12" spans="1:10" ht="12.75">
      <c r="A12" s="177" t="s">
        <v>3324</v>
      </c>
      <c r="B12" s="246">
        <f t="shared" si="1"/>
        <v>1</v>
      </c>
      <c r="C12" s="250">
        <v>1</v>
      </c>
      <c r="D12" s="250">
        <v>0</v>
      </c>
      <c r="E12" s="250">
        <v>0</v>
      </c>
      <c r="F12" s="250">
        <v>0</v>
      </c>
      <c r="G12" s="250">
        <v>0</v>
      </c>
      <c r="H12" s="250">
        <v>0</v>
      </c>
      <c r="I12" s="195"/>
    </row>
    <row r="13" spans="1:10">
      <c r="A13" s="192" t="s">
        <v>8</v>
      </c>
      <c r="B13" s="246">
        <f t="shared" si="1"/>
        <v>21</v>
      </c>
      <c r="C13" s="2952">
        <f t="shared" ref="C13:H13" si="3">SUM(C14:C23)</f>
        <v>1</v>
      </c>
      <c r="D13" s="2952">
        <f t="shared" si="3"/>
        <v>0</v>
      </c>
      <c r="E13" s="2952">
        <f t="shared" si="3"/>
        <v>7</v>
      </c>
      <c r="F13" s="2952">
        <f t="shared" si="3"/>
        <v>0</v>
      </c>
      <c r="G13" s="2952">
        <f t="shared" si="3"/>
        <v>13</v>
      </c>
      <c r="H13" s="2952">
        <f t="shared" si="3"/>
        <v>0</v>
      </c>
      <c r="I13" s="195"/>
    </row>
    <row r="14" spans="1:10">
      <c r="A14" s="177" t="s">
        <v>3003</v>
      </c>
      <c r="B14" s="246">
        <f t="shared" si="1"/>
        <v>1</v>
      </c>
      <c r="C14" s="250">
        <v>0</v>
      </c>
      <c r="D14" s="250">
        <v>0</v>
      </c>
      <c r="E14" s="250">
        <v>1</v>
      </c>
      <c r="F14" s="250">
        <v>0</v>
      </c>
      <c r="G14" s="250">
        <v>0</v>
      </c>
      <c r="H14" s="250">
        <v>0</v>
      </c>
      <c r="I14" s="195"/>
    </row>
    <row r="15" spans="1:10">
      <c r="A15" s="177" t="s">
        <v>2985</v>
      </c>
      <c r="B15" s="246">
        <f t="shared" si="1"/>
        <v>1</v>
      </c>
      <c r="C15" s="250">
        <v>0</v>
      </c>
      <c r="D15" s="250">
        <v>0</v>
      </c>
      <c r="E15" s="250">
        <v>0</v>
      </c>
      <c r="F15" s="250">
        <v>0</v>
      </c>
      <c r="G15" s="250">
        <v>1</v>
      </c>
      <c r="H15" s="250">
        <v>0</v>
      </c>
      <c r="I15" s="195"/>
    </row>
    <row r="16" spans="1:10">
      <c r="A16" s="177" t="s">
        <v>2982</v>
      </c>
      <c r="B16" s="246">
        <f t="shared" si="1"/>
        <v>2</v>
      </c>
      <c r="C16" s="250">
        <v>0</v>
      </c>
      <c r="D16" s="250">
        <v>0</v>
      </c>
      <c r="E16" s="250">
        <v>0</v>
      </c>
      <c r="F16" s="250">
        <v>0</v>
      </c>
      <c r="G16" s="250">
        <v>2</v>
      </c>
      <c r="H16" s="250">
        <v>0</v>
      </c>
      <c r="I16" s="195"/>
    </row>
    <row r="17" spans="1:9">
      <c r="A17" s="177" t="s">
        <v>2994</v>
      </c>
      <c r="B17" s="246">
        <f t="shared" si="1"/>
        <v>1</v>
      </c>
      <c r="C17" s="250">
        <v>0</v>
      </c>
      <c r="D17" s="250">
        <v>0</v>
      </c>
      <c r="E17" s="250">
        <v>0</v>
      </c>
      <c r="F17" s="250">
        <v>0</v>
      </c>
      <c r="G17" s="250">
        <v>1</v>
      </c>
      <c r="H17" s="250">
        <v>0</v>
      </c>
      <c r="I17" s="195"/>
    </row>
    <row r="18" spans="1:9">
      <c r="A18" s="177" t="s">
        <v>162</v>
      </c>
      <c r="B18" s="246">
        <f t="shared" si="1"/>
        <v>1</v>
      </c>
      <c r="C18" s="250">
        <v>0</v>
      </c>
      <c r="D18" s="250">
        <v>0</v>
      </c>
      <c r="E18" s="250">
        <v>0</v>
      </c>
      <c r="F18" s="250">
        <v>0</v>
      </c>
      <c r="G18" s="250">
        <v>1</v>
      </c>
      <c r="H18" s="250">
        <v>0</v>
      </c>
      <c r="I18" s="195"/>
    </row>
    <row r="19" spans="1:9">
      <c r="A19" s="177" t="s">
        <v>2993</v>
      </c>
      <c r="B19" s="246">
        <f t="shared" si="1"/>
        <v>1</v>
      </c>
      <c r="C19" s="250">
        <v>0</v>
      </c>
      <c r="D19" s="250">
        <v>0</v>
      </c>
      <c r="E19" s="250">
        <v>0</v>
      </c>
      <c r="F19" s="250">
        <v>0</v>
      </c>
      <c r="G19" s="250">
        <v>1</v>
      </c>
      <c r="H19" s="250">
        <v>0</v>
      </c>
      <c r="I19" s="195"/>
    </row>
    <row r="20" spans="1:9">
      <c r="A20" s="177" t="s">
        <v>2991</v>
      </c>
      <c r="B20" s="246">
        <f t="shared" si="1"/>
        <v>5</v>
      </c>
      <c r="C20" s="250">
        <v>0</v>
      </c>
      <c r="D20" s="250">
        <v>0</v>
      </c>
      <c r="E20" s="250">
        <v>1</v>
      </c>
      <c r="F20" s="250">
        <v>0</v>
      </c>
      <c r="G20" s="250">
        <v>4</v>
      </c>
      <c r="H20" s="250">
        <v>0</v>
      </c>
      <c r="I20" s="195"/>
    </row>
    <row r="21" spans="1:9">
      <c r="A21" s="177" t="s">
        <v>2990</v>
      </c>
      <c r="B21" s="246">
        <f t="shared" si="1"/>
        <v>3</v>
      </c>
      <c r="C21" s="250">
        <v>0</v>
      </c>
      <c r="D21" s="250">
        <v>0</v>
      </c>
      <c r="E21" s="250">
        <v>1</v>
      </c>
      <c r="F21" s="250">
        <v>0</v>
      </c>
      <c r="G21" s="250">
        <v>2</v>
      </c>
      <c r="H21" s="250">
        <v>0</v>
      </c>
      <c r="I21" s="195"/>
    </row>
    <row r="22" spans="1:9">
      <c r="A22" s="177" t="s">
        <v>2980</v>
      </c>
      <c r="B22" s="246">
        <f t="shared" si="1"/>
        <v>2</v>
      </c>
      <c r="C22" s="250">
        <v>1</v>
      </c>
      <c r="D22" s="250">
        <v>0</v>
      </c>
      <c r="E22" s="250">
        <v>0</v>
      </c>
      <c r="F22" s="250">
        <v>0</v>
      </c>
      <c r="G22" s="250">
        <v>1</v>
      </c>
      <c r="H22" s="250">
        <v>0</v>
      </c>
      <c r="I22" s="195"/>
    </row>
    <row r="23" spans="1:9" ht="12.75">
      <c r="A23" s="177" t="s">
        <v>3324</v>
      </c>
      <c r="B23" s="246">
        <f t="shared" si="1"/>
        <v>4</v>
      </c>
      <c r="C23" s="250">
        <v>0</v>
      </c>
      <c r="D23" s="250">
        <v>0</v>
      </c>
      <c r="E23" s="250">
        <v>4</v>
      </c>
      <c r="F23" s="250">
        <v>0</v>
      </c>
      <c r="G23" s="250">
        <v>0</v>
      </c>
      <c r="H23" s="250">
        <v>0</v>
      </c>
      <c r="I23" s="195"/>
    </row>
    <row r="24" spans="1:9">
      <c r="A24" s="2948" t="s">
        <v>9</v>
      </c>
      <c r="B24" s="246">
        <f t="shared" si="1"/>
        <v>14</v>
      </c>
      <c r="C24" s="2952">
        <f t="shared" ref="C24:H24" si="4">SUM(C25:C33)</f>
        <v>0</v>
      </c>
      <c r="D24" s="2952">
        <f t="shared" si="4"/>
        <v>0</v>
      </c>
      <c r="E24" s="2952">
        <f t="shared" si="4"/>
        <v>0</v>
      </c>
      <c r="F24" s="2952">
        <f t="shared" si="4"/>
        <v>0</v>
      </c>
      <c r="G24" s="2952">
        <f t="shared" si="4"/>
        <v>8</v>
      </c>
      <c r="H24" s="2952">
        <f t="shared" si="4"/>
        <v>6</v>
      </c>
      <c r="I24" s="195"/>
    </row>
    <row r="25" spans="1:9">
      <c r="A25" s="244" t="s">
        <v>3002</v>
      </c>
      <c r="B25" s="246">
        <f t="shared" si="1"/>
        <v>1</v>
      </c>
      <c r="C25" s="250">
        <v>0</v>
      </c>
      <c r="D25" s="250">
        <v>0</v>
      </c>
      <c r="E25" s="250">
        <v>0</v>
      </c>
      <c r="F25" s="250">
        <v>0</v>
      </c>
      <c r="G25" s="250">
        <v>0</v>
      </c>
      <c r="H25" s="250">
        <v>1</v>
      </c>
      <c r="I25" s="195"/>
    </row>
    <row r="26" spans="1:9">
      <c r="A26" s="244" t="s">
        <v>3001</v>
      </c>
      <c r="B26" s="246">
        <f t="shared" si="1"/>
        <v>2</v>
      </c>
      <c r="C26" s="250">
        <v>0</v>
      </c>
      <c r="D26" s="250">
        <v>0</v>
      </c>
      <c r="E26" s="250">
        <v>0</v>
      </c>
      <c r="F26" s="250">
        <v>0</v>
      </c>
      <c r="G26" s="250">
        <v>0</v>
      </c>
      <c r="H26" s="250">
        <v>2</v>
      </c>
      <c r="I26" s="195"/>
    </row>
    <row r="27" spans="1:9">
      <c r="A27" s="177" t="s">
        <v>3000</v>
      </c>
      <c r="B27" s="246">
        <f t="shared" si="1"/>
        <v>1</v>
      </c>
      <c r="C27" s="250">
        <v>0</v>
      </c>
      <c r="D27" s="250">
        <v>0</v>
      </c>
      <c r="E27" s="250">
        <v>0</v>
      </c>
      <c r="F27" s="250">
        <v>0</v>
      </c>
      <c r="G27" s="250">
        <v>0</v>
      </c>
      <c r="H27" s="250">
        <v>1</v>
      </c>
      <c r="I27" s="195"/>
    </row>
    <row r="28" spans="1:9">
      <c r="A28" s="177" t="s">
        <v>2999</v>
      </c>
      <c r="B28" s="246">
        <f t="shared" si="1"/>
        <v>1</v>
      </c>
      <c r="C28" s="250">
        <v>0</v>
      </c>
      <c r="D28" s="250">
        <v>0</v>
      </c>
      <c r="E28" s="250">
        <v>0</v>
      </c>
      <c r="F28" s="250">
        <v>0</v>
      </c>
      <c r="G28" s="250">
        <v>1</v>
      </c>
      <c r="H28" s="250">
        <v>0</v>
      </c>
      <c r="I28" s="195"/>
    </row>
    <row r="29" spans="1:9">
      <c r="A29" s="244" t="s">
        <v>2985</v>
      </c>
      <c r="B29" s="246">
        <f t="shared" si="1"/>
        <v>1</v>
      </c>
      <c r="C29" s="250">
        <v>0</v>
      </c>
      <c r="D29" s="250">
        <v>0</v>
      </c>
      <c r="E29" s="250">
        <v>0</v>
      </c>
      <c r="F29" s="250">
        <v>0</v>
      </c>
      <c r="G29" s="250">
        <v>1</v>
      </c>
      <c r="H29" s="250">
        <v>0</v>
      </c>
      <c r="I29" s="195"/>
    </row>
    <row r="30" spans="1:9">
      <c r="A30" s="177" t="s">
        <v>2981</v>
      </c>
      <c r="B30" s="246">
        <f t="shared" si="1"/>
        <v>1</v>
      </c>
      <c r="C30" s="250">
        <v>0</v>
      </c>
      <c r="D30" s="250">
        <v>0</v>
      </c>
      <c r="E30" s="250">
        <v>0</v>
      </c>
      <c r="F30" s="250">
        <v>0</v>
      </c>
      <c r="G30" s="250">
        <v>1</v>
      </c>
      <c r="H30" s="250">
        <v>0</v>
      </c>
      <c r="I30" s="195"/>
    </row>
    <row r="31" spans="1:9">
      <c r="A31" s="177" t="s">
        <v>2984</v>
      </c>
      <c r="B31" s="246">
        <f t="shared" si="1"/>
        <v>2</v>
      </c>
      <c r="C31" s="250">
        <v>0</v>
      </c>
      <c r="D31" s="250">
        <v>0</v>
      </c>
      <c r="E31" s="250">
        <v>0</v>
      </c>
      <c r="F31" s="250">
        <v>0</v>
      </c>
      <c r="G31" s="250">
        <v>0</v>
      </c>
      <c r="H31" s="250">
        <v>2</v>
      </c>
      <c r="I31" s="195"/>
    </row>
    <row r="32" spans="1:9">
      <c r="A32" s="177" t="s">
        <v>2980</v>
      </c>
      <c r="B32" s="246">
        <f t="shared" si="1"/>
        <v>3</v>
      </c>
      <c r="C32" s="250">
        <v>0</v>
      </c>
      <c r="D32" s="250">
        <v>0</v>
      </c>
      <c r="E32" s="250">
        <v>0</v>
      </c>
      <c r="F32" s="250">
        <v>0</v>
      </c>
      <c r="G32" s="250">
        <v>3</v>
      </c>
      <c r="H32" s="250">
        <v>0</v>
      </c>
      <c r="I32" s="195"/>
    </row>
    <row r="33" spans="1:9" ht="12.75">
      <c r="A33" s="177" t="s">
        <v>3324</v>
      </c>
      <c r="B33" s="246">
        <f t="shared" si="1"/>
        <v>2</v>
      </c>
      <c r="C33" s="250">
        <v>0</v>
      </c>
      <c r="D33" s="250">
        <v>0</v>
      </c>
      <c r="E33" s="250">
        <v>0</v>
      </c>
      <c r="F33" s="250">
        <v>0</v>
      </c>
      <c r="G33" s="250">
        <v>2</v>
      </c>
      <c r="H33" s="250">
        <v>0</v>
      </c>
      <c r="I33" s="195"/>
    </row>
    <row r="34" spans="1:9">
      <c r="A34" s="2949" t="s">
        <v>10</v>
      </c>
      <c r="B34" s="246">
        <f t="shared" si="1"/>
        <v>1</v>
      </c>
      <c r="C34" s="2952">
        <f t="shared" ref="C34:H34" si="5">SUM(C35:C35)</f>
        <v>0</v>
      </c>
      <c r="D34" s="2952">
        <f t="shared" si="5"/>
        <v>0</v>
      </c>
      <c r="E34" s="2952">
        <f t="shared" si="5"/>
        <v>0</v>
      </c>
      <c r="F34" s="2952">
        <f t="shared" si="5"/>
        <v>0</v>
      </c>
      <c r="G34" s="2952">
        <f t="shared" si="5"/>
        <v>1</v>
      </c>
      <c r="H34" s="2952">
        <f t="shared" si="5"/>
        <v>0</v>
      </c>
      <c r="I34" s="195"/>
    </row>
    <row r="35" spans="1:9">
      <c r="A35" s="177" t="s">
        <v>2982</v>
      </c>
      <c r="B35" s="246">
        <f t="shared" si="1"/>
        <v>1</v>
      </c>
      <c r="C35" s="250"/>
      <c r="D35" s="250">
        <v>0</v>
      </c>
      <c r="E35" s="250">
        <v>0</v>
      </c>
      <c r="F35" s="250">
        <v>0</v>
      </c>
      <c r="G35" s="250">
        <v>1</v>
      </c>
      <c r="H35" s="250">
        <v>0</v>
      </c>
      <c r="I35" s="195"/>
    </row>
    <row r="36" spans="1:9">
      <c r="A36" s="2948" t="s">
        <v>11</v>
      </c>
      <c r="B36" s="246">
        <f t="shared" si="1"/>
        <v>5</v>
      </c>
      <c r="C36" s="2952">
        <f t="shared" ref="C36:H36" si="6">SUM(C37:C39)</f>
        <v>0</v>
      </c>
      <c r="D36" s="2952">
        <f t="shared" si="6"/>
        <v>0</v>
      </c>
      <c r="E36" s="2952">
        <f t="shared" si="6"/>
        <v>0</v>
      </c>
      <c r="F36" s="2952">
        <f t="shared" si="6"/>
        <v>1</v>
      </c>
      <c r="G36" s="2952">
        <f t="shared" si="6"/>
        <v>4</v>
      </c>
      <c r="H36" s="2952">
        <f t="shared" si="6"/>
        <v>0</v>
      </c>
      <c r="I36" s="195"/>
    </row>
    <row r="37" spans="1:9">
      <c r="A37" s="196" t="s">
        <v>2982</v>
      </c>
      <c r="B37" s="246">
        <f t="shared" si="1"/>
        <v>2</v>
      </c>
      <c r="C37" s="250">
        <v>0</v>
      </c>
      <c r="D37" s="250">
        <v>0</v>
      </c>
      <c r="E37" s="250">
        <v>0</v>
      </c>
      <c r="F37" s="250">
        <v>0</v>
      </c>
      <c r="G37" s="250">
        <v>2</v>
      </c>
      <c r="H37" s="250">
        <v>0</v>
      </c>
      <c r="I37" s="195"/>
    </row>
    <row r="38" spans="1:9">
      <c r="A38" s="196" t="s">
        <v>2980</v>
      </c>
      <c r="B38" s="246">
        <f t="shared" si="1"/>
        <v>1</v>
      </c>
      <c r="C38" s="250">
        <v>0</v>
      </c>
      <c r="D38" s="250">
        <v>0</v>
      </c>
      <c r="E38" s="250">
        <v>0</v>
      </c>
      <c r="F38" s="250">
        <v>0</v>
      </c>
      <c r="G38" s="250">
        <v>1</v>
      </c>
      <c r="H38" s="250">
        <v>0</v>
      </c>
      <c r="I38" s="195"/>
    </row>
    <row r="39" spans="1:9" ht="12.75">
      <c r="A39" s="177" t="s">
        <v>3324</v>
      </c>
      <c r="B39" s="246">
        <f t="shared" ref="B39:B70" si="7">SUM(C39:H39)</f>
        <v>2</v>
      </c>
      <c r="C39" s="250">
        <v>0</v>
      </c>
      <c r="D39" s="250">
        <v>0</v>
      </c>
      <c r="E39" s="250">
        <v>0</v>
      </c>
      <c r="F39" s="250">
        <v>1</v>
      </c>
      <c r="G39" s="250">
        <v>1</v>
      </c>
      <c r="H39" s="250">
        <v>0</v>
      </c>
      <c r="I39" s="195"/>
    </row>
    <row r="40" spans="1:9">
      <c r="A40" s="2948" t="s">
        <v>12</v>
      </c>
      <c r="B40" s="246">
        <f t="shared" si="7"/>
        <v>26</v>
      </c>
      <c r="C40" s="2952">
        <f t="shared" ref="C40:H40" si="8">SUM(C41:C47)</f>
        <v>2</v>
      </c>
      <c r="D40" s="2952">
        <f t="shared" si="8"/>
        <v>7</v>
      </c>
      <c r="E40" s="2952">
        <f t="shared" si="8"/>
        <v>0</v>
      </c>
      <c r="F40" s="2952">
        <f t="shared" si="8"/>
        <v>0</v>
      </c>
      <c r="G40" s="2952">
        <f t="shared" si="8"/>
        <v>15</v>
      </c>
      <c r="H40" s="2952">
        <f t="shared" si="8"/>
        <v>2</v>
      </c>
      <c r="I40" s="195"/>
    </row>
    <row r="41" spans="1:9">
      <c r="A41" s="177" t="s">
        <v>2998</v>
      </c>
      <c r="B41" s="246">
        <f t="shared" si="7"/>
        <v>1</v>
      </c>
      <c r="C41" s="250">
        <v>0</v>
      </c>
      <c r="D41" s="250">
        <v>0</v>
      </c>
      <c r="E41" s="250">
        <v>0</v>
      </c>
      <c r="F41" s="250">
        <v>0</v>
      </c>
      <c r="G41" s="250">
        <v>1</v>
      </c>
      <c r="H41" s="250">
        <v>0</v>
      </c>
      <c r="I41" s="195"/>
    </row>
    <row r="42" spans="1:9">
      <c r="A42" s="177" t="s">
        <v>2985</v>
      </c>
      <c r="B42" s="246">
        <f t="shared" si="7"/>
        <v>1</v>
      </c>
      <c r="C42" s="250">
        <v>0</v>
      </c>
      <c r="D42" s="250">
        <v>0</v>
      </c>
      <c r="E42" s="250">
        <v>0</v>
      </c>
      <c r="F42" s="250">
        <v>0</v>
      </c>
      <c r="G42" s="250">
        <v>1</v>
      </c>
      <c r="H42" s="250">
        <v>0</v>
      </c>
      <c r="I42" s="195"/>
    </row>
    <row r="43" spans="1:9">
      <c r="A43" s="177" t="s">
        <v>162</v>
      </c>
      <c r="B43" s="246">
        <f t="shared" si="7"/>
        <v>1</v>
      </c>
      <c r="C43" s="250">
        <v>0</v>
      </c>
      <c r="D43" s="250">
        <v>0</v>
      </c>
      <c r="E43" s="250">
        <v>0</v>
      </c>
      <c r="F43" s="250">
        <v>0</v>
      </c>
      <c r="G43" s="250">
        <v>1</v>
      </c>
      <c r="H43" s="250">
        <v>0</v>
      </c>
      <c r="I43" s="195"/>
    </row>
    <row r="44" spans="1:9">
      <c r="A44" s="177" t="s">
        <v>2981</v>
      </c>
      <c r="B44" s="246">
        <f t="shared" si="7"/>
        <v>2</v>
      </c>
      <c r="C44" s="250">
        <v>0</v>
      </c>
      <c r="D44" s="250">
        <v>1</v>
      </c>
      <c r="E44" s="250">
        <v>0</v>
      </c>
      <c r="F44" s="250">
        <v>0</v>
      </c>
      <c r="G44" s="250">
        <v>1</v>
      </c>
      <c r="H44" s="250">
        <v>0</v>
      </c>
      <c r="I44" s="195"/>
    </row>
    <row r="45" spans="1:9">
      <c r="A45" s="244" t="s">
        <v>2984</v>
      </c>
      <c r="B45" s="246">
        <f t="shared" si="7"/>
        <v>1</v>
      </c>
      <c r="C45" s="250">
        <v>0</v>
      </c>
      <c r="D45" s="250">
        <v>0</v>
      </c>
      <c r="E45" s="250">
        <v>0</v>
      </c>
      <c r="F45" s="250">
        <v>0</v>
      </c>
      <c r="G45" s="250">
        <v>0</v>
      </c>
      <c r="H45" s="250">
        <v>1</v>
      </c>
      <c r="I45" s="195"/>
    </row>
    <row r="46" spans="1:9">
      <c r="A46" s="177" t="s">
        <v>2980</v>
      </c>
      <c r="B46" s="246">
        <f t="shared" si="7"/>
        <v>2</v>
      </c>
      <c r="C46" s="250">
        <v>0</v>
      </c>
      <c r="D46" s="250">
        <v>2</v>
      </c>
      <c r="E46" s="250">
        <v>0</v>
      </c>
      <c r="F46" s="250">
        <v>0</v>
      </c>
      <c r="G46" s="250">
        <v>0</v>
      </c>
      <c r="H46" s="250">
        <v>0</v>
      </c>
      <c r="I46" s="195"/>
    </row>
    <row r="47" spans="1:9" ht="12.75">
      <c r="A47" s="177" t="s">
        <v>3324</v>
      </c>
      <c r="B47" s="246">
        <f t="shared" si="7"/>
        <v>18</v>
      </c>
      <c r="C47" s="250">
        <v>2</v>
      </c>
      <c r="D47" s="250">
        <v>4</v>
      </c>
      <c r="E47" s="250">
        <v>0</v>
      </c>
      <c r="F47" s="250">
        <v>0</v>
      </c>
      <c r="G47" s="250">
        <v>11</v>
      </c>
      <c r="H47" s="250">
        <v>1</v>
      </c>
      <c r="I47" s="195"/>
    </row>
    <row r="48" spans="1:9">
      <c r="A48" s="2948" t="s">
        <v>13</v>
      </c>
      <c r="B48" s="246">
        <f t="shared" si="7"/>
        <v>129</v>
      </c>
      <c r="C48" s="2952">
        <f t="shared" ref="C48:H48" si="9">SUM(C49:C69)</f>
        <v>3</v>
      </c>
      <c r="D48" s="2952">
        <f t="shared" si="9"/>
        <v>3</v>
      </c>
      <c r="E48" s="2952">
        <f t="shared" si="9"/>
        <v>2</v>
      </c>
      <c r="F48" s="2952">
        <f t="shared" si="9"/>
        <v>0</v>
      </c>
      <c r="G48" s="2952">
        <f t="shared" si="9"/>
        <v>96</v>
      </c>
      <c r="H48" s="2952">
        <f t="shared" si="9"/>
        <v>25</v>
      </c>
      <c r="I48" s="195"/>
    </row>
    <row r="49" spans="1:9">
      <c r="A49" s="2009" t="s">
        <v>3002</v>
      </c>
      <c r="B49" s="246">
        <f t="shared" si="7"/>
        <v>1</v>
      </c>
      <c r="C49" s="250">
        <v>0</v>
      </c>
      <c r="D49" s="250">
        <v>0</v>
      </c>
      <c r="E49" s="250">
        <v>0</v>
      </c>
      <c r="F49" s="250">
        <v>0</v>
      </c>
      <c r="G49" s="250">
        <v>1</v>
      </c>
      <c r="H49" s="250">
        <v>0</v>
      </c>
      <c r="I49" s="195"/>
    </row>
    <row r="50" spans="1:9">
      <c r="A50" s="244" t="s">
        <v>3001</v>
      </c>
      <c r="B50" s="246">
        <f t="shared" si="7"/>
        <v>1</v>
      </c>
      <c r="C50" s="250">
        <v>0</v>
      </c>
      <c r="D50" s="250">
        <v>0</v>
      </c>
      <c r="E50" s="250">
        <v>0</v>
      </c>
      <c r="F50" s="250">
        <v>0</v>
      </c>
      <c r="G50" s="250">
        <v>1</v>
      </c>
      <c r="H50" s="250">
        <v>0</v>
      </c>
      <c r="I50" s="195"/>
    </row>
    <row r="51" spans="1:9">
      <c r="A51" s="177" t="s">
        <v>3000</v>
      </c>
      <c r="B51" s="246">
        <f t="shared" si="7"/>
        <v>2</v>
      </c>
      <c r="C51" s="250">
        <v>0</v>
      </c>
      <c r="D51" s="250">
        <v>0</v>
      </c>
      <c r="E51" s="250">
        <v>0</v>
      </c>
      <c r="F51" s="250">
        <v>0</v>
      </c>
      <c r="G51" s="250">
        <v>0</v>
      </c>
      <c r="H51" s="250">
        <v>2</v>
      </c>
      <c r="I51" s="195"/>
    </row>
    <row r="52" spans="1:9">
      <c r="A52" s="2009" t="s">
        <v>2999</v>
      </c>
      <c r="B52" s="246">
        <f t="shared" si="7"/>
        <v>6</v>
      </c>
      <c r="C52" s="250">
        <v>1</v>
      </c>
      <c r="D52" s="250">
        <v>0</v>
      </c>
      <c r="E52" s="250">
        <v>0</v>
      </c>
      <c r="F52" s="250">
        <v>0</v>
      </c>
      <c r="G52" s="250">
        <v>5</v>
      </c>
      <c r="H52" s="250">
        <v>0</v>
      </c>
      <c r="I52" s="195"/>
    </row>
    <row r="53" spans="1:9">
      <c r="A53" s="2009" t="s">
        <v>2998</v>
      </c>
      <c r="B53" s="246">
        <f t="shared" si="7"/>
        <v>10</v>
      </c>
      <c r="C53" s="250">
        <v>0</v>
      </c>
      <c r="D53" s="250">
        <v>0</v>
      </c>
      <c r="E53" s="250">
        <v>1</v>
      </c>
      <c r="F53" s="250">
        <v>0</v>
      </c>
      <c r="G53" s="250">
        <v>9</v>
      </c>
      <c r="H53" s="250">
        <v>0</v>
      </c>
      <c r="I53" s="195"/>
    </row>
    <row r="54" spans="1:9">
      <c r="A54" s="2009" t="s">
        <v>2997</v>
      </c>
      <c r="B54" s="246">
        <f t="shared" si="7"/>
        <v>3</v>
      </c>
      <c r="C54" s="250">
        <v>0</v>
      </c>
      <c r="D54" s="250">
        <v>0</v>
      </c>
      <c r="E54" s="250">
        <v>0</v>
      </c>
      <c r="F54" s="250">
        <v>0</v>
      </c>
      <c r="G54" s="250">
        <v>3</v>
      </c>
      <c r="H54" s="250">
        <v>0</v>
      </c>
      <c r="I54" s="195"/>
    </row>
    <row r="55" spans="1:9">
      <c r="A55" s="2009" t="s">
        <v>2985</v>
      </c>
      <c r="B55" s="246">
        <f t="shared" si="7"/>
        <v>1</v>
      </c>
      <c r="C55" s="250">
        <v>0</v>
      </c>
      <c r="D55" s="250">
        <v>0</v>
      </c>
      <c r="E55" s="250">
        <v>0</v>
      </c>
      <c r="F55" s="250">
        <v>0</v>
      </c>
      <c r="G55" s="250">
        <v>1</v>
      </c>
      <c r="H55" s="250">
        <v>0</v>
      </c>
      <c r="I55" s="195"/>
    </row>
    <row r="56" spans="1:9">
      <c r="A56" s="2009" t="s">
        <v>2996</v>
      </c>
      <c r="B56" s="246">
        <f t="shared" si="7"/>
        <v>11</v>
      </c>
      <c r="C56" s="250">
        <v>0</v>
      </c>
      <c r="D56" s="250">
        <v>0</v>
      </c>
      <c r="E56" s="250">
        <v>0</v>
      </c>
      <c r="F56" s="250">
        <v>0</v>
      </c>
      <c r="G56" s="250">
        <v>0</v>
      </c>
      <c r="H56" s="250">
        <v>11</v>
      </c>
      <c r="I56" s="195"/>
    </row>
    <row r="57" spans="1:9">
      <c r="A57" s="2009" t="s">
        <v>2982</v>
      </c>
      <c r="B57" s="246">
        <f t="shared" si="7"/>
        <v>9</v>
      </c>
      <c r="C57" s="250">
        <v>0</v>
      </c>
      <c r="D57" s="250">
        <v>0</v>
      </c>
      <c r="E57" s="250">
        <v>0</v>
      </c>
      <c r="F57" s="250">
        <v>0</v>
      </c>
      <c r="G57" s="250">
        <v>7</v>
      </c>
      <c r="H57" s="250">
        <v>2</v>
      </c>
      <c r="I57" s="195"/>
    </row>
    <row r="58" spans="1:9">
      <c r="A58" s="2009" t="s">
        <v>2995</v>
      </c>
      <c r="B58" s="246">
        <f t="shared" si="7"/>
        <v>1</v>
      </c>
      <c r="C58" s="250">
        <v>0</v>
      </c>
      <c r="D58" s="250">
        <v>0</v>
      </c>
      <c r="E58" s="250">
        <v>0</v>
      </c>
      <c r="F58" s="250">
        <v>0</v>
      </c>
      <c r="G58" s="250">
        <v>1</v>
      </c>
      <c r="H58" s="250">
        <v>0</v>
      </c>
      <c r="I58" s="195"/>
    </row>
    <row r="59" spans="1:9">
      <c r="A59" s="244" t="s">
        <v>2994</v>
      </c>
      <c r="B59" s="246">
        <f t="shared" si="7"/>
        <v>3</v>
      </c>
      <c r="C59" s="250">
        <v>0</v>
      </c>
      <c r="D59" s="250">
        <v>0</v>
      </c>
      <c r="E59" s="250">
        <v>0</v>
      </c>
      <c r="F59" s="250">
        <v>0</v>
      </c>
      <c r="G59" s="250">
        <v>3</v>
      </c>
      <c r="H59" s="250">
        <v>0</v>
      </c>
      <c r="I59" s="195"/>
    </row>
    <row r="60" spans="1:9">
      <c r="A60" s="2009" t="s">
        <v>162</v>
      </c>
      <c r="B60" s="246">
        <f t="shared" si="7"/>
        <v>9</v>
      </c>
      <c r="C60" s="250">
        <v>0</v>
      </c>
      <c r="D60" s="250">
        <v>0</v>
      </c>
      <c r="E60" s="250">
        <v>0</v>
      </c>
      <c r="F60" s="250">
        <v>0</v>
      </c>
      <c r="G60" s="250">
        <v>9</v>
      </c>
      <c r="H60" s="250">
        <v>0</v>
      </c>
      <c r="I60" s="195"/>
    </row>
    <row r="61" spans="1:9">
      <c r="A61" s="2009" t="s">
        <v>2981</v>
      </c>
      <c r="B61" s="246">
        <f t="shared" si="7"/>
        <v>4</v>
      </c>
      <c r="C61" s="250">
        <v>0</v>
      </c>
      <c r="D61" s="250">
        <v>0</v>
      </c>
      <c r="E61" s="250">
        <v>0</v>
      </c>
      <c r="F61" s="250">
        <v>0</v>
      </c>
      <c r="G61" s="250">
        <v>4</v>
      </c>
      <c r="H61" s="250">
        <v>0</v>
      </c>
      <c r="I61" s="195"/>
    </row>
    <row r="62" spans="1:9">
      <c r="A62" s="2009" t="s">
        <v>2993</v>
      </c>
      <c r="B62" s="246">
        <f t="shared" si="7"/>
        <v>5</v>
      </c>
      <c r="C62" s="250">
        <v>1</v>
      </c>
      <c r="D62" s="250">
        <v>0</v>
      </c>
      <c r="E62" s="250">
        <v>0</v>
      </c>
      <c r="F62" s="250">
        <v>0</v>
      </c>
      <c r="G62" s="250">
        <v>4</v>
      </c>
      <c r="H62" s="250">
        <v>0</v>
      </c>
      <c r="I62" s="195"/>
    </row>
    <row r="63" spans="1:9">
      <c r="A63" s="244" t="s">
        <v>2992</v>
      </c>
      <c r="B63" s="246">
        <f t="shared" si="7"/>
        <v>1</v>
      </c>
      <c r="C63" s="250">
        <v>0</v>
      </c>
      <c r="D63" s="250">
        <v>0</v>
      </c>
      <c r="E63" s="250">
        <v>0</v>
      </c>
      <c r="F63" s="250">
        <v>0</v>
      </c>
      <c r="G63" s="250">
        <v>1</v>
      </c>
      <c r="H63" s="250">
        <v>0</v>
      </c>
      <c r="I63" s="195"/>
    </row>
    <row r="64" spans="1:9">
      <c r="A64" s="2009" t="s">
        <v>2991</v>
      </c>
      <c r="B64" s="246">
        <f t="shared" si="7"/>
        <v>6</v>
      </c>
      <c r="C64" s="250">
        <v>0</v>
      </c>
      <c r="D64" s="250">
        <v>0</v>
      </c>
      <c r="E64" s="250">
        <v>0</v>
      </c>
      <c r="F64" s="250">
        <v>0</v>
      </c>
      <c r="G64" s="250">
        <v>6</v>
      </c>
      <c r="H64" s="250">
        <v>0</v>
      </c>
      <c r="I64" s="195"/>
    </row>
    <row r="65" spans="1:9">
      <c r="A65" s="244" t="s">
        <v>2984</v>
      </c>
      <c r="B65" s="246">
        <f t="shared" si="7"/>
        <v>1</v>
      </c>
      <c r="C65" s="250">
        <v>0</v>
      </c>
      <c r="D65" s="250">
        <v>0</v>
      </c>
      <c r="E65" s="250">
        <v>0</v>
      </c>
      <c r="F65" s="250">
        <v>0</v>
      </c>
      <c r="G65" s="250">
        <v>1</v>
      </c>
      <c r="H65" s="250">
        <v>0</v>
      </c>
      <c r="I65" s="195"/>
    </row>
    <row r="66" spans="1:9">
      <c r="A66" s="2009" t="s">
        <v>2987</v>
      </c>
      <c r="B66" s="246">
        <f t="shared" si="7"/>
        <v>2</v>
      </c>
      <c r="C66" s="250">
        <v>0</v>
      </c>
      <c r="D66" s="250">
        <v>1</v>
      </c>
      <c r="E66" s="250">
        <v>0</v>
      </c>
      <c r="F66" s="250">
        <v>0</v>
      </c>
      <c r="G66" s="250">
        <v>1</v>
      </c>
      <c r="H66" s="250">
        <v>0</v>
      </c>
      <c r="I66" s="195"/>
    </row>
    <row r="67" spans="1:9">
      <c r="A67" s="2009" t="s">
        <v>2990</v>
      </c>
      <c r="B67" s="246">
        <f t="shared" si="7"/>
        <v>4</v>
      </c>
      <c r="C67" s="250">
        <v>0</v>
      </c>
      <c r="D67" s="250">
        <v>0</v>
      </c>
      <c r="E67" s="250">
        <v>0</v>
      </c>
      <c r="F67" s="250">
        <v>0</v>
      </c>
      <c r="G67" s="250">
        <v>4</v>
      </c>
      <c r="H67" s="250">
        <v>0</v>
      </c>
      <c r="I67" s="195"/>
    </row>
    <row r="68" spans="1:9">
      <c r="A68" s="196" t="s">
        <v>2980</v>
      </c>
      <c r="B68" s="246">
        <f t="shared" si="7"/>
        <v>11</v>
      </c>
      <c r="C68" s="250">
        <v>0</v>
      </c>
      <c r="D68" s="250">
        <v>0</v>
      </c>
      <c r="E68" s="250">
        <v>0</v>
      </c>
      <c r="F68" s="250">
        <v>0</v>
      </c>
      <c r="G68" s="250">
        <v>11</v>
      </c>
      <c r="H68" s="250">
        <v>0</v>
      </c>
      <c r="I68" s="195"/>
    </row>
    <row r="69" spans="1:9" ht="12.75">
      <c r="A69" s="177" t="s">
        <v>3324</v>
      </c>
      <c r="B69" s="246">
        <f t="shared" si="7"/>
        <v>38</v>
      </c>
      <c r="C69" s="250">
        <v>1</v>
      </c>
      <c r="D69" s="250">
        <v>2</v>
      </c>
      <c r="E69" s="250">
        <v>1</v>
      </c>
      <c r="F69" s="250">
        <v>0</v>
      </c>
      <c r="G69" s="250">
        <v>24</v>
      </c>
      <c r="H69" s="250">
        <v>10</v>
      </c>
      <c r="I69" s="195"/>
    </row>
    <row r="70" spans="1:9">
      <c r="A70" s="2948" t="s">
        <v>14</v>
      </c>
      <c r="B70" s="246">
        <f t="shared" si="7"/>
        <v>4</v>
      </c>
      <c r="C70" s="2952">
        <f t="shared" ref="C70:H70" si="10">SUM(C71:C74)</f>
        <v>1</v>
      </c>
      <c r="D70" s="2952">
        <f t="shared" si="10"/>
        <v>0</v>
      </c>
      <c r="E70" s="2952">
        <f t="shared" si="10"/>
        <v>0</v>
      </c>
      <c r="F70" s="2952">
        <f t="shared" si="10"/>
        <v>0</v>
      </c>
      <c r="G70" s="2952">
        <f t="shared" si="10"/>
        <v>3</v>
      </c>
      <c r="H70" s="2952">
        <f t="shared" si="10"/>
        <v>0</v>
      </c>
      <c r="I70" s="195"/>
    </row>
    <row r="71" spans="1:9">
      <c r="A71" s="177" t="s">
        <v>2988</v>
      </c>
      <c r="B71" s="246">
        <f t="shared" ref="B71:B102" si="11">SUM(C71:H71)</f>
        <v>1</v>
      </c>
      <c r="C71" s="250">
        <v>1</v>
      </c>
      <c r="D71" s="250">
        <v>0</v>
      </c>
      <c r="E71" s="250">
        <v>0</v>
      </c>
      <c r="F71" s="250">
        <v>0</v>
      </c>
      <c r="G71" s="250">
        <v>0</v>
      </c>
      <c r="H71" s="250">
        <v>0</v>
      </c>
      <c r="I71" s="195"/>
    </row>
    <row r="72" spans="1:9">
      <c r="A72" s="177" t="s">
        <v>2985</v>
      </c>
      <c r="B72" s="246">
        <f t="shared" si="11"/>
        <v>1</v>
      </c>
      <c r="C72" s="250">
        <v>0</v>
      </c>
      <c r="D72" s="250">
        <v>0</v>
      </c>
      <c r="E72" s="250">
        <v>0</v>
      </c>
      <c r="F72" s="250">
        <v>0</v>
      </c>
      <c r="G72" s="250">
        <v>1</v>
      </c>
      <c r="H72" s="250">
        <v>0</v>
      </c>
      <c r="I72" s="195"/>
    </row>
    <row r="73" spans="1:9">
      <c r="A73" s="177" t="s">
        <v>2982</v>
      </c>
      <c r="B73" s="246">
        <f t="shared" si="11"/>
        <v>1</v>
      </c>
      <c r="C73" s="250">
        <v>0</v>
      </c>
      <c r="D73" s="250">
        <v>0</v>
      </c>
      <c r="E73" s="250">
        <v>0</v>
      </c>
      <c r="F73" s="250">
        <v>0</v>
      </c>
      <c r="G73" s="250">
        <v>1</v>
      </c>
      <c r="H73" s="250">
        <v>0</v>
      </c>
      <c r="I73" s="195"/>
    </row>
    <row r="74" spans="1:9">
      <c r="A74" s="177" t="s">
        <v>2980</v>
      </c>
      <c r="B74" s="246">
        <f t="shared" si="11"/>
        <v>1</v>
      </c>
      <c r="C74" s="250">
        <v>0</v>
      </c>
      <c r="D74" s="250">
        <v>0</v>
      </c>
      <c r="E74" s="250">
        <v>0</v>
      </c>
      <c r="F74" s="250">
        <v>0</v>
      </c>
      <c r="G74" s="250">
        <v>1</v>
      </c>
      <c r="H74" s="250">
        <v>0</v>
      </c>
      <c r="I74" s="195"/>
    </row>
    <row r="75" spans="1:9">
      <c r="A75" s="2948" t="s">
        <v>15</v>
      </c>
      <c r="B75" s="246">
        <f t="shared" si="11"/>
        <v>5</v>
      </c>
      <c r="C75" s="2952">
        <f t="shared" ref="C75:H75" si="12">SUM(C76:C77)</f>
        <v>2</v>
      </c>
      <c r="D75" s="2952">
        <f t="shared" si="12"/>
        <v>1</v>
      </c>
      <c r="E75" s="2952">
        <f t="shared" si="12"/>
        <v>0</v>
      </c>
      <c r="F75" s="2952">
        <f t="shared" si="12"/>
        <v>0</v>
      </c>
      <c r="G75" s="2952">
        <f t="shared" si="12"/>
        <v>1</v>
      </c>
      <c r="H75" s="2952">
        <f t="shared" si="12"/>
        <v>1</v>
      </c>
      <c r="I75" s="195"/>
    </row>
    <row r="76" spans="1:9">
      <c r="A76" s="177" t="s">
        <v>2990</v>
      </c>
      <c r="B76" s="246">
        <f t="shared" si="11"/>
        <v>1</v>
      </c>
      <c r="C76" s="250">
        <v>1</v>
      </c>
      <c r="D76" s="250">
        <v>0</v>
      </c>
      <c r="E76" s="250">
        <v>0</v>
      </c>
      <c r="F76" s="250">
        <v>0</v>
      </c>
      <c r="G76" s="250">
        <v>0</v>
      </c>
      <c r="H76" s="250">
        <v>0</v>
      </c>
      <c r="I76" s="195"/>
    </row>
    <row r="77" spans="1:9" ht="12.75">
      <c r="A77" s="177" t="s">
        <v>3324</v>
      </c>
      <c r="B77" s="246">
        <f t="shared" si="11"/>
        <v>4</v>
      </c>
      <c r="C77" s="250">
        <v>1</v>
      </c>
      <c r="D77" s="250">
        <v>1</v>
      </c>
      <c r="E77" s="250">
        <v>0</v>
      </c>
      <c r="F77" s="250">
        <v>0</v>
      </c>
      <c r="G77" s="250">
        <v>1</v>
      </c>
      <c r="H77" s="250">
        <v>1</v>
      </c>
      <c r="I77" s="195"/>
    </row>
    <row r="78" spans="1:9">
      <c r="A78" s="2948" t="s">
        <v>16</v>
      </c>
      <c r="B78" s="246">
        <f t="shared" si="11"/>
        <v>26</v>
      </c>
      <c r="C78" s="2952">
        <f t="shared" ref="C78:H78" si="13">SUM(C79:C88)</f>
        <v>1</v>
      </c>
      <c r="D78" s="2952">
        <f t="shared" si="13"/>
        <v>1</v>
      </c>
      <c r="E78" s="2952">
        <f t="shared" si="13"/>
        <v>0</v>
      </c>
      <c r="F78" s="2952">
        <f t="shared" si="13"/>
        <v>0</v>
      </c>
      <c r="G78" s="2952">
        <f t="shared" si="13"/>
        <v>21</v>
      </c>
      <c r="H78" s="2952">
        <f t="shared" si="13"/>
        <v>3</v>
      </c>
      <c r="I78" s="195"/>
    </row>
    <row r="79" spans="1:9">
      <c r="A79" s="177" t="s">
        <v>2986</v>
      </c>
      <c r="B79" s="246">
        <f t="shared" si="11"/>
        <v>1</v>
      </c>
      <c r="C79" s="250">
        <v>0</v>
      </c>
      <c r="D79" s="250">
        <v>0</v>
      </c>
      <c r="E79" s="250">
        <v>0</v>
      </c>
      <c r="F79" s="250">
        <v>0</v>
      </c>
      <c r="G79" s="250">
        <v>1</v>
      </c>
      <c r="H79" s="250">
        <v>0</v>
      </c>
      <c r="I79" s="195"/>
    </row>
    <row r="80" spans="1:9">
      <c r="A80" s="244" t="s">
        <v>2989</v>
      </c>
      <c r="B80" s="246">
        <f t="shared" si="11"/>
        <v>1</v>
      </c>
      <c r="C80" s="250">
        <v>0</v>
      </c>
      <c r="D80" s="250">
        <v>0</v>
      </c>
      <c r="E80" s="250">
        <v>0</v>
      </c>
      <c r="F80" s="250">
        <v>0</v>
      </c>
      <c r="G80" s="250">
        <v>1</v>
      </c>
      <c r="H80" s="250">
        <v>0</v>
      </c>
      <c r="I80" s="195"/>
    </row>
    <row r="81" spans="1:9">
      <c r="A81" s="177" t="s">
        <v>2988</v>
      </c>
      <c r="B81" s="246">
        <f t="shared" si="11"/>
        <v>1</v>
      </c>
      <c r="C81" s="250">
        <v>0</v>
      </c>
      <c r="D81" s="250">
        <v>0</v>
      </c>
      <c r="E81" s="250">
        <v>0</v>
      </c>
      <c r="F81" s="250">
        <v>0</v>
      </c>
      <c r="G81" s="250">
        <v>0</v>
      </c>
      <c r="H81" s="250">
        <v>1</v>
      </c>
      <c r="I81" s="195"/>
    </row>
    <row r="82" spans="1:9">
      <c r="A82" s="177" t="s">
        <v>2985</v>
      </c>
      <c r="B82" s="246">
        <f t="shared" si="11"/>
        <v>2</v>
      </c>
      <c r="C82" s="250">
        <v>0</v>
      </c>
      <c r="D82" s="250">
        <v>0</v>
      </c>
      <c r="E82" s="250">
        <v>0</v>
      </c>
      <c r="F82" s="250">
        <v>0</v>
      </c>
      <c r="G82" s="250">
        <v>2</v>
      </c>
      <c r="H82" s="250">
        <v>0</v>
      </c>
      <c r="I82" s="195"/>
    </row>
    <row r="83" spans="1:9">
      <c r="A83" s="177" t="s">
        <v>2982</v>
      </c>
      <c r="B83" s="246">
        <f t="shared" si="11"/>
        <v>8</v>
      </c>
      <c r="C83" s="250">
        <v>0</v>
      </c>
      <c r="D83" s="250">
        <v>0</v>
      </c>
      <c r="E83" s="250">
        <v>0</v>
      </c>
      <c r="F83" s="250">
        <v>0</v>
      </c>
      <c r="G83" s="250">
        <v>8</v>
      </c>
      <c r="H83" s="250">
        <v>0</v>
      </c>
      <c r="I83" s="195"/>
    </row>
    <row r="84" spans="1:9">
      <c r="A84" s="177" t="s">
        <v>2980</v>
      </c>
      <c r="B84" s="246">
        <f t="shared" si="11"/>
        <v>7</v>
      </c>
      <c r="C84" s="250">
        <v>0</v>
      </c>
      <c r="D84" s="250">
        <v>0</v>
      </c>
      <c r="E84" s="250">
        <v>0</v>
      </c>
      <c r="F84" s="250">
        <v>0</v>
      </c>
      <c r="G84" s="250">
        <v>5</v>
      </c>
      <c r="H84" s="250">
        <v>2</v>
      </c>
      <c r="I84" s="195"/>
    </row>
    <row r="85" spans="1:9">
      <c r="A85" s="177" t="s">
        <v>162</v>
      </c>
      <c r="B85" s="246">
        <f t="shared" si="11"/>
        <v>1</v>
      </c>
      <c r="C85" s="250">
        <v>0</v>
      </c>
      <c r="D85" s="250">
        <v>0</v>
      </c>
      <c r="E85" s="250">
        <v>0</v>
      </c>
      <c r="F85" s="250">
        <v>0</v>
      </c>
      <c r="G85" s="250">
        <v>1</v>
      </c>
      <c r="H85" s="250">
        <v>0</v>
      </c>
      <c r="I85" s="195"/>
    </row>
    <row r="86" spans="1:9">
      <c r="A86" s="177" t="s">
        <v>2981</v>
      </c>
      <c r="B86" s="246">
        <f t="shared" si="11"/>
        <v>3</v>
      </c>
      <c r="C86" s="250">
        <v>1</v>
      </c>
      <c r="D86" s="250">
        <v>0</v>
      </c>
      <c r="E86" s="250">
        <v>0</v>
      </c>
      <c r="F86" s="250">
        <v>0</v>
      </c>
      <c r="G86" s="250">
        <v>2</v>
      </c>
      <c r="H86" s="250">
        <v>0</v>
      </c>
      <c r="I86" s="195"/>
    </row>
    <row r="87" spans="1:9">
      <c r="A87" s="244" t="s">
        <v>2987</v>
      </c>
      <c r="B87" s="246">
        <f t="shared" si="11"/>
        <v>1</v>
      </c>
      <c r="C87" s="250">
        <v>0</v>
      </c>
      <c r="D87" s="250">
        <v>0</v>
      </c>
      <c r="E87" s="250">
        <v>0</v>
      </c>
      <c r="F87" s="250">
        <v>0</v>
      </c>
      <c r="G87" s="250">
        <v>1</v>
      </c>
      <c r="H87" s="250">
        <v>0</v>
      </c>
      <c r="I87" s="195"/>
    </row>
    <row r="88" spans="1:9" ht="12.75">
      <c r="A88" s="177" t="s">
        <v>3324</v>
      </c>
      <c r="B88" s="246">
        <f t="shared" si="11"/>
        <v>1</v>
      </c>
      <c r="C88" s="250">
        <v>0</v>
      </c>
      <c r="D88" s="250">
        <v>1</v>
      </c>
      <c r="E88" s="250">
        <v>0</v>
      </c>
      <c r="F88" s="250">
        <v>0</v>
      </c>
      <c r="G88" s="250">
        <v>0</v>
      </c>
      <c r="H88" s="250">
        <v>0</v>
      </c>
      <c r="I88" s="195"/>
    </row>
    <row r="89" spans="1:9">
      <c r="A89" s="2948" t="s">
        <v>17</v>
      </c>
      <c r="B89" s="246">
        <f t="shared" si="11"/>
        <v>7</v>
      </c>
      <c r="C89" s="2952">
        <f t="shared" ref="C89:H89" si="14">SUM(C90:C93)</f>
        <v>0</v>
      </c>
      <c r="D89" s="2952">
        <f t="shared" si="14"/>
        <v>0</v>
      </c>
      <c r="E89" s="2952">
        <f t="shared" si="14"/>
        <v>0</v>
      </c>
      <c r="F89" s="2952">
        <f t="shared" si="14"/>
        <v>0</v>
      </c>
      <c r="G89" s="2952">
        <f t="shared" si="14"/>
        <v>6</v>
      </c>
      <c r="H89" s="2952">
        <f t="shared" si="14"/>
        <v>1</v>
      </c>
      <c r="I89" s="195"/>
    </row>
    <row r="90" spans="1:9">
      <c r="A90" s="177" t="s">
        <v>2986</v>
      </c>
      <c r="B90" s="246">
        <f t="shared" si="11"/>
        <v>1</v>
      </c>
      <c r="C90" s="250">
        <v>0</v>
      </c>
      <c r="D90" s="250">
        <v>0</v>
      </c>
      <c r="E90" s="250">
        <v>0</v>
      </c>
      <c r="F90" s="250">
        <v>0</v>
      </c>
      <c r="G90" s="250">
        <v>1</v>
      </c>
      <c r="H90" s="250">
        <v>0</v>
      </c>
      <c r="I90" s="195"/>
    </row>
    <row r="91" spans="1:9">
      <c r="A91" s="244" t="s">
        <v>2985</v>
      </c>
      <c r="B91" s="246">
        <f t="shared" si="11"/>
        <v>1</v>
      </c>
      <c r="C91" s="250">
        <v>0</v>
      </c>
      <c r="D91" s="250">
        <v>0</v>
      </c>
      <c r="E91" s="250">
        <v>0</v>
      </c>
      <c r="F91" s="250">
        <v>0</v>
      </c>
      <c r="G91" s="250">
        <v>1</v>
      </c>
      <c r="H91" s="250">
        <v>0</v>
      </c>
      <c r="I91" s="195"/>
    </row>
    <row r="92" spans="1:9">
      <c r="A92" s="177" t="s">
        <v>2981</v>
      </c>
      <c r="B92" s="246">
        <f t="shared" si="11"/>
        <v>1</v>
      </c>
      <c r="C92" s="250">
        <v>0</v>
      </c>
      <c r="D92" s="250">
        <v>0</v>
      </c>
      <c r="E92" s="250">
        <v>0</v>
      </c>
      <c r="F92" s="250">
        <v>0</v>
      </c>
      <c r="G92" s="250">
        <v>1</v>
      </c>
      <c r="H92" s="250">
        <v>0</v>
      </c>
      <c r="I92" s="195"/>
    </row>
    <row r="93" spans="1:9" ht="12.75">
      <c r="A93" s="177" t="s">
        <v>3324</v>
      </c>
      <c r="B93" s="246">
        <f t="shared" si="11"/>
        <v>4</v>
      </c>
      <c r="C93" s="250">
        <v>0</v>
      </c>
      <c r="D93" s="250">
        <v>0</v>
      </c>
      <c r="E93" s="250">
        <v>0</v>
      </c>
      <c r="F93" s="250">
        <v>0</v>
      </c>
      <c r="G93" s="250">
        <v>3</v>
      </c>
      <c r="H93" s="250">
        <v>1</v>
      </c>
      <c r="I93" s="195"/>
    </row>
    <row r="94" spans="1:9">
      <c r="A94" s="2948" t="s">
        <v>18</v>
      </c>
      <c r="B94" s="246">
        <f t="shared" si="11"/>
        <v>14</v>
      </c>
      <c r="C94" s="2952">
        <f t="shared" ref="C94:H94" si="15">SUM(C95:C97)</f>
        <v>1</v>
      </c>
      <c r="D94" s="2952">
        <f t="shared" si="15"/>
        <v>2</v>
      </c>
      <c r="E94" s="2952">
        <f t="shared" si="15"/>
        <v>0</v>
      </c>
      <c r="F94" s="2952">
        <f t="shared" si="15"/>
        <v>0</v>
      </c>
      <c r="G94" s="2952">
        <f t="shared" si="15"/>
        <v>3</v>
      </c>
      <c r="H94" s="2952">
        <f t="shared" si="15"/>
        <v>8</v>
      </c>
      <c r="I94" s="195"/>
    </row>
    <row r="95" spans="1:9">
      <c r="A95" s="196" t="s">
        <v>2982</v>
      </c>
      <c r="B95" s="246">
        <f t="shared" si="11"/>
        <v>1</v>
      </c>
      <c r="C95" s="250">
        <v>0</v>
      </c>
      <c r="D95" s="250">
        <v>1</v>
      </c>
      <c r="E95" s="250">
        <v>0</v>
      </c>
      <c r="F95" s="250">
        <v>0</v>
      </c>
      <c r="G95" s="250">
        <v>0</v>
      </c>
      <c r="H95" s="250">
        <v>0</v>
      </c>
      <c r="I95" s="195"/>
    </row>
    <row r="96" spans="1:9">
      <c r="A96" s="196" t="s">
        <v>2984</v>
      </c>
      <c r="B96" s="246">
        <f t="shared" si="11"/>
        <v>1</v>
      </c>
      <c r="C96" s="250">
        <v>0</v>
      </c>
      <c r="D96" s="250">
        <v>1</v>
      </c>
      <c r="E96" s="250">
        <v>0</v>
      </c>
      <c r="F96" s="250">
        <v>0</v>
      </c>
      <c r="G96" s="250">
        <v>0</v>
      </c>
      <c r="H96" s="250">
        <v>0</v>
      </c>
      <c r="I96" s="195"/>
    </row>
    <row r="97" spans="1:9" ht="12.75">
      <c r="A97" s="177" t="s">
        <v>3324</v>
      </c>
      <c r="B97" s="246">
        <f t="shared" si="11"/>
        <v>12</v>
      </c>
      <c r="C97" s="250">
        <v>1</v>
      </c>
      <c r="D97" s="250">
        <v>0</v>
      </c>
      <c r="E97" s="250">
        <v>0</v>
      </c>
      <c r="F97" s="250">
        <v>0</v>
      </c>
      <c r="G97" s="250">
        <v>3</v>
      </c>
      <c r="H97" s="250">
        <v>8</v>
      </c>
      <c r="I97" s="195"/>
    </row>
    <row r="98" spans="1:9">
      <c r="A98" s="2948" t="s">
        <v>19</v>
      </c>
      <c r="B98" s="246">
        <f t="shared" si="11"/>
        <v>1</v>
      </c>
      <c r="C98" s="2952">
        <f t="shared" ref="C98:H98" si="16">SUM(C99)</f>
        <v>0</v>
      </c>
      <c r="D98" s="2952">
        <f t="shared" si="16"/>
        <v>0</v>
      </c>
      <c r="E98" s="2952">
        <f t="shared" si="16"/>
        <v>0</v>
      </c>
      <c r="F98" s="2952">
        <f t="shared" si="16"/>
        <v>0</v>
      </c>
      <c r="G98" s="2952">
        <f t="shared" si="16"/>
        <v>1</v>
      </c>
      <c r="H98" s="2952">
        <f t="shared" si="16"/>
        <v>0</v>
      </c>
      <c r="I98" s="177"/>
    </row>
    <row r="99" spans="1:9" ht="12.75">
      <c r="A99" s="177" t="s">
        <v>3324</v>
      </c>
      <c r="B99" s="246">
        <f t="shared" si="11"/>
        <v>1</v>
      </c>
      <c r="C99" s="250">
        <v>0</v>
      </c>
      <c r="D99" s="250">
        <v>0</v>
      </c>
      <c r="E99" s="250">
        <v>0</v>
      </c>
      <c r="F99" s="250">
        <v>0</v>
      </c>
      <c r="G99" s="250">
        <v>1</v>
      </c>
      <c r="H99" s="250">
        <v>0</v>
      </c>
      <c r="I99" s="195"/>
    </row>
    <row r="100" spans="1:9">
      <c r="A100" s="2948" t="s">
        <v>20</v>
      </c>
      <c r="B100" s="246">
        <f t="shared" si="11"/>
        <v>3</v>
      </c>
      <c r="C100" s="2952">
        <f t="shared" ref="C100:H100" si="17">SUM(C101:C103)</f>
        <v>1</v>
      </c>
      <c r="D100" s="2952">
        <f t="shared" si="17"/>
        <v>0</v>
      </c>
      <c r="E100" s="2952">
        <f t="shared" si="17"/>
        <v>0</v>
      </c>
      <c r="F100" s="2952">
        <f t="shared" si="17"/>
        <v>0</v>
      </c>
      <c r="G100" s="2952">
        <f t="shared" si="17"/>
        <v>1</v>
      </c>
      <c r="H100" s="2952">
        <f t="shared" si="17"/>
        <v>1</v>
      </c>
      <c r="I100" s="195"/>
    </row>
    <row r="101" spans="1:9">
      <c r="A101" s="244" t="s">
        <v>2983</v>
      </c>
      <c r="B101" s="246">
        <f t="shared" si="11"/>
        <v>1</v>
      </c>
      <c r="C101" s="250">
        <v>0</v>
      </c>
      <c r="D101" s="250">
        <v>0</v>
      </c>
      <c r="E101" s="250">
        <v>0</v>
      </c>
      <c r="F101" s="250">
        <v>0</v>
      </c>
      <c r="G101" s="250">
        <v>0</v>
      </c>
      <c r="H101" s="250">
        <v>1</v>
      </c>
    </row>
    <row r="102" spans="1:9">
      <c r="A102" s="244" t="s">
        <v>2980</v>
      </c>
      <c r="B102" s="246">
        <f t="shared" si="11"/>
        <v>1</v>
      </c>
      <c r="C102" s="250">
        <v>1</v>
      </c>
      <c r="D102" s="250">
        <v>0</v>
      </c>
      <c r="E102" s="250">
        <v>0</v>
      </c>
      <c r="F102" s="250">
        <v>0</v>
      </c>
      <c r="G102" s="250">
        <v>0</v>
      </c>
      <c r="H102" s="250">
        <v>0</v>
      </c>
    </row>
    <row r="103" spans="1:9" ht="12.75">
      <c r="A103" s="177" t="s">
        <v>3324</v>
      </c>
      <c r="B103" s="246">
        <f t="shared" ref="B103:B108" si="18">SUM(C103:H103)</f>
        <v>1</v>
      </c>
      <c r="C103" s="250">
        <v>0</v>
      </c>
      <c r="D103" s="250">
        <v>0</v>
      </c>
      <c r="E103" s="250">
        <v>0</v>
      </c>
      <c r="F103" s="250">
        <v>0</v>
      </c>
      <c r="G103" s="250">
        <v>1</v>
      </c>
      <c r="H103" s="250">
        <v>0</v>
      </c>
    </row>
    <row r="104" spans="1:9">
      <c r="A104" s="2948" t="s">
        <v>21</v>
      </c>
      <c r="B104" s="246">
        <f t="shared" si="18"/>
        <v>5</v>
      </c>
      <c r="C104" s="2952">
        <f t="shared" ref="C104:H104" si="19">SUM(C105:C108)</f>
        <v>0</v>
      </c>
      <c r="D104" s="2952">
        <f t="shared" si="19"/>
        <v>1</v>
      </c>
      <c r="E104" s="2952">
        <f t="shared" si="19"/>
        <v>0</v>
      </c>
      <c r="F104" s="2952">
        <f t="shared" si="19"/>
        <v>0</v>
      </c>
      <c r="G104" s="2952">
        <f t="shared" si="19"/>
        <v>4</v>
      </c>
      <c r="H104" s="2952">
        <f t="shared" si="19"/>
        <v>0</v>
      </c>
    </row>
    <row r="105" spans="1:9">
      <c r="A105" s="177" t="s">
        <v>2982</v>
      </c>
      <c r="B105" s="246">
        <f t="shared" si="18"/>
        <v>2</v>
      </c>
      <c r="C105" s="250">
        <v>0</v>
      </c>
      <c r="D105" s="250">
        <v>0</v>
      </c>
      <c r="E105" s="250">
        <v>0</v>
      </c>
      <c r="F105" s="250">
        <v>0</v>
      </c>
      <c r="G105" s="250">
        <v>2</v>
      </c>
      <c r="H105" s="250">
        <v>0</v>
      </c>
    </row>
    <row r="106" spans="1:9">
      <c r="A106" s="177" t="s">
        <v>2981</v>
      </c>
      <c r="B106" s="246">
        <f t="shared" si="18"/>
        <v>1</v>
      </c>
      <c r="C106" s="250">
        <v>0</v>
      </c>
      <c r="D106" s="250">
        <v>0</v>
      </c>
      <c r="E106" s="250">
        <v>0</v>
      </c>
      <c r="F106" s="250">
        <v>0</v>
      </c>
      <c r="G106" s="250">
        <v>1</v>
      </c>
      <c r="H106" s="250">
        <v>0</v>
      </c>
    </row>
    <row r="107" spans="1:9">
      <c r="A107" s="177" t="s">
        <v>2980</v>
      </c>
      <c r="B107" s="246">
        <f t="shared" si="18"/>
        <v>1</v>
      </c>
      <c r="C107" s="250">
        <v>0</v>
      </c>
      <c r="D107" s="250">
        <v>0</v>
      </c>
      <c r="E107" s="250">
        <v>0</v>
      </c>
      <c r="F107" s="250">
        <v>0</v>
      </c>
      <c r="G107" s="250">
        <v>1</v>
      </c>
      <c r="H107" s="250">
        <v>0</v>
      </c>
    </row>
    <row r="108" spans="1:9" ht="12.75">
      <c r="A108" s="177" t="s">
        <v>3324</v>
      </c>
      <c r="B108" s="246">
        <f t="shared" si="18"/>
        <v>1</v>
      </c>
      <c r="C108" s="250">
        <v>0</v>
      </c>
      <c r="D108" s="250">
        <v>1</v>
      </c>
      <c r="E108" s="250">
        <v>0</v>
      </c>
      <c r="F108" s="250">
        <v>0</v>
      </c>
      <c r="G108" s="250">
        <v>0</v>
      </c>
      <c r="H108" s="250">
        <v>0</v>
      </c>
    </row>
    <row r="109" spans="1:9">
      <c r="A109" s="245"/>
      <c r="B109" s="246"/>
      <c r="C109" s="247"/>
      <c r="D109" s="247"/>
      <c r="E109" s="247"/>
      <c r="F109" s="247"/>
      <c r="G109" s="247"/>
      <c r="H109" s="247"/>
    </row>
    <row r="110" spans="1:9">
      <c r="A110" s="2628" t="s">
        <v>3325</v>
      </c>
      <c r="B110" s="2628"/>
      <c r="C110" s="2628"/>
      <c r="D110" s="2628"/>
      <c r="E110" s="2628"/>
      <c r="F110" s="2628"/>
      <c r="G110" s="193"/>
      <c r="H110" s="193"/>
    </row>
    <row r="111" spans="1:9">
      <c r="A111" s="189" t="s">
        <v>22</v>
      </c>
    </row>
    <row r="112" spans="1:9">
      <c r="A112" s="164" t="s">
        <v>2926</v>
      </c>
    </row>
  </sheetData>
  <mergeCells count="5">
    <mergeCell ref="A2:H2"/>
    <mergeCell ref="A4:A5"/>
    <mergeCell ref="B4:B5"/>
    <mergeCell ref="C4:H4"/>
    <mergeCell ref="A110:F110"/>
  </mergeCells>
  <pageMargins left="0.39370078740157483" right="0.39370078740157483" top="0.59055118110236227" bottom="0.39370078740157483" header="0" footer="0"/>
  <pageSetup paperSize="14" scale="73" orientation="portrait" r:id="rId1"/>
  <headerFooter alignWithMargins="0"/>
</worksheet>
</file>

<file path=xl/worksheets/sheet317.xml><?xml version="1.0" encoding="utf-8"?>
<worksheet xmlns="http://schemas.openxmlformats.org/spreadsheetml/2006/main" xmlns:r="http://schemas.openxmlformats.org/officeDocument/2006/relationships">
  <dimension ref="A2:K24"/>
  <sheetViews>
    <sheetView showGridLines="0" zoomScaleNormal="100" workbookViewId="0">
      <selection activeCell="C31" sqref="C31"/>
    </sheetView>
  </sheetViews>
  <sheetFormatPr baseColWidth="10" defaultRowHeight="11.25"/>
  <cols>
    <col min="1" max="1" width="16.85546875" style="191" customWidth="1"/>
    <col min="2" max="2" width="9" style="191" customWidth="1"/>
    <col min="3" max="8" width="19" style="243" customWidth="1"/>
    <col min="9" max="9" width="11.42578125" style="223"/>
    <col min="10" max="16384" width="11.42578125" style="191"/>
  </cols>
  <sheetData>
    <row r="2" spans="1:11" ht="31.5" customHeight="1">
      <c r="A2" s="2634" t="s">
        <v>3014</v>
      </c>
      <c r="B2" s="2634"/>
      <c r="C2" s="2634"/>
      <c r="D2" s="2634"/>
      <c r="E2" s="2634"/>
      <c r="F2" s="2634"/>
      <c r="G2" s="2634"/>
      <c r="H2" s="2634"/>
      <c r="I2" s="191"/>
    </row>
    <row r="4" spans="1:11">
      <c r="A4" s="2946" t="s">
        <v>0</v>
      </c>
      <c r="B4" s="2946" t="s">
        <v>26</v>
      </c>
      <c r="C4" s="2946" t="s">
        <v>3013</v>
      </c>
      <c r="D4" s="2946"/>
      <c r="E4" s="2946"/>
      <c r="F4" s="2946"/>
      <c r="G4" s="2946"/>
      <c r="H4" s="2946"/>
      <c r="I4" s="191"/>
    </row>
    <row r="5" spans="1:11" ht="81.75" customHeight="1">
      <c r="A5" s="2946"/>
      <c r="B5" s="2946"/>
      <c r="C5" s="2947" t="s">
        <v>3012</v>
      </c>
      <c r="D5" s="2947" t="s">
        <v>3011</v>
      </c>
      <c r="E5" s="2947" t="s">
        <v>3005</v>
      </c>
      <c r="F5" s="2947" t="s">
        <v>2977</v>
      </c>
      <c r="G5" s="2947" t="s">
        <v>2976</v>
      </c>
      <c r="H5" s="2957" t="s">
        <v>3010</v>
      </c>
      <c r="I5" s="237"/>
      <c r="J5" s="237"/>
      <c r="K5" s="237"/>
    </row>
    <row r="6" spans="1:11">
      <c r="A6" s="191" t="s">
        <v>6</v>
      </c>
      <c r="B6" s="2953">
        <f t="shared" ref="B6:B21" si="0">SUM(C6:H6)</f>
        <v>1113</v>
      </c>
      <c r="C6" s="2954">
        <f t="shared" ref="C6:H6" si="1">SUM(C7:C21)</f>
        <v>87</v>
      </c>
      <c r="D6" s="2954">
        <f t="shared" si="1"/>
        <v>158</v>
      </c>
      <c r="E6" s="2954">
        <f t="shared" si="1"/>
        <v>15</v>
      </c>
      <c r="F6" s="2954">
        <f t="shared" si="1"/>
        <v>31</v>
      </c>
      <c r="G6" s="2954">
        <f t="shared" si="1"/>
        <v>782</v>
      </c>
      <c r="H6" s="2954">
        <f t="shared" si="1"/>
        <v>40</v>
      </c>
      <c r="I6" s="191"/>
    </row>
    <row r="7" spans="1:11">
      <c r="A7" s="2955" t="s">
        <v>7</v>
      </c>
      <c r="B7" s="2953">
        <f t="shared" si="0"/>
        <v>62</v>
      </c>
      <c r="C7" s="2956">
        <v>2</v>
      </c>
      <c r="D7" s="2956">
        <v>12</v>
      </c>
      <c r="E7" s="2956">
        <v>0</v>
      </c>
      <c r="F7" s="2956">
        <v>2</v>
      </c>
      <c r="G7" s="2956">
        <v>37</v>
      </c>
      <c r="H7" s="2956">
        <v>9</v>
      </c>
      <c r="I7" s="191"/>
    </row>
    <row r="8" spans="1:11">
      <c r="A8" s="2955" t="s">
        <v>8</v>
      </c>
      <c r="B8" s="2953">
        <f t="shared" si="0"/>
        <v>94</v>
      </c>
      <c r="C8" s="2956">
        <v>0</v>
      </c>
      <c r="D8" s="2956">
        <v>9</v>
      </c>
      <c r="E8" s="2956">
        <v>1</v>
      </c>
      <c r="F8" s="2956">
        <v>2</v>
      </c>
      <c r="G8" s="2956">
        <v>82</v>
      </c>
      <c r="H8" s="2956">
        <v>0</v>
      </c>
      <c r="I8" s="191"/>
    </row>
    <row r="9" spans="1:11">
      <c r="A9" s="2955" t="s">
        <v>9</v>
      </c>
      <c r="B9" s="2953">
        <f t="shared" si="0"/>
        <v>38</v>
      </c>
      <c r="C9" s="2956">
        <v>5</v>
      </c>
      <c r="D9" s="2956">
        <v>2</v>
      </c>
      <c r="E9" s="2956">
        <v>1</v>
      </c>
      <c r="F9" s="2956">
        <v>0</v>
      </c>
      <c r="G9" s="2956">
        <v>30</v>
      </c>
      <c r="H9" s="2956">
        <v>0</v>
      </c>
      <c r="I9" s="191"/>
    </row>
    <row r="10" spans="1:11">
      <c r="A10" s="2955" t="s">
        <v>10</v>
      </c>
      <c r="B10" s="2953">
        <f t="shared" si="0"/>
        <v>60</v>
      </c>
      <c r="C10" s="2956">
        <v>4</v>
      </c>
      <c r="D10" s="2956">
        <v>10</v>
      </c>
      <c r="E10" s="2956">
        <v>1</v>
      </c>
      <c r="F10" s="2956">
        <v>0</v>
      </c>
      <c r="G10" s="2956">
        <v>43</v>
      </c>
      <c r="H10" s="2956">
        <v>2</v>
      </c>
      <c r="I10" s="191"/>
    </row>
    <row r="11" spans="1:11">
      <c r="A11" s="2955" t="s">
        <v>11</v>
      </c>
      <c r="B11" s="2953">
        <f t="shared" si="0"/>
        <v>69</v>
      </c>
      <c r="C11" s="2956">
        <v>7</v>
      </c>
      <c r="D11" s="2956">
        <v>13</v>
      </c>
      <c r="E11" s="2956">
        <v>0</v>
      </c>
      <c r="F11" s="2956">
        <v>6</v>
      </c>
      <c r="G11" s="2956">
        <v>42</v>
      </c>
      <c r="H11" s="2956">
        <v>1</v>
      </c>
      <c r="I11" s="191"/>
    </row>
    <row r="12" spans="1:11">
      <c r="A12" s="2955" t="s">
        <v>12</v>
      </c>
      <c r="B12" s="2953">
        <f t="shared" si="0"/>
        <v>146</v>
      </c>
      <c r="C12" s="2956">
        <v>8</v>
      </c>
      <c r="D12" s="2956">
        <v>27</v>
      </c>
      <c r="E12" s="2956">
        <v>0</v>
      </c>
      <c r="F12" s="2956">
        <v>0</v>
      </c>
      <c r="G12" s="2956">
        <v>97</v>
      </c>
      <c r="H12" s="2956">
        <v>14</v>
      </c>
      <c r="I12" s="191"/>
    </row>
    <row r="13" spans="1:11">
      <c r="A13" s="2955" t="s">
        <v>13</v>
      </c>
      <c r="B13" s="2953">
        <f t="shared" si="0"/>
        <v>342</v>
      </c>
      <c r="C13" s="2956">
        <v>38</v>
      </c>
      <c r="D13" s="2956">
        <v>36</v>
      </c>
      <c r="E13" s="2956">
        <v>3</v>
      </c>
      <c r="F13" s="2956">
        <v>11</v>
      </c>
      <c r="G13" s="2956">
        <v>251</v>
      </c>
      <c r="H13" s="2956">
        <v>3</v>
      </c>
      <c r="I13" s="191"/>
    </row>
    <row r="14" spans="1:11">
      <c r="A14" s="2955" t="s">
        <v>14</v>
      </c>
      <c r="B14" s="2953">
        <f t="shared" si="0"/>
        <v>23</v>
      </c>
      <c r="C14" s="2956">
        <v>1</v>
      </c>
      <c r="D14" s="2956">
        <v>10</v>
      </c>
      <c r="E14" s="2956">
        <v>0</v>
      </c>
      <c r="F14" s="2956">
        <v>1</v>
      </c>
      <c r="G14" s="2956">
        <v>11</v>
      </c>
      <c r="H14" s="2956">
        <v>0</v>
      </c>
      <c r="I14" s="191"/>
    </row>
    <row r="15" spans="1:11">
      <c r="A15" s="2955" t="s">
        <v>15</v>
      </c>
      <c r="B15" s="2953">
        <f t="shared" si="0"/>
        <v>65</v>
      </c>
      <c r="C15" s="2956">
        <v>8</v>
      </c>
      <c r="D15" s="2956">
        <v>4</v>
      </c>
      <c r="E15" s="2956">
        <v>1</v>
      </c>
      <c r="F15" s="2956">
        <v>1</v>
      </c>
      <c r="G15" s="2956">
        <v>50</v>
      </c>
      <c r="H15" s="2956">
        <v>1</v>
      </c>
      <c r="I15" s="191"/>
    </row>
    <row r="16" spans="1:11">
      <c r="A16" s="2955" t="s">
        <v>16</v>
      </c>
      <c r="B16" s="2953">
        <f t="shared" si="0"/>
        <v>66</v>
      </c>
      <c r="C16" s="2956">
        <v>3</v>
      </c>
      <c r="D16" s="2956">
        <v>6</v>
      </c>
      <c r="E16" s="2956">
        <v>5</v>
      </c>
      <c r="F16" s="2956">
        <v>0</v>
      </c>
      <c r="G16" s="2956">
        <v>51</v>
      </c>
      <c r="H16" s="2956">
        <v>1</v>
      </c>
      <c r="I16" s="191"/>
    </row>
    <row r="17" spans="1:9">
      <c r="A17" s="2955" t="s">
        <v>17</v>
      </c>
      <c r="B17" s="2953">
        <f t="shared" si="0"/>
        <v>34</v>
      </c>
      <c r="C17" s="2956">
        <v>1</v>
      </c>
      <c r="D17" s="2956">
        <v>6</v>
      </c>
      <c r="E17" s="2956">
        <v>0</v>
      </c>
      <c r="F17" s="2956">
        <v>0</v>
      </c>
      <c r="G17" s="2956">
        <v>27</v>
      </c>
      <c r="H17" s="2956">
        <v>0</v>
      </c>
      <c r="I17" s="191"/>
    </row>
    <row r="18" spans="1:9">
      <c r="A18" s="2955" t="s">
        <v>18</v>
      </c>
      <c r="B18" s="2953">
        <f t="shared" si="0"/>
        <v>31</v>
      </c>
      <c r="C18" s="2956">
        <v>5</v>
      </c>
      <c r="D18" s="2956">
        <v>3</v>
      </c>
      <c r="E18" s="2956">
        <v>0</v>
      </c>
      <c r="F18" s="2956">
        <v>7</v>
      </c>
      <c r="G18" s="2956">
        <v>7</v>
      </c>
      <c r="H18" s="2956">
        <v>9</v>
      </c>
      <c r="I18" s="191"/>
    </row>
    <row r="19" spans="1:9">
      <c r="A19" s="2955" t="s">
        <v>19</v>
      </c>
      <c r="B19" s="2953">
        <f t="shared" si="0"/>
        <v>66</v>
      </c>
      <c r="C19" s="2956">
        <v>3</v>
      </c>
      <c r="D19" s="2956">
        <v>19</v>
      </c>
      <c r="E19" s="2956">
        <v>3</v>
      </c>
      <c r="F19" s="2956">
        <v>1</v>
      </c>
      <c r="G19" s="2956">
        <v>40</v>
      </c>
      <c r="H19" s="2956">
        <v>0</v>
      </c>
      <c r="I19" s="191"/>
    </row>
    <row r="20" spans="1:9">
      <c r="A20" s="2955" t="s">
        <v>20</v>
      </c>
      <c r="B20" s="2953">
        <f t="shared" si="0"/>
        <v>3</v>
      </c>
      <c r="C20" s="2956">
        <v>2</v>
      </c>
      <c r="D20" s="2956">
        <v>0</v>
      </c>
      <c r="E20" s="2956">
        <v>0</v>
      </c>
      <c r="F20" s="2956">
        <v>0</v>
      </c>
      <c r="G20" s="2956">
        <v>1</v>
      </c>
      <c r="H20" s="2956">
        <v>0</v>
      </c>
      <c r="I20" s="191"/>
    </row>
    <row r="21" spans="1:9">
      <c r="A21" s="2955" t="s">
        <v>21</v>
      </c>
      <c r="B21" s="2953">
        <f t="shared" si="0"/>
        <v>14</v>
      </c>
      <c r="C21" s="2956">
        <v>0</v>
      </c>
      <c r="D21" s="2956">
        <v>1</v>
      </c>
      <c r="E21" s="2956">
        <v>0</v>
      </c>
      <c r="F21" s="2956">
        <v>0</v>
      </c>
      <c r="G21" s="2956">
        <v>13</v>
      </c>
      <c r="H21" s="2956">
        <v>0</v>
      </c>
      <c r="I21" s="191"/>
    </row>
    <row r="22" spans="1:9">
      <c r="A22" s="238"/>
      <c r="B22" s="239"/>
      <c r="C22" s="240"/>
      <c r="D22" s="240"/>
      <c r="E22" s="240"/>
      <c r="F22" s="240"/>
      <c r="G22" s="240"/>
      <c r="H22" s="240"/>
      <c r="I22" s="191"/>
    </row>
    <row r="23" spans="1:9">
      <c r="A23" s="241" t="s">
        <v>22</v>
      </c>
      <c r="B23" s="239"/>
      <c r="C23" s="240"/>
      <c r="D23" s="240"/>
      <c r="E23" s="240"/>
      <c r="F23" s="240"/>
      <c r="G23" s="240"/>
      <c r="H23" s="240"/>
      <c r="I23" s="191"/>
    </row>
    <row r="24" spans="1:9">
      <c r="A24" s="164" t="s">
        <v>2926</v>
      </c>
      <c r="C24" s="242"/>
      <c r="D24" s="242"/>
      <c r="E24" s="242"/>
      <c r="F24" s="242"/>
      <c r="G24" s="242"/>
      <c r="H24" s="242"/>
      <c r="I24" s="191"/>
    </row>
  </sheetData>
  <mergeCells count="4">
    <mergeCell ref="A2:H2"/>
    <mergeCell ref="A4:A5"/>
    <mergeCell ref="B4:B5"/>
    <mergeCell ref="C4:H4"/>
  </mergeCells>
  <pageMargins left="0.70866141732283472" right="0.70866141732283472" top="0.74803149606299213" bottom="0.74803149606299213" header="0.31496062992125984" footer="0.31496062992125984"/>
  <pageSetup paperSize="14" orientation="landscape" r:id="rId1"/>
  <headerFooter alignWithMargins="0"/>
</worksheet>
</file>

<file path=xl/worksheets/sheet318.xml><?xml version="1.0" encoding="utf-8"?>
<worksheet xmlns="http://schemas.openxmlformats.org/spreadsheetml/2006/main" xmlns:r="http://schemas.openxmlformats.org/officeDocument/2006/relationships">
  <dimension ref="A2:K56"/>
  <sheetViews>
    <sheetView showGridLines="0" zoomScaleNormal="100" workbookViewId="0">
      <selection activeCell="I8" sqref="I8"/>
    </sheetView>
  </sheetViews>
  <sheetFormatPr baseColWidth="10" defaultRowHeight="11.25"/>
  <cols>
    <col min="1" max="1" width="23.42578125" style="191" customWidth="1"/>
    <col min="2" max="2" width="9" style="191" customWidth="1"/>
    <col min="3" max="3" width="18.7109375" style="191" customWidth="1"/>
    <col min="4" max="4" width="19.7109375" style="191" customWidth="1"/>
    <col min="5" max="5" width="17" style="191" customWidth="1"/>
    <col min="6" max="6" width="22.28515625" style="191" customWidth="1"/>
    <col min="7" max="7" width="19.140625" style="191" customWidth="1"/>
    <col min="8" max="8" width="23.28515625" style="191" customWidth="1"/>
    <col min="9" max="9" width="11.42578125" style="191"/>
    <col min="10" max="10" width="18.7109375" style="191" customWidth="1"/>
    <col min="11" max="11" width="9.5703125" style="191" customWidth="1"/>
    <col min="12" max="17" width="12.42578125" style="191" customWidth="1"/>
    <col min="18" max="16384" width="11.42578125" style="191"/>
  </cols>
  <sheetData>
    <row r="2" spans="1:11" ht="34.5" customHeight="1">
      <c r="A2" s="2631" t="s">
        <v>3016</v>
      </c>
      <c r="B2" s="2631"/>
      <c r="C2" s="2631"/>
      <c r="D2" s="2631"/>
      <c r="E2" s="2631"/>
      <c r="F2" s="2631"/>
      <c r="G2" s="2631"/>
      <c r="H2" s="2631"/>
    </row>
    <row r="4" spans="1:11" s="195" customFormat="1" ht="15.75" customHeight="1">
      <c r="A4" s="2200" t="s">
        <v>3015</v>
      </c>
      <c r="B4" s="2174" t="s">
        <v>26</v>
      </c>
      <c r="C4" s="2946" t="s">
        <v>3013</v>
      </c>
      <c r="D4" s="2946"/>
      <c r="E4" s="2946"/>
      <c r="F4" s="2946"/>
      <c r="G4" s="2946"/>
      <c r="H4" s="2946"/>
    </row>
    <row r="5" spans="1:11" s="195" customFormat="1" ht="101.25">
      <c r="A5" s="2200"/>
      <c r="B5" s="2174"/>
      <c r="C5" s="2947" t="s">
        <v>3012</v>
      </c>
      <c r="D5" s="2947" t="s">
        <v>3011</v>
      </c>
      <c r="E5" s="2947" t="s">
        <v>3005</v>
      </c>
      <c r="F5" s="2947" t="s">
        <v>2977</v>
      </c>
      <c r="G5" s="2947" t="s">
        <v>2976</v>
      </c>
      <c r="H5" s="2957" t="s">
        <v>3004</v>
      </c>
      <c r="I5" s="233"/>
      <c r="J5" s="233"/>
    </row>
    <row r="6" spans="1:11">
      <c r="A6" s="191" t="s">
        <v>6</v>
      </c>
      <c r="B6" s="2958">
        <f t="shared" ref="B6:H6" si="0">SUM(B7:B8)</f>
        <v>1113</v>
      </c>
      <c r="C6" s="2958">
        <f t="shared" si="0"/>
        <v>87</v>
      </c>
      <c r="D6" s="2958">
        <f t="shared" si="0"/>
        <v>158</v>
      </c>
      <c r="E6" s="2958">
        <f t="shared" si="0"/>
        <v>15</v>
      </c>
      <c r="F6" s="2958">
        <f t="shared" si="0"/>
        <v>31</v>
      </c>
      <c r="G6" s="2958">
        <f t="shared" si="0"/>
        <v>782</v>
      </c>
      <c r="H6" s="2958">
        <f t="shared" si="0"/>
        <v>40</v>
      </c>
      <c r="I6" s="234"/>
      <c r="J6" s="177"/>
      <c r="K6" s="234"/>
    </row>
    <row r="7" spans="1:11">
      <c r="A7" s="191" t="s">
        <v>163</v>
      </c>
      <c r="B7" s="2958">
        <f t="shared" ref="B7:B53" si="1">SUM(C7:H7)</f>
        <v>802</v>
      </c>
      <c r="C7" s="2958">
        <f t="shared" ref="C7:H8" si="2">+C10+C13+C16+C19+C22+C25+C28+C31+C34+C37+C40+C43+C46+C49+C52</f>
        <v>64</v>
      </c>
      <c r="D7" s="2958">
        <f t="shared" si="2"/>
        <v>119</v>
      </c>
      <c r="E7" s="2958">
        <f t="shared" si="2"/>
        <v>13</v>
      </c>
      <c r="F7" s="2958">
        <f t="shared" si="2"/>
        <v>21</v>
      </c>
      <c r="G7" s="2958">
        <f t="shared" si="2"/>
        <v>557</v>
      </c>
      <c r="H7" s="2958">
        <f t="shared" si="2"/>
        <v>28</v>
      </c>
      <c r="J7" s="177"/>
      <c r="K7" s="234"/>
    </row>
    <row r="8" spans="1:11">
      <c r="A8" s="191" t="s">
        <v>164</v>
      </c>
      <c r="B8" s="2958">
        <f t="shared" si="1"/>
        <v>311</v>
      </c>
      <c r="C8" s="2958">
        <f t="shared" si="2"/>
        <v>23</v>
      </c>
      <c r="D8" s="2958">
        <f t="shared" si="2"/>
        <v>39</v>
      </c>
      <c r="E8" s="2958">
        <f t="shared" si="2"/>
        <v>2</v>
      </c>
      <c r="F8" s="2958">
        <f t="shared" si="2"/>
        <v>10</v>
      </c>
      <c r="G8" s="2958">
        <f t="shared" si="2"/>
        <v>225</v>
      </c>
      <c r="H8" s="2958">
        <f t="shared" si="2"/>
        <v>12</v>
      </c>
      <c r="J8" s="177"/>
      <c r="K8" s="234"/>
    </row>
    <row r="9" spans="1:11">
      <c r="A9" s="2959" t="s">
        <v>7</v>
      </c>
      <c r="B9" s="2958">
        <f t="shared" si="1"/>
        <v>62</v>
      </c>
      <c r="C9" s="2958">
        <f t="shared" ref="C9:H9" si="3">SUM(C10:C11)</f>
        <v>2</v>
      </c>
      <c r="D9" s="2958">
        <f t="shared" si="3"/>
        <v>12</v>
      </c>
      <c r="E9" s="2958">
        <f t="shared" si="3"/>
        <v>0</v>
      </c>
      <c r="F9" s="2958">
        <f t="shared" si="3"/>
        <v>2</v>
      </c>
      <c r="G9" s="2958">
        <f t="shared" si="3"/>
        <v>37</v>
      </c>
      <c r="H9" s="2958">
        <f t="shared" si="3"/>
        <v>9</v>
      </c>
      <c r="K9" s="234"/>
    </row>
    <row r="10" spans="1:11">
      <c r="A10" s="2960" t="s">
        <v>163</v>
      </c>
      <c r="B10" s="2958">
        <f t="shared" si="1"/>
        <v>27</v>
      </c>
      <c r="C10" s="2961">
        <v>0</v>
      </c>
      <c r="D10" s="2961">
        <v>4</v>
      </c>
      <c r="E10" s="2961">
        <v>0</v>
      </c>
      <c r="F10" s="2961">
        <v>0</v>
      </c>
      <c r="G10" s="2961">
        <v>14</v>
      </c>
      <c r="H10" s="2961">
        <v>9</v>
      </c>
      <c r="K10" s="234"/>
    </row>
    <row r="11" spans="1:11">
      <c r="A11" s="2960" t="s">
        <v>164</v>
      </c>
      <c r="B11" s="2958">
        <f t="shared" si="1"/>
        <v>35</v>
      </c>
      <c r="C11" s="2961">
        <v>2</v>
      </c>
      <c r="D11" s="2961">
        <v>8</v>
      </c>
      <c r="E11" s="2961">
        <v>0</v>
      </c>
      <c r="F11" s="2961">
        <v>2</v>
      </c>
      <c r="G11" s="2961">
        <v>23</v>
      </c>
      <c r="H11" s="2961">
        <v>0</v>
      </c>
      <c r="K11" s="234"/>
    </row>
    <row r="12" spans="1:11">
      <c r="A12" s="2962" t="s">
        <v>8</v>
      </c>
      <c r="B12" s="2958">
        <f t="shared" si="1"/>
        <v>94</v>
      </c>
      <c r="C12" s="2958">
        <f t="shared" ref="C12:H12" si="4">SUM(C13:C14)</f>
        <v>0</v>
      </c>
      <c r="D12" s="2958">
        <f t="shared" si="4"/>
        <v>9</v>
      </c>
      <c r="E12" s="2958">
        <f t="shared" si="4"/>
        <v>1</v>
      </c>
      <c r="F12" s="2958">
        <f t="shared" si="4"/>
        <v>2</v>
      </c>
      <c r="G12" s="2958">
        <f t="shared" si="4"/>
        <v>82</v>
      </c>
      <c r="H12" s="2958">
        <f t="shared" si="4"/>
        <v>0</v>
      </c>
      <c r="K12" s="234"/>
    </row>
    <row r="13" spans="1:11">
      <c r="A13" s="2960" t="s">
        <v>163</v>
      </c>
      <c r="B13" s="2958">
        <f t="shared" si="1"/>
        <v>55</v>
      </c>
      <c r="C13" s="2961">
        <v>0</v>
      </c>
      <c r="D13" s="2961">
        <v>7</v>
      </c>
      <c r="E13" s="2961">
        <v>1</v>
      </c>
      <c r="F13" s="2961">
        <v>2</v>
      </c>
      <c r="G13" s="2961">
        <v>45</v>
      </c>
      <c r="H13" s="2961">
        <v>0</v>
      </c>
      <c r="K13" s="234"/>
    </row>
    <row r="14" spans="1:11">
      <c r="A14" s="2960" t="s">
        <v>164</v>
      </c>
      <c r="B14" s="2958">
        <f t="shared" si="1"/>
        <v>39</v>
      </c>
      <c r="C14" s="2961">
        <v>0</v>
      </c>
      <c r="D14" s="2961">
        <v>2</v>
      </c>
      <c r="E14" s="2961">
        <v>0</v>
      </c>
      <c r="F14" s="2961">
        <v>0</v>
      </c>
      <c r="G14" s="2961">
        <v>37</v>
      </c>
      <c r="H14" s="2961">
        <v>0</v>
      </c>
      <c r="K14" s="234"/>
    </row>
    <row r="15" spans="1:11">
      <c r="A15" s="2962" t="s">
        <v>9</v>
      </c>
      <c r="B15" s="2958">
        <f t="shared" si="1"/>
        <v>38</v>
      </c>
      <c r="C15" s="2958">
        <f t="shared" ref="C15:H15" si="5">SUM(C16:C17)</f>
        <v>5</v>
      </c>
      <c r="D15" s="2958">
        <f t="shared" si="5"/>
        <v>2</v>
      </c>
      <c r="E15" s="2958">
        <f t="shared" si="5"/>
        <v>1</v>
      </c>
      <c r="F15" s="2958">
        <f t="shared" si="5"/>
        <v>0</v>
      </c>
      <c r="G15" s="2958">
        <f t="shared" si="5"/>
        <v>30</v>
      </c>
      <c r="H15" s="2958">
        <f t="shared" si="5"/>
        <v>0</v>
      </c>
      <c r="K15" s="234"/>
    </row>
    <row r="16" spans="1:11">
      <c r="A16" s="2960" t="s">
        <v>163</v>
      </c>
      <c r="B16" s="2958">
        <f t="shared" si="1"/>
        <v>22</v>
      </c>
      <c r="C16" s="2961">
        <v>2</v>
      </c>
      <c r="D16" s="2961">
        <v>2</v>
      </c>
      <c r="E16" s="2961">
        <v>1</v>
      </c>
      <c r="F16" s="2961">
        <v>0</v>
      </c>
      <c r="G16" s="2961">
        <v>17</v>
      </c>
      <c r="H16" s="2961">
        <v>0</v>
      </c>
      <c r="K16" s="234"/>
    </row>
    <row r="17" spans="1:11">
      <c r="A17" s="2960" t="s">
        <v>164</v>
      </c>
      <c r="B17" s="2958">
        <f t="shared" si="1"/>
        <v>16</v>
      </c>
      <c r="C17" s="2961">
        <v>3</v>
      </c>
      <c r="D17" s="2961">
        <v>0</v>
      </c>
      <c r="E17" s="2961">
        <v>0</v>
      </c>
      <c r="F17" s="2961">
        <v>0</v>
      </c>
      <c r="G17" s="2961">
        <v>13</v>
      </c>
      <c r="H17" s="2961">
        <v>0</v>
      </c>
      <c r="K17" s="234"/>
    </row>
    <row r="18" spans="1:11">
      <c r="A18" s="2962" t="s">
        <v>10</v>
      </c>
      <c r="B18" s="2958">
        <f t="shared" si="1"/>
        <v>60</v>
      </c>
      <c r="C18" s="2958">
        <f t="shared" ref="C18:H18" si="6">SUM(C19:C20)</f>
        <v>4</v>
      </c>
      <c r="D18" s="2958">
        <f t="shared" si="6"/>
        <v>10</v>
      </c>
      <c r="E18" s="2958">
        <f t="shared" si="6"/>
        <v>1</v>
      </c>
      <c r="F18" s="2958">
        <f t="shared" si="6"/>
        <v>0</v>
      </c>
      <c r="G18" s="2958">
        <f t="shared" si="6"/>
        <v>43</v>
      </c>
      <c r="H18" s="2958">
        <f t="shared" si="6"/>
        <v>2</v>
      </c>
      <c r="K18" s="234"/>
    </row>
    <row r="19" spans="1:11">
      <c r="A19" s="2960" t="s">
        <v>163</v>
      </c>
      <c r="B19" s="2958">
        <f t="shared" si="1"/>
        <v>49</v>
      </c>
      <c r="C19" s="2961">
        <v>4</v>
      </c>
      <c r="D19" s="2961">
        <v>8</v>
      </c>
      <c r="E19" s="2961">
        <v>0</v>
      </c>
      <c r="F19" s="2961">
        <v>0</v>
      </c>
      <c r="G19" s="2961">
        <v>36</v>
      </c>
      <c r="H19" s="2961">
        <v>1</v>
      </c>
      <c r="J19" s="177"/>
      <c r="K19" s="234"/>
    </row>
    <row r="20" spans="1:11">
      <c r="A20" s="2960" t="s">
        <v>164</v>
      </c>
      <c r="B20" s="2958">
        <f t="shared" si="1"/>
        <v>11</v>
      </c>
      <c r="C20" s="2961">
        <v>0</v>
      </c>
      <c r="D20" s="2961">
        <v>2</v>
      </c>
      <c r="E20" s="2961">
        <v>1</v>
      </c>
      <c r="F20" s="2961">
        <v>0</v>
      </c>
      <c r="G20" s="2961">
        <v>7</v>
      </c>
      <c r="H20" s="2961">
        <v>1</v>
      </c>
      <c r="J20" s="177"/>
      <c r="K20" s="234"/>
    </row>
    <row r="21" spans="1:11">
      <c r="A21" s="2962" t="s">
        <v>11</v>
      </c>
      <c r="B21" s="2958">
        <f t="shared" si="1"/>
        <v>69</v>
      </c>
      <c r="C21" s="2958">
        <f t="shared" ref="C21:H21" si="7">SUM(C22:C23)</f>
        <v>7</v>
      </c>
      <c r="D21" s="2958">
        <f t="shared" si="7"/>
        <v>13</v>
      </c>
      <c r="E21" s="2958">
        <f t="shared" si="7"/>
        <v>0</v>
      </c>
      <c r="F21" s="2958">
        <f t="shared" si="7"/>
        <v>6</v>
      </c>
      <c r="G21" s="2958">
        <f t="shared" si="7"/>
        <v>42</v>
      </c>
      <c r="H21" s="2958">
        <f t="shared" si="7"/>
        <v>1</v>
      </c>
      <c r="J21" s="177"/>
      <c r="K21" s="234"/>
    </row>
    <row r="22" spans="1:11">
      <c r="A22" s="2960" t="s">
        <v>163</v>
      </c>
      <c r="B22" s="2958">
        <f t="shared" si="1"/>
        <v>53</v>
      </c>
      <c r="C22" s="2961">
        <v>4</v>
      </c>
      <c r="D22" s="2961">
        <v>11</v>
      </c>
      <c r="E22" s="2961">
        <v>0</v>
      </c>
      <c r="F22" s="2961">
        <v>3</v>
      </c>
      <c r="G22" s="2961">
        <v>34</v>
      </c>
      <c r="H22" s="2961">
        <v>1</v>
      </c>
      <c r="J22" s="177"/>
      <c r="K22" s="234"/>
    </row>
    <row r="23" spans="1:11">
      <c r="A23" s="2960" t="s">
        <v>164</v>
      </c>
      <c r="B23" s="2958">
        <f t="shared" si="1"/>
        <v>16</v>
      </c>
      <c r="C23" s="2961">
        <v>3</v>
      </c>
      <c r="D23" s="2961">
        <v>2</v>
      </c>
      <c r="E23" s="2961">
        <v>0</v>
      </c>
      <c r="F23" s="2961">
        <v>3</v>
      </c>
      <c r="G23" s="2961">
        <v>8</v>
      </c>
      <c r="H23" s="2961">
        <v>0</v>
      </c>
      <c r="J23" s="177"/>
      <c r="K23" s="234"/>
    </row>
    <row r="24" spans="1:11">
      <c r="A24" s="2962" t="s">
        <v>12</v>
      </c>
      <c r="B24" s="2958">
        <f t="shared" si="1"/>
        <v>146</v>
      </c>
      <c r="C24" s="2958">
        <f t="shared" ref="C24:H24" si="8">SUM(C25:C26)</f>
        <v>8</v>
      </c>
      <c r="D24" s="2958">
        <f t="shared" si="8"/>
        <v>27</v>
      </c>
      <c r="E24" s="2958">
        <f t="shared" si="8"/>
        <v>0</v>
      </c>
      <c r="F24" s="2958">
        <f t="shared" si="8"/>
        <v>0</v>
      </c>
      <c r="G24" s="2958">
        <f t="shared" si="8"/>
        <v>97</v>
      </c>
      <c r="H24" s="2958">
        <f t="shared" si="8"/>
        <v>14</v>
      </c>
      <c r="J24" s="177"/>
      <c r="K24" s="234"/>
    </row>
    <row r="25" spans="1:11">
      <c r="A25" s="2960" t="s">
        <v>163</v>
      </c>
      <c r="B25" s="2958">
        <f t="shared" si="1"/>
        <v>117</v>
      </c>
      <c r="C25" s="2961">
        <v>8</v>
      </c>
      <c r="D25" s="2961">
        <v>24</v>
      </c>
      <c r="E25" s="2961">
        <v>0</v>
      </c>
      <c r="F25" s="2961">
        <v>0</v>
      </c>
      <c r="G25" s="2961">
        <v>79</v>
      </c>
      <c r="H25" s="2961">
        <v>6</v>
      </c>
      <c r="J25" s="177"/>
      <c r="K25" s="234"/>
    </row>
    <row r="26" spans="1:11">
      <c r="A26" s="2960" t="s">
        <v>164</v>
      </c>
      <c r="B26" s="2958">
        <f t="shared" si="1"/>
        <v>29</v>
      </c>
      <c r="C26" s="2961">
        <v>0</v>
      </c>
      <c r="D26" s="2961">
        <v>3</v>
      </c>
      <c r="E26" s="2961">
        <v>0</v>
      </c>
      <c r="F26" s="2961">
        <v>0</v>
      </c>
      <c r="G26" s="2961">
        <v>18</v>
      </c>
      <c r="H26" s="2961">
        <v>8</v>
      </c>
      <c r="J26" s="177"/>
      <c r="K26" s="234"/>
    </row>
    <row r="27" spans="1:11">
      <c r="A27" s="2959" t="s">
        <v>13</v>
      </c>
      <c r="B27" s="2958">
        <f t="shared" si="1"/>
        <v>342</v>
      </c>
      <c r="C27" s="2958">
        <f t="shared" ref="C27:H27" si="9">SUM(C28:C29)</f>
        <v>38</v>
      </c>
      <c r="D27" s="2958">
        <f t="shared" si="9"/>
        <v>36</v>
      </c>
      <c r="E27" s="2958">
        <f t="shared" si="9"/>
        <v>3</v>
      </c>
      <c r="F27" s="2958">
        <f t="shared" si="9"/>
        <v>11</v>
      </c>
      <c r="G27" s="2958">
        <f t="shared" si="9"/>
        <v>251</v>
      </c>
      <c r="H27" s="2958">
        <f t="shared" si="9"/>
        <v>3</v>
      </c>
      <c r="J27" s="177"/>
      <c r="K27" s="234"/>
    </row>
    <row r="28" spans="1:11">
      <c r="A28" s="2960" t="s">
        <v>163</v>
      </c>
      <c r="B28" s="2958">
        <f t="shared" si="1"/>
        <v>254</v>
      </c>
      <c r="C28" s="2961">
        <v>32</v>
      </c>
      <c r="D28" s="2961">
        <v>28</v>
      </c>
      <c r="E28" s="2961">
        <v>2</v>
      </c>
      <c r="F28" s="2961">
        <v>7</v>
      </c>
      <c r="G28" s="2961">
        <v>184</v>
      </c>
      <c r="H28" s="2961">
        <v>1</v>
      </c>
      <c r="J28" s="177"/>
      <c r="K28" s="234"/>
    </row>
    <row r="29" spans="1:11">
      <c r="A29" s="2960" t="s">
        <v>164</v>
      </c>
      <c r="B29" s="2958">
        <f t="shared" si="1"/>
        <v>88</v>
      </c>
      <c r="C29" s="2961">
        <v>6</v>
      </c>
      <c r="D29" s="2961">
        <v>8</v>
      </c>
      <c r="E29" s="2961">
        <v>1</v>
      </c>
      <c r="F29" s="2961">
        <v>4</v>
      </c>
      <c r="G29" s="2961">
        <v>67</v>
      </c>
      <c r="H29" s="2961">
        <v>2</v>
      </c>
      <c r="J29" s="177"/>
      <c r="K29" s="234"/>
    </row>
    <row r="30" spans="1:11">
      <c r="A30" s="2959" t="s">
        <v>14</v>
      </c>
      <c r="B30" s="2958">
        <f t="shared" si="1"/>
        <v>23</v>
      </c>
      <c r="C30" s="2958">
        <f t="shared" ref="C30:H30" si="10">SUM(C31:C32)</f>
        <v>1</v>
      </c>
      <c r="D30" s="2958">
        <f t="shared" si="10"/>
        <v>10</v>
      </c>
      <c r="E30" s="2958">
        <f t="shared" si="10"/>
        <v>0</v>
      </c>
      <c r="F30" s="2958">
        <f t="shared" si="10"/>
        <v>1</v>
      </c>
      <c r="G30" s="2958">
        <f t="shared" si="10"/>
        <v>11</v>
      </c>
      <c r="H30" s="2958">
        <f t="shared" si="10"/>
        <v>0</v>
      </c>
      <c r="J30" s="177"/>
      <c r="K30" s="234"/>
    </row>
    <row r="31" spans="1:11">
      <c r="A31" s="2960" t="s">
        <v>163</v>
      </c>
      <c r="B31" s="2958">
        <f t="shared" si="1"/>
        <v>20</v>
      </c>
      <c r="C31" s="2961">
        <v>1</v>
      </c>
      <c r="D31" s="2961">
        <v>9</v>
      </c>
      <c r="E31" s="2961">
        <v>0</v>
      </c>
      <c r="F31" s="2961">
        <v>1</v>
      </c>
      <c r="G31" s="2961">
        <v>9</v>
      </c>
      <c r="H31" s="2961">
        <v>0</v>
      </c>
      <c r="J31" s="177"/>
      <c r="K31" s="234"/>
    </row>
    <row r="32" spans="1:11">
      <c r="A32" s="2960" t="s">
        <v>164</v>
      </c>
      <c r="B32" s="2958">
        <f t="shared" si="1"/>
        <v>3</v>
      </c>
      <c r="C32" s="2961">
        <v>0</v>
      </c>
      <c r="D32" s="2961">
        <v>1</v>
      </c>
      <c r="E32" s="2961">
        <v>0</v>
      </c>
      <c r="F32" s="2961">
        <v>0</v>
      </c>
      <c r="G32" s="2961">
        <v>2</v>
      </c>
      <c r="H32" s="2961">
        <v>0</v>
      </c>
      <c r="J32" s="177"/>
      <c r="K32" s="234"/>
    </row>
    <row r="33" spans="1:11">
      <c r="A33" s="2962" t="s">
        <v>15</v>
      </c>
      <c r="B33" s="2958">
        <f t="shared" si="1"/>
        <v>65</v>
      </c>
      <c r="C33" s="2958">
        <f t="shared" ref="C33:H33" si="11">SUM(C34:C35)</f>
        <v>8</v>
      </c>
      <c r="D33" s="2958">
        <f t="shared" si="11"/>
        <v>4</v>
      </c>
      <c r="E33" s="2958">
        <f t="shared" si="11"/>
        <v>1</v>
      </c>
      <c r="F33" s="2958">
        <f t="shared" si="11"/>
        <v>1</v>
      </c>
      <c r="G33" s="2958">
        <f t="shared" si="11"/>
        <v>50</v>
      </c>
      <c r="H33" s="2958">
        <f t="shared" si="11"/>
        <v>1</v>
      </c>
      <c r="J33" s="177"/>
      <c r="K33" s="234"/>
    </row>
    <row r="34" spans="1:11">
      <c r="A34" s="2960" t="s">
        <v>163</v>
      </c>
      <c r="B34" s="2958">
        <f t="shared" si="1"/>
        <v>43</v>
      </c>
      <c r="C34" s="2961">
        <v>5</v>
      </c>
      <c r="D34" s="2961">
        <v>4</v>
      </c>
      <c r="E34" s="2961">
        <v>1</v>
      </c>
      <c r="F34" s="2961">
        <v>1</v>
      </c>
      <c r="G34" s="2961">
        <v>31</v>
      </c>
      <c r="H34" s="2961">
        <v>1</v>
      </c>
      <c r="J34" s="177"/>
      <c r="K34" s="234"/>
    </row>
    <row r="35" spans="1:11">
      <c r="A35" s="2960" t="s">
        <v>164</v>
      </c>
      <c r="B35" s="2958">
        <f t="shared" si="1"/>
        <v>22</v>
      </c>
      <c r="C35" s="2961">
        <v>3</v>
      </c>
      <c r="D35" s="2961">
        <v>0</v>
      </c>
      <c r="E35" s="2961">
        <v>0</v>
      </c>
      <c r="F35" s="2961">
        <v>0</v>
      </c>
      <c r="G35" s="2961">
        <v>19</v>
      </c>
      <c r="H35" s="2961">
        <v>0</v>
      </c>
      <c r="J35" s="177"/>
      <c r="K35" s="234"/>
    </row>
    <row r="36" spans="1:11">
      <c r="A36" s="2962" t="s">
        <v>16</v>
      </c>
      <c r="B36" s="2958">
        <f t="shared" si="1"/>
        <v>66</v>
      </c>
      <c r="C36" s="2958">
        <f t="shared" ref="C36:H36" si="12">SUM(C37:C38)</f>
        <v>3</v>
      </c>
      <c r="D36" s="2958">
        <f t="shared" si="12"/>
        <v>6</v>
      </c>
      <c r="E36" s="2958">
        <f t="shared" si="12"/>
        <v>5</v>
      </c>
      <c r="F36" s="2958">
        <f t="shared" si="12"/>
        <v>0</v>
      </c>
      <c r="G36" s="2958">
        <f t="shared" si="12"/>
        <v>51</v>
      </c>
      <c r="H36" s="2958">
        <f t="shared" si="12"/>
        <v>1</v>
      </c>
      <c r="J36" s="177"/>
      <c r="K36" s="234"/>
    </row>
    <row r="37" spans="1:11">
      <c r="A37" s="2960" t="s">
        <v>163</v>
      </c>
      <c r="B37" s="2958">
        <f t="shared" si="1"/>
        <v>50</v>
      </c>
      <c r="C37" s="2961">
        <v>3</v>
      </c>
      <c r="D37" s="2961">
        <v>4</v>
      </c>
      <c r="E37" s="2961">
        <v>5</v>
      </c>
      <c r="F37" s="2961">
        <v>0</v>
      </c>
      <c r="G37" s="2961">
        <v>37</v>
      </c>
      <c r="H37" s="2961">
        <v>1</v>
      </c>
      <c r="J37" s="177"/>
      <c r="K37" s="234"/>
    </row>
    <row r="38" spans="1:11">
      <c r="A38" s="2960" t="s">
        <v>164</v>
      </c>
      <c r="B38" s="2958">
        <f t="shared" si="1"/>
        <v>16</v>
      </c>
      <c r="C38" s="2961">
        <v>0</v>
      </c>
      <c r="D38" s="2961">
        <v>2</v>
      </c>
      <c r="E38" s="2961">
        <v>0</v>
      </c>
      <c r="F38" s="2961">
        <v>0</v>
      </c>
      <c r="G38" s="2961">
        <v>14</v>
      </c>
      <c r="H38" s="2961">
        <v>0</v>
      </c>
      <c r="J38" s="177"/>
      <c r="K38" s="234"/>
    </row>
    <row r="39" spans="1:11">
      <c r="A39" s="2962" t="s">
        <v>17</v>
      </c>
      <c r="B39" s="2958">
        <f t="shared" si="1"/>
        <v>34</v>
      </c>
      <c r="C39" s="2958">
        <f t="shared" ref="C39:H39" si="13">SUM(C40:C41)</f>
        <v>1</v>
      </c>
      <c r="D39" s="2958">
        <f t="shared" si="13"/>
        <v>6</v>
      </c>
      <c r="E39" s="2958">
        <f t="shared" si="13"/>
        <v>0</v>
      </c>
      <c r="F39" s="2958">
        <f t="shared" si="13"/>
        <v>0</v>
      </c>
      <c r="G39" s="2958">
        <f t="shared" si="13"/>
        <v>27</v>
      </c>
      <c r="H39" s="2958">
        <f t="shared" si="13"/>
        <v>0</v>
      </c>
      <c r="J39" s="177"/>
      <c r="K39" s="234"/>
    </row>
    <row r="40" spans="1:11">
      <c r="A40" s="2960" t="s">
        <v>163</v>
      </c>
      <c r="B40" s="2958">
        <f t="shared" si="1"/>
        <v>30</v>
      </c>
      <c r="C40" s="2961">
        <v>1</v>
      </c>
      <c r="D40" s="2961">
        <v>4</v>
      </c>
      <c r="E40" s="2961">
        <v>0</v>
      </c>
      <c r="F40" s="2961">
        <v>0</v>
      </c>
      <c r="G40" s="2961">
        <v>25</v>
      </c>
      <c r="H40" s="2961">
        <v>0</v>
      </c>
      <c r="J40" s="177"/>
      <c r="K40" s="234"/>
    </row>
    <row r="41" spans="1:11">
      <c r="A41" s="2960" t="s">
        <v>164</v>
      </c>
      <c r="B41" s="2958">
        <f t="shared" si="1"/>
        <v>4</v>
      </c>
      <c r="C41" s="2961">
        <v>0</v>
      </c>
      <c r="D41" s="2961">
        <v>2</v>
      </c>
      <c r="E41" s="2961">
        <v>0</v>
      </c>
      <c r="F41" s="2961">
        <v>0</v>
      </c>
      <c r="G41" s="2961">
        <v>2</v>
      </c>
      <c r="H41" s="2961">
        <v>0</v>
      </c>
      <c r="J41" s="177"/>
      <c r="K41" s="234"/>
    </row>
    <row r="42" spans="1:11">
      <c r="A42" s="2962" t="s">
        <v>18</v>
      </c>
      <c r="B42" s="2958">
        <f t="shared" si="1"/>
        <v>31</v>
      </c>
      <c r="C42" s="2958">
        <f t="shared" ref="C42:H42" si="14">SUM(C43:C44)</f>
        <v>5</v>
      </c>
      <c r="D42" s="2958">
        <f t="shared" si="14"/>
        <v>3</v>
      </c>
      <c r="E42" s="2958">
        <f t="shared" si="14"/>
        <v>0</v>
      </c>
      <c r="F42" s="2958">
        <f t="shared" si="14"/>
        <v>7</v>
      </c>
      <c r="G42" s="2958">
        <f t="shared" si="14"/>
        <v>7</v>
      </c>
      <c r="H42" s="2958">
        <f t="shared" si="14"/>
        <v>9</v>
      </c>
      <c r="J42" s="177"/>
      <c r="K42" s="234"/>
    </row>
    <row r="43" spans="1:11">
      <c r="A43" s="2960" t="s">
        <v>163</v>
      </c>
      <c r="B43" s="2958">
        <f t="shared" si="1"/>
        <v>21</v>
      </c>
      <c r="C43" s="2961">
        <v>2</v>
      </c>
      <c r="D43" s="2961">
        <v>0</v>
      </c>
      <c r="E43" s="2961">
        <v>0</v>
      </c>
      <c r="F43" s="2961">
        <v>6</v>
      </c>
      <c r="G43" s="2961">
        <v>5</v>
      </c>
      <c r="H43" s="2961">
        <v>8</v>
      </c>
      <c r="J43" s="177"/>
      <c r="K43" s="234"/>
    </row>
    <row r="44" spans="1:11">
      <c r="A44" s="2960" t="s">
        <v>164</v>
      </c>
      <c r="B44" s="2958">
        <f t="shared" si="1"/>
        <v>10</v>
      </c>
      <c r="C44" s="2961">
        <v>3</v>
      </c>
      <c r="D44" s="2961">
        <v>3</v>
      </c>
      <c r="E44" s="2961">
        <v>0</v>
      </c>
      <c r="F44" s="2961">
        <v>1</v>
      </c>
      <c r="G44" s="2961">
        <v>2</v>
      </c>
      <c r="H44" s="2961">
        <v>1</v>
      </c>
      <c r="J44" s="177"/>
      <c r="K44" s="234"/>
    </row>
    <row r="45" spans="1:11">
      <c r="A45" s="2962" t="s">
        <v>19</v>
      </c>
      <c r="B45" s="2958">
        <f t="shared" si="1"/>
        <v>66</v>
      </c>
      <c r="C45" s="2958">
        <f t="shared" ref="C45:H45" si="15">SUM(C46:C47)</f>
        <v>3</v>
      </c>
      <c r="D45" s="2958">
        <f t="shared" si="15"/>
        <v>19</v>
      </c>
      <c r="E45" s="2958">
        <f t="shared" si="15"/>
        <v>3</v>
      </c>
      <c r="F45" s="2958">
        <f t="shared" si="15"/>
        <v>1</v>
      </c>
      <c r="G45" s="2958">
        <f t="shared" si="15"/>
        <v>40</v>
      </c>
      <c r="H45" s="2958">
        <f t="shared" si="15"/>
        <v>0</v>
      </c>
      <c r="J45" s="177"/>
      <c r="K45" s="234"/>
    </row>
    <row r="46" spans="1:11">
      <c r="A46" s="2960" t="s">
        <v>163</v>
      </c>
      <c r="B46" s="2958">
        <f t="shared" si="1"/>
        <v>50</v>
      </c>
      <c r="C46" s="2961">
        <v>2</v>
      </c>
      <c r="D46" s="2961">
        <v>13</v>
      </c>
      <c r="E46" s="2961">
        <v>3</v>
      </c>
      <c r="F46" s="2961">
        <v>1</v>
      </c>
      <c r="G46" s="2961">
        <v>31</v>
      </c>
      <c r="H46" s="2961">
        <v>0</v>
      </c>
      <c r="J46" s="177"/>
      <c r="K46" s="234"/>
    </row>
    <row r="47" spans="1:11">
      <c r="A47" s="2960" t="s">
        <v>164</v>
      </c>
      <c r="B47" s="2958">
        <f t="shared" si="1"/>
        <v>16</v>
      </c>
      <c r="C47" s="2961">
        <v>1</v>
      </c>
      <c r="D47" s="2961">
        <v>6</v>
      </c>
      <c r="E47" s="2961">
        <v>0</v>
      </c>
      <c r="F47" s="2961">
        <v>0</v>
      </c>
      <c r="G47" s="2961">
        <v>9</v>
      </c>
      <c r="H47" s="2961">
        <v>0</v>
      </c>
      <c r="J47" s="177"/>
      <c r="K47" s="234"/>
    </row>
    <row r="48" spans="1:11">
      <c r="A48" s="2962" t="s">
        <v>20</v>
      </c>
      <c r="B48" s="2958">
        <f t="shared" si="1"/>
        <v>3</v>
      </c>
      <c r="C48" s="2958">
        <f t="shared" ref="C48:H48" si="16">SUM(C49:C50)</f>
        <v>2</v>
      </c>
      <c r="D48" s="2958">
        <f t="shared" si="16"/>
        <v>0</v>
      </c>
      <c r="E48" s="2958">
        <f t="shared" si="16"/>
        <v>0</v>
      </c>
      <c r="F48" s="2958">
        <f t="shared" si="16"/>
        <v>0</v>
      </c>
      <c r="G48" s="2958">
        <f t="shared" si="16"/>
        <v>1</v>
      </c>
      <c r="H48" s="2958">
        <f t="shared" si="16"/>
        <v>0</v>
      </c>
      <c r="J48" s="177"/>
      <c r="K48" s="234"/>
    </row>
    <row r="49" spans="1:11">
      <c r="A49" s="2960" t="s">
        <v>163</v>
      </c>
      <c r="B49" s="2958">
        <f t="shared" si="1"/>
        <v>1</v>
      </c>
      <c r="C49" s="2961">
        <v>0</v>
      </c>
      <c r="D49" s="2961">
        <v>0</v>
      </c>
      <c r="E49" s="2961">
        <v>0</v>
      </c>
      <c r="F49" s="2961">
        <v>0</v>
      </c>
      <c r="G49" s="2961">
        <v>1</v>
      </c>
      <c r="H49" s="2961">
        <v>0</v>
      </c>
      <c r="J49" s="177"/>
      <c r="K49" s="234"/>
    </row>
    <row r="50" spans="1:11">
      <c r="A50" s="2960" t="s">
        <v>164</v>
      </c>
      <c r="B50" s="2958">
        <f t="shared" si="1"/>
        <v>2</v>
      </c>
      <c r="C50" s="2961">
        <v>2</v>
      </c>
      <c r="D50" s="2961">
        <v>0</v>
      </c>
      <c r="E50" s="2961">
        <v>0</v>
      </c>
      <c r="F50" s="2961">
        <v>0</v>
      </c>
      <c r="G50" s="2961">
        <v>0</v>
      </c>
      <c r="H50" s="2961">
        <v>0</v>
      </c>
      <c r="J50" s="177"/>
      <c r="K50" s="234"/>
    </row>
    <row r="51" spans="1:11">
      <c r="A51" s="2959" t="s">
        <v>21</v>
      </c>
      <c r="B51" s="2958">
        <f t="shared" si="1"/>
        <v>14</v>
      </c>
      <c r="C51" s="2958">
        <f t="shared" ref="C51:H51" si="17">SUM(C52:C53)</f>
        <v>0</v>
      </c>
      <c r="D51" s="2958">
        <f t="shared" si="17"/>
        <v>1</v>
      </c>
      <c r="E51" s="2958">
        <f t="shared" si="17"/>
        <v>0</v>
      </c>
      <c r="F51" s="2958">
        <f t="shared" si="17"/>
        <v>0</v>
      </c>
      <c r="G51" s="2958">
        <f t="shared" si="17"/>
        <v>13</v>
      </c>
      <c r="H51" s="2958">
        <f t="shared" si="17"/>
        <v>0</v>
      </c>
      <c r="J51" s="177"/>
      <c r="K51" s="234"/>
    </row>
    <row r="52" spans="1:11">
      <c r="A52" s="2960" t="s">
        <v>163</v>
      </c>
      <c r="B52" s="2958">
        <f t="shared" si="1"/>
        <v>10</v>
      </c>
      <c r="C52" s="2961">
        <v>0</v>
      </c>
      <c r="D52" s="2961">
        <v>1</v>
      </c>
      <c r="E52" s="2961">
        <v>0</v>
      </c>
      <c r="F52" s="2961">
        <v>0</v>
      </c>
      <c r="G52" s="2961">
        <v>9</v>
      </c>
      <c r="H52" s="2961">
        <v>0</v>
      </c>
      <c r="J52" s="177"/>
      <c r="K52" s="234"/>
    </row>
    <row r="53" spans="1:11">
      <c r="A53" s="2960" t="s">
        <v>164</v>
      </c>
      <c r="B53" s="2958">
        <f t="shared" si="1"/>
        <v>4</v>
      </c>
      <c r="C53" s="2961">
        <v>0</v>
      </c>
      <c r="D53" s="2961">
        <v>0</v>
      </c>
      <c r="E53" s="2961">
        <v>0</v>
      </c>
      <c r="F53" s="2961">
        <v>0</v>
      </c>
      <c r="G53" s="2961">
        <v>4</v>
      </c>
      <c r="H53" s="2961">
        <v>0</v>
      </c>
      <c r="J53" s="177"/>
      <c r="K53" s="234"/>
    </row>
    <row r="54" spans="1:11">
      <c r="A54" s="223"/>
      <c r="B54" s="235"/>
      <c r="C54" s="236"/>
      <c r="D54" s="236"/>
      <c r="E54" s="236"/>
      <c r="F54" s="236"/>
      <c r="G54" s="236"/>
      <c r="H54" s="236"/>
      <c r="J54" s="223"/>
    </row>
    <row r="55" spans="1:11">
      <c r="A55" s="189" t="s">
        <v>22</v>
      </c>
      <c r="J55" s="223"/>
    </row>
    <row r="56" spans="1:11">
      <c r="A56" s="164" t="s">
        <v>2926</v>
      </c>
    </row>
  </sheetData>
  <mergeCells count="4">
    <mergeCell ref="A2:H2"/>
    <mergeCell ref="A4:A5"/>
    <mergeCell ref="B4:B5"/>
    <mergeCell ref="C4:H4"/>
  </mergeCells>
  <pageMargins left="0.51" right="0.70866141732283472" top="0.74803149606299213" bottom="0.74803149606299213" header="0.31496062992125984" footer="0.31496062992125984"/>
  <pageSetup paperSize="14" scale="80" orientation="portrait" r:id="rId1"/>
  <headerFooter alignWithMargins="0"/>
</worksheet>
</file>

<file path=xl/worksheets/sheet319.xml><?xml version="1.0" encoding="utf-8"?>
<worksheet xmlns="http://schemas.openxmlformats.org/spreadsheetml/2006/main" xmlns:r="http://schemas.openxmlformats.org/officeDocument/2006/relationships">
  <dimension ref="A2:K56"/>
  <sheetViews>
    <sheetView showGridLines="0" zoomScaleNormal="100" workbookViewId="0">
      <selection activeCell="A40" sqref="A40"/>
    </sheetView>
  </sheetViews>
  <sheetFormatPr baseColWidth="10" defaultRowHeight="11.25"/>
  <cols>
    <col min="1" max="1" width="25.42578125" style="227" customWidth="1"/>
    <col min="2" max="2" width="9" style="227" customWidth="1"/>
    <col min="3" max="3" width="20.5703125" style="232" customWidth="1"/>
    <col min="4" max="4" width="19.42578125" style="232" customWidth="1"/>
    <col min="5" max="5" width="17.85546875" style="232" customWidth="1"/>
    <col min="6" max="6" width="20.7109375" style="232" customWidth="1"/>
    <col min="7" max="7" width="16.28515625" style="232" customWidth="1"/>
    <col min="8" max="8" width="19.28515625" style="232" customWidth="1"/>
    <col min="9" max="9" width="11.42578125" style="227"/>
    <col min="10" max="14" width="10.5703125" style="227" customWidth="1"/>
    <col min="15" max="16384" width="11.42578125" style="227"/>
  </cols>
  <sheetData>
    <row r="2" spans="1:11" ht="33" customHeight="1">
      <c r="A2" s="2631" t="s">
        <v>3018</v>
      </c>
      <c r="B2" s="2635"/>
      <c r="C2" s="2635"/>
      <c r="D2" s="2635"/>
      <c r="E2" s="2635"/>
      <c r="F2" s="2635"/>
      <c r="G2" s="2635"/>
      <c r="H2" s="2635"/>
    </row>
    <row r="4" spans="1:11" ht="19.5" customHeight="1">
      <c r="A4" s="2967" t="s">
        <v>3017</v>
      </c>
      <c r="B4" s="2967" t="s">
        <v>26</v>
      </c>
      <c r="C4" s="2967" t="s">
        <v>3013</v>
      </c>
      <c r="D4" s="2967"/>
      <c r="E4" s="2967"/>
      <c r="F4" s="2967"/>
      <c r="G4" s="2967"/>
      <c r="H4" s="2967"/>
    </row>
    <row r="5" spans="1:11" ht="90.75" customHeight="1">
      <c r="A5" s="2967"/>
      <c r="B5" s="2967"/>
      <c r="C5" s="2968" t="s">
        <v>3237</v>
      </c>
      <c r="D5" s="2968" t="s">
        <v>3006</v>
      </c>
      <c r="E5" s="2968" t="s">
        <v>3005</v>
      </c>
      <c r="F5" s="2968" t="s">
        <v>2977</v>
      </c>
      <c r="G5" s="2968" t="s">
        <v>2976</v>
      </c>
      <c r="H5" s="2969" t="s">
        <v>3004</v>
      </c>
      <c r="I5" s="228"/>
      <c r="K5" s="228"/>
    </row>
    <row r="6" spans="1:11">
      <c r="A6" s="227" t="s">
        <v>6</v>
      </c>
      <c r="B6" s="2963">
        <f t="shared" ref="B6:H8" si="0">+B9+B12+B15+B18+B21+B24+B27+B30+B33+B36+B39+B42+B45+B48+B51</f>
        <v>1113</v>
      </c>
      <c r="C6" s="2963">
        <f t="shared" si="0"/>
        <v>87</v>
      </c>
      <c r="D6" s="2963">
        <f t="shared" si="0"/>
        <v>158</v>
      </c>
      <c r="E6" s="2963">
        <f t="shared" si="0"/>
        <v>15</v>
      </c>
      <c r="F6" s="2963">
        <f t="shared" si="0"/>
        <v>31</v>
      </c>
      <c r="G6" s="2963">
        <f t="shared" si="0"/>
        <v>782</v>
      </c>
      <c r="H6" s="2963">
        <f t="shared" si="0"/>
        <v>40</v>
      </c>
    </row>
    <row r="7" spans="1:11">
      <c r="A7" s="227" t="s">
        <v>165</v>
      </c>
      <c r="B7" s="2963">
        <f t="shared" si="0"/>
        <v>1014</v>
      </c>
      <c r="C7" s="488">
        <f t="shared" si="0"/>
        <v>79</v>
      </c>
      <c r="D7" s="488">
        <f t="shared" si="0"/>
        <v>152</v>
      </c>
      <c r="E7" s="488">
        <f t="shared" si="0"/>
        <v>15</v>
      </c>
      <c r="F7" s="488">
        <f t="shared" si="0"/>
        <v>30</v>
      </c>
      <c r="G7" s="488">
        <f t="shared" si="0"/>
        <v>706</v>
      </c>
      <c r="H7" s="488">
        <f t="shared" si="0"/>
        <v>32</v>
      </c>
    </row>
    <row r="8" spans="1:11">
      <c r="A8" s="227" t="s">
        <v>166</v>
      </c>
      <c r="B8" s="2963">
        <f t="shared" si="0"/>
        <v>99</v>
      </c>
      <c r="C8" s="488">
        <f t="shared" si="0"/>
        <v>8</v>
      </c>
      <c r="D8" s="488">
        <f t="shared" si="0"/>
        <v>6</v>
      </c>
      <c r="E8" s="488">
        <f t="shared" si="0"/>
        <v>0</v>
      </c>
      <c r="F8" s="488">
        <f t="shared" si="0"/>
        <v>1</v>
      </c>
      <c r="G8" s="488">
        <f t="shared" si="0"/>
        <v>76</v>
      </c>
      <c r="H8" s="488">
        <f t="shared" si="0"/>
        <v>8</v>
      </c>
    </row>
    <row r="9" spans="1:11">
      <c r="A9" s="2959" t="s">
        <v>7</v>
      </c>
      <c r="B9" s="2964">
        <f t="shared" ref="B9:H9" si="1">SUM(B10:B11)</f>
        <v>62</v>
      </c>
      <c r="C9" s="2964">
        <f t="shared" si="1"/>
        <v>2</v>
      </c>
      <c r="D9" s="2964">
        <f t="shared" si="1"/>
        <v>12</v>
      </c>
      <c r="E9" s="2964">
        <f t="shared" si="1"/>
        <v>0</v>
      </c>
      <c r="F9" s="2964">
        <f t="shared" si="1"/>
        <v>2</v>
      </c>
      <c r="G9" s="2964">
        <f t="shared" si="1"/>
        <v>37</v>
      </c>
      <c r="H9" s="2964">
        <f t="shared" si="1"/>
        <v>9</v>
      </c>
    </row>
    <row r="10" spans="1:11">
      <c r="A10" s="2965" t="s">
        <v>165</v>
      </c>
      <c r="B10" s="2964">
        <f>SUM(C10:H10)</f>
        <v>36</v>
      </c>
      <c r="C10" s="213">
        <v>0</v>
      </c>
      <c r="D10" s="213">
        <v>9</v>
      </c>
      <c r="E10" s="213">
        <v>0</v>
      </c>
      <c r="F10" s="213">
        <v>2</v>
      </c>
      <c r="G10" s="213">
        <v>17</v>
      </c>
      <c r="H10" s="213">
        <v>8</v>
      </c>
    </row>
    <row r="11" spans="1:11">
      <c r="A11" s="2965" t="s">
        <v>166</v>
      </c>
      <c r="B11" s="2964">
        <f>SUM(C11:H11)</f>
        <v>26</v>
      </c>
      <c r="C11" s="213">
        <v>2</v>
      </c>
      <c r="D11" s="213">
        <v>3</v>
      </c>
      <c r="E11" s="213">
        <v>0</v>
      </c>
      <c r="F11" s="213">
        <v>0</v>
      </c>
      <c r="G11" s="213">
        <v>20</v>
      </c>
      <c r="H11" s="213">
        <v>1</v>
      </c>
    </row>
    <row r="12" spans="1:11">
      <c r="A12" s="2962" t="s">
        <v>8</v>
      </c>
      <c r="B12" s="2964">
        <f t="shared" ref="B12:H12" si="2">SUM(B13:B14)</f>
        <v>94</v>
      </c>
      <c r="C12" s="2963">
        <f t="shared" si="2"/>
        <v>0</v>
      </c>
      <c r="D12" s="2963">
        <f t="shared" si="2"/>
        <v>9</v>
      </c>
      <c r="E12" s="2963">
        <f t="shared" si="2"/>
        <v>1</v>
      </c>
      <c r="F12" s="2963">
        <f t="shared" si="2"/>
        <v>2</v>
      </c>
      <c r="G12" s="2963">
        <f t="shared" si="2"/>
        <v>82</v>
      </c>
      <c r="H12" s="2963">
        <f t="shared" si="2"/>
        <v>0</v>
      </c>
    </row>
    <row r="13" spans="1:11">
      <c r="A13" s="2965" t="s">
        <v>165</v>
      </c>
      <c r="B13" s="2964">
        <f>SUM(C13:H13)</f>
        <v>60</v>
      </c>
      <c r="C13" s="212">
        <v>0</v>
      </c>
      <c r="D13" s="212">
        <v>9</v>
      </c>
      <c r="E13" s="212">
        <v>1</v>
      </c>
      <c r="F13" s="212">
        <v>1</v>
      </c>
      <c r="G13" s="212">
        <v>49</v>
      </c>
      <c r="H13" s="212">
        <v>0</v>
      </c>
    </row>
    <row r="14" spans="1:11">
      <c r="A14" s="2965" t="s">
        <v>166</v>
      </c>
      <c r="B14" s="2964">
        <f>SUM(C14:H14)</f>
        <v>34</v>
      </c>
      <c r="C14" s="212">
        <v>0</v>
      </c>
      <c r="D14" s="212">
        <v>0</v>
      </c>
      <c r="E14" s="212">
        <v>0</v>
      </c>
      <c r="F14" s="212">
        <v>1</v>
      </c>
      <c r="G14" s="212">
        <v>33</v>
      </c>
      <c r="H14" s="212">
        <v>0</v>
      </c>
    </row>
    <row r="15" spans="1:11">
      <c r="A15" s="2962" t="s">
        <v>9</v>
      </c>
      <c r="B15" s="2964">
        <f t="shared" ref="B15:H15" si="3">SUM(B16:B17)</f>
        <v>38</v>
      </c>
      <c r="C15" s="2963">
        <f t="shared" si="3"/>
        <v>5</v>
      </c>
      <c r="D15" s="2963">
        <f t="shared" si="3"/>
        <v>2</v>
      </c>
      <c r="E15" s="2963">
        <f t="shared" si="3"/>
        <v>1</v>
      </c>
      <c r="F15" s="2963">
        <f t="shared" si="3"/>
        <v>0</v>
      </c>
      <c r="G15" s="2963">
        <f t="shared" si="3"/>
        <v>30</v>
      </c>
      <c r="H15" s="2963">
        <f t="shared" si="3"/>
        <v>0</v>
      </c>
    </row>
    <row r="16" spans="1:11">
      <c r="A16" s="2965" t="s">
        <v>165</v>
      </c>
      <c r="B16" s="2964">
        <f>SUM(C16:H16)</f>
        <v>30</v>
      </c>
      <c r="C16" s="213">
        <v>2</v>
      </c>
      <c r="D16" s="213">
        <v>2</v>
      </c>
      <c r="E16" s="213">
        <v>1</v>
      </c>
      <c r="F16" s="213">
        <v>0</v>
      </c>
      <c r="G16" s="213">
        <v>25</v>
      </c>
      <c r="H16" s="213">
        <v>0</v>
      </c>
    </row>
    <row r="17" spans="1:8">
      <c r="A17" s="2965" t="s">
        <v>166</v>
      </c>
      <c r="B17" s="2964">
        <f>SUM(C17:H17)</f>
        <v>8</v>
      </c>
      <c r="C17" s="213">
        <v>3</v>
      </c>
      <c r="D17" s="213">
        <v>0</v>
      </c>
      <c r="E17" s="213">
        <v>0</v>
      </c>
      <c r="F17" s="213">
        <v>0</v>
      </c>
      <c r="G17" s="213">
        <v>5</v>
      </c>
      <c r="H17" s="213">
        <v>0</v>
      </c>
    </row>
    <row r="18" spans="1:8">
      <c r="A18" s="2962" t="s">
        <v>10</v>
      </c>
      <c r="B18" s="2964">
        <f t="shared" ref="B18:H18" si="4">SUM(B19:B20)</f>
        <v>60</v>
      </c>
      <c r="C18" s="2963">
        <f t="shared" si="4"/>
        <v>4</v>
      </c>
      <c r="D18" s="2963">
        <f t="shared" si="4"/>
        <v>10</v>
      </c>
      <c r="E18" s="2963">
        <f t="shared" si="4"/>
        <v>1</v>
      </c>
      <c r="F18" s="2963">
        <f t="shared" si="4"/>
        <v>0</v>
      </c>
      <c r="G18" s="2963">
        <f t="shared" si="4"/>
        <v>43</v>
      </c>
      <c r="H18" s="2963">
        <f t="shared" si="4"/>
        <v>2</v>
      </c>
    </row>
    <row r="19" spans="1:8">
      <c r="A19" s="2965" t="s">
        <v>165</v>
      </c>
      <c r="B19" s="2964">
        <f>SUM(C19:H19)</f>
        <v>58</v>
      </c>
      <c r="C19" s="213">
        <v>4</v>
      </c>
      <c r="D19" s="213">
        <v>10</v>
      </c>
      <c r="E19" s="213">
        <v>1</v>
      </c>
      <c r="F19" s="213">
        <v>0</v>
      </c>
      <c r="G19" s="213">
        <v>42</v>
      </c>
      <c r="H19" s="213">
        <v>1</v>
      </c>
    </row>
    <row r="20" spans="1:8">
      <c r="A20" s="2965" t="s">
        <v>166</v>
      </c>
      <c r="B20" s="2964">
        <f>SUM(C20:H20)</f>
        <v>2</v>
      </c>
      <c r="C20" s="213">
        <v>0</v>
      </c>
      <c r="D20" s="213">
        <v>0</v>
      </c>
      <c r="E20" s="213">
        <v>0</v>
      </c>
      <c r="F20" s="213">
        <v>0</v>
      </c>
      <c r="G20" s="213">
        <v>1</v>
      </c>
      <c r="H20" s="213">
        <v>1</v>
      </c>
    </row>
    <row r="21" spans="1:8">
      <c r="A21" s="2962" t="s">
        <v>11</v>
      </c>
      <c r="B21" s="2964">
        <f t="shared" ref="B21:H21" si="5">SUM(B22:B23)</f>
        <v>69</v>
      </c>
      <c r="C21" s="2963">
        <f t="shared" si="5"/>
        <v>7</v>
      </c>
      <c r="D21" s="2963">
        <f t="shared" si="5"/>
        <v>13</v>
      </c>
      <c r="E21" s="2963">
        <f t="shared" si="5"/>
        <v>0</v>
      </c>
      <c r="F21" s="2963">
        <f t="shared" si="5"/>
        <v>6</v>
      </c>
      <c r="G21" s="2963">
        <f t="shared" si="5"/>
        <v>42</v>
      </c>
      <c r="H21" s="2963">
        <f t="shared" si="5"/>
        <v>1</v>
      </c>
    </row>
    <row r="22" spans="1:8">
      <c r="A22" s="2965" t="s">
        <v>165</v>
      </c>
      <c r="B22" s="2964">
        <f>SUM(C22:H22)</f>
        <v>69</v>
      </c>
      <c r="C22" s="213">
        <v>7</v>
      </c>
      <c r="D22" s="213">
        <v>13</v>
      </c>
      <c r="E22" s="213">
        <v>0</v>
      </c>
      <c r="F22" s="213">
        <v>6</v>
      </c>
      <c r="G22" s="213">
        <v>42</v>
      </c>
      <c r="H22" s="213">
        <v>1</v>
      </c>
    </row>
    <row r="23" spans="1:8">
      <c r="A23" s="2965" t="s">
        <v>166</v>
      </c>
      <c r="B23" s="2964">
        <f>SUM(C23:H23)</f>
        <v>0</v>
      </c>
      <c r="C23" s="213">
        <v>0</v>
      </c>
      <c r="D23" s="213">
        <v>0</v>
      </c>
      <c r="E23" s="213">
        <v>0</v>
      </c>
      <c r="F23" s="213">
        <v>0</v>
      </c>
      <c r="G23" s="213">
        <v>0</v>
      </c>
      <c r="H23" s="213">
        <v>0</v>
      </c>
    </row>
    <row r="24" spans="1:8">
      <c r="A24" s="2962" t="s">
        <v>12</v>
      </c>
      <c r="B24" s="2964">
        <f t="shared" ref="B24:H24" si="6">SUM(B25:B26)</f>
        <v>146</v>
      </c>
      <c r="C24" s="2963">
        <f t="shared" si="6"/>
        <v>8</v>
      </c>
      <c r="D24" s="2963">
        <f t="shared" si="6"/>
        <v>27</v>
      </c>
      <c r="E24" s="2963">
        <f t="shared" si="6"/>
        <v>0</v>
      </c>
      <c r="F24" s="2963">
        <f t="shared" si="6"/>
        <v>0</v>
      </c>
      <c r="G24" s="2963">
        <f t="shared" si="6"/>
        <v>97</v>
      </c>
      <c r="H24" s="2963">
        <f t="shared" si="6"/>
        <v>14</v>
      </c>
    </row>
    <row r="25" spans="1:8">
      <c r="A25" s="2965" t="s">
        <v>165</v>
      </c>
      <c r="B25" s="2964">
        <f>SUM(C25:H25)</f>
        <v>139</v>
      </c>
      <c r="C25" s="213">
        <v>8</v>
      </c>
      <c r="D25" s="213">
        <v>26</v>
      </c>
      <c r="E25" s="213">
        <v>0</v>
      </c>
      <c r="F25" s="213">
        <v>0</v>
      </c>
      <c r="G25" s="213">
        <v>97</v>
      </c>
      <c r="H25" s="213">
        <v>8</v>
      </c>
    </row>
    <row r="26" spans="1:8">
      <c r="A26" s="2965" t="s">
        <v>166</v>
      </c>
      <c r="B26" s="2964">
        <f>SUM(C26:H26)</f>
        <v>7</v>
      </c>
      <c r="C26" s="213">
        <v>0</v>
      </c>
      <c r="D26" s="213">
        <v>1</v>
      </c>
      <c r="E26" s="213">
        <v>0</v>
      </c>
      <c r="F26" s="213">
        <v>0</v>
      </c>
      <c r="G26" s="213">
        <v>0</v>
      </c>
      <c r="H26" s="213">
        <v>6</v>
      </c>
    </row>
    <row r="27" spans="1:8">
      <c r="A27" s="2959" t="s">
        <v>13</v>
      </c>
      <c r="B27" s="2964">
        <f t="shared" ref="B27:H27" si="7">SUM(B28:B29)</f>
        <v>342</v>
      </c>
      <c r="C27" s="2963">
        <f t="shared" si="7"/>
        <v>38</v>
      </c>
      <c r="D27" s="2963">
        <f t="shared" si="7"/>
        <v>36</v>
      </c>
      <c r="E27" s="2963">
        <f t="shared" si="7"/>
        <v>3</v>
      </c>
      <c r="F27" s="2963">
        <f t="shared" si="7"/>
        <v>11</v>
      </c>
      <c r="G27" s="2963">
        <f t="shared" si="7"/>
        <v>251</v>
      </c>
      <c r="H27" s="2963">
        <f t="shared" si="7"/>
        <v>3</v>
      </c>
    </row>
    <row r="28" spans="1:8">
      <c r="A28" s="2965" t="s">
        <v>165</v>
      </c>
      <c r="B28" s="2964">
        <f>SUM(C28:H28)</f>
        <v>321</v>
      </c>
      <c r="C28" s="212">
        <v>35</v>
      </c>
      <c r="D28" s="212">
        <v>34</v>
      </c>
      <c r="E28" s="212">
        <v>3</v>
      </c>
      <c r="F28" s="212">
        <v>11</v>
      </c>
      <c r="G28" s="212">
        <v>235</v>
      </c>
      <c r="H28" s="212">
        <v>3</v>
      </c>
    </row>
    <row r="29" spans="1:8">
      <c r="A29" s="2965" t="s">
        <v>166</v>
      </c>
      <c r="B29" s="2964">
        <f>SUM(C29:H29)</f>
        <v>21</v>
      </c>
      <c r="C29" s="212">
        <v>3</v>
      </c>
      <c r="D29" s="212">
        <v>2</v>
      </c>
      <c r="E29" s="212">
        <v>0</v>
      </c>
      <c r="F29" s="212">
        <v>0</v>
      </c>
      <c r="G29" s="212">
        <v>16</v>
      </c>
      <c r="H29" s="212">
        <v>0</v>
      </c>
    </row>
    <row r="30" spans="1:8">
      <c r="A30" s="2959" t="s">
        <v>14</v>
      </c>
      <c r="B30" s="2964">
        <f t="shared" ref="B30:H30" si="8">SUM(B31:B32)</f>
        <v>23</v>
      </c>
      <c r="C30" s="2963">
        <f t="shared" si="8"/>
        <v>1</v>
      </c>
      <c r="D30" s="2963">
        <f t="shared" si="8"/>
        <v>10</v>
      </c>
      <c r="E30" s="2963">
        <f t="shared" si="8"/>
        <v>0</v>
      </c>
      <c r="F30" s="2963">
        <f t="shared" si="8"/>
        <v>1</v>
      </c>
      <c r="G30" s="2963">
        <f t="shared" si="8"/>
        <v>11</v>
      </c>
      <c r="H30" s="2963">
        <f t="shared" si="8"/>
        <v>0</v>
      </c>
    </row>
    <row r="31" spans="1:8">
      <c r="A31" s="2965" t="s">
        <v>165</v>
      </c>
      <c r="B31" s="2964">
        <f>SUM(C31:H31)</f>
        <v>23</v>
      </c>
      <c r="C31" s="213">
        <v>1</v>
      </c>
      <c r="D31" s="213">
        <v>10</v>
      </c>
      <c r="E31" s="213">
        <v>0</v>
      </c>
      <c r="F31" s="213">
        <v>1</v>
      </c>
      <c r="G31" s="213">
        <v>11</v>
      </c>
      <c r="H31" s="213">
        <v>0</v>
      </c>
    </row>
    <row r="32" spans="1:8">
      <c r="A32" s="2965" t="s">
        <v>166</v>
      </c>
      <c r="B32" s="2964">
        <f>SUM(C32:H32)</f>
        <v>0</v>
      </c>
      <c r="C32" s="213">
        <v>0</v>
      </c>
      <c r="D32" s="213">
        <v>0</v>
      </c>
      <c r="E32" s="213">
        <v>0</v>
      </c>
      <c r="F32" s="213">
        <v>0</v>
      </c>
      <c r="G32" s="213">
        <v>0</v>
      </c>
      <c r="H32" s="213">
        <v>0</v>
      </c>
    </row>
    <row r="33" spans="1:8">
      <c r="A33" s="2962" t="s">
        <v>15</v>
      </c>
      <c r="B33" s="2964">
        <f t="shared" ref="B33:H33" si="9">SUM(B34:B35)</f>
        <v>65</v>
      </c>
      <c r="C33" s="2963">
        <f t="shared" si="9"/>
        <v>8</v>
      </c>
      <c r="D33" s="2963">
        <f t="shared" si="9"/>
        <v>4</v>
      </c>
      <c r="E33" s="2963">
        <f t="shared" si="9"/>
        <v>1</v>
      </c>
      <c r="F33" s="2963">
        <f t="shared" si="9"/>
        <v>1</v>
      </c>
      <c r="G33" s="2963">
        <f t="shared" si="9"/>
        <v>50</v>
      </c>
      <c r="H33" s="2963">
        <f t="shared" si="9"/>
        <v>1</v>
      </c>
    </row>
    <row r="34" spans="1:8">
      <c r="A34" s="2965" t="s">
        <v>165</v>
      </c>
      <c r="B34" s="2964">
        <f>SUM(C34:H34)</f>
        <v>65</v>
      </c>
      <c r="C34" s="213">
        <v>8</v>
      </c>
      <c r="D34" s="213">
        <v>4</v>
      </c>
      <c r="E34" s="213">
        <v>1</v>
      </c>
      <c r="F34" s="213">
        <v>1</v>
      </c>
      <c r="G34" s="213">
        <v>50</v>
      </c>
      <c r="H34" s="213">
        <v>1</v>
      </c>
    </row>
    <row r="35" spans="1:8">
      <c r="A35" s="2965" t="s">
        <v>166</v>
      </c>
      <c r="B35" s="2964">
        <f>SUM(C35:H35)</f>
        <v>0</v>
      </c>
      <c r="C35" s="213">
        <v>0</v>
      </c>
      <c r="D35" s="213">
        <v>0</v>
      </c>
      <c r="E35" s="213">
        <v>0</v>
      </c>
      <c r="F35" s="213">
        <v>0</v>
      </c>
      <c r="G35" s="213">
        <v>0</v>
      </c>
      <c r="H35" s="213">
        <v>0</v>
      </c>
    </row>
    <row r="36" spans="1:8">
      <c r="A36" s="2966" t="s">
        <v>16</v>
      </c>
      <c r="B36" s="2964">
        <f t="shared" ref="B36:H36" si="10">SUM(B37:B38)</f>
        <v>66</v>
      </c>
      <c r="C36" s="2963">
        <f t="shared" si="10"/>
        <v>3</v>
      </c>
      <c r="D36" s="2963">
        <f t="shared" si="10"/>
        <v>6</v>
      </c>
      <c r="E36" s="2963">
        <f t="shared" si="10"/>
        <v>5</v>
      </c>
      <c r="F36" s="2963">
        <f t="shared" si="10"/>
        <v>0</v>
      </c>
      <c r="G36" s="2963">
        <f t="shared" si="10"/>
        <v>51</v>
      </c>
      <c r="H36" s="2963">
        <f t="shared" si="10"/>
        <v>1</v>
      </c>
    </row>
    <row r="37" spans="1:8">
      <c r="A37" s="2965" t="s">
        <v>165</v>
      </c>
      <c r="B37" s="2964">
        <f>SUM(C37:H37)</f>
        <v>65</v>
      </c>
      <c r="C37" s="212">
        <v>3</v>
      </c>
      <c r="D37" s="212">
        <v>6</v>
      </c>
      <c r="E37" s="212">
        <v>5</v>
      </c>
      <c r="F37" s="212">
        <v>0</v>
      </c>
      <c r="G37" s="212">
        <v>50</v>
      </c>
      <c r="H37" s="212">
        <v>1</v>
      </c>
    </row>
    <row r="38" spans="1:8">
      <c r="A38" s="2965" t="s">
        <v>166</v>
      </c>
      <c r="B38" s="2964">
        <f>SUM(C38:H38)</f>
        <v>1</v>
      </c>
      <c r="C38" s="212">
        <v>0</v>
      </c>
      <c r="D38" s="212">
        <v>0</v>
      </c>
      <c r="E38" s="212">
        <v>0</v>
      </c>
      <c r="F38" s="212">
        <v>0</v>
      </c>
      <c r="G38" s="212">
        <v>1</v>
      </c>
      <c r="H38" s="212">
        <v>0</v>
      </c>
    </row>
    <row r="39" spans="1:8">
      <c r="A39" s="2962" t="s">
        <v>17</v>
      </c>
      <c r="B39" s="2964">
        <f t="shared" ref="B39:H39" si="11">SUM(B40:B41)</f>
        <v>34</v>
      </c>
      <c r="C39" s="2963">
        <f t="shared" si="11"/>
        <v>1</v>
      </c>
      <c r="D39" s="2963">
        <f t="shared" si="11"/>
        <v>6</v>
      </c>
      <c r="E39" s="2963">
        <f t="shared" si="11"/>
        <v>0</v>
      </c>
      <c r="F39" s="2963">
        <f t="shared" si="11"/>
        <v>0</v>
      </c>
      <c r="G39" s="2963">
        <f t="shared" si="11"/>
        <v>27</v>
      </c>
      <c r="H39" s="2963">
        <f t="shared" si="11"/>
        <v>0</v>
      </c>
    </row>
    <row r="40" spans="1:8">
      <c r="A40" s="2965" t="s">
        <v>165</v>
      </c>
      <c r="B40" s="2964">
        <f t="shared" ref="B40:B47" si="12">SUM(C40:H40)</f>
        <v>34</v>
      </c>
      <c r="C40" s="212">
        <v>1</v>
      </c>
      <c r="D40" s="212">
        <v>6</v>
      </c>
      <c r="E40" s="212">
        <v>0</v>
      </c>
      <c r="F40" s="212">
        <v>0</v>
      </c>
      <c r="G40" s="212">
        <v>27</v>
      </c>
      <c r="H40" s="212">
        <v>0</v>
      </c>
    </row>
    <row r="41" spans="1:8">
      <c r="A41" s="2965" t="s">
        <v>166</v>
      </c>
      <c r="B41" s="2964">
        <f t="shared" si="12"/>
        <v>0</v>
      </c>
      <c r="C41" s="212">
        <v>0</v>
      </c>
      <c r="D41" s="212">
        <v>0</v>
      </c>
      <c r="E41" s="212">
        <v>0</v>
      </c>
      <c r="F41" s="212">
        <v>0</v>
      </c>
      <c r="G41" s="212">
        <v>0</v>
      </c>
      <c r="H41" s="212">
        <v>0</v>
      </c>
    </row>
    <row r="42" spans="1:8">
      <c r="A42" s="2962" t="s">
        <v>18</v>
      </c>
      <c r="B42" s="2964">
        <f t="shared" si="12"/>
        <v>31</v>
      </c>
      <c r="C42" s="212">
        <f t="shared" ref="C42:H42" si="13">SUM(C43)</f>
        <v>5</v>
      </c>
      <c r="D42" s="212">
        <f t="shared" si="13"/>
        <v>3</v>
      </c>
      <c r="E42" s="212">
        <f t="shared" si="13"/>
        <v>0</v>
      </c>
      <c r="F42" s="212">
        <f t="shared" si="13"/>
        <v>7</v>
      </c>
      <c r="G42" s="212">
        <f t="shared" si="13"/>
        <v>7</v>
      </c>
      <c r="H42" s="212">
        <f t="shared" si="13"/>
        <v>9</v>
      </c>
    </row>
    <row r="43" spans="1:8">
      <c r="A43" s="2965" t="s">
        <v>165</v>
      </c>
      <c r="B43" s="2964">
        <f t="shared" si="12"/>
        <v>31</v>
      </c>
      <c r="C43" s="212">
        <v>5</v>
      </c>
      <c r="D43" s="212">
        <v>3</v>
      </c>
      <c r="E43" s="212">
        <v>0</v>
      </c>
      <c r="F43" s="212">
        <v>7</v>
      </c>
      <c r="G43" s="212">
        <v>7</v>
      </c>
      <c r="H43" s="212">
        <v>9</v>
      </c>
    </row>
    <row r="44" spans="1:8">
      <c r="A44" s="2965" t="s">
        <v>166</v>
      </c>
      <c r="B44" s="2964">
        <f t="shared" si="12"/>
        <v>0</v>
      </c>
      <c r="C44" s="212">
        <v>0</v>
      </c>
      <c r="D44" s="212">
        <v>0</v>
      </c>
      <c r="E44" s="212">
        <v>0</v>
      </c>
      <c r="F44" s="212">
        <v>0</v>
      </c>
      <c r="G44" s="212">
        <v>0</v>
      </c>
      <c r="H44" s="212">
        <v>0</v>
      </c>
    </row>
    <row r="45" spans="1:8">
      <c r="A45" s="2962" t="s">
        <v>19</v>
      </c>
      <c r="B45" s="2964">
        <f t="shared" si="12"/>
        <v>66</v>
      </c>
      <c r="C45" s="2963">
        <f t="shared" ref="C45:H45" si="14">SUM(C46:C47)</f>
        <v>3</v>
      </c>
      <c r="D45" s="2963">
        <f t="shared" si="14"/>
        <v>19</v>
      </c>
      <c r="E45" s="2963">
        <f t="shared" si="14"/>
        <v>3</v>
      </c>
      <c r="F45" s="2963">
        <f t="shared" si="14"/>
        <v>1</v>
      </c>
      <c r="G45" s="2963">
        <f t="shared" si="14"/>
        <v>40</v>
      </c>
      <c r="H45" s="2963">
        <f t="shared" si="14"/>
        <v>0</v>
      </c>
    </row>
    <row r="46" spans="1:8">
      <c r="A46" s="2965" t="s">
        <v>165</v>
      </c>
      <c r="B46" s="2964">
        <f t="shared" si="12"/>
        <v>66</v>
      </c>
      <c r="C46" s="212">
        <v>3</v>
      </c>
      <c r="D46" s="212">
        <v>19</v>
      </c>
      <c r="E46" s="212">
        <v>3</v>
      </c>
      <c r="F46" s="212">
        <v>1</v>
      </c>
      <c r="G46" s="212">
        <v>40</v>
      </c>
      <c r="H46" s="212">
        <v>0</v>
      </c>
    </row>
    <row r="47" spans="1:8">
      <c r="A47" s="2965" t="s">
        <v>166</v>
      </c>
      <c r="B47" s="2964">
        <f t="shared" si="12"/>
        <v>0</v>
      </c>
      <c r="C47" s="212">
        <v>0</v>
      </c>
      <c r="D47" s="212">
        <v>0</v>
      </c>
      <c r="E47" s="212">
        <v>0</v>
      </c>
      <c r="F47" s="212">
        <v>0</v>
      </c>
      <c r="G47" s="212">
        <v>0</v>
      </c>
      <c r="H47" s="212">
        <v>0</v>
      </c>
    </row>
    <row r="48" spans="1:8">
      <c r="A48" s="2962" t="s">
        <v>20</v>
      </c>
      <c r="B48" s="2964">
        <f t="shared" ref="B48:H48" si="15">SUM(B49:B50)</f>
        <v>3</v>
      </c>
      <c r="C48" s="2963">
        <f t="shared" si="15"/>
        <v>2</v>
      </c>
      <c r="D48" s="2963">
        <f t="shared" si="15"/>
        <v>0</v>
      </c>
      <c r="E48" s="2963">
        <f t="shared" si="15"/>
        <v>0</v>
      </c>
      <c r="F48" s="2963">
        <f t="shared" si="15"/>
        <v>0</v>
      </c>
      <c r="G48" s="2963">
        <f t="shared" si="15"/>
        <v>1</v>
      </c>
      <c r="H48" s="2963">
        <f t="shared" si="15"/>
        <v>0</v>
      </c>
    </row>
    <row r="49" spans="1:8">
      <c r="A49" s="2965" t="s">
        <v>165</v>
      </c>
      <c r="B49" s="2964">
        <f>SUM(C49:H49)</f>
        <v>3</v>
      </c>
      <c r="C49" s="212">
        <v>2</v>
      </c>
      <c r="D49" s="212">
        <v>0</v>
      </c>
      <c r="E49" s="212">
        <v>0</v>
      </c>
      <c r="F49" s="212">
        <v>0</v>
      </c>
      <c r="G49" s="212">
        <v>1</v>
      </c>
      <c r="H49" s="212">
        <v>0</v>
      </c>
    </row>
    <row r="50" spans="1:8">
      <c r="A50" s="2965" t="s">
        <v>166</v>
      </c>
      <c r="B50" s="2964">
        <f>SUM(C50:H50)</f>
        <v>0</v>
      </c>
      <c r="C50" s="212">
        <v>0</v>
      </c>
      <c r="D50" s="212">
        <v>0</v>
      </c>
      <c r="E50" s="212">
        <v>0</v>
      </c>
      <c r="F50" s="212">
        <v>0</v>
      </c>
      <c r="G50" s="212">
        <v>0</v>
      </c>
      <c r="H50" s="212">
        <v>0</v>
      </c>
    </row>
    <row r="51" spans="1:8">
      <c r="A51" s="2959" t="s">
        <v>2517</v>
      </c>
      <c r="B51" s="2964">
        <f t="shared" ref="B51:H51" si="16">SUM(B52:B53)</f>
        <v>14</v>
      </c>
      <c r="C51" s="2963">
        <f t="shared" si="16"/>
        <v>0</v>
      </c>
      <c r="D51" s="2963">
        <f t="shared" si="16"/>
        <v>1</v>
      </c>
      <c r="E51" s="2963">
        <f t="shared" si="16"/>
        <v>0</v>
      </c>
      <c r="F51" s="2963">
        <f t="shared" si="16"/>
        <v>0</v>
      </c>
      <c r="G51" s="2963">
        <f t="shared" si="16"/>
        <v>13</v>
      </c>
      <c r="H51" s="2963">
        <f t="shared" si="16"/>
        <v>0</v>
      </c>
    </row>
    <row r="52" spans="1:8">
      <c r="A52" s="229" t="s">
        <v>165</v>
      </c>
      <c r="B52" s="2964">
        <f>SUM(C52:H52)</f>
        <v>14</v>
      </c>
      <c r="C52" s="212">
        <v>0</v>
      </c>
      <c r="D52" s="212">
        <v>1</v>
      </c>
      <c r="E52" s="212">
        <v>0</v>
      </c>
      <c r="F52" s="212">
        <v>0</v>
      </c>
      <c r="G52" s="212">
        <v>13</v>
      </c>
      <c r="H52" s="212">
        <v>0</v>
      </c>
    </row>
    <row r="53" spans="1:8">
      <c r="A53" s="229" t="s">
        <v>166</v>
      </c>
      <c r="B53" s="2964">
        <f>SUM(C53:H53)</f>
        <v>0</v>
      </c>
      <c r="C53" s="212">
        <v>0</v>
      </c>
      <c r="D53" s="2958">
        <v>0</v>
      </c>
      <c r="E53" s="2958">
        <v>0</v>
      </c>
      <c r="F53" s="2958">
        <v>0</v>
      </c>
      <c r="G53" s="2958"/>
      <c r="H53" s="2958">
        <v>0</v>
      </c>
    </row>
    <row r="54" spans="1:8" ht="7.5" customHeight="1">
      <c r="A54" s="229"/>
      <c r="B54" s="230"/>
      <c r="C54" s="231"/>
      <c r="D54" s="231"/>
      <c r="E54" s="231"/>
      <c r="F54" s="231"/>
      <c r="G54" s="231"/>
      <c r="H54" s="231"/>
    </row>
    <row r="55" spans="1:8">
      <c r="A55" s="189" t="s">
        <v>22</v>
      </c>
      <c r="B55" s="230"/>
      <c r="C55" s="231"/>
      <c r="D55" s="231"/>
      <c r="E55" s="231"/>
      <c r="F55" s="231"/>
      <c r="G55" s="231"/>
      <c r="H55" s="231"/>
    </row>
    <row r="56" spans="1:8">
      <c r="A56" s="164" t="s">
        <v>2926</v>
      </c>
    </row>
  </sheetData>
  <mergeCells count="4">
    <mergeCell ref="A2:H2"/>
    <mergeCell ref="A4:A5"/>
    <mergeCell ref="B4:B5"/>
    <mergeCell ref="C4:H4"/>
  </mergeCells>
  <pageMargins left="0.23622047244094491" right="0.23622047244094491" top="0.74803149606299213" bottom="0.74803149606299213" header="0.31496062992125984" footer="0.31496062992125984"/>
  <pageSetup paperSize="14" scale="80" orientation="portrait" r:id="rId1"/>
  <headerFooter alignWithMargins="0"/>
</worksheet>
</file>

<file path=xl/worksheets/sheet32.xml><?xml version="1.0" encoding="utf-8"?>
<worksheet xmlns="http://schemas.openxmlformats.org/spreadsheetml/2006/main" xmlns:r="http://schemas.openxmlformats.org/officeDocument/2006/relationships">
  <dimension ref="A2:M41"/>
  <sheetViews>
    <sheetView topLeftCell="A16" zoomScaleNormal="100" workbookViewId="0">
      <selection activeCell="A34" sqref="A34"/>
    </sheetView>
  </sheetViews>
  <sheetFormatPr baseColWidth="10" defaultRowHeight="11.25"/>
  <cols>
    <col min="1" max="1" width="40.5703125" style="2" customWidth="1"/>
    <col min="2" max="2" width="8.140625" style="2" customWidth="1"/>
    <col min="3" max="3" width="13" style="2" customWidth="1"/>
    <col min="4" max="4" width="12.28515625" style="2" customWidth="1"/>
    <col min="5" max="5" width="15.85546875" style="2" customWidth="1"/>
    <col min="6" max="6" width="23" style="2" customWidth="1"/>
    <col min="7" max="7" width="12.28515625" style="2" customWidth="1"/>
    <col min="8" max="8" width="15.140625" style="2" customWidth="1"/>
    <col min="9" max="9" width="14.5703125" style="2" customWidth="1"/>
    <col min="10" max="10" width="30.140625" style="2" customWidth="1"/>
    <col min="11" max="11" width="14.5703125" style="2" customWidth="1"/>
    <col min="12" max="12" width="27.5703125" style="2" customWidth="1"/>
    <col min="13" max="13" width="29.5703125" style="2" customWidth="1"/>
    <col min="14" max="14" width="3" style="2" customWidth="1"/>
    <col min="15" max="16384" width="11.42578125" style="2"/>
  </cols>
  <sheetData>
    <row r="2" spans="1:13" ht="30" customHeight="1">
      <c r="A2" s="2093" t="s">
        <v>3304</v>
      </c>
      <c r="B2" s="2093"/>
      <c r="C2" s="2093"/>
      <c r="D2" s="2093"/>
      <c r="E2" s="2093"/>
      <c r="F2" s="2093"/>
      <c r="G2" s="2093"/>
      <c r="H2" s="2093"/>
      <c r="I2" s="2093"/>
      <c r="J2" s="2093"/>
      <c r="K2" s="1893"/>
      <c r="L2" s="1893"/>
      <c r="M2" s="1893"/>
    </row>
    <row r="3" spans="1:13">
      <c r="H3" s="370"/>
    </row>
    <row r="4" spans="1:13">
      <c r="A4" s="2080" t="s">
        <v>988</v>
      </c>
      <c r="B4" s="2076" t="s">
        <v>26</v>
      </c>
      <c r="C4" s="2081" t="s">
        <v>989</v>
      </c>
      <c r="D4" s="2082"/>
      <c r="E4" s="2082"/>
      <c r="F4" s="2082"/>
      <c r="G4" s="2082"/>
      <c r="H4" s="2082"/>
      <c r="I4" s="2082"/>
      <c r="J4" s="2083"/>
    </row>
    <row r="5" spans="1:13">
      <c r="A5" s="2080"/>
      <c r="B5" s="2076"/>
      <c r="C5" s="2077">
        <v>2013</v>
      </c>
      <c r="D5" s="2078"/>
      <c r="E5" s="2078"/>
      <c r="F5" s="2078"/>
      <c r="G5" s="2077">
        <v>2014</v>
      </c>
      <c r="H5" s="2078"/>
      <c r="I5" s="2078"/>
      <c r="J5" s="2079"/>
    </row>
    <row r="6" spans="1:13" s="1440" customFormat="1" ht="112.5">
      <c r="A6" s="2080"/>
      <c r="B6" s="2076"/>
      <c r="C6" s="404" t="s">
        <v>819</v>
      </c>
      <c r="D6" s="404" t="s">
        <v>810</v>
      </c>
      <c r="E6" s="404" t="s">
        <v>809</v>
      </c>
      <c r="F6" s="404" t="s">
        <v>824</v>
      </c>
      <c r="G6" s="404" t="s">
        <v>26</v>
      </c>
      <c r="H6" s="404" t="s">
        <v>808</v>
      </c>
      <c r="I6" s="404" t="s">
        <v>810</v>
      </c>
      <c r="J6" s="404" t="s">
        <v>809</v>
      </c>
    </row>
    <row r="7" spans="1:13" s="1" customFormat="1">
      <c r="A7" s="1894" t="s">
        <v>6</v>
      </c>
      <c r="B7" s="6">
        <f t="shared" ref="B7:J7" si="0">+B8+B10+B12+B14+B16+B19+B24+B26</f>
        <v>7</v>
      </c>
      <c r="C7" s="6">
        <f t="shared" si="0"/>
        <v>2</v>
      </c>
      <c r="D7" s="6">
        <f t="shared" si="0"/>
        <v>1</v>
      </c>
      <c r="E7" s="6">
        <f t="shared" si="0"/>
        <v>2</v>
      </c>
      <c r="F7" s="6">
        <f t="shared" si="0"/>
        <v>2</v>
      </c>
      <c r="G7" s="6">
        <f t="shared" si="0"/>
        <v>5</v>
      </c>
      <c r="H7" s="6">
        <f t="shared" si="0"/>
        <v>2</v>
      </c>
      <c r="I7" s="6">
        <f t="shared" si="0"/>
        <v>2</v>
      </c>
      <c r="J7" s="6">
        <f t="shared" si="0"/>
        <v>1</v>
      </c>
    </row>
    <row r="8" spans="1:13" s="1" customFormat="1">
      <c r="A8" s="1894" t="s">
        <v>8</v>
      </c>
      <c r="B8" s="336">
        <f>SUM(B9)</f>
        <v>0</v>
      </c>
      <c r="C8" s="336">
        <f t="shared" ref="C8:J8" si="1">SUM(C9)</f>
        <v>0</v>
      </c>
      <c r="D8" s="336">
        <f t="shared" si="1"/>
        <v>0</v>
      </c>
      <c r="E8" s="336">
        <f t="shared" si="1"/>
        <v>0</v>
      </c>
      <c r="F8" s="336">
        <f t="shared" si="1"/>
        <v>0</v>
      </c>
      <c r="G8" s="336">
        <f t="shared" si="1"/>
        <v>1</v>
      </c>
      <c r="H8" s="336">
        <f t="shared" si="1"/>
        <v>1</v>
      </c>
      <c r="I8" s="336">
        <f t="shared" si="1"/>
        <v>0</v>
      </c>
      <c r="J8" s="336">
        <f t="shared" si="1"/>
        <v>0</v>
      </c>
    </row>
    <row r="9" spans="1:13" s="1" customFormat="1">
      <c r="A9" s="785" t="s">
        <v>825</v>
      </c>
      <c r="B9" s="7">
        <f>SUM(C9:F9)</f>
        <v>0</v>
      </c>
      <c r="C9" s="7">
        <v>0</v>
      </c>
      <c r="D9" s="7">
        <v>0</v>
      </c>
      <c r="E9" s="7">
        <v>0</v>
      </c>
      <c r="F9" s="7">
        <v>0</v>
      </c>
      <c r="G9" s="7">
        <f>SUM(H9:J9)</f>
        <v>1</v>
      </c>
      <c r="H9" s="7">
        <v>1</v>
      </c>
      <c r="I9" s="7">
        <v>0</v>
      </c>
      <c r="J9" s="7">
        <v>0</v>
      </c>
    </row>
    <row r="10" spans="1:13" s="1" customFormat="1">
      <c r="A10" s="1894" t="s">
        <v>13</v>
      </c>
      <c r="B10" s="336">
        <f>SUM(B11)</f>
        <v>1</v>
      </c>
      <c r="C10" s="336">
        <f t="shared" ref="C10:J10" si="2">SUM(C11)</f>
        <v>1</v>
      </c>
      <c r="D10" s="336">
        <f t="shared" si="2"/>
        <v>0</v>
      </c>
      <c r="E10" s="336">
        <f t="shared" si="2"/>
        <v>0</v>
      </c>
      <c r="F10" s="336">
        <f t="shared" si="2"/>
        <v>0</v>
      </c>
      <c r="G10" s="336">
        <f t="shared" si="2"/>
        <v>0</v>
      </c>
      <c r="H10" s="336">
        <f t="shared" si="2"/>
        <v>0</v>
      </c>
      <c r="I10" s="336">
        <f t="shared" si="2"/>
        <v>0</v>
      </c>
      <c r="J10" s="336">
        <f t="shared" si="2"/>
        <v>0</v>
      </c>
    </row>
    <row r="11" spans="1:13" s="1" customFormat="1">
      <c r="A11" s="785" t="s">
        <v>826</v>
      </c>
      <c r="B11" s="7">
        <f>SUM(C11:F11)</f>
        <v>1</v>
      </c>
      <c r="C11" s="7">
        <v>1</v>
      </c>
      <c r="D11" s="7">
        <v>0</v>
      </c>
      <c r="E11" s="7">
        <v>0</v>
      </c>
      <c r="F11" s="7">
        <v>0</v>
      </c>
      <c r="G11" s="7">
        <f>SUM(H11:J11)</f>
        <v>0</v>
      </c>
      <c r="H11" s="7">
        <v>0</v>
      </c>
      <c r="I11" s="7">
        <v>0</v>
      </c>
      <c r="J11" s="7">
        <v>0</v>
      </c>
    </row>
    <row r="12" spans="1:13" s="1" customFormat="1">
      <c r="A12" s="1894" t="s">
        <v>379</v>
      </c>
      <c r="B12" s="336">
        <f>SUM(B13)</f>
        <v>0</v>
      </c>
      <c r="C12" s="336">
        <f t="shared" ref="C12:J12" si="3">SUM(C13)</f>
        <v>0</v>
      </c>
      <c r="D12" s="336">
        <f t="shared" si="3"/>
        <v>0</v>
      </c>
      <c r="E12" s="336">
        <f t="shared" si="3"/>
        <v>0</v>
      </c>
      <c r="F12" s="336">
        <f t="shared" si="3"/>
        <v>0</v>
      </c>
      <c r="G12" s="336">
        <f t="shared" si="3"/>
        <v>1</v>
      </c>
      <c r="H12" s="336">
        <f t="shared" si="3"/>
        <v>0</v>
      </c>
      <c r="I12" s="336">
        <f t="shared" si="3"/>
        <v>0</v>
      </c>
      <c r="J12" s="336">
        <f t="shared" si="3"/>
        <v>1</v>
      </c>
    </row>
    <row r="13" spans="1:13" s="1" customFormat="1">
      <c r="A13" s="785" t="s">
        <v>827</v>
      </c>
      <c r="B13" s="7">
        <f>SUM(C13:F13)</f>
        <v>0</v>
      </c>
      <c r="C13" s="7">
        <v>0</v>
      </c>
      <c r="D13" s="7">
        <v>0</v>
      </c>
      <c r="E13" s="7">
        <v>0</v>
      </c>
      <c r="F13" s="7">
        <v>0</v>
      </c>
      <c r="G13" s="7">
        <f>SUM(H13:J13)</f>
        <v>1</v>
      </c>
      <c r="H13" s="7">
        <v>0</v>
      </c>
      <c r="I13" s="7">
        <v>0</v>
      </c>
      <c r="J13" s="7">
        <v>1</v>
      </c>
    </row>
    <row r="14" spans="1:13" s="1" customFormat="1">
      <c r="A14" s="1894" t="s">
        <v>276</v>
      </c>
      <c r="B14" s="336">
        <f>SUM(B15)</f>
        <v>1</v>
      </c>
      <c r="C14" s="336">
        <f t="shared" ref="C14:J14" si="4">SUM(C15)</f>
        <v>0</v>
      </c>
      <c r="D14" s="336">
        <f t="shared" si="4"/>
        <v>0</v>
      </c>
      <c r="E14" s="336">
        <f t="shared" si="4"/>
        <v>1</v>
      </c>
      <c r="F14" s="336">
        <f t="shared" si="4"/>
        <v>0</v>
      </c>
      <c r="G14" s="336">
        <f t="shared" si="4"/>
        <v>0</v>
      </c>
      <c r="H14" s="336">
        <f t="shared" si="4"/>
        <v>0</v>
      </c>
      <c r="I14" s="336">
        <f t="shared" si="4"/>
        <v>0</v>
      </c>
      <c r="J14" s="336">
        <f t="shared" si="4"/>
        <v>0</v>
      </c>
    </row>
    <row r="15" spans="1:13" s="1" customFormat="1">
      <c r="A15" s="785" t="s">
        <v>828</v>
      </c>
      <c r="B15" s="7">
        <f>SUM(C15:F15)</f>
        <v>1</v>
      </c>
      <c r="C15" s="7">
        <v>0</v>
      </c>
      <c r="D15" s="7">
        <v>0</v>
      </c>
      <c r="E15" s="7">
        <v>1</v>
      </c>
      <c r="F15" s="7">
        <v>0</v>
      </c>
      <c r="G15" s="7">
        <f>SUM(H15:J15)</f>
        <v>0</v>
      </c>
      <c r="H15" s="7">
        <v>0</v>
      </c>
      <c r="I15" s="7">
        <v>0</v>
      </c>
      <c r="J15" s="7">
        <v>0</v>
      </c>
    </row>
    <row r="16" spans="1:13" s="405" customFormat="1">
      <c r="A16" s="786" t="s">
        <v>280</v>
      </c>
      <c r="B16" s="6">
        <f>SUM(B17:B18)</f>
        <v>1</v>
      </c>
      <c r="C16" s="6">
        <f t="shared" ref="C16:J16" si="5">SUM(C17:C18)</f>
        <v>1</v>
      </c>
      <c r="D16" s="6">
        <f t="shared" si="5"/>
        <v>0</v>
      </c>
      <c r="E16" s="6">
        <f t="shared" si="5"/>
        <v>0</v>
      </c>
      <c r="F16" s="6">
        <f t="shared" si="5"/>
        <v>0</v>
      </c>
      <c r="G16" s="6">
        <f t="shared" si="5"/>
        <v>1</v>
      </c>
      <c r="H16" s="6">
        <f t="shared" si="5"/>
        <v>0</v>
      </c>
      <c r="I16" s="6">
        <f t="shared" si="5"/>
        <v>1</v>
      </c>
      <c r="J16" s="6">
        <f t="shared" si="5"/>
        <v>0</v>
      </c>
    </row>
    <row r="17" spans="1:13" s="1" customFormat="1" ht="22.5">
      <c r="A17" s="785" t="s">
        <v>829</v>
      </c>
      <c r="B17" s="7">
        <f>SUM(C17:F17)</f>
        <v>1</v>
      </c>
      <c r="C17" s="7">
        <v>1</v>
      </c>
      <c r="D17" s="7">
        <v>0</v>
      </c>
      <c r="E17" s="7">
        <v>0</v>
      </c>
      <c r="F17" s="7">
        <v>0</v>
      </c>
      <c r="G17" s="7">
        <f>SUM(H17:J17)</f>
        <v>0</v>
      </c>
      <c r="H17" s="7">
        <v>0</v>
      </c>
      <c r="I17" s="7">
        <v>0</v>
      </c>
      <c r="J17" s="7">
        <v>0</v>
      </c>
    </row>
    <row r="18" spans="1:13" s="1" customFormat="1">
      <c r="A18" s="785" t="s">
        <v>830</v>
      </c>
      <c r="B18" s="7">
        <f>SUM(C18:F18)</f>
        <v>0</v>
      </c>
      <c r="C18" s="7">
        <v>0</v>
      </c>
      <c r="D18" s="7">
        <v>0</v>
      </c>
      <c r="E18" s="7">
        <v>0</v>
      </c>
      <c r="F18" s="7">
        <v>0</v>
      </c>
      <c r="G18" s="7">
        <f>SUM(H18:J18)</f>
        <v>1</v>
      </c>
      <c r="H18" s="7">
        <v>0</v>
      </c>
      <c r="I18" s="7">
        <v>1</v>
      </c>
      <c r="J18" s="7"/>
    </row>
    <row r="19" spans="1:13" s="1" customFormat="1">
      <c r="A19" s="786" t="s">
        <v>20</v>
      </c>
      <c r="B19" s="6">
        <f>SUM(B20:B23)</f>
        <v>3</v>
      </c>
      <c r="C19" s="6">
        <f t="shared" ref="C19:J19" si="6">SUM(C20:C23)</f>
        <v>0</v>
      </c>
      <c r="D19" s="6">
        <f t="shared" si="6"/>
        <v>1</v>
      </c>
      <c r="E19" s="6">
        <f t="shared" si="6"/>
        <v>1</v>
      </c>
      <c r="F19" s="6">
        <f t="shared" si="6"/>
        <v>1</v>
      </c>
      <c r="G19" s="6">
        <f t="shared" si="6"/>
        <v>1</v>
      </c>
      <c r="H19" s="6">
        <f t="shared" si="6"/>
        <v>0</v>
      </c>
      <c r="I19" s="6">
        <f t="shared" si="6"/>
        <v>1</v>
      </c>
      <c r="J19" s="6">
        <f t="shared" si="6"/>
        <v>0</v>
      </c>
    </row>
    <row r="20" spans="1:13" s="1" customFormat="1" ht="22.5">
      <c r="A20" s="785" t="s">
        <v>831</v>
      </c>
      <c r="B20" s="7">
        <f>SUM(C20:F20)</f>
        <v>1</v>
      </c>
      <c r="C20" s="7">
        <v>0</v>
      </c>
      <c r="D20" s="7">
        <v>0</v>
      </c>
      <c r="E20" s="7">
        <v>0</v>
      </c>
      <c r="F20" s="7">
        <v>1</v>
      </c>
      <c r="G20" s="7">
        <f>SUM(H20:J20)</f>
        <v>0</v>
      </c>
      <c r="H20" s="7">
        <v>0</v>
      </c>
      <c r="I20" s="7">
        <v>0</v>
      </c>
      <c r="J20" s="7">
        <v>0</v>
      </c>
    </row>
    <row r="21" spans="1:13" s="1" customFormat="1">
      <c r="A21" s="785" t="s">
        <v>832</v>
      </c>
      <c r="B21" s="7">
        <f>SUM(C21:F21)</f>
        <v>1</v>
      </c>
      <c r="C21" s="7">
        <v>0</v>
      </c>
      <c r="D21" s="7">
        <v>0</v>
      </c>
      <c r="E21" s="7">
        <v>1</v>
      </c>
      <c r="F21" s="7"/>
      <c r="G21" s="7">
        <f>SUM(H21:J21)</f>
        <v>0</v>
      </c>
      <c r="H21" s="7">
        <v>0</v>
      </c>
      <c r="I21" s="7">
        <v>0</v>
      </c>
      <c r="J21" s="7">
        <v>0</v>
      </c>
    </row>
    <row r="22" spans="1:13" s="1" customFormat="1" ht="22.5">
      <c r="A22" s="785" t="s">
        <v>833</v>
      </c>
      <c r="B22" s="7">
        <f>SUM(C22:F22)</f>
        <v>1</v>
      </c>
      <c r="C22" s="7">
        <v>0</v>
      </c>
      <c r="D22" s="7">
        <v>1</v>
      </c>
      <c r="E22" s="7">
        <v>0</v>
      </c>
      <c r="F22" s="7">
        <v>0</v>
      </c>
      <c r="G22" s="7">
        <f>SUM(H22:J22)</f>
        <v>0</v>
      </c>
      <c r="H22" s="7">
        <v>0</v>
      </c>
      <c r="I22" s="7">
        <v>0</v>
      </c>
      <c r="J22" s="7">
        <v>0</v>
      </c>
    </row>
    <row r="23" spans="1:13" s="1" customFormat="1" ht="22.5">
      <c r="A23" s="785" t="s">
        <v>834</v>
      </c>
      <c r="B23" s="7">
        <f>SUM(C23:F23)</f>
        <v>0</v>
      </c>
      <c r="C23" s="7">
        <v>0</v>
      </c>
      <c r="D23" s="7">
        <v>0</v>
      </c>
      <c r="E23" s="7">
        <v>0</v>
      </c>
      <c r="F23" s="7">
        <v>0</v>
      </c>
      <c r="G23" s="7">
        <f>SUM(H23:J23)</f>
        <v>1</v>
      </c>
      <c r="H23" s="7">
        <v>0</v>
      </c>
      <c r="I23" s="7">
        <v>1</v>
      </c>
      <c r="J23" s="7">
        <v>0</v>
      </c>
    </row>
    <row r="24" spans="1:13" s="1" customFormat="1">
      <c r="A24" s="786" t="s">
        <v>21</v>
      </c>
      <c r="B24" s="336">
        <f>SUM(B25)</f>
        <v>1</v>
      </c>
      <c r="C24" s="336">
        <f t="shared" ref="C24:J24" si="7">SUM(C25)</f>
        <v>0</v>
      </c>
      <c r="D24" s="336">
        <f t="shared" si="7"/>
        <v>0</v>
      </c>
      <c r="E24" s="336">
        <f t="shared" si="7"/>
        <v>0</v>
      </c>
      <c r="F24" s="336">
        <f t="shared" si="7"/>
        <v>1</v>
      </c>
      <c r="G24" s="336">
        <f t="shared" si="7"/>
        <v>0</v>
      </c>
      <c r="H24" s="336">
        <f t="shared" si="7"/>
        <v>0</v>
      </c>
      <c r="I24" s="336">
        <f t="shared" si="7"/>
        <v>0</v>
      </c>
      <c r="J24" s="336">
        <f t="shared" si="7"/>
        <v>0</v>
      </c>
    </row>
    <row r="25" spans="1:13" s="1" customFormat="1">
      <c r="A25" s="785" t="s">
        <v>835</v>
      </c>
      <c r="B25" s="7">
        <f>SUM(C25:F25)</f>
        <v>1</v>
      </c>
      <c r="C25" s="7">
        <v>0</v>
      </c>
      <c r="D25" s="7">
        <v>0</v>
      </c>
      <c r="E25" s="7">
        <v>0</v>
      </c>
      <c r="F25" s="7">
        <v>1</v>
      </c>
      <c r="G25" s="7">
        <f>SUM(H25:J25)</f>
        <v>0</v>
      </c>
      <c r="H25" s="7">
        <v>0</v>
      </c>
      <c r="I25" s="7">
        <v>0</v>
      </c>
      <c r="J25" s="7">
        <v>0</v>
      </c>
    </row>
    <row r="26" spans="1:13" s="1" customFormat="1" ht="12.75">
      <c r="A26" s="64" t="s">
        <v>3872</v>
      </c>
      <c r="B26" s="336">
        <f>SUM(B27)</f>
        <v>0</v>
      </c>
      <c r="C26" s="336">
        <f t="shared" ref="C26:J26" si="8">SUM(C27)</f>
        <v>0</v>
      </c>
      <c r="D26" s="336">
        <f t="shared" si="8"/>
        <v>0</v>
      </c>
      <c r="E26" s="336">
        <f t="shared" si="8"/>
        <v>0</v>
      </c>
      <c r="F26" s="336">
        <f t="shared" si="8"/>
        <v>0</v>
      </c>
      <c r="G26" s="336">
        <f t="shared" si="8"/>
        <v>1</v>
      </c>
      <c r="H26" s="336">
        <f t="shared" si="8"/>
        <v>1</v>
      </c>
      <c r="I26" s="336">
        <f t="shared" si="8"/>
        <v>0</v>
      </c>
      <c r="J26" s="336">
        <f t="shared" si="8"/>
        <v>0</v>
      </c>
    </row>
    <row r="27" spans="1:13" s="1" customFormat="1" ht="48" customHeight="1">
      <c r="A27" s="785" t="s">
        <v>836</v>
      </c>
      <c r="B27" s="7">
        <f>SUM(C27:F27)</f>
        <v>0</v>
      </c>
      <c r="C27" s="7">
        <v>0</v>
      </c>
      <c r="D27" s="7">
        <v>0</v>
      </c>
      <c r="E27" s="7">
        <v>0</v>
      </c>
      <c r="F27" s="7">
        <v>0</v>
      </c>
      <c r="G27" s="7">
        <f>SUM(H27:J27)</f>
        <v>1</v>
      </c>
      <c r="H27" s="7">
        <v>1</v>
      </c>
      <c r="I27" s="7">
        <v>0</v>
      </c>
      <c r="J27" s="7">
        <v>0</v>
      </c>
    </row>
    <row r="28" spans="1:13" s="1" customFormat="1">
      <c r="A28" s="785"/>
      <c r="B28" s="7"/>
      <c r="C28" s="7"/>
      <c r="D28" s="7"/>
      <c r="E28" s="7"/>
      <c r="F28" s="7"/>
      <c r="G28" s="7"/>
      <c r="H28" s="7"/>
      <c r="I28" s="7"/>
      <c r="J28" s="7"/>
      <c r="K28" s="7"/>
      <c r="L28" s="7"/>
      <c r="M28" s="7"/>
    </row>
    <row r="29" spans="1:13" s="1" customFormat="1">
      <c r="A29" s="2651" t="s">
        <v>3873</v>
      </c>
      <c r="B29" s="2651"/>
      <c r="C29" s="2651"/>
      <c r="D29" s="2651"/>
      <c r="E29" s="2651"/>
      <c r="F29" s="2651"/>
      <c r="G29" s="2651"/>
      <c r="H29" s="2651"/>
      <c r="I29" s="2651"/>
      <c r="J29" s="7"/>
      <c r="K29" s="7"/>
      <c r="L29" s="7"/>
      <c r="M29" s="7"/>
    </row>
    <row r="30" spans="1:13" s="1" customFormat="1">
      <c r="A30" s="2651" t="s">
        <v>3874</v>
      </c>
      <c r="B30" s="2651"/>
      <c r="C30" s="2651"/>
      <c r="D30" s="2651"/>
      <c r="E30" s="2651"/>
      <c r="F30" s="2651"/>
      <c r="G30" s="2651"/>
      <c r="H30" s="2651"/>
      <c r="I30" s="2651"/>
    </row>
    <row r="31" spans="1:13" s="1" customFormat="1">
      <c r="A31" s="2652" t="s">
        <v>747</v>
      </c>
      <c r="B31" s="2652"/>
      <c r="C31" s="2652"/>
      <c r="D31" s="2652"/>
      <c r="E31" s="2652"/>
      <c r="F31" s="2652"/>
      <c r="G31" s="2652"/>
      <c r="H31" s="2652"/>
    </row>
    <row r="32" spans="1:13">
      <c r="A32" s="2651" t="s">
        <v>861</v>
      </c>
      <c r="B32" s="2651"/>
      <c r="C32" s="2651"/>
      <c r="D32" s="2651"/>
      <c r="E32" s="2651"/>
      <c r="F32" s="2651"/>
      <c r="G32" s="2651"/>
      <c r="H32" s="2651"/>
    </row>
    <row r="35" spans="2:4">
      <c r="B35" s="1"/>
      <c r="C35" s="1"/>
      <c r="D35" s="1"/>
    </row>
    <row r="36" spans="2:4">
      <c r="B36" s="1"/>
      <c r="C36" s="1895"/>
      <c r="D36" s="1"/>
    </row>
    <row r="37" spans="2:4">
      <c r="B37" s="1"/>
      <c r="C37" s="1895"/>
      <c r="D37" s="1"/>
    </row>
    <row r="38" spans="2:4">
      <c r="B38" s="1"/>
      <c r="C38" s="1895"/>
      <c r="D38" s="1"/>
    </row>
    <row r="39" spans="2:4">
      <c r="B39" s="1"/>
      <c r="C39" s="1895"/>
      <c r="D39" s="1"/>
    </row>
    <row r="40" spans="2:4">
      <c r="B40" s="1"/>
      <c r="C40" s="1"/>
      <c r="D40" s="1"/>
    </row>
    <row r="41" spans="2:4">
      <c r="B41" s="1"/>
      <c r="C41" s="1"/>
      <c r="D41" s="1"/>
    </row>
  </sheetData>
  <mergeCells count="10">
    <mergeCell ref="A29:I29"/>
    <mergeCell ref="A30:I30"/>
    <mergeCell ref="A32:H32"/>
    <mergeCell ref="A31:H31"/>
    <mergeCell ref="A2:J2"/>
    <mergeCell ref="A4:A6"/>
    <mergeCell ref="B4:B6"/>
    <mergeCell ref="C4:J4"/>
    <mergeCell ref="C5:F5"/>
    <mergeCell ref="G5:J5"/>
  </mergeCells>
  <pageMargins left="0.7" right="0.7" top="0.75" bottom="0.75" header="0.3" footer="0.3"/>
  <pageSetup orientation="portrait" r:id="rId1"/>
</worksheet>
</file>

<file path=xl/worksheets/sheet320.xml><?xml version="1.0" encoding="utf-8"?>
<worksheet xmlns="http://schemas.openxmlformats.org/spreadsheetml/2006/main" xmlns:r="http://schemas.openxmlformats.org/officeDocument/2006/relationships">
  <dimension ref="A2:H139"/>
  <sheetViews>
    <sheetView showGridLines="0" zoomScaleNormal="100" workbookViewId="0">
      <selection activeCell="A4" sqref="A4:A5"/>
    </sheetView>
  </sheetViews>
  <sheetFormatPr baseColWidth="10" defaultColWidth="21.85546875" defaultRowHeight="11.25"/>
  <cols>
    <col min="1" max="1" width="19" style="191" customWidth="1"/>
    <col min="2" max="2" width="9.42578125" style="191" customWidth="1"/>
    <col min="3" max="3" width="21.28515625" style="195" customWidth="1"/>
    <col min="4" max="4" width="20.28515625" style="195" customWidth="1"/>
    <col min="5" max="5" width="20.7109375" style="195" customWidth="1"/>
    <col min="6" max="6" width="21.5703125" style="195" customWidth="1"/>
    <col min="7" max="7" width="15.7109375" style="195" customWidth="1"/>
    <col min="8" max="8" width="20.28515625" style="195" customWidth="1"/>
    <col min="9" max="9" width="14.140625" style="191" customWidth="1"/>
    <col min="10" max="16384" width="21.85546875" style="191"/>
  </cols>
  <sheetData>
    <row r="2" spans="1:8" ht="37.5" customHeight="1">
      <c r="A2" s="2636" t="s">
        <v>3027</v>
      </c>
      <c r="B2" s="2636"/>
      <c r="C2" s="2636"/>
      <c r="D2" s="2636"/>
      <c r="E2" s="2636"/>
      <c r="F2" s="2636"/>
      <c r="G2" s="2636"/>
      <c r="H2" s="2636"/>
    </row>
    <row r="4" spans="1:8" ht="18" customHeight="1">
      <c r="A4" s="2945" t="s">
        <v>3026</v>
      </c>
      <c r="B4" s="2946" t="s">
        <v>26</v>
      </c>
      <c r="C4" s="2946" t="s">
        <v>3013</v>
      </c>
      <c r="D4" s="2946"/>
      <c r="E4" s="2946"/>
      <c r="F4" s="2946"/>
      <c r="G4" s="2946"/>
      <c r="H4" s="2946"/>
    </row>
    <row r="5" spans="1:8" ht="78.75">
      <c r="A5" s="2945"/>
      <c r="B5" s="2946"/>
      <c r="C5" s="2947" t="s">
        <v>3237</v>
      </c>
      <c r="D5" s="2947" t="s">
        <v>3006</v>
      </c>
      <c r="E5" s="2947" t="s">
        <v>3005</v>
      </c>
      <c r="F5" s="2947" t="s">
        <v>2977</v>
      </c>
      <c r="G5" s="2947" t="s">
        <v>2976</v>
      </c>
      <c r="H5" s="2947" t="s">
        <v>3004</v>
      </c>
    </row>
    <row r="6" spans="1:8">
      <c r="A6" s="2970" t="s">
        <v>6</v>
      </c>
      <c r="B6" s="234">
        <f>SUM(C6:H6)</f>
        <v>1110</v>
      </c>
      <c r="C6" s="2952">
        <f t="shared" ref="C6:H6" si="0">SUM(C7:C13)</f>
        <v>85</v>
      </c>
      <c r="D6" s="2952">
        <f t="shared" si="0"/>
        <v>158</v>
      </c>
      <c r="E6" s="2952">
        <f t="shared" si="0"/>
        <v>15</v>
      </c>
      <c r="F6" s="2952">
        <f t="shared" si="0"/>
        <v>31</v>
      </c>
      <c r="G6" s="2952">
        <f t="shared" si="0"/>
        <v>781</v>
      </c>
      <c r="H6" s="2952">
        <f t="shared" si="0"/>
        <v>40</v>
      </c>
    </row>
    <row r="7" spans="1:8">
      <c r="A7" s="191" t="s">
        <v>3025</v>
      </c>
      <c r="B7" s="2952">
        <f t="shared" ref="B7:H13" si="1">+B15+B23+B31+B39+B47+B55+B63+B71+B79+B87+B95+B103+B111+B119+B127</f>
        <v>9</v>
      </c>
      <c r="C7" s="2952">
        <f t="shared" si="1"/>
        <v>1</v>
      </c>
      <c r="D7" s="2952">
        <f t="shared" si="1"/>
        <v>2</v>
      </c>
      <c r="E7" s="2952">
        <f t="shared" si="1"/>
        <v>0</v>
      </c>
      <c r="F7" s="2952">
        <f t="shared" si="1"/>
        <v>0</v>
      </c>
      <c r="G7" s="2952">
        <f t="shared" si="1"/>
        <v>6</v>
      </c>
      <c r="H7" s="2952">
        <f t="shared" si="1"/>
        <v>0</v>
      </c>
    </row>
    <row r="8" spans="1:8">
      <c r="A8" s="191" t="s">
        <v>3024</v>
      </c>
      <c r="B8" s="2952">
        <f t="shared" si="1"/>
        <v>38</v>
      </c>
      <c r="C8" s="2952">
        <f t="shared" si="1"/>
        <v>5</v>
      </c>
      <c r="D8" s="2952">
        <f t="shared" si="1"/>
        <v>6</v>
      </c>
      <c r="E8" s="2952">
        <f t="shared" si="1"/>
        <v>0</v>
      </c>
      <c r="F8" s="2952">
        <f t="shared" si="1"/>
        <v>1</v>
      </c>
      <c r="G8" s="2952">
        <f t="shared" si="1"/>
        <v>26</v>
      </c>
      <c r="H8" s="2952">
        <f t="shared" si="1"/>
        <v>0</v>
      </c>
    </row>
    <row r="9" spans="1:8">
      <c r="A9" s="191" t="s">
        <v>3023</v>
      </c>
      <c r="B9" s="2952">
        <f t="shared" si="1"/>
        <v>97</v>
      </c>
      <c r="C9" s="2952">
        <f t="shared" si="1"/>
        <v>6</v>
      </c>
      <c r="D9" s="2952">
        <f t="shared" si="1"/>
        <v>21</v>
      </c>
      <c r="E9" s="2952">
        <f t="shared" si="1"/>
        <v>0</v>
      </c>
      <c r="F9" s="2952">
        <f t="shared" si="1"/>
        <v>7</v>
      </c>
      <c r="G9" s="2952">
        <f t="shared" si="1"/>
        <v>61</v>
      </c>
      <c r="H9" s="2952">
        <f t="shared" si="1"/>
        <v>2</v>
      </c>
    </row>
    <row r="10" spans="1:8">
      <c r="A10" s="191" t="s">
        <v>3022</v>
      </c>
      <c r="B10" s="2952">
        <f t="shared" si="1"/>
        <v>348</v>
      </c>
      <c r="C10" s="2952">
        <f t="shared" si="1"/>
        <v>23</v>
      </c>
      <c r="D10" s="2952">
        <f t="shared" si="1"/>
        <v>46</v>
      </c>
      <c r="E10" s="2952">
        <f t="shared" si="1"/>
        <v>4</v>
      </c>
      <c r="F10" s="2952">
        <f t="shared" si="1"/>
        <v>11</v>
      </c>
      <c r="G10" s="2952">
        <f t="shared" si="1"/>
        <v>253</v>
      </c>
      <c r="H10" s="2952">
        <f t="shared" si="1"/>
        <v>11</v>
      </c>
    </row>
    <row r="11" spans="1:8">
      <c r="A11" s="191" t="s">
        <v>3021</v>
      </c>
      <c r="B11" s="2952">
        <f t="shared" si="1"/>
        <v>312</v>
      </c>
      <c r="C11" s="2952">
        <f t="shared" si="1"/>
        <v>32</v>
      </c>
      <c r="D11" s="2952">
        <f t="shared" si="1"/>
        <v>39</v>
      </c>
      <c r="E11" s="2952">
        <f t="shared" si="1"/>
        <v>8</v>
      </c>
      <c r="F11" s="2952">
        <f t="shared" si="1"/>
        <v>4</v>
      </c>
      <c r="G11" s="2952">
        <f t="shared" si="1"/>
        <v>214</v>
      </c>
      <c r="H11" s="2952">
        <f t="shared" si="1"/>
        <v>15</v>
      </c>
    </row>
    <row r="12" spans="1:8">
      <c r="A12" s="191" t="s">
        <v>3020</v>
      </c>
      <c r="B12" s="2952">
        <f t="shared" si="1"/>
        <v>184</v>
      </c>
      <c r="C12" s="2952">
        <f t="shared" si="1"/>
        <v>11</v>
      </c>
      <c r="D12" s="2952">
        <f t="shared" si="1"/>
        <v>25</v>
      </c>
      <c r="E12" s="2952">
        <f t="shared" si="1"/>
        <v>1</v>
      </c>
      <c r="F12" s="2952">
        <f t="shared" si="1"/>
        <v>4</v>
      </c>
      <c r="G12" s="2952">
        <f t="shared" si="1"/>
        <v>140</v>
      </c>
      <c r="H12" s="2952">
        <f t="shared" si="1"/>
        <v>3</v>
      </c>
    </row>
    <row r="13" spans="1:8">
      <c r="A13" s="191" t="s">
        <v>3019</v>
      </c>
      <c r="B13" s="2952">
        <f t="shared" si="1"/>
        <v>122</v>
      </c>
      <c r="C13" s="2952">
        <f t="shared" si="1"/>
        <v>7</v>
      </c>
      <c r="D13" s="2952">
        <f t="shared" si="1"/>
        <v>19</v>
      </c>
      <c r="E13" s="2952">
        <f t="shared" si="1"/>
        <v>2</v>
      </c>
      <c r="F13" s="2952">
        <f t="shared" si="1"/>
        <v>4</v>
      </c>
      <c r="G13" s="2952">
        <f t="shared" si="1"/>
        <v>81</v>
      </c>
      <c r="H13" s="2952">
        <f t="shared" si="1"/>
        <v>9</v>
      </c>
    </row>
    <row r="14" spans="1:8">
      <c r="A14" s="2959" t="s">
        <v>7</v>
      </c>
      <c r="B14" s="234">
        <f t="shared" ref="B14:B29" si="2">SUM(C14:H14)</f>
        <v>62</v>
      </c>
      <c r="C14" s="2952">
        <f t="shared" ref="C14:H14" si="3">SUM(C15:C21)</f>
        <v>2</v>
      </c>
      <c r="D14" s="2952">
        <f t="shared" si="3"/>
        <v>12</v>
      </c>
      <c r="E14" s="2952">
        <f t="shared" si="3"/>
        <v>0</v>
      </c>
      <c r="F14" s="2952">
        <f t="shared" si="3"/>
        <v>2</v>
      </c>
      <c r="G14" s="2952">
        <f t="shared" si="3"/>
        <v>37</v>
      </c>
      <c r="H14" s="2952">
        <f t="shared" si="3"/>
        <v>9</v>
      </c>
    </row>
    <row r="15" spans="1:8">
      <c r="A15" s="223" t="s">
        <v>3025</v>
      </c>
      <c r="B15" s="234">
        <f t="shared" si="2"/>
        <v>0</v>
      </c>
      <c r="C15" s="2971">
        <v>0</v>
      </c>
      <c r="D15" s="2971">
        <v>0</v>
      </c>
      <c r="E15" s="2971">
        <v>0</v>
      </c>
      <c r="F15" s="2971">
        <v>0</v>
      </c>
      <c r="G15" s="2971">
        <v>0</v>
      </c>
      <c r="H15" s="2971">
        <v>0</v>
      </c>
    </row>
    <row r="16" spans="1:8">
      <c r="A16" s="223" t="s">
        <v>3024</v>
      </c>
      <c r="B16" s="234">
        <f t="shared" si="2"/>
        <v>2</v>
      </c>
      <c r="C16" s="2956">
        <v>0</v>
      </c>
      <c r="D16" s="2956">
        <v>1</v>
      </c>
      <c r="E16" s="2956">
        <v>0</v>
      </c>
      <c r="F16" s="2956">
        <v>0</v>
      </c>
      <c r="G16" s="2956">
        <v>1</v>
      </c>
      <c r="H16" s="2956">
        <v>0</v>
      </c>
    </row>
    <row r="17" spans="1:8">
      <c r="A17" s="223" t="s">
        <v>3023</v>
      </c>
      <c r="B17" s="234">
        <f t="shared" si="2"/>
        <v>0</v>
      </c>
      <c r="C17" s="2956">
        <v>0</v>
      </c>
      <c r="D17" s="2956">
        <v>0</v>
      </c>
      <c r="E17" s="2956">
        <v>0</v>
      </c>
      <c r="F17" s="2956">
        <v>0</v>
      </c>
      <c r="G17" s="2956">
        <v>0</v>
      </c>
      <c r="H17" s="2956">
        <v>0</v>
      </c>
    </row>
    <row r="18" spans="1:8">
      <c r="A18" s="223" t="s">
        <v>3022</v>
      </c>
      <c r="B18" s="234">
        <f t="shared" si="2"/>
        <v>21</v>
      </c>
      <c r="C18" s="2956">
        <v>2</v>
      </c>
      <c r="D18" s="2956">
        <v>2</v>
      </c>
      <c r="E18" s="2956">
        <v>0</v>
      </c>
      <c r="F18" s="2956">
        <v>1</v>
      </c>
      <c r="G18" s="2956">
        <v>13</v>
      </c>
      <c r="H18" s="2956">
        <v>3</v>
      </c>
    </row>
    <row r="19" spans="1:8">
      <c r="A19" s="223" t="s">
        <v>3021</v>
      </c>
      <c r="B19" s="234">
        <f t="shared" si="2"/>
        <v>15</v>
      </c>
      <c r="C19" s="2956">
        <v>0</v>
      </c>
      <c r="D19" s="2956">
        <v>3</v>
      </c>
      <c r="E19" s="2956">
        <v>0</v>
      </c>
      <c r="F19" s="2956">
        <v>0</v>
      </c>
      <c r="G19" s="2956">
        <v>10</v>
      </c>
      <c r="H19" s="2956">
        <v>2</v>
      </c>
    </row>
    <row r="20" spans="1:8">
      <c r="A20" s="223" t="s">
        <v>3020</v>
      </c>
      <c r="B20" s="234">
        <f t="shared" si="2"/>
        <v>11</v>
      </c>
      <c r="C20" s="2956">
        <v>0</v>
      </c>
      <c r="D20" s="2956">
        <v>2</v>
      </c>
      <c r="E20" s="2956">
        <v>0</v>
      </c>
      <c r="F20" s="2956">
        <v>0</v>
      </c>
      <c r="G20" s="2956">
        <v>9</v>
      </c>
      <c r="H20" s="2956">
        <v>0</v>
      </c>
    </row>
    <row r="21" spans="1:8">
      <c r="A21" s="223" t="s">
        <v>3019</v>
      </c>
      <c r="B21" s="234">
        <f t="shared" si="2"/>
        <v>13</v>
      </c>
      <c r="C21" s="2956">
        <v>0</v>
      </c>
      <c r="D21" s="2956">
        <v>4</v>
      </c>
      <c r="E21" s="2956">
        <v>0</v>
      </c>
      <c r="F21" s="2956">
        <v>1</v>
      </c>
      <c r="G21" s="2956">
        <v>4</v>
      </c>
      <c r="H21" s="2956">
        <v>4</v>
      </c>
    </row>
    <row r="22" spans="1:8">
      <c r="A22" s="2962" t="s">
        <v>8</v>
      </c>
      <c r="B22" s="234">
        <f t="shared" si="2"/>
        <v>94</v>
      </c>
      <c r="C22" s="2952">
        <f t="shared" ref="C22:H22" si="4">SUM(C23:C29)</f>
        <v>0</v>
      </c>
      <c r="D22" s="2952">
        <f t="shared" si="4"/>
        <v>9</v>
      </c>
      <c r="E22" s="2952">
        <f t="shared" si="4"/>
        <v>1</v>
      </c>
      <c r="F22" s="2952">
        <f t="shared" si="4"/>
        <v>2</v>
      </c>
      <c r="G22" s="2952">
        <f t="shared" si="4"/>
        <v>82</v>
      </c>
      <c r="H22" s="2952">
        <f t="shared" si="4"/>
        <v>0</v>
      </c>
    </row>
    <row r="23" spans="1:8">
      <c r="A23" s="223" t="s">
        <v>3025</v>
      </c>
      <c r="B23" s="234">
        <f t="shared" si="2"/>
        <v>0</v>
      </c>
      <c r="C23" s="2956">
        <v>0</v>
      </c>
      <c r="D23" s="2956">
        <v>0</v>
      </c>
      <c r="E23" s="2956">
        <v>0</v>
      </c>
      <c r="F23" s="2956">
        <v>0</v>
      </c>
      <c r="G23" s="2956">
        <v>0</v>
      </c>
      <c r="H23" s="2956">
        <v>0</v>
      </c>
    </row>
    <row r="24" spans="1:8">
      <c r="A24" s="223" t="s">
        <v>3024</v>
      </c>
      <c r="B24" s="234">
        <f t="shared" si="2"/>
        <v>0</v>
      </c>
      <c r="C24" s="2956">
        <v>0</v>
      </c>
      <c r="D24" s="2956">
        <v>0</v>
      </c>
      <c r="E24" s="2956">
        <v>0</v>
      </c>
      <c r="F24" s="2956">
        <v>0</v>
      </c>
      <c r="G24" s="2956">
        <v>0</v>
      </c>
      <c r="H24" s="2956">
        <v>0</v>
      </c>
    </row>
    <row r="25" spans="1:8">
      <c r="A25" s="223" t="s">
        <v>3023</v>
      </c>
      <c r="B25" s="234">
        <f t="shared" si="2"/>
        <v>12</v>
      </c>
      <c r="C25" s="2972">
        <v>0</v>
      </c>
      <c r="D25" s="2972">
        <v>4</v>
      </c>
      <c r="E25" s="2972">
        <v>0</v>
      </c>
      <c r="F25" s="2972">
        <v>1</v>
      </c>
      <c r="G25" s="2972">
        <v>7</v>
      </c>
      <c r="H25" s="2972">
        <v>0</v>
      </c>
    </row>
    <row r="26" spans="1:8">
      <c r="A26" s="223" t="s">
        <v>3022</v>
      </c>
      <c r="B26" s="234">
        <f t="shared" si="2"/>
        <v>33</v>
      </c>
      <c r="C26" s="2972">
        <v>0</v>
      </c>
      <c r="D26" s="2972">
        <v>2</v>
      </c>
      <c r="E26" s="2972">
        <v>0</v>
      </c>
      <c r="F26" s="2972">
        <v>0</v>
      </c>
      <c r="G26" s="2972">
        <v>31</v>
      </c>
      <c r="H26" s="2972">
        <v>0</v>
      </c>
    </row>
    <row r="27" spans="1:8">
      <c r="A27" s="223" t="s">
        <v>3021</v>
      </c>
      <c r="B27" s="234">
        <f t="shared" si="2"/>
        <v>25</v>
      </c>
      <c r="C27" s="2972">
        <v>0</v>
      </c>
      <c r="D27" s="2972">
        <v>3</v>
      </c>
      <c r="E27" s="2972">
        <v>1</v>
      </c>
      <c r="F27" s="2972">
        <v>0</v>
      </c>
      <c r="G27" s="2972">
        <v>21</v>
      </c>
      <c r="H27" s="2972">
        <v>0</v>
      </c>
    </row>
    <row r="28" spans="1:8">
      <c r="A28" s="223" t="s">
        <v>3020</v>
      </c>
      <c r="B28" s="234">
        <f t="shared" si="2"/>
        <v>17</v>
      </c>
      <c r="C28" s="2972">
        <v>0</v>
      </c>
      <c r="D28" s="2972">
        <v>0</v>
      </c>
      <c r="E28" s="2972">
        <v>0</v>
      </c>
      <c r="F28" s="2972">
        <v>0</v>
      </c>
      <c r="G28" s="2972">
        <v>17</v>
      </c>
      <c r="H28" s="2972">
        <v>0</v>
      </c>
    </row>
    <row r="29" spans="1:8">
      <c r="A29" s="223" t="s">
        <v>3019</v>
      </c>
      <c r="B29" s="234">
        <f t="shared" si="2"/>
        <v>7</v>
      </c>
      <c r="C29" s="2972">
        <v>0</v>
      </c>
      <c r="D29" s="2972">
        <v>0</v>
      </c>
      <c r="E29" s="2972">
        <v>0</v>
      </c>
      <c r="F29" s="2972">
        <v>1</v>
      </c>
      <c r="G29" s="2972">
        <v>6</v>
      </c>
      <c r="H29" s="2972">
        <v>0</v>
      </c>
    </row>
    <row r="30" spans="1:8">
      <c r="A30" s="2962" t="s">
        <v>9</v>
      </c>
      <c r="B30" s="234">
        <f t="shared" ref="B30:H30" si="5">SUM(B31:B37)</f>
        <v>38</v>
      </c>
      <c r="C30" s="2952">
        <f t="shared" si="5"/>
        <v>5</v>
      </c>
      <c r="D30" s="2952">
        <f t="shared" si="5"/>
        <v>2</v>
      </c>
      <c r="E30" s="2952">
        <f t="shared" si="5"/>
        <v>1</v>
      </c>
      <c r="F30" s="2952">
        <f t="shared" si="5"/>
        <v>0</v>
      </c>
      <c r="G30" s="2952">
        <f t="shared" si="5"/>
        <v>30</v>
      </c>
      <c r="H30" s="2952">
        <f t="shared" si="5"/>
        <v>0</v>
      </c>
    </row>
    <row r="31" spans="1:8">
      <c r="A31" s="223" t="s">
        <v>3025</v>
      </c>
      <c r="B31" s="234">
        <f t="shared" ref="B31:B37" si="6">SUM(C31:H31)</f>
        <v>1</v>
      </c>
      <c r="C31" s="2956">
        <v>0</v>
      </c>
      <c r="D31" s="2956">
        <v>0</v>
      </c>
      <c r="E31" s="2956">
        <v>0</v>
      </c>
      <c r="F31" s="2956">
        <v>0</v>
      </c>
      <c r="G31" s="2956">
        <v>1</v>
      </c>
      <c r="H31" s="2956">
        <v>0</v>
      </c>
    </row>
    <row r="32" spans="1:8">
      <c r="A32" s="223" t="s">
        <v>3024</v>
      </c>
      <c r="B32" s="234">
        <f t="shared" si="6"/>
        <v>5</v>
      </c>
      <c r="C32" s="2956">
        <v>2</v>
      </c>
      <c r="D32" s="2956">
        <v>2</v>
      </c>
      <c r="E32" s="2956">
        <v>0</v>
      </c>
      <c r="F32" s="2956">
        <v>0</v>
      </c>
      <c r="G32" s="2956">
        <v>1</v>
      </c>
      <c r="H32" s="2956">
        <v>0</v>
      </c>
    </row>
    <row r="33" spans="1:8">
      <c r="A33" s="223" t="s">
        <v>3023</v>
      </c>
      <c r="B33" s="234">
        <f t="shared" si="6"/>
        <v>5</v>
      </c>
      <c r="C33" s="2956">
        <v>0</v>
      </c>
      <c r="D33" s="2956">
        <v>0</v>
      </c>
      <c r="E33" s="2956">
        <v>0</v>
      </c>
      <c r="F33" s="2956">
        <v>0</v>
      </c>
      <c r="G33" s="2956">
        <v>5</v>
      </c>
      <c r="H33" s="2956">
        <v>0</v>
      </c>
    </row>
    <row r="34" spans="1:8">
      <c r="A34" s="223" t="s">
        <v>3022</v>
      </c>
      <c r="B34" s="234">
        <f t="shared" si="6"/>
        <v>9</v>
      </c>
      <c r="C34" s="2956">
        <v>1</v>
      </c>
      <c r="D34" s="2956">
        <v>0</v>
      </c>
      <c r="E34" s="2956">
        <v>0</v>
      </c>
      <c r="F34" s="2956">
        <v>0</v>
      </c>
      <c r="G34" s="2956">
        <v>8</v>
      </c>
      <c r="H34" s="2956">
        <v>0</v>
      </c>
    </row>
    <row r="35" spans="1:8">
      <c r="A35" s="223" t="s">
        <v>3021</v>
      </c>
      <c r="B35" s="234">
        <f t="shared" si="6"/>
        <v>11</v>
      </c>
      <c r="C35" s="2956">
        <v>1</v>
      </c>
      <c r="D35" s="2956">
        <v>0</v>
      </c>
      <c r="E35" s="2956">
        <v>0</v>
      </c>
      <c r="F35" s="2956">
        <v>0</v>
      </c>
      <c r="G35" s="2956">
        <v>10</v>
      </c>
      <c r="H35" s="2956">
        <v>0</v>
      </c>
    </row>
    <row r="36" spans="1:8">
      <c r="A36" s="223" t="s">
        <v>3020</v>
      </c>
      <c r="B36" s="234">
        <f t="shared" si="6"/>
        <v>5</v>
      </c>
      <c r="C36" s="2956">
        <v>0</v>
      </c>
      <c r="D36" s="2956">
        <v>0</v>
      </c>
      <c r="E36" s="2956">
        <v>1</v>
      </c>
      <c r="F36" s="2956">
        <v>0</v>
      </c>
      <c r="G36" s="2956">
        <v>4</v>
      </c>
      <c r="H36" s="2956">
        <v>0</v>
      </c>
    </row>
    <row r="37" spans="1:8">
      <c r="A37" s="223" t="s">
        <v>3019</v>
      </c>
      <c r="B37" s="234">
        <f t="shared" si="6"/>
        <v>2</v>
      </c>
      <c r="C37" s="2956">
        <v>1</v>
      </c>
      <c r="D37" s="2956">
        <v>0</v>
      </c>
      <c r="E37" s="2956">
        <v>0</v>
      </c>
      <c r="F37" s="2956">
        <v>0</v>
      </c>
      <c r="G37" s="2956">
        <v>1</v>
      </c>
      <c r="H37" s="2956">
        <v>0</v>
      </c>
    </row>
    <row r="38" spans="1:8">
      <c r="A38" s="2962" t="s">
        <v>10</v>
      </c>
      <c r="B38" s="234">
        <f t="shared" ref="B38:H38" si="7">SUM(B39:B45)</f>
        <v>60</v>
      </c>
      <c r="C38" s="2952">
        <f t="shared" si="7"/>
        <v>4</v>
      </c>
      <c r="D38" s="2952">
        <f t="shared" si="7"/>
        <v>10</v>
      </c>
      <c r="E38" s="2952">
        <f t="shared" si="7"/>
        <v>1</v>
      </c>
      <c r="F38" s="2952">
        <f t="shared" si="7"/>
        <v>0</v>
      </c>
      <c r="G38" s="2952">
        <f t="shared" si="7"/>
        <v>43</v>
      </c>
      <c r="H38" s="2952">
        <f t="shared" si="7"/>
        <v>2</v>
      </c>
    </row>
    <row r="39" spans="1:8">
      <c r="A39" s="223" t="s">
        <v>3025</v>
      </c>
      <c r="B39" s="234">
        <f t="shared" ref="B39:B70" si="8">SUM(C39:H39)</f>
        <v>2</v>
      </c>
      <c r="C39" s="2956">
        <v>0</v>
      </c>
      <c r="D39" s="2956">
        <v>0</v>
      </c>
      <c r="E39" s="2956">
        <v>0</v>
      </c>
      <c r="F39" s="2956">
        <v>0</v>
      </c>
      <c r="G39" s="2956">
        <v>2</v>
      </c>
      <c r="H39" s="2956">
        <v>0</v>
      </c>
    </row>
    <row r="40" spans="1:8">
      <c r="A40" s="223" t="s">
        <v>3024</v>
      </c>
      <c r="B40" s="234">
        <f t="shared" si="8"/>
        <v>3</v>
      </c>
      <c r="C40" s="2956">
        <v>0</v>
      </c>
      <c r="D40" s="2956">
        <v>0</v>
      </c>
      <c r="E40" s="2956">
        <v>0</v>
      </c>
      <c r="F40" s="2956">
        <v>0</v>
      </c>
      <c r="G40" s="2956">
        <v>3</v>
      </c>
      <c r="H40" s="2956">
        <v>0</v>
      </c>
    </row>
    <row r="41" spans="1:8">
      <c r="A41" s="223" t="s">
        <v>3023</v>
      </c>
      <c r="B41" s="234">
        <f t="shared" si="8"/>
        <v>3</v>
      </c>
      <c r="C41" s="2956">
        <v>0</v>
      </c>
      <c r="D41" s="2956">
        <v>1</v>
      </c>
      <c r="E41" s="2956">
        <v>0</v>
      </c>
      <c r="F41" s="2956">
        <v>0</v>
      </c>
      <c r="G41" s="2956">
        <v>2</v>
      </c>
      <c r="H41" s="2956">
        <v>0</v>
      </c>
    </row>
    <row r="42" spans="1:8">
      <c r="A42" s="223" t="s">
        <v>3022</v>
      </c>
      <c r="B42" s="234">
        <f t="shared" si="8"/>
        <v>14</v>
      </c>
      <c r="C42" s="2956">
        <v>0</v>
      </c>
      <c r="D42" s="2956">
        <v>3</v>
      </c>
      <c r="E42" s="2956">
        <v>0</v>
      </c>
      <c r="F42" s="2956">
        <v>0</v>
      </c>
      <c r="G42" s="2956">
        <v>11</v>
      </c>
      <c r="H42" s="2956">
        <v>0</v>
      </c>
    </row>
    <row r="43" spans="1:8">
      <c r="A43" s="223" t="s">
        <v>3021</v>
      </c>
      <c r="B43" s="234">
        <f t="shared" si="8"/>
        <v>14</v>
      </c>
      <c r="C43" s="2956">
        <v>3</v>
      </c>
      <c r="D43" s="2956">
        <v>1</v>
      </c>
      <c r="E43" s="2956">
        <v>1</v>
      </c>
      <c r="F43" s="2956">
        <v>0</v>
      </c>
      <c r="G43" s="2956">
        <v>8</v>
      </c>
      <c r="H43" s="2956">
        <v>1</v>
      </c>
    </row>
    <row r="44" spans="1:8">
      <c r="A44" s="223" t="s">
        <v>3020</v>
      </c>
      <c r="B44" s="234">
        <f t="shared" si="8"/>
        <v>10</v>
      </c>
      <c r="C44" s="2956">
        <v>1</v>
      </c>
      <c r="D44" s="2956">
        <v>2</v>
      </c>
      <c r="E44" s="2956">
        <v>0</v>
      </c>
      <c r="F44" s="2956">
        <v>0</v>
      </c>
      <c r="G44" s="2956">
        <v>7</v>
      </c>
      <c r="H44" s="2956">
        <v>0</v>
      </c>
    </row>
    <row r="45" spans="1:8">
      <c r="A45" s="223" t="s">
        <v>3019</v>
      </c>
      <c r="B45" s="234">
        <f t="shared" si="8"/>
        <v>14</v>
      </c>
      <c r="C45" s="2956">
        <v>0</v>
      </c>
      <c r="D45" s="2956">
        <v>3</v>
      </c>
      <c r="E45" s="2956">
        <v>0</v>
      </c>
      <c r="F45" s="2956">
        <v>0</v>
      </c>
      <c r="G45" s="2956">
        <v>10</v>
      </c>
      <c r="H45" s="2956">
        <v>1</v>
      </c>
    </row>
    <row r="46" spans="1:8">
      <c r="A46" s="2962" t="s">
        <v>11</v>
      </c>
      <c r="B46" s="234">
        <f t="shared" si="8"/>
        <v>69</v>
      </c>
      <c r="C46" s="2952">
        <f t="shared" ref="C46:H46" si="9">SUM(C47:C53)</f>
        <v>7</v>
      </c>
      <c r="D46" s="2952">
        <f t="shared" si="9"/>
        <v>13</v>
      </c>
      <c r="E46" s="2952">
        <f t="shared" si="9"/>
        <v>0</v>
      </c>
      <c r="F46" s="2952">
        <f t="shared" si="9"/>
        <v>6</v>
      </c>
      <c r="G46" s="2952">
        <f t="shared" si="9"/>
        <v>42</v>
      </c>
      <c r="H46" s="2952">
        <f t="shared" si="9"/>
        <v>1</v>
      </c>
    </row>
    <row r="47" spans="1:8">
      <c r="A47" s="223" t="s">
        <v>3025</v>
      </c>
      <c r="B47" s="234">
        <f t="shared" si="8"/>
        <v>3</v>
      </c>
      <c r="C47" s="2956">
        <v>0</v>
      </c>
      <c r="D47" s="2956">
        <v>1</v>
      </c>
      <c r="E47" s="2956">
        <v>0</v>
      </c>
      <c r="F47" s="2956">
        <v>0</v>
      </c>
      <c r="G47" s="2956">
        <v>2</v>
      </c>
      <c r="H47" s="2956">
        <v>0</v>
      </c>
    </row>
    <row r="48" spans="1:8">
      <c r="A48" s="223" t="s">
        <v>3024</v>
      </c>
      <c r="B48" s="234">
        <f t="shared" si="8"/>
        <v>1</v>
      </c>
      <c r="C48" s="2956">
        <v>0</v>
      </c>
      <c r="D48" s="2956">
        <v>0</v>
      </c>
      <c r="E48" s="2956">
        <v>0</v>
      </c>
      <c r="F48" s="2956">
        <v>0</v>
      </c>
      <c r="G48" s="2956">
        <v>1</v>
      </c>
      <c r="H48" s="2956">
        <v>0</v>
      </c>
    </row>
    <row r="49" spans="1:8">
      <c r="A49" s="223" t="s">
        <v>3023</v>
      </c>
      <c r="B49" s="234">
        <f t="shared" si="8"/>
        <v>9</v>
      </c>
      <c r="C49" s="2956">
        <v>0</v>
      </c>
      <c r="D49" s="2956">
        <v>1</v>
      </c>
      <c r="E49" s="2956">
        <v>0</v>
      </c>
      <c r="F49" s="2956">
        <v>1</v>
      </c>
      <c r="G49" s="2956">
        <v>7</v>
      </c>
      <c r="H49" s="2956">
        <v>0</v>
      </c>
    </row>
    <row r="50" spans="1:8">
      <c r="A50" s="223" t="s">
        <v>3022</v>
      </c>
      <c r="B50" s="234">
        <f t="shared" si="8"/>
        <v>22</v>
      </c>
      <c r="C50" s="2956">
        <v>2</v>
      </c>
      <c r="D50" s="2956">
        <v>1</v>
      </c>
      <c r="E50" s="2956">
        <v>0</v>
      </c>
      <c r="F50" s="2956">
        <v>4</v>
      </c>
      <c r="G50" s="2956">
        <v>14</v>
      </c>
      <c r="H50" s="2956">
        <v>1</v>
      </c>
    </row>
    <row r="51" spans="1:8">
      <c r="A51" s="223" t="s">
        <v>3021</v>
      </c>
      <c r="B51" s="234">
        <f t="shared" si="8"/>
        <v>21</v>
      </c>
      <c r="C51" s="2956">
        <v>3</v>
      </c>
      <c r="D51" s="2956">
        <v>5</v>
      </c>
      <c r="E51" s="2956">
        <v>0</v>
      </c>
      <c r="F51" s="2956">
        <v>1</v>
      </c>
      <c r="G51" s="2956">
        <v>12</v>
      </c>
      <c r="H51" s="2956">
        <v>0</v>
      </c>
    </row>
    <row r="52" spans="1:8">
      <c r="A52" s="223" t="s">
        <v>3020</v>
      </c>
      <c r="B52" s="234">
        <f t="shared" si="8"/>
        <v>9</v>
      </c>
      <c r="C52" s="2956">
        <v>2</v>
      </c>
      <c r="D52" s="2956">
        <v>3</v>
      </c>
      <c r="E52" s="2956">
        <v>0</v>
      </c>
      <c r="F52" s="2956">
        <v>0</v>
      </c>
      <c r="G52" s="2956">
        <v>4</v>
      </c>
      <c r="H52" s="2956">
        <v>0</v>
      </c>
    </row>
    <row r="53" spans="1:8">
      <c r="A53" s="223" t="s">
        <v>3019</v>
      </c>
      <c r="B53" s="234">
        <f t="shared" si="8"/>
        <v>4</v>
      </c>
      <c r="C53" s="2956">
        <v>0</v>
      </c>
      <c r="D53" s="2956">
        <v>2</v>
      </c>
      <c r="E53" s="2956">
        <v>0</v>
      </c>
      <c r="F53" s="2956">
        <v>0</v>
      </c>
      <c r="G53" s="2956">
        <v>2</v>
      </c>
      <c r="H53" s="2956">
        <v>0</v>
      </c>
    </row>
    <row r="54" spans="1:8">
      <c r="A54" s="2962" t="s">
        <v>12</v>
      </c>
      <c r="B54" s="234">
        <f t="shared" si="8"/>
        <v>146</v>
      </c>
      <c r="C54" s="2952">
        <f t="shared" ref="C54:H54" si="10">SUM(C55:C61)</f>
        <v>8</v>
      </c>
      <c r="D54" s="2952">
        <f t="shared" si="10"/>
        <v>27</v>
      </c>
      <c r="E54" s="2952">
        <f t="shared" si="10"/>
        <v>0</v>
      </c>
      <c r="F54" s="2952">
        <f t="shared" si="10"/>
        <v>0</v>
      </c>
      <c r="G54" s="2952">
        <f t="shared" si="10"/>
        <v>97</v>
      </c>
      <c r="H54" s="2952">
        <f t="shared" si="10"/>
        <v>14</v>
      </c>
    </row>
    <row r="55" spans="1:8">
      <c r="A55" s="223" t="s">
        <v>3025</v>
      </c>
      <c r="B55" s="234">
        <f t="shared" si="8"/>
        <v>1</v>
      </c>
      <c r="C55" s="2956">
        <v>0</v>
      </c>
      <c r="D55" s="2956">
        <v>0</v>
      </c>
      <c r="E55" s="2956">
        <v>0</v>
      </c>
      <c r="F55" s="2956">
        <v>0</v>
      </c>
      <c r="G55" s="2956">
        <v>1</v>
      </c>
      <c r="H55" s="2956">
        <v>0</v>
      </c>
    </row>
    <row r="56" spans="1:8">
      <c r="A56" s="223" t="s">
        <v>3024</v>
      </c>
      <c r="B56" s="234">
        <f t="shared" si="8"/>
        <v>4</v>
      </c>
      <c r="C56" s="2956">
        <v>2</v>
      </c>
      <c r="D56" s="2956">
        <v>0</v>
      </c>
      <c r="E56" s="2956">
        <v>0</v>
      </c>
      <c r="F56" s="2956">
        <v>0</v>
      </c>
      <c r="G56" s="2956">
        <v>2</v>
      </c>
      <c r="H56" s="2956">
        <v>0</v>
      </c>
    </row>
    <row r="57" spans="1:8">
      <c r="A57" s="223" t="s">
        <v>3023</v>
      </c>
      <c r="B57" s="234">
        <f t="shared" si="8"/>
        <v>17</v>
      </c>
      <c r="C57" s="2956">
        <v>1</v>
      </c>
      <c r="D57" s="2956">
        <v>5</v>
      </c>
      <c r="E57" s="2956">
        <v>0</v>
      </c>
      <c r="F57" s="2956">
        <v>0</v>
      </c>
      <c r="G57" s="2956">
        <v>9</v>
      </c>
      <c r="H57" s="2956">
        <v>2</v>
      </c>
    </row>
    <row r="58" spans="1:8">
      <c r="A58" s="223" t="s">
        <v>3022</v>
      </c>
      <c r="B58" s="234">
        <f t="shared" si="8"/>
        <v>51</v>
      </c>
      <c r="C58" s="2956">
        <v>1</v>
      </c>
      <c r="D58" s="2956">
        <v>10</v>
      </c>
      <c r="E58" s="2956">
        <v>0</v>
      </c>
      <c r="F58" s="2956">
        <v>0</v>
      </c>
      <c r="G58" s="2956">
        <v>35</v>
      </c>
      <c r="H58" s="2956">
        <v>5</v>
      </c>
    </row>
    <row r="59" spans="1:8">
      <c r="A59" s="223" t="s">
        <v>3021</v>
      </c>
      <c r="B59" s="234">
        <f t="shared" si="8"/>
        <v>40</v>
      </c>
      <c r="C59" s="2956">
        <v>4</v>
      </c>
      <c r="D59" s="2956">
        <v>8</v>
      </c>
      <c r="E59" s="2956">
        <v>0</v>
      </c>
      <c r="F59" s="2956">
        <v>0</v>
      </c>
      <c r="G59" s="2956">
        <v>21</v>
      </c>
      <c r="H59" s="2956">
        <v>7</v>
      </c>
    </row>
    <row r="60" spans="1:8">
      <c r="A60" s="223" t="s">
        <v>3020</v>
      </c>
      <c r="B60" s="234">
        <f t="shared" si="8"/>
        <v>20</v>
      </c>
      <c r="C60" s="2956">
        <v>0</v>
      </c>
      <c r="D60" s="2956">
        <v>3</v>
      </c>
      <c r="E60" s="2956">
        <v>0</v>
      </c>
      <c r="F60" s="2956">
        <v>0</v>
      </c>
      <c r="G60" s="2956">
        <v>17</v>
      </c>
      <c r="H60" s="2956">
        <v>0</v>
      </c>
    </row>
    <row r="61" spans="1:8">
      <c r="A61" s="223" t="s">
        <v>3019</v>
      </c>
      <c r="B61" s="234">
        <f t="shared" si="8"/>
        <v>13</v>
      </c>
      <c r="C61" s="2956">
        <v>0</v>
      </c>
      <c r="D61" s="2956">
        <v>1</v>
      </c>
      <c r="E61" s="2956">
        <v>0</v>
      </c>
      <c r="F61" s="2956">
        <v>0</v>
      </c>
      <c r="G61" s="2956">
        <v>12</v>
      </c>
      <c r="H61" s="2956">
        <v>0</v>
      </c>
    </row>
    <row r="62" spans="1:8">
      <c r="A62" s="2959" t="s">
        <v>13</v>
      </c>
      <c r="B62" s="234">
        <f t="shared" si="8"/>
        <v>342</v>
      </c>
      <c r="C62" s="2952">
        <f t="shared" ref="C62:H62" si="11">SUM(C63:C69)</f>
        <v>38</v>
      </c>
      <c r="D62" s="2952">
        <f t="shared" si="11"/>
        <v>36</v>
      </c>
      <c r="E62" s="2952">
        <f t="shared" si="11"/>
        <v>3</v>
      </c>
      <c r="F62" s="2952">
        <f t="shared" si="11"/>
        <v>11</v>
      </c>
      <c r="G62" s="2952">
        <f t="shared" si="11"/>
        <v>251</v>
      </c>
      <c r="H62" s="2952">
        <f t="shared" si="11"/>
        <v>3</v>
      </c>
    </row>
    <row r="63" spans="1:8">
      <c r="A63" s="223" t="s">
        <v>3025</v>
      </c>
      <c r="B63" s="234">
        <f t="shared" si="8"/>
        <v>0</v>
      </c>
      <c r="C63" s="2971">
        <v>0</v>
      </c>
      <c r="D63" s="2971">
        <v>0</v>
      </c>
      <c r="E63" s="2971">
        <v>0</v>
      </c>
      <c r="F63" s="2971">
        <v>0</v>
      </c>
      <c r="G63" s="2971">
        <v>0</v>
      </c>
      <c r="H63" s="2971">
        <v>0</v>
      </c>
    </row>
    <row r="64" spans="1:8">
      <c r="A64" s="223" t="s">
        <v>3024</v>
      </c>
      <c r="B64" s="234">
        <f t="shared" si="8"/>
        <v>9</v>
      </c>
      <c r="C64" s="2956">
        <v>0</v>
      </c>
      <c r="D64" s="2956">
        <v>1</v>
      </c>
      <c r="E64" s="2956">
        <v>0</v>
      </c>
      <c r="F64" s="2956">
        <v>0</v>
      </c>
      <c r="G64" s="2956">
        <v>8</v>
      </c>
      <c r="H64" s="2956">
        <v>0</v>
      </c>
    </row>
    <row r="65" spans="1:8">
      <c r="A65" s="223" t="s">
        <v>3023</v>
      </c>
      <c r="B65" s="234">
        <f t="shared" si="8"/>
        <v>22</v>
      </c>
      <c r="C65" s="2956">
        <v>3</v>
      </c>
      <c r="D65" s="2956">
        <v>2</v>
      </c>
      <c r="E65" s="2956">
        <v>0</v>
      </c>
      <c r="F65" s="2956">
        <v>3</v>
      </c>
      <c r="G65" s="2956">
        <v>14</v>
      </c>
      <c r="H65" s="2956">
        <v>0</v>
      </c>
    </row>
    <row r="66" spans="1:8">
      <c r="A66" s="223" t="s">
        <v>3022</v>
      </c>
      <c r="B66" s="234">
        <f t="shared" si="8"/>
        <v>102</v>
      </c>
      <c r="C66" s="2956">
        <v>10</v>
      </c>
      <c r="D66" s="2956">
        <v>18</v>
      </c>
      <c r="E66" s="2956">
        <v>0</v>
      </c>
      <c r="F66" s="2956">
        <v>1</v>
      </c>
      <c r="G66" s="2956">
        <v>72</v>
      </c>
      <c r="H66" s="2956">
        <v>1</v>
      </c>
    </row>
    <row r="67" spans="1:8">
      <c r="A67" s="223" t="s">
        <v>3021</v>
      </c>
      <c r="B67" s="234">
        <f t="shared" si="8"/>
        <v>109</v>
      </c>
      <c r="C67" s="2956">
        <v>17</v>
      </c>
      <c r="D67" s="2956">
        <v>5</v>
      </c>
      <c r="E67" s="2956">
        <v>3</v>
      </c>
      <c r="F67" s="2956">
        <v>3</v>
      </c>
      <c r="G67" s="2956">
        <v>80</v>
      </c>
      <c r="H67" s="2956">
        <v>1</v>
      </c>
    </row>
    <row r="68" spans="1:8">
      <c r="A68" s="223" t="s">
        <v>3020</v>
      </c>
      <c r="B68" s="234">
        <f t="shared" si="8"/>
        <v>56</v>
      </c>
      <c r="C68" s="2956">
        <v>4</v>
      </c>
      <c r="D68" s="2956">
        <v>6</v>
      </c>
      <c r="E68" s="2956">
        <v>0</v>
      </c>
      <c r="F68" s="2956">
        <v>3</v>
      </c>
      <c r="G68" s="2956">
        <v>43</v>
      </c>
      <c r="H68" s="2956">
        <v>0</v>
      </c>
    </row>
    <row r="69" spans="1:8">
      <c r="A69" s="223" t="s">
        <v>3019</v>
      </c>
      <c r="B69" s="234">
        <f t="shared" si="8"/>
        <v>44</v>
      </c>
      <c r="C69" s="2956">
        <v>4</v>
      </c>
      <c r="D69" s="2956">
        <v>4</v>
      </c>
      <c r="E69" s="2956">
        <v>0</v>
      </c>
      <c r="F69" s="2956">
        <v>1</v>
      </c>
      <c r="G69" s="2956">
        <v>34</v>
      </c>
      <c r="H69" s="2956">
        <v>1</v>
      </c>
    </row>
    <row r="70" spans="1:8">
      <c r="A70" s="2959" t="s">
        <v>14</v>
      </c>
      <c r="B70" s="234">
        <f t="shared" si="8"/>
        <v>23</v>
      </c>
      <c r="C70" s="2952">
        <f t="shared" ref="C70:H70" si="12">SUM(C71:C77)</f>
        <v>1</v>
      </c>
      <c r="D70" s="2952">
        <f t="shared" si="12"/>
        <v>10</v>
      </c>
      <c r="E70" s="2952">
        <f t="shared" si="12"/>
        <v>0</v>
      </c>
      <c r="F70" s="2952">
        <f t="shared" si="12"/>
        <v>1</v>
      </c>
      <c r="G70" s="2952">
        <f t="shared" si="12"/>
        <v>11</v>
      </c>
      <c r="H70" s="2952">
        <f t="shared" si="12"/>
        <v>0</v>
      </c>
    </row>
    <row r="71" spans="1:8">
      <c r="A71" s="223" t="s">
        <v>3025</v>
      </c>
      <c r="B71" s="234">
        <f t="shared" ref="B71:B102" si="13">SUM(C71:H71)</f>
        <v>0</v>
      </c>
      <c r="C71" s="2971">
        <v>0</v>
      </c>
      <c r="D71" s="2971">
        <v>0</v>
      </c>
      <c r="E71" s="2971">
        <v>0</v>
      </c>
      <c r="F71" s="2971">
        <v>0</v>
      </c>
      <c r="G71" s="2971">
        <v>0</v>
      </c>
      <c r="H71" s="2971">
        <v>0</v>
      </c>
    </row>
    <row r="72" spans="1:8">
      <c r="A72" s="223" t="s">
        <v>3024</v>
      </c>
      <c r="B72" s="234">
        <f t="shared" si="13"/>
        <v>0</v>
      </c>
      <c r="C72" s="2971">
        <v>0</v>
      </c>
      <c r="D72" s="2971">
        <v>0</v>
      </c>
      <c r="E72" s="2971">
        <v>0</v>
      </c>
      <c r="F72" s="2971">
        <v>0</v>
      </c>
      <c r="G72" s="2971">
        <v>0</v>
      </c>
      <c r="H72" s="2971">
        <v>0</v>
      </c>
    </row>
    <row r="73" spans="1:8">
      <c r="A73" s="223" t="s">
        <v>3023</v>
      </c>
      <c r="B73" s="234">
        <f t="shared" si="13"/>
        <v>1</v>
      </c>
      <c r="C73" s="2956">
        <v>1</v>
      </c>
      <c r="D73" s="2956">
        <v>0</v>
      </c>
      <c r="E73" s="2956">
        <v>0</v>
      </c>
      <c r="F73" s="2956">
        <v>0</v>
      </c>
      <c r="G73" s="2956">
        <v>0</v>
      </c>
      <c r="H73" s="2956">
        <v>0</v>
      </c>
    </row>
    <row r="74" spans="1:8">
      <c r="A74" s="223" t="s">
        <v>3022</v>
      </c>
      <c r="B74" s="234">
        <f t="shared" si="13"/>
        <v>7</v>
      </c>
      <c r="C74" s="2956">
        <v>0</v>
      </c>
      <c r="D74" s="2956">
        <v>1</v>
      </c>
      <c r="E74" s="2956">
        <v>0</v>
      </c>
      <c r="F74" s="2956">
        <v>1</v>
      </c>
      <c r="G74" s="2956">
        <v>5</v>
      </c>
      <c r="H74" s="2956">
        <v>0</v>
      </c>
    </row>
    <row r="75" spans="1:8">
      <c r="A75" s="223" t="s">
        <v>3021</v>
      </c>
      <c r="B75" s="234">
        <f t="shared" si="13"/>
        <v>7</v>
      </c>
      <c r="C75" s="2956">
        <v>0</v>
      </c>
      <c r="D75" s="2956">
        <v>3</v>
      </c>
      <c r="E75" s="2956">
        <v>0</v>
      </c>
      <c r="F75" s="2956">
        <v>0</v>
      </c>
      <c r="G75" s="2956">
        <v>4</v>
      </c>
      <c r="H75" s="2956">
        <v>0</v>
      </c>
    </row>
    <row r="76" spans="1:8">
      <c r="A76" s="223" t="s">
        <v>3020</v>
      </c>
      <c r="B76" s="234">
        <f t="shared" si="13"/>
        <v>5</v>
      </c>
      <c r="C76" s="2956">
        <v>0</v>
      </c>
      <c r="D76" s="2956">
        <v>3</v>
      </c>
      <c r="E76" s="2956">
        <v>0</v>
      </c>
      <c r="F76" s="2956">
        <v>0</v>
      </c>
      <c r="G76" s="2956">
        <v>2</v>
      </c>
      <c r="H76" s="2956">
        <v>0</v>
      </c>
    </row>
    <row r="77" spans="1:8">
      <c r="A77" s="223" t="s">
        <v>3019</v>
      </c>
      <c r="B77" s="234">
        <f t="shared" si="13"/>
        <v>3</v>
      </c>
      <c r="C77" s="2956">
        <v>0</v>
      </c>
      <c r="D77" s="2956">
        <v>3</v>
      </c>
      <c r="E77" s="2956">
        <v>0</v>
      </c>
      <c r="F77" s="2956">
        <v>0</v>
      </c>
      <c r="G77" s="2956">
        <v>0</v>
      </c>
      <c r="H77" s="2956">
        <v>0</v>
      </c>
    </row>
    <row r="78" spans="1:8">
      <c r="A78" s="2962" t="s">
        <v>15</v>
      </c>
      <c r="B78" s="234">
        <f t="shared" si="13"/>
        <v>65</v>
      </c>
      <c r="C78" s="2952">
        <f t="shared" ref="C78:H78" si="14">SUM(C79:C85)</f>
        <v>8</v>
      </c>
      <c r="D78" s="2952">
        <f t="shared" si="14"/>
        <v>4</v>
      </c>
      <c r="E78" s="2952">
        <f t="shared" si="14"/>
        <v>1</v>
      </c>
      <c r="F78" s="2952">
        <f t="shared" si="14"/>
        <v>1</v>
      </c>
      <c r="G78" s="2952">
        <f t="shared" si="14"/>
        <v>50</v>
      </c>
      <c r="H78" s="2952">
        <f t="shared" si="14"/>
        <v>1</v>
      </c>
    </row>
    <row r="79" spans="1:8">
      <c r="A79" s="223" t="s">
        <v>3025</v>
      </c>
      <c r="B79" s="234">
        <f t="shared" si="13"/>
        <v>1</v>
      </c>
      <c r="C79" s="2956">
        <v>1</v>
      </c>
      <c r="D79" s="2956">
        <v>0</v>
      </c>
      <c r="E79" s="2956">
        <v>0</v>
      </c>
      <c r="F79" s="2956">
        <v>0</v>
      </c>
      <c r="G79" s="2956">
        <v>0</v>
      </c>
      <c r="H79" s="2956">
        <v>0</v>
      </c>
    </row>
    <row r="80" spans="1:8">
      <c r="A80" s="223" t="s">
        <v>3024</v>
      </c>
      <c r="B80" s="234">
        <f t="shared" si="13"/>
        <v>1</v>
      </c>
      <c r="C80" s="2956">
        <v>1</v>
      </c>
      <c r="D80" s="2956">
        <v>0</v>
      </c>
      <c r="E80" s="2956">
        <v>0</v>
      </c>
      <c r="F80" s="2956">
        <v>0</v>
      </c>
      <c r="G80" s="2956">
        <v>0</v>
      </c>
      <c r="H80" s="2956">
        <v>0</v>
      </c>
    </row>
    <row r="81" spans="1:8">
      <c r="A81" s="223" t="s">
        <v>3023</v>
      </c>
      <c r="B81" s="234">
        <f t="shared" si="13"/>
        <v>1</v>
      </c>
      <c r="C81" s="2956">
        <v>0</v>
      </c>
      <c r="D81" s="2956">
        <v>0</v>
      </c>
      <c r="E81" s="2956">
        <v>0</v>
      </c>
      <c r="F81" s="2956">
        <v>0</v>
      </c>
      <c r="G81" s="2956">
        <v>1</v>
      </c>
      <c r="H81" s="2956">
        <v>0</v>
      </c>
    </row>
    <row r="82" spans="1:8">
      <c r="A82" s="223" t="s">
        <v>3022</v>
      </c>
      <c r="B82" s="234">
        <f t="shared" si="13"/>
        <v>22</v>
      </c>
      <c r="C82" s="2956">
        <v>4</v>
      </c>
      <c r="D82" s="2956">
        <v>1</v>
      </c>
      <c r="E82" s="2956">
        <v>0</v>
      </c>
      <c r="F82" s="2956">
        <v>1</v>
      </c>
      <c r="G82" s="2956">
        <v>16</v>
      </c>
      <c r="H82" s="2956">
        <v>0</v>
      </c>
    </row>
    <row r="83" spans="1:8">
      <c r="A83" s="223" t="s">
        <v>3021</v>
      </c>
      <c r="B83" s="234">
        <f t="shared" si="13"/>
        <v>13</v>
      </c>
      <c r="C83" s="2956">
        <v>0</v>
      </c>
      <c r="D83" s="2956">
        <v>2</v>
      </c>
      <c r="E83" s="2956">
        <v>0</v>
      </c>
      <c r="F83" s="2956">
        <v>0</v>
      </c>
      <c r="G83" s="2956">
        <v>11</v>
      </c>
      <c r="H83" s="2956">
        <v>0</v>
      </c>
    </row>
    <row r="84" spans="1:8">
      <c r="A84" s="223" t="s">
        <v>3020</v>
      </c>
      <c r="B84" s="234">
        <f t="shared" si="13"/>
        <v>16</v>
      </c>
      <c r="C84" s="2956">
        <v>1</v>
      </c>
      <c r="D84" s="2956">
        <v>1</v>
      </c>
      <c r="E84" s="2956">
        <v>0</v>
      </c>
      <c r="F84" s="2956">
        <v>0</v>
      </c>
      <c r="G84" s="2956">
        <v>14</v>
      </c>
      <c r="H84" s="2956">
        <v>0</v>
      </c>
    </row>
    <row r="85" spans="1:8">
      <c r="A85" s="223" t="s">
        <v>3019</v>
      </c>
      <c r="B85" s="234">
        <f t="shared" si="13"/>
        <v>11</v>
      </c>
      <c r="C85" s="2956">
        <v>1</v>
      </c>
      <c r="D85" s="2956">
        <v>0</v>
      </c>
      <c r="E85" s="2956">
        <v>1</v>
      </c>
      <c r="F85" s="2956">
        <v>0</v>
      </c>
      <c r="G85" s="2956">
        <v>8</v>
      </c>
      <c r="H85" s="2956">
        <v>1</v>
      </c>
    </row>
    <row r="86" spans="1:8">
      <c r="A86" s="2962" t="s">
        <v>16</v>
      </c>
      <c r="B86" s="234">
        <f t="shared" si="13"/>
        <v>66</v>
      </c>
      <c r="C86" s="2952">
        <f t="shared" ref="C86:H86" si="15">SUM(C88:C93)</f>
        <v>3</v>
      </c>
      <c r="D86" s="2952">
        <f t="shared" si="15"/>
        <v>6</v>
      </c>
      <c r="E86" s="2952">
        <f t="shared" si="15"/>
        <v>5</v>
      </c>
      <c r="F86" s="2952">
        <f t="shared" si="15"/>
        <v>0</v>
      </c>
      <c r="G86" s="2952">
        <f t="shared" si="15"/>
        <v>51</v>
      </c>
      <c r="H86" s="2952">
        <f t="shared" si="15"/>
        <v>1</v>
      </c>
    </row>
    <row r="87" spans="1:8">
      <c r="A87" s="223" t="s">
        <v>3025</v>
      </c>
      <c r="B87" s="234">
        <f t="shared" si="13"/>
        <v>0</v>
      </c>
      <c r="C87" s="2971">
        <v>0</v>
      </c>
      <c r="D87" s="2971">
        <v>0</v>
      </c>
      <c r="E87" s="2971">
        <v>0</v>
      </c>
      <c r="F87" s="2971">
        <v>0</v>
      </c>
      <c r="G87" s="2971">
        <v>0</v>
      </c>
      <c r="H87" s="2971">
        <v>0</v>
      </c>
    </row>
    <row r="88" spans="1:8">
      <c r="A88" s="223" t="s">
        <v>3024</v>
      </c>
      <c r="B88" s="234">
        <f t="shared" si="13"/>
        <v>4</v>
      </c>
      <c r="C88" s="2956">
        <v>0</v>
      </c>
      <c r="D88" s="2956">
        <v>0</v>
      </c>
      <c r="E88" s="2956">
        <v>0</v>
      </c>
      <c r="F88" s="2956">
        <v>0</v>
      </c>
      <c r="G88" s="2956">
        <v>4</v>
      </c>
      <c r="H88" s="2956">
        <v>0</v>
      </c>
    </row>
    <row r="89" spans="1:8">
      <c r="A89" s="223" t="s">
        <v>3023</v>
      </c>
      <c r="B89" s="234">
        <f t="shared" si="13"/>
        <v>8</v>
      </c>
      <c r="C89" s="2956">
        <v>0</v>
      </c>
      <c r="D89" s="2956">
        <v>1</v>
      </c>
      <c r="E89" s="2956">
        <v>0</v>
      </c>
      <c r="F89" s="2956">
        <v>0</v>
      </c>
      <c r="G89" s="2956">
        <v>7</v>
      </c>
      <c r="H89" s="2956">
        <v>0</v>
      </c>
    </row>
    <row r="90" spans="1:8">
      <c r="A90" s="223" t="s">
        <v>3022</v>
      </c>
      <c r="B90" s="234">
        <f t="shared" si="13"/>
        <v>13</v>
      </c>
      <c r="C90" s="2956">
        <v>1</v>
      </c>
      <c r="D90" s="2956">
        <v>1</v>
      </c>
      <c r="E90" s="2956">
        <v>2</v>
      </c>
      <c r="F90" s="2956">
        <v>0</v>
      </c>
      <c r="G90" s="2956">
        <v>9</v>
      </c>
      <c r="H90" s="2956">
        <v>0</v>
      </c>
    </row>
    <row r="91" spans="1:8">
      <c r="A91" s="223" t="s">
        <v>3021</v>
      </c>
      <c r="B91" s="234">
        <f t="shared" si="13"/>
        <v>25</v>
      </c>
      <c r="C91" s="2956">
        <v>2</v>
      </c>
      <c r="D91" s="2956">
        <v>4</v>
      </c>
      <c r="E91" s="2956">
        <v>2</v>
      </c>
      <c r="F91" s="2956">
        <v>0</v>
      </c>
      <c r="G91" s="2956">
        <v>16</v>
      </c>
      <c r="H91" s="2956">
        <v>1</v>
      </c>
    </row>
    <row r="92" spans="1:8">
      <c r="A92" s="223" t="s">
        <v>3020</v>
      </c>
      <c r="B92" s="234">
        <f t="shared" si="13"/>
        <v>12</v>
      </c>
      <c r="C92" s="2956">
        <v>0</v>
      </c>
      <c r="D92" s="2956">
        <v>0</v>
      </c>
      <c r="E92" s="2956">
        <v>0</v>
      </c>
      <c r="F92" s="2956">
        <v>0</v>
      </c>
      <c r="G92" s="2956">
        <v>12</v>
      </c>
      <c r="H92" s="2956">
        <v>0</v>
      </c>
    </row>
    <row r="93" spans="1:8">
      <c r="A93" s="223" t="s">
        <v>3019</v>
      </c>
      <c r="B93" s="234">
        <f t="shared" si="13"/>
        <v>4</v>
      </c>
      <c r="C93" s="2956">
        <v>0</v>
      </c>
      <c r="D93" s="2956">
        <v>0</v>
      </c>
      <c r="E93" s="2956">
        <v>1</v>
      </c>
      <c r="F93" s="2956">
        <v>0</v>
      </c>
      <c r="G93" s="2956">
        <v>3</v>
      </c>
      <c r="H93" s="2956">
        <v>0</v>
      </c>
    </row>
    <row r="94" spans="1:8">
      <c r="A94" s="2962" t="s">
        <v>17</v>
      </c>
      <c r="B94" s="234">
        <f t="shared" si="13"/>
        <v>34</v>
      </c>
      <c r="C94" s="2952">
        <f t="shared" ref="C94:H94" si="16">SUM(C95:C101)</f>
        <v>1</v>
      </c>
      <c r="D94" s="2952">
        <f t="shared" si="16"/>
        <v>6</v>
      </c>
      <c r="E94" s="2952">
        <f t="shared" si="16"/>
        <v>0</v>
      </c>
      <c r="F94" s="2952">
        <f t="shared" si="16"/>
        <v>0</v>
      </c>
      <c r="G94" s="2952">
        <f t="shared" si="16"/>
        <v>27</v>
      </c>
      <c r="H94" s="2952">
        <f t="shared" si="16"/>
        <v>0</v>
      </c>
    </row>
    <row r="95" spans="1:8">
      <c r="A95" s="223" t="s">
        <v>3025</v>
      </c>
      <c r="B95" s="234">
        <f t="shared" si="13"/>
        <v>0</v>
      </c>
      <c r="C95" s="2971">
        <v>0</v>
      </c>
      <c r="D95" s="2971">
        <v>0</v>
      </c>
      <c r="E95" s="2971">
        <v>0</v>
      </c>
      <c r="F95" s="2971">
        <v>0</v>
      </c>
      <c r="G95" s="2971">
        <v>0</v>
      </c>
      <c r="H95" s="2971">
        <v>0</v>
      </c>
    </row>
    <row r="96" spans="1:8">
      <c r="A96" s="223" t="s">
        <v>3024</v>
      </c>
      <c r="B96" s="234">
        <f t="shared" si="13"/>
        <v>0</v>
      </c>
      <c r="C96" s="2971">
        <v>0</v>
      </c>
      <c r="D96" s="2971">
        <v>0</v>
      </c>
      <c r="E96" s="2971">
        <v>0</v>
      </c>
      <c r="F96" s="2971">
        <v>0</v>
      </c>
      <c r="G96" s="2971">
        <v>0</v>
      </c>
      <c r="H96" s="2971">
        <v>0</v>
      </c>
    </row>
    <row r="97" spans="1:8">
      <c r="A97" s="223" t="s">
        <v>3023</v>
      </c>
      <c r="B97" s="234">
        <f t="shared" si="13"/>
        <v>3</v>
      </c>
      <c r="C97" s="2956">
        <v>0</v>
      </c>
      <c r="D97" s="2956">
        <v>0</v>
      </c>
      <c r="E97" s="2956">
        <v>0</v>
      </c>
      <c r="F97" s="2956">
        <v>0</v>
      </c>
      <c r="G97" s="2956">
        <v>3</v>
      </c>
      <c r="H97" s="2956">
        <v>0</v>
      </c>
    </row>
    <row r="98" spans="1:8">
      <c r="A98" s="223" t="s">
        <v>3022</v>
      </c>
      <c r="B98" s="234">
        <f t="shared" si="13"/>
        <v>15</v>
      </c>
      <c r="C98" s="2956">
        <v>0</v>
      </c>
      <c r="D98" s="2956">
        <v>2</v>
      </c>
      <c r="E98" s="2956">
        <v>0</v>
      </c>
      <c r="F98" s="2956">
        <v>0</v>
      </c>
      <c r="G98" s="2956">
        <v>13</v>
      </c>
      <c r="H98" s="2956">
        <v>0</v>
      </c>
    </row>
    <row r="99" spans="1:8">
      <c r="A99" s="223" t="s">
        <v>3021</v>
      </c>
      <c r="B99" s="234">
        <f t="shared" si="13"/>
        <v>11</v>
      </c>
      <c r="C99" s="2956">
        <v>0</v>
      </c>
      <c r="D99" s="2956">
        <v>2</v>
      </c>
      <c r="E99" s="2956">
        <v>0</v>
      </c>
      <c r="F99" s="2956">
        <v>0</v>
      </c>
      <c r="G99" s="2956">
        <v>9</v>
      </c>
      <c r="H99" s="2956">
        <v>0</v>
      </c>
    </row>
    <row r="100" spans="1:8">
      <c r="A100" s="223" t="s">
        <v>3020</v>
      </c>
      <c r="B100" s="234">
        <f t="shared" si="13"/>
        <v>3</v>
      </c>
      <c r="C100" s="2956">
        <v>1</v>
      </c>
      <c r="D100" s="2956">
        <v>0</v>
      </c>
      <c r="E100" s="2956">
        <v>0</v>
      </c>
      <c r="F100" s="2956">
        <v>0</v>
      </c>
      <c r="G100" s="2956">
        <v>2</v>
      </c>
      <c r="H100" s="2956">
        <v>0</v>
      </c>
    </row>
    <row r="101" spans="1:8">
      <c r="A101" s="223" t="s">
        <v>3019</v>
      </c>
      <c r="B101" s="234">
        <f t="shared" si="13"/>
        <v>2</v>
      </c>
      <c r="C101" s="2956">
        <v>0</v>
      </c>
      <c r="D101" s="2956">
        <v>2</v>
      </c>
      <c r="E101" s="2956">
        <v>0</v>
      </c>
      <c r="F101" s="2956">
        <v>0</v>
      </c>
      <c r="G101" s="2956">
        <v>0</v>
      </c>
      <c r="H101" s="2956">
        <v>0</v>
      </c>
    </row>
    <row r="102" spans="1:8">
      <c r="A102" s="2962" t="s">
        <v>18</v>
      </c>
      <c r="B102" s="234">
        <f t="shared" si="13"/>
        <v>31</v>
      </c>
      <c r="C102" s="2952">
        <f t="shared" ref="C102:H102" si="17">SUM(C103:C109)</f>
        <v>5</v>
      </c>
      <c r="D102" s="2952">
        <f t="shared" si="17"/>
        <v>3</v>
      </c>
      <c r="E102" s="2952">
        <f t="shared" si="17"/>
        <v>0</v>
      </c>
      <c r="F102" s="2952">
        <f t="shared" si="17"/>
        <v>7</v>
      </c>
      <c r="G102" s="2952">
        <f t="shared" si="17"/>
        <v>7</v>
      </c>
      <c r="H102" s="2952">
        <f t="shared" si="17"/>
        <v>9</v>
      </c>
    </row>
    <row r="103" spans="1:8">
      <c r="A103" s="223" t="s">
        <v>3025</v>
      </c>
      <c r="B103" s="234">
        <f t="shared" ref="B103:B133" si="18">SUM(C103:H103)</f>
        <v>0</v>
      </c>
      <c r="C103" s="2971">
        <v>0</v>
      </c>
      <c r="D103" s="2971">
        <v>0</v>
      </c>
      <c r="E103" s="2971">
        <v>0</v>
      </c>
      <c r="F103" s="2971">
        <v>0</v>
      </c>
      <c r="G103" s="2971">
        <v>0</v>
      </c>
      <c r="H103" s="2971">
        <v>0</v>
      </c>
    </row>
    <row r="104" spans="1:8">
      <c r="A104" s="223" t="s">
        <v>3024</v>
      </c>
      <c r="B104" s="234">
        <f t="shared" si="18"/>
        <v>2</v>
      </c>
      <c r="C104" s="2956">
        <v>0</v>
      </c>
      <c r="D104" s="2956">
        <v>0</v>
      </c>
      <c r="E104" s="2956">
        <v>0</v>
      </c>
      <c r="F104" s="2956">
        <v>1</v>
      </c>
      <c r="G104" s="2956">
        <v>1</v>
      </c>
      <c r="H104" s="2956">
        <v>0</v>
      </c>
    </row>
    <row r="105" spans="1:8">
      <c r="A105" s="223" t="s">
        <v>3023</v>
      </c>
      <c r="B105" s="234">
        <f t="shared" si="18"/>
        <v>2</v>
      </c>
      <c r="C105" s="2956">
        <v>0</v>
      </c>
      <c r="D105" s="2956">
        <v>0</v>
      </c>
      <c r="E105" s="2956">
        <v>0</v>
      </c>
      <c r="F105" s="2956">
        <v>2</v>
      </c>
      <c r="G105" s="2956">
        <v>0</v>
      </c>
      <c r="H105" s="2956">
        <v>0</v>
      </c>
    </row>
    <row r="106" spans="1:8">
      <c r="A106" s="223" t="s">
        <v>3022</v>
      </c>
      <c r="B106" s="234">
        <f t="shared" si="18"/>
        <v>9</v>
      </c>
      <c r="C106" s="2956">
        <v>1</v>
      </c>
      <c r="D106" s="2956">
        <v>1</v>
      </c>
      <c r="E106" s="2956">
        <v>0</v>
      </c>
      <c r="F106" s="2956">
        <v>3</v>
      </c>
      <c r="G106" s="2956">
        <v>3</v>
      </c>
      <c r="H106" s="2956">
        <v>1</v>
      </c>
    </row>
    <row r="107" spans="1:8">
      <c r="A107" s="223" t="s">
        <v>3021</v>
      </c>
      <c r="B107" s="234">
        <f t="shared" si="18"/>
        <v>5</v>
      </c>
      <c r="C107" s="2956">
        <v>1</v>
      </c>
      <c r="D107" s="2956">
        <v>0</v>
      </c>
      <c r="E107" s="2956">
        <v>0</v>
      </c>
      <c r="F107" s="2956">
        <v>0</v>
      </c>
      <c r="G107" s="2956">
        <v>1</v>
      </c>
      <c r="H107" s="2956">
        <v>3</v>
      </c>
    </row>
    <row r="108" spans="1:8">
      <c r="A108" s="223" t="s">
        <v>3020</v>
      </c>
      <c r="B108" s="234">
        <f t="shared" si="18"/>
        <v>10</v>
      </c>
      <c r="C108" s="2956">
        <v>2</v>
      </c>
      <c r="D108" s="2956">
        <v>2</v>
      </c>
      <c r="E108" s="2956">
        <v>0</v>
      </c>
      <c r="F108" s="2956">
        <v>1</v>
      </c>
      <c r="G108" s="2956">
        <v>2</v>
      </c>
      <c r="H108" s="2956">
        <v>3</v>
      </c>
    </row>
    <row r="109" spans="1:8">
      <c r="A109" s="223" t="s">
        <v>3019</v>
      </c>
      <c r="B109" s="234">
        <f t="shared" si="18"/>
        <v>3</v>
      </c>
      <c r="C109" s="2956">
        <v>1</v>
      </c>
      <c r="D109" s="2956">
        <v>0</v>
      </c>
      <c r="E109" s="2956">
        <v>0</v>
      </c>
      <c r="F109" s="2956">
        <v>0</v>
      </c>
      <c r="G109" s="2956">
        <v>0</v>
      </c>
      <c r="H109" s="2956">
        <v>2</v>
      </c>
    </row>
    <row r="110" spans="1:8">
      <c r="A110" s="2962" t="s">
        <v>19</v>
      </c>
      <c r="B110" s="234">
        <f t="shared" si="18"/>
        <v>66</v>
      </c>
      <c r="C110" s="2952">
        <f t="shared" ref="C110:H110" si="19">SUM(C111:C117)</f>
        <v>3</v>
      </c>
      <c r="D110" s="2952">
        <f t="shared" si="19"/>
        <v>19</v>
      </c>
      <c r="E110" s="2952">
        <f t="shared" si="19"/>
        <v>3</v>
      </c>
      <c r="F110" s="2952">
        <f t="shared" si="19"/>
        <v>1</v>
      </c>
      <c r="G110" s="2952">
        <f t="shared" si="19"/>
        <v>40</v>
      </c>
      <c r="H110" s="2952">
        <f t="shared" si="19"/>
        <v>0</v>
      </c>
    </row>
    <row r="111" spans="1:8">
      <c r="A111" s="223" t="s">
        <v>3025</v>
      </c>
      <c r="B111" s="234">
        <f t="shared" si="18"/>
        <v>1</v>
      </c>
      <c r="C111" s="2956">
        <v>0</v>
      </c>
      <c r="D111" s="2956">
        <v>1</v>
      </c>
      <c r="E111" s="2956">
        <v>0</v>
      </c>
      <c r="F111" s="2956">
        <v>0</v>
      </c>
      <c r="G111" s="2956">
        <v>0</v>
      </c>
      <c r="H111" s="2956">
        <v>0</v>
      </c>
    </row>
    <row r="112" spans="1:8">
      <c r="A112" s="223" t="s">
        <v>3024</v>
      </c>
      <c r="B112" s="234">
        <f t="shared" si="18"/>
        <v>7</v>
      </c>
      <c r="C112" s="2956">
        <v>0</v>
      </c>
      <c r="D112" s="2956">
        <v>2</v>
      </c>
      <c r="E112" s="2956">
        <v>0</v>
      </c>
      <c r="F112" s="2956">
        <v>0</v>
      </c>
      <c r="G112" s="2956">
        <v>5</v>
      </c>
      <c r="H112" s="2956">
        <v>0</v>
      </c>
    </row>
    <row r="113" spans="1:8">
      <c r="A113" s="223" t="s">
        <v>3023</v>
      </c>
      <c r="B113" s="234">
        <f t="shared" si="18"/>
        <v>14</v>
      </c>
      <c r="C113" s="2956">
        <v>1</v>
      </c>
      <c r="D113" s="2956">
        <v>7</v>
      </c>
      <c r="E113" s="2956">
        <v>0</v>
      </c>
      <c r="F113" s="2956">
        <v>0</v>
      </c>
      <c r="G113" s="2956">
        <v>6</v>
      </c>
      <c r="H113" s="2956">
        <v>0</v>
      </c>
    </row>
    <row r="114" spans="1:8">
      <c r="A114" s="223" t="s">
        <v>3022</v>
      </c>
      <c r="B114" s="234">
        <f t="shared" si="18"/>
        <v>24</v>
      </c>
      <c r="C114" s="2956">
        <v>1</v>
      </c>
      <c r="D114" s="2956">
        <v>4</v>
      </c>
      <c r="E114" s="2956">
        <v>2</v>
      </c>
      <c r="F114" s="2956">
        <v>0</v>
      </c>
      <c r="G114" s="2956">
        <v>17</v>
      </c>
      <c r="H114" s="2956">
        <v>0</v>
      </c>
    </row>
    <row r="115" spans="1:8">
      <c r="A115" s="223" t="s">
        <v>3021</v>
      </c>
      <c r="B115" s="234">
        <f t="shared" si="18"/>
        <v>14</v>
      </c>
      <c r="C115" s="2956">
        <v>1</v>
      </c>
      <c r="D115" s="2956">
        <v>3</v>
      </c>
      <c r="E115" s="2956">
        <v>1</v>
      </c>
      <c r="F115" s="2956">
        <v>0</v>
      </c>
      <c r="G115" s="2956">
        <v>9</v>
      </c>
      <c r="H115" s="2956">
        <v>0</v>
      </c>
    </row>
    <row r="116" spans="1:8">
      <c r="A116" s="223" t="s">
        <v>3020</v>
      </c>
      <c r="B116" s="234">
        <f t="shared" si="18"/>
        <v>5</v>
      </c>
      <c r="C116" s="2956">
        <v>0</v>
      </c>
      <c r="D116" s="2956">
        <v>2</v>
      </c>
      <c r="E116" s="2956">
        <v>0</v>
      </c>
      <c r="F116" s="2956">
        <v>0</v>
      </c>
      <c r="G116" s="2956">
        <v>3</v>
      </c>
      <c r="H116" s="2956">
        <v>0</v>
      </c>
    </row>
    <row r="117" spans="1:8">
      <c r="A117" s="223" t="s">
        <v>3019</v>
      </c>
      <c r="B117" s="234">
        <f t="shared" si="18"/>
        <v>1</v>
      </c>
      <c r="C117" s="2956">
        <v>0</v>
      </c>
      <c r="D117" s="2956">
        <v>0</v>
      </c>
      <c r="E117" s="2956">
        <v>0</v>
      </c>
      <c r="F117" s="2956">
        <v>1</v>
      </c>
      <c r="G117" s="2956">
        <v>0</v>
      </c>
      <c r="H117" s="2956">
        <v>0</v>
      </c>
    </row>
    <row r="118" spans="1:8" s="195" customFormat="1">
      <c r="A118" s="2962" t="s">
        <v>20</v>
      </c>
      <c r="B118" s="234">
        <f t="shared" si="18"/>
        <v>0</v>
      </c>
      <c r="C118" s="234">
        <f t="shared" ref="C118:H118" si="20">SUM(C119:C125)</f>
        <v>0</v>
      </c>
      <c r="D118" s="234">
        <f t="shared" si="20"/>
        <v>0</v>
      </c>
      <c r="E118" s="234">
        <f t="shared" si="20"/>
        <v>0</v>
      </c>
      <c r="F118" s="234">
        <f t="shared" si="20"/>
        <v>0</v>
      </c>
      <c r="G118" s="234">
        <f t="shared" si="20"/>
        <v>0</v>
      </c>
      <c r="H118" s="234">
        <f t="shared" si="20"/>
        <v>0</v>
      </c>
    </row>
    <row r="119" spans="1:8">
      <c r="A119" s="223" t="s">
        <v>3025</v>
      </c>
      <c r="B119" s="234">
        <f t="shared" si="18"/>
        <v>0</v>
      </c>
      <c r="C119" s="2971">
        <v>0</v>
      </c>
      <c r="D119" s="2971">
        <v>0</v>
      </c>
      <c r="E119" s="2971">
        <v>0</v>
      </c>
      <c r="F119" s="2971">
        <v>0</v>
      </c>
      <c r="G119" s="2971">
        <v>0</v>
      </c>
      <c r="H119" s="2971">
        <v>0</v>
      </c>
    </row>
    <row r="120" spans="1:8">
      <c r="A120" s="223" t="s">
        <v>3024</v>
      </c>
      <c r="B120" s="234">
        <f t="shared" si="18"/>
        <v>0</v>
      </c>
      <c r="C120" s="2971">
        <v>0</v>
      </c>
      <c r="D120" s="2971">
        <v>0</v>
      </c>
      <c r="E120" s="2971">
        <v>0</v>
      </c>
      <c r="F120" s="2971">
        <v>0</v>
      </c>
      <c r="G120" s="2971">
        <v>0</v>
      </c>
      <c r="H120" s="2971">
        <v>0</v>
      </c>
    </row>
    <row r="121" spans="1:8">
      <c r="A121" s="223" t="s">
        <v>3023</v>
      </c>
      <c r="B121" s="234">
        <f t="shared" si="18"/>
        <v>0</v>
      </c>
      <c r="C121" s="2971">
        <v>0</v>
      </c>
      <c r="D121" s="2971">
        <v>0</v>
      </c>
      <c r="E121" s="2971">
        <v>0</v>
      </c>
      <c r="F121" s="2971">
        <v>0</v>
      </c>
      <c r="G121" s="2971">
        <v>0</v>
      </c>
      <c r="H121" s="2971">
        <v>0</v>
      </c>
    </row>
    <row r="122" spans="1:8">
      <c r="A122" s="223" t="s">
        <v>3022</v>
      </c>
      <c r="B122" s="234">
        <f t="shared" si="18"/>
        <v>0</v>
      </c>
      <c r="C122" s="2971">
        <v>0</v>
      </c>
      <c r="D122" s="2971">
        <v>0</v>
      </c>
      <c r="E122" s="2971">
        <v>0</v>
      </c>
      <c r="F122" s="2971">
        <v>0</v>
      </c>
      <c r="G122" s="2971">
        <v>0</v>
      </c>
      <c r="H122" s="2971">
        <v>0</v>
      </c>
    </row>
    <row r="123" spans="1:8">
      <c r="A123" s="223" t="s">
        <v>3021</v>
      </c>
      <c r="B123" s="234">
        <f t="shared" si="18"/>
        <v>0</v>
      </c>
      <c r="C123" s="2971">
        <v>0</v>
      </c>
      <c r="D123" s="2971">
        <v>0</v>
      </c>
      <c r="E123" s="2971">
        <v>0</v>
      </c>
      <c r="F123" s="2971">
        <v>0</v>
      </c>
      <c r="G123" s="2971">
        <v>0</v>
      </c>
      <c r="H123" s="2971">
        <v>0</v>
      </c>
    </row>
    <row r="124" spans="1:8">
      <c r="A124" s="223" t="s">
        <v>3020</v>
      </c>
      <c r="B124" s="234">
        <f t="shared" si="18"/>
        <v>0</v>
      </c>
      <c r="C124" s="2971">
        <v>0</v>
      </c>
      <c r="D124" s="2971">
        <v>0</v>
      </c>
      <c r="E124" s="2971">
        <v>0</v>
      </c>
      <c r="F124" s="2971">
        <v>0</v>
      </c>
      <c r="G124" s="2971">
        <v>0</v>
      </c>
      <c r="H124" s="2971">
        <v>0</v>
      </c>
    </row>
    <row r="125" spans="1:8">
      <c r="A125" s="223" t="s">
        <v>3019</v>
      </c>
      <c r="B125" s="234">
        <f t="shared" si="18"/>
        <v>0</v>
      </c>
      <c r="C125" s="2971">
        <v>0</v>
      </c>
      <c r="D125" s="2971">
        <v>0</v>
      </c>
      <c r="E125" s="2971">
        <v>0</v>
      </c>
      <c r="F125" s="2971">
        <v>0</v>
      </c>
      <c r="G125" s="2971">
        <v>0</v>
      </c>
      <c r="H125" s="2971">
        <v>0</v>
      </c>
    </row>
    <row r="126" spans="1:8">
      <c r="A126" s="2959" t="s">
        <v>21</v>
      </c>
      <c r="B126" s="234">
        <f t="shared" si="18"/>
        <v>14</v>
      </c>
      <c r="C126" s="2952">
        <f t="shared" ref="C126:H126" si="21">SUM(C127:C133)</f>
        <v>0</v>
      </c>
      <c r="D126" s="2952">
        <f t="shared" si="21"/>
        <v>1</v>
      </c>
      <c r="E126" s="2952">
        <f t="shared" si="21"/>
        <v>0</v>
      </c>
      <c r="F126" s="2952">
        <f t="shared" si="21"/>
        <v>0</v>
      </c>
      <c r="G126" s="2952">
        <f t="shared" si="21"/>
        <v>13</v>
      </c>
      <c r="H126" s="2952">
        <f t="shared" si="21"/>
        <v>0</v>
      </c>
    </row>
    <row r="127" spans="1:8">
      <c r="A127" s="223" t="s">
        <v>3025</v>
      </c>
      <c r="B127" s="234">
        <f t="shared" si="18"/>
        <v>0</v>
      </c>
      <c r="C127" s="2971">
        <v>0</v>
      </c>
      <c r="D127" s="2971">
        <v>0</v>
      </c>
      <c r="E127" s="2971">
        <v>0</v>
      </c>
      <c r="F127" s="2971">
        <v>0</v>
      </c>
      <c r="G127" s="2971">
        <v>0</v>
      </c>
      <c r="H127" s="2971">
        <v>0</v>
      </c>
    </row>
    <row r="128" spans="1:8">
      <c r="A128" s="223" t="s">
        <v>3024</v>
      </c>
      <c r="B128" s="234">
        <f t="shared" si="18"/>
        <v>0</v>
      </c>
      <c r="C128" s="2971">
        <v>0</v>
      </c>
      <c r="D128" s="2971">
        <v>0</v>
      </c>
      <c r="E128" s="2971">
        <v>0</v>
      </c>
      <c r="F128" s="2971">
        <v>0</v>
      </c>
      <c r="G128" s="2971">
        <v>0</v>
      </c>
      <c r="H128" s="2971">
        <v>0</v>
      </c>
    </row>
    <row r="129" spans="1:8">
      <c r="A129" s="223" t="s">
        <v>3023</v>
      </c>
      <c r="B129" s="234">
        <f t="shared" si="18"/>
        <v>0</v>
      </c>
      <c r="C129" s="2971">
        <v>0</v>
      </c>
      <c r="D129" s="2971">
        <v>0</v>
      </c>
      <c r="E129" s="2971">
        <v>0</v>
      </c>
      <c r="F129" s="2971">
        <v>0</v>
      </c>
      <c r="G129" s="2971">
        <v>0</v>
      </c>
      <c r="H129" s="2971">
        <v>0</v>
      </c>
    </row>
    <row r="130" spans="1:8">
      <c r="A130" s="223" t="s">
        <v>3022</v>
      </c>
      <c r="B130" s="234">
        <f t="shared" si="18"/>
        <v>6</v>
      </c>
      <c r="C130" s="2956">
        <v>0</v>
      </c>
      <c r="D130" s="2956">
        <v>0</v>
      </c>
      <c r="E130" s="2956">
        <v>0</v>
      </c>
      <c r="F130" s="2956">
        <v>0</v>
      </c>
      <c r="G130" s="2956">
        <v>6</v>
      </c>
      <c r="H130" s="2956">
        <v>0</v>
      </c>
    </row>
    <row r="131" spans="1:8">
      <c r="A131" s="223" t="s">
        <v>3021</v>
      </c>
      <c r="B131" s="234">
        <f t="shared" si="18"/>
        <v>2</v>
      </c>
      <c r="C131" s="2956">
        <v>0</v>
      </c>
      <c r="D131" s="2956">
        <v>0</v>
      </c>
      <c r="E131" s="2956">
        <v>0</v>
      </c>
      <c r="F131" s="2956">
        <v>0</v>
      </c>
      <c r="G131" s="2956">
        <v>2</v>
      </c>
      <c r="H131" s="2956">
        <v>0</v>
      </c>
    </row>
    <row r="132" spans="1:8">
      <c r="A132" s="223" t="s">
        <v>3020</v>
      </c>
      <c r="B132" s="234">
        <f t="shared" si="18"/>
        <v>5</v>
      </c>
      <c r="C132" s="2956">
        <v>0</v>
      </c>
      <c r="D132" s="2956">
        <v>1</v>
      </c>
      <c r="E132" s="2956">
        <v>0</v>
      </c>
      <c r="F132" s="2956">
        <v>0</v>
      </c>
      <c r="G132" s="2956">
        <v>4</v>
      </c>
      <c r="H132" s="2956">
        <v>0</v>
      </c>
    </row>
    <row r="133" spans="1:8">
      <c r="A133" s="223" t="s">
        <v>3019</v>
      </c>
      <c r="B133" s="234">
        <f t="shared" si="18"/>
        <v>1</v>
      </c>
      <c r="C133" s="2956">
        <v>0</v>
      </c>
      <c r="D133" s="2956">
        <v>0</v>
      </c>
      <c r="E133" s="2956">
        <v>0</v>
      </c>
      <c r="F133" s="2956">
        <v>0</v>
      </c>
      <c r="G133" s="2956">
        <v>1</v>
      </c>
      <c r="H133" s="2956">
        <v>0</v>
      </c>
    </row>
    <row r="134" spans="1:8">
      <c r="A134" s="223"/>
      <c r="B134" s="224"/>
      <c r="C134" s="225"/>
      <c r="D134" s="225"/>
      <c r="E134" s="225"/>
      <c r="F134" s="225"/>
      <c r="G134" s="225"/>
      <c r="H134" s="225"/>
    </row>
    <row r="135" spans="1:8">
      <c r="A135" s="2629" t="s">
        <v>22</v>
      </c>
      <c r="B135" s="2629"/>
      <c r="C135" s="2629"/>
      <c r="D135" s="2629"/>
      <c r="E135" s="2629"/>
      <c r="F135" s="2629"/>
      <c r="G135" s="2629"/>
      <c r="H135" s="2629"/>
    </row>
    <row r="136" spans="1:8">
      <c r="A136" s="2215" t="s">
        <v>2926</v>
      </c>
      <c r="B136" s="2215"/>
      <c r="C136" s="2215"/>
      <c r="D136" s="2215"/>
      <c r="E136" s="2215"/>
      <c r="F136" s="2215"/>
      <c r="G136" s="2215"/>
      <c r="H136" s="2215"/>
    </row>
    <row r="137" spans="1:8">
      <c r="B137" s="224"/>
      <c r="C137" s="226"/>
      <c r="D137" s="226"/>
      <c r="E137" s="226"/>
      <c r="F137" s="226"/>
      <c r="G137" s="226"/>
      <c r="H137" s="226"/>
    </row>
    <row r="138" spans="1:8">
      <c r="B138" s="224"/>
      <c r="C138" s="226"/>
      <c r="D138" s="226"/>
      <c r="E138" s="226"/>
      <c r="F138" s="226"/>
      <c r="G138" s="226"/>
      <c r="H138" s="226"/>
    </row>
    <row r="139" spans="1:8">
      <c r="B139" s="224"/>
      <c r="C139" s="226"/>
      <c r="D139" s="226"/>
      <c r="E139" s="226"/>
      <c r="F139" s="226"/>
      <c r="G139" s="226"/>
      <c r="H139" s="226"/>
    </row>
  </sheetData>
  <mergeCells count="6">
    <mergeCell ref="A136:H136"/>
    <mergeCell ref="A2:H2"/>
    <mergeCell ref="A4:A5"/>
    <mergeCell ref="B4:B5"/>
    <mergeCell ref="C4:H4"/>
    <mergeCell ref="A135:H135"/>
  </mergeCells>
  <pageMargins left="0.70866141732283472" right="0.70866141732283472" top="0.74803149606299213" bottom="0.74803149606299213" header="0.31496062992125984" footer="0.31496062992125984"/>
  <pageSetup paperSize="14" scale="75" orientation="portrait" r:id="rId1"/>
</worksheet>
</file>

<file path=xl/worksheets/sheet321.xml><?xml version="1.0" encoding="utf-8"?>
<worksheet xmlns="http://schemas.openxmlformats.org/spreadsheetml/2006/main" xmlns:r="http://schemas.openxmlformats.org/officeDocument/2006/relationships">
  <dimension ref="A2:L39"/>
  <sheetViews>
    <sheetView showGridLines="0" zoomScaleNormal="100" workbookViewId="0">
      <selection activeCell="N12" sqref="N12"/>
    </sheetView>
  </sheetViews>
  <sheetFormatPr baseColWidth="10" defaultRowHeight="11.25"/>
  <cols>
    <col min="1" max="1" width="63.7109375" style="216" customWidth="1"/>
    <col min="2" max="2" width="11" style="216" bestFit="1" customWidth="1"/>
    <col min="3" max="6" width="9.7109375" style="216" customWidth="1"/>
    <col min="7" max="7" width="15.28515625" style="216" customWidth="1"/>
    <col min="8" max="8" width="12.7109375" style="216" customWidth="1"/>
    <col min="9" max="9" width="11.28515625" style="216" customWidth="1"/>
    <col min="10" max="10" width="12.28515625" style="216" customWidth="1"/>
    <col min="11" max="11" width="12.42578125" style="216" customWidth="1"/>
    <col min="12" max="12" width="11.5703125" style="216" bestFit="1" customWidth="1"/>
    <col min="13" max="16384" width="11.42578125" style="216"/>
  </cols>
  <sheetData>
    <row r="2" spans="1:12" s="96" customFormat="1" ht="13.5" customHeight="1">
      <c r="A2" s="2637" t="s">
        <v>3064</v>
      </c>
      <c r="B2" s="2637"/>
      <c r="C2" s="2637"/>
      <c r="D2" s="2637"/>
      <c r="E2" s="2637"/>
      <c r="F2" s="2637"/>
      <c r="G2" s="2637"/>
      <c r="H2" s="2637"/>
      <c r="I2" s="2637"/>
      <c r="J2" s="2637"/>
      <c r="K2" s="2637"/>
      <c r="L2" s="2637"/>
    </row>
    <row r="3" spans="1:12" s="96" customFormat="1"/>
    <row r="4" spans="1:12" s="96" customFormat="1" ht="12.75" customHeight="1">
      <c r="A4" s="2174" t="s">
        <v>3063</v>
      </c>
      <c r="B4" s="2200" t="s">
        <v>26</v>
      </c>
      <c r="C4" s="2174" t="s">
        <v>3062</v>
      </c>
      <c r="D4" s="2174"/>
      <c r="E4" s="2174"/>
      <c r="F4" s="2174"/>
      <c r="G4" s="2174"/>
      <c r="H4" s="2174"/>
      <c r="I4" s="2174"/>
      <c r="J4" s="2174"/>
      <c r="K4" s="2174"/>
      <c r="L4" s="2174"/>
    </row>
    <row r="5" spans="1:12" s="96" customFormat="1" ht="48">
      <c r="A5" s="2174"/>
      <c r="B5" s="2200"/>
      <c r="C5" s="2007" t="s">
        <v>162</v>
      </c>
      <c r="D5" s="2007" t="s">
        <v>3061</v>
      </c>
      <c r="E5" s="2007" t="s">
        <v>3327</v>
      </c>
      <c r="F5" s="2007" t="s">
        <v>3060</v>
      </c>
      <c r="G5" s="2007" t="s">
        <v>3059</v>
      </c>
      <c r="H5" s="2007" t="s">
        <v>3058</v>
      </c>
      <c r="I5" s="2007" t="s">
        <v>3057</v>
      </c>
      <c r="J5" s="2007" t="s">
        <v>3056</v>
      </c>
      <c r="K5" s="2007" t="s">
        <v>3328</v>
      </c>
      <c r="L5" s="2007" t="s">
        <v>1031</v>
      </c>
    </row>
    <row r="6" spans="1:12" s="142" customFormat="1" ht="13.5" customHeight="1">
      <c r="A6" s="192" t="s">
        <v>6</v>
      </c>
      <c r="B6" s="488">
        <f t="shared" ref="B6:B33" si="0">SUM(C6:L6)</f>
        <v>132671</v>
      </c>
      <c r="C6" s="488">
        <f t="shared" ref="C6:L6" si="1">SUM(C7:C33)</f>
        <v>57403</v>
      </c>
      <c r="D6" s="488">
        <f t="shared" si="1"/>
        <v>21107</v>
      </c>
      <c r="E6" s="488">
        <f t="shared" si="1"/>
        <v>34015</v>
      </c>
      <c r="F6" s="488">
        <f t="shared" si="1"/>
        <v>44</v>
      </c>
      <c r="G6" s="488">
        <f t="shared" si="1"/>
        <v>8</v>
      </c>
      <c r="H6" s="488">
        <f t="shared" si="1"/>
        <v>10</v>
      </c>
      <c r="I6" s="488">
        <f t="shared" si="1"/>
        <v>19009</v>
      </c>
      <c r="J6" s="488">
        <f t="shared" si="1"/>
        <v>6</v>
      </c>
      <c r="K6" s="2973">
        <f t="shared" si="1"/>
        <v>1069</v>
      </c>
      <c r="L6" s="488">
        <f t="shared" si="1"/>
        <v>0</v>
      </c>
    </row>
    <row r="7" spans="1:12" s="96" customFormat="1" ht="13.5" customHeight="1">
      <c r="A7" s="2024" t="s">
        <v>3055</v>
      </c>
      <c r="B7" s="488">
        <f t="shared" si="0"/>
        <v>2878</v>
      </c>
      <c r="C7" s="2711">
        <v>1116</v>
      </c>
      <c r="D7" s="2711">
        <v>545</v>
      </c>
      <c r="E7" s="2711">
        <v>1217</v>
      </c>
      <c r="F7" s="2711">
        <v>0</v>
      </c>
      <c r="G7" s="2711">
        <v>0</v>
      </c>
      <c r="H7" s="2711">
        <v>0</v>
      </c>
      <c r="I7" s="2711">
        <v>0</v>
      </c>
      <c r="J7" s="2711">
        <v>0</v>
      </c>
      <c r="K7" s="2711">
        <v>0</v>
      </c>
      <c r="L7" s="240">
        <v>0</v>
      </c>
    </row>
    <row r="8" spans="1:12" s="96" customFormat="1" ht="13.5" customHeight="1">
      <c r="A8" s="2024" t="s">
        <v>3054</v>
      </c>
      <c r="B8" s="488">
        <f t="shared" si="0"/>
        <v>1798</v>
      </c>
      <c r="C8" s="2711">
        <v>650</v>
      </c>
      <c r="D8" s="2711">
        <v>0</v>
      </c>
      <c r="E8" s="2711">
        <v>1148</v>
      </c>
      <c r="F8" s="2711">
        <v>0</v>
      </c>
      <c r="G8" s="2711">
        <v>0</v>
      </c>
      <c r="H8" s="2711">
        <v>0</v>
      </c>
      <c r="I8" s="2711">
        <v>0</v>
      </c>
      <c r="J8" s="2711">
        <v>0</v>
      </c>
      <c r="K8" s="2711">
        <v>0</v>
      </c>
      <c r="L8" s="240">
        <v>0</v>
      </c>
    </row>
    <row r="9" spans="1:12" s="96" customFormat="1" ht="13.5" customHeight="1">
      <c r="A9" s="2024" t="s">
        <v>3053</v>
      </c>
      <c r="B9" s="488">
        <f t="shared" si="0"/>
        <v>0</v>
      </c>
      <c r="C9" s="2711">
        <v>0</v>
      </c>
      <c r="D9" s="2711">
        <v>0</v>
      </c>
      <c r="E9" s="2711">
        <v>0</v>
      </c>
      <c r="F9" s="2711">
        <v>0</v>
      </c>
      <c r="G9" s="2711">
        <v>0</v>
      </c>
      <c r="H9" s="2711">
        <v>0</v>
      </c>
      <c r="I9" s="2711">
        <v>0</v>
      </c>
      <c r="J9" s="2711">
        <v>0</v>
      </c>
      <c r="K9" s="2711">
        <v>0</v>
      </c>
      <c r="L9" s="240">
        <v>0</v>
      </c>
    </row>
    <row r="10" spans="1:12" s="96" customFormat="1" ht="13.5" customHeight="1">
      <c r="A10" s="2024" t="s">
        <v>3052</v>
      </c>
      <c r="B10" s="488">
        <f t="shared" si="0"/>
        <v>3234</v>
      </c>
      <c r="C10" s="2711">
        <v>0</v>
      </c>
      <c r="D10" s="2711">
        <v>1268</v>
      </c>
      <c r="E10" s="2711">
        <v>1966</v>
      </c>
      <c r="F10" s="2711">
        <v>0</v>
      </c>
      <c r="G10" s="2711">
        <v>0</v>
      </c>
      <c r="H10" s="2711">
        <v>0</v>
      </c>
      <c r="I10" s="2711">
        <v>0</v>
      </c>
      <c r="J10" s="2711">
        <v>0</v>
      </c>
      <c r="K10" s="2711">
        <v>0</v>
      </c>
      <c r="L10" s="240">
        <v>0</v>
      </c>
    </row>
    <row r="11" spans="1:12" s="96" customFormat="1" ht="13.5" customHeight="1">
      <c r="A11" s="2024" t="s">
        <v>3051</v>
      </c>
      <c r="B11" s="488">
        <f t="shared" si="0"/>
        <v>10544</v>
      </c>
      <c r="C11" s="2711">
        <v>5807</v>
      </c>
      <c r="D11" s="2711">
        <v>1170</v>
      </c>
      <c r="E11" s="2711">
        <v>2510</v>
      </c>
      <c r="F11" s="2711">
        <v>0</v>
      </c>
      <c r="G11" s="2711">
        <v>0</v>
      </c>
      <c r="H11" s="2711">
        <v>0</v>
      </c>
      <c r="I11" s="2711">
        <v>714</v>
      </c>
      <c r="J11" s="2711">
        <v>0</v>
      </c>
      <c r="K11" s="2711">
        <v>343</v>
      </c>
      <c r="L11" s="240">
        <v>0</v>
      </c>
    </row>
    <row r="12" spans="1:12" s="96" customFormat="1" ht="13.5" customHeight="1">
      <c r="A12" s="2024" t="s">
        <v>3050</v>
      </c>
      <c r="B12" s="488">
        <f t="shared" si="0"/>
        <v>1430</v>
      </c>
      <c r="C12" s="2711">
        <v>1430</v>
      </c>
      <c r="D12" s="2711">
        <v>0</v>
      </c>
      <c r="E12" s="2711">
        <v>0</v>
      </c>
      <c r="F12" s="2711">
        <v>0</v>
      </c>
      <c r="G12" s="2711">
        <v>0</v>
      </c>
      <c r="H12" s="2711">
        <v>0</v>
      </c>
      <c r="I12" s="2711">
        <v>0</v>
      </c>
      <c r="J12" s="2711">
        <v>0</v>
      </c>
      <c r="K12" s="2711">
        <v>0</v>
      </c>
      <c r="L12" s="240">
        <v>0</v>
      </c>
    </row>
    <row r="13" spans="1:12" s="96" customFormat="1" ht="13.5" customHeight="1">
      <c r="A13" s="2024" t="s">
        <v>3049</v>
      </c>
      <c r="B13" s="488">
        <f t="shared" si="0"/>
        <v>15106</v>
      </c>
      <c r="C13" s="2711">
        <v>685</v>
      </c>
      <c r="D13" s="2711">
        <v>5074</v>
      </c>
      <c r="E13" s="2711">
        <v>9345</v>
      </c>
      <c r="F13" s="2711">
        <v>0</v>
      </c>
      <c r="G13" s="2711">
        <v>2</v>
      </c>
      <c r="H13" s="2711">
        <v>0</v>
      </c>
      <c r="I13" s="2711">
        <v>0</v>
      </c>
      <c r="J13" s="2711">
        <v>0</v>
      </c>
      <c r="K13" s="2711">
        <v>0</v>
      </c>
      <c r="L13" s="240">
        <v>0</v>
      </c>
    </row>
    <row r="14" spans="1:12" s="96" customFormat="1" ht="13.5" customHeight="1">
      <c r="A14" s="2024" t="s">
        <v>3048</v>
      </c>
      <c r="B14" s="488">
        <f t="shared" si="0"/>
        <v>0</v>
      </c>
      <c r="C14" s="2711">
        <v>0</v>
      </c>
      <c r="D14" s="2711">
        <v>0</v>
      </c>
      <c r="E14" s="2711">
        <v>0</v>
      </c>
      <c r="F14" s="2711">
        <v>0</v>
      </c>
      <c r="G14" s="2711">
        <v>0</v>
      </c>
      <c r="H14" s="2711">
        <v>0</v>
      </c>
      <c r="I14" s="2711">
        <v>0</v>
      </c>
      <c r="J14" s="2711">
        <v>0</v>
      </c>
      <c r="K14" s="2711">
        <v>0</v>
      </c>
      <c r="L14" s="240">
        <v>0</v>
      </c>
    </row>
    <row r="15" spans="1:12" s="96" customFormat="1" ht="13.5" customHeight="1">
      <c r="A15" s="2024" t="s">
        <v>3047</v>
      </c>
      <c r="B15" s="488">
        <f t="shared" si="0"/>
        <v>0</v>
      </c>
      <c r="C15" s="2711">
        <v>0</v>
      </c>
      <c r="D15" s="2711">
        <v>0</v>
      </c>
      <c r="E15" s="2711">
        <v>0</v>
      </c>
      <c r="F15" s="2711">
        <v>0</v>
      </c>
      <c r="G15" s="2711">
        <v>0</v>
      </c>
      <c r="H15" s="2711">
        <v>0</v>
      </c>
      <c r="I15" s="2711">
        <v>0</v>
      </c>
      <c r="J15" s="2711">
        <v>0</v>
      </c>
      <c r="K15" s="2711">
        <v>0</v>
      </c>
      <c r="L15" s="240">
        <v>0</v>
      </c>
    </row>
    <row r="16" spans="1:12" s="96" customFormat="1" ht="13.5" customHeight="1">
      <c r="A16" s="2024" t="s">
        <v>3046</v>
      </c>
      <c r="B16" s="488">
        <f t="shared" si="0"/>
        <v>144</v>
      </c>
      <c r="C16" s="2961">
        <v>105</v>
      </c>
      <c r="D16" s="2961">
        <v>0</v>
      </c>
      <c r="E16" s="2961">
        <v>0</v>
      </c>
      <c r="F16" s="2711">
        <v>38</v>
      </c>
      <c r="G16" s="2711">
        <v>1</v>
      </c>
      <c r="H16" s="2711">
        <v>0</v>
      </c>
      <c r="I16" s="2711">
        <v>0</v>
      </c>
      <c r="J16" s="2711">
        <v>0</v>
      </c>
      <c r="K16" s="2711">
        <v>0</v>
      </c>
      <c r="L16" s="240">
        <v>0</v>
      </c>
    </row>
    <row r="17" spans="1:12" s="96" customFormat="1" ht="13.5" customHeight="1">
      <c r="A17" s="2024" t="s">
        <v>3045</v>
      </c>
      <c r="B17" s="488">
        <f t="shared" si="0"/>
        <v>405</v>
      </c>
      <c r="C17" s="2961">
        <v>333</v>
      </c>
      <c r="D17" s="2711">
        <v>0</v>
      </c>
      <c r="E17" s="2711">
        <v>70</v>
      </c>
      <c r="F17" s="2711">
        <v>2</v>
      </c>
      <c r="G17" s="2711">
        <v>0</v>
      </c>
      <c r="H17" s="2711">
        <v>0</v>
      </c>
      <c r="I17" s="2961">
        <v>0</v>
      </c>
      <c r="J17" s="2711">
        <v>0</v>
      </c>
      <c r="K17" s="2711">
        <v>0</v>
      </c>
      <c r="L17" s="2974">
        <v>0</v>
      </c>
    </row>
    <row r="18" spans="1:12" s="96" customFormat="1" ht="13.5" customHeight="1">
      <c r="A18" s="2024" t="s">
        <v>3044</v>
      </c>
      <c r="B18" s="488">
        <f t="shared" si="0"/>
        <v>2378</v>
      </c>
      <c r="C18" s="2711">
        <v>69</v>
      </c>
      <c r="D18" s="2711">
        <v>847</v>
      </c>
      <c r="E18" s="2711">
        <v>1462</v>
      </c>
      <c r="F18" s="2711">
        <v>0</v>
      </c>
      <c r="G18" s="2711">
        <v>0</v>
      </c>
      <c r="H18" s="2711">
        <v>0</v>
      </c>
      <c r="I18" s="2711">
        <v>0</v>
      </c>
      <c r="J18" s="2711">
        <v>0</v>
      </c>
      <c r="K18" s="2711">
        <v>0</v>
      </c>
      <c r="L18" s="240">
        <v>0</v>
      </c>
    </row>
    <row r="19" spans="1:12" s="96" customFormat="1" ht="13.5" customHeight="1">
      <c r="A19" s="2024" t="s">
        <v>3043</v>
      </c>
      <c r="B19" s="488">
        <f t="shared" si="0"/>
        <v>491</v>
      </c>
      <c r="C19" s="2711">
        <v>261</v>
      </c>
      <c r="D19" s="2711">
        <v>0</v>
      </c>
      <c r="E19" s="2711">
        <v>230</v>
      </c>
      <c r="F19" s="2711">
        <v>0</v>
      </c>
      <c r="G19" s="2711">
        <v>0</v>
      </c>
      <c r="H19" s="2711">
        <v>0</v>
      </c>
      <c r="I19" s="2711">
        <v>0</v>
      </c>
      <c r="J19" s="2711">
        <v>0</v>
      </c>
      <c r="K19" s="2711">
        <v>0</v>
      </c>
      <c r="L19" s="240">
        <v>0</v>
      </c>
    </row>
    <row r="20" spans="1:12" s="96" customFormat="1" ht="13.5" customHeight="1">
      <c r="A20" s="2024" t="s">
        <v>3042</v>
      </c>
      <c r="B20" s="488">
        <f t="shared" si="0"/>
        <v>4577</v>
      </c>
      <c r="C20" s="2711">
        <v>1861</v>
      </c>
      <c r="D20" s="2711">
        <v>1701</v>
      </c>
      <c r="E20" s="2711">
        <v>812</v>
      </c>
      <c r="F20" s="2711">
        <v>1</v>
      </c>
      <c r="G20" s="2711">
        <v>1</v>
      </c>
      <c r="H20" s="2711">
        <v>1</v>
      </c>
      <c r="I20" s="2711">
        <v>0</v>
      </c>
      <c r="J20" s="2711">
        <v>0</v>
      </c>
      <c r="K20" s="2711">
        <v>200</v>
      </c>
      <c r="L20" s="240">
        <v>0</v>
      </c>
    </row>
    <row r="21" spans="1:12" s="96" customFormat="1" ht="13.5" customHeight="1">
      <c r="A21" s="2024" t="s">
        <v>3041</v>
      </c>
      <c r="B21" s="488">
        <f t="shared" si="0"/>
        <v>527</v>
      </c>
      <c r="C21" s="2711">
        <v>234</v>
      </c>
      <c r="D21" s="2711">
        <v>240</v>
      </c>
      <c r="E21" s="2711">
        <v>53</v>
      </c>
      <c r="F21" s="2711">
        <v>0</v>
      </c>
      <c r="G21" s="2711">
        <v>0</v>
      </c>
      <c r="H21" s="2711">
        <v>0</v>
      </c>
      <c r="I21" s="2711">
        <v>0</v>
      </c>
      <c r="J21" s="2711">
        <v>0</v>
      </c>
      <c r="K21" s="2711">
        <v>0</v>
      </c>
      <c r="L21" s="240">
        <v>0</v>
      </c>
    </row>
    <row r="22" spans="1:12" s="96" customFormat="1" ht="13.5" customHeight="1">
      <c r="A22" s="2024" t="s">
        <v>3040</v>
      </c>
      <c r="B22" s="488">
        <f t="shared" si="0"/>
        <v>3856</v>
      </c>
      <c r="C22" s="2711">
        <v>0</v>
      </c>
      <c r="D22" s="2711">
        <v>1368</v>
      </c>
      <c r="E22" s="2711">
        <v>2488</v>
      </c>
      <c r="F22" s="2711">
        <v>0</v>
      </c>
      <c r="G22" s="2711">
        <v>0</v>
      </c>
      <c r="H22" s="2711">
        <v>0</v>
      </c>
      <c r="I22" s="2711">
        <v>0</v>
      </c>
      <c r="J22" s="2711">
        <v>0</v>
      </c>
      <c r="K22" s="2711">
        <v>0</v>
      </c>
      <c r="L22" s="240">
        <v>0</v>
      </c>
    </row>
    <row r="23" spans="1:12" s="96" customFormat="1" ht="13.5" customHeight="1">
      <c r="A23" s="2024" t="s">
        <v>3039</v>
      </c>
      <c r="B23" s="488">
        <f t="shared" si="0"/>
        <v>3728</v>
      </c>
      <c r="C23" s="2711">
        <v>0</v>
      </c>
      <c r="D23" s="2711">
        <v>0</v>
      </c>
      <c r="E23" s="2711">
        <v>2248</v>
      </c>
      <c r="F23" s="2711">
        <v>0</v>
      </c>
      <c r="G23" s="2711">
        <v>1</v>
      </c>
      <c r="H23" s="2711">
        <v>1</v>
      </c>
      <c r="I23" s="2711">
        <v>1477</v>
      </c>
      <c r="J23" s="2711">
        <v>1</v>
      </c>
      <c r="K23" s="2711">
        <v>0</v>
      </c>
      <c r="L23" s="240">
        <v>0</v>
      </c>
    </row>
    <row r="24" spans="1:12" s="96" customFormat="1" ht="13.5" customHeight="1">
      <c r="A24" s="2024" t="s">
        <v>3038</v>
      </c>
      <c r="B24" s="488">
        <f t="shared" si="0"/>
        <v>1465</v>
      </c>
      <c r="C24" s="2711">
        <v>0</v>
      </c>
      <c r="D24" s="2961">
        <v>1096</v>
      </c>
      <c r="E24" s="2961">
        <v>364</v>
      </c>
      <c r="F24" s="2711">
        <v>0</v>
      </c>
      <c r="G24" s="2711">
        <v>3</v>
      </c>
      <c r="H24" s="2711">
        <v>2</v>
      </c>
      <c r="I24" s="2711">
        <v>0</v>
      </c>
      <c r="J24" s="2711">
        <v>0</v>
      </c>
      <c r="K24" s="2711">
        <v>0</v>
      </c>
      <c r="L24" s="240">
        <v>0</v>
      </c>
    </row>
    <row r="25" spans="1:12" s="96" customFormat="1" ht="13.5" customHeight="1">
      <c r="A25" s="2024" t="s">
        <v>3037</v>
      </c>
      <c r="B25" s="488">
        <f t="shared" si="0"/>
        <v>0</v>
      </c>
      <c r="C25" s="2711">
        <v>0</v>
      </c>
      <c r="D25" s="2711">
        <v>0</v>
      </c>
      <c r="E25" s="2711">
        <v>0</v>
      </c>
      <c r="F25" s="2711">
        <v>0</v>
      </c>
      <c r="G25" s="2711">
        <v>0</v>
      </c>
      <c r="H25" s="2711">
        <v>0</v>
      </c>
      <c r="I25" s="2711">
        <v>0</v>
      </c>
      <c r="J25" s="2711">
        <v>0</v>
      </c>
      <c r="K25" s="2711">
        <v>0</v>
      </c>
      <c r="L25" s="240">
        <v>0</v>
      </c>
    </row>
    <row r="26" spans="1:12" s="96" customFormat="1" ht="13.5" customHeight="1">
      <c r="A26" s="2024" t="s">
        <v>3036</v>
      </c>
      <c r="B26" s="488">
        <f t="shared" si="0"/>
        <v>4893</v>
      </c>
      <c r="C26" s="2711">
        <v>0</v>
      </c>
      <c r="D26" s="2711">
        <v>3375</v>
      </c>
      <c r="E26" s="2711">
        <v>1100</v>
      </c>
      <c r="F26" s="2711">
        <v>1</v>
      </c>
      <c r="G26" s="2711">
        <v>0</v>
      </c>
      <c r="H26" s="2711">
        <v>0</v>
      </c>
      <c r="I26" s="2711">
        <v>45</v>
      </c>
      <c r="J26" s="2711">
        <v>1</v>
      </c>
      <c r="K26" s="2711">
        <v>371</v>
      </c>
      <c r="L26" s="240">
        <v>0</v>
      </c>
    </row>
    <row r="27" spans="1:12" s="96" customFormat="1" ht="13.5" customHeight="1">
      <c r="A27" s="2024" t="s">
        <v>3035</v>
      </c>
      <c r="B27" s="488">
        <f t="shared" si="0"/>
        <v>52172</v>
      </c>
      <c r="C27" s="2711">
        <v>30827</v>
      </c>
      <c r="D27" s="2711">
        <v>2045</v>
      </c>
      <c r="E27" s="2711">
        <v>2568</v>
      </c>
      <c r="F27" s="2711">
        <v>0</v>
      </c>
      <c r="G27" s="2711">
        <v>0</v>
      </c>
      <c r="H27" s="2711">
        <v>0</v>
      </c>
      <c r="I27" s="2711">
        <v>16732</v>
      </c>
      <c r="J27" s="2711">
        <v>0</v>
      </c>
      <c r="K27" s="2711">
        <v>0</v>
      </c>
      <c r="L27" s="240">
        <v>0</v>
      </c>
    </row>
    <row r="28" spans="1:12" s="96" customFormat="1" ht="13.5" customHeight="1">
      <c r="A28" s="2021" t="s">
        <v>3034</v>
      </c>
      <c r="B28" s="488">
        <f t="shared" si="0"/>
        <v>351</v>
      </c>
      <c r="C28" s="2711">
        <v>154</v>
      </c>
      <c r="D28" s="2711">
        <v>0</v>
      </c>
      <c r="E28" s="2711">
        <v>197</v>
      </c>
      <c r="F28" s="2711">
        <v>0</v>
      </c>
      <c r="G28" s="2711">
        <v>0</v>
      </c>
      <c r="H28" s="2711">
        <v>0</v>
      </c>
      <c r="I28" s="2711">
        <v>0</v>
      </c>
      <c r="J28" s="2711">
        <v>0</v>
      </c>
      <c r="K28" s="2711">
        <v>0</v>
      </c>
      <c r="L28" s="240">
        <v>0</v>
      </c>
    </row>
    <row r="29" spans="1:12" s="96" customFormat="1" ht="13.5" customHeight="1">
      <c r="A29" s="2024" t="s">
        <v>3033</v>
      </c>
      <c r="B29" s="488">
        <f t="shared" si="0"/>
        <v>873</v>
      </c>
      <c r="C29" s="2711">
        <v>0</v>
      </c>
      <c r="D29" s="2711">
        <v>873</v>
      </c>
      <c r="E29" s="2711">
        <v>0</v>
      </c>
      <c r="F29" s="2711">
        <v>0</v>
      </c>
      <c r="G29" s="2711">
        <v>0</v>
      </c>
      <c r="H29" s="2711">
        <v>0</v>
      </c>
      <c r="I29" s="2711">
        <v>0</v>
      </c>
      <c r="J29" s="2711">
        <v>0</v>
      </c>
      <c r="K29" s="2711">
        <v>0</v>
      </c>
      <c r="L29" s="240">
        <v>0</v>
      </c>
    </row>
    <row r="30" spans="1:12" s="96" customFormat="1" ht="13.5" customHeight="1">
      <c r="A30" s="2024" t="s">
        <v>3032</v>
      </c>
      <c r="B30" s="488">
        <f t="shared" si="0"/>
        <v>0</v>
      </c>
      <c r="C30" s="2711">
        <v>0</v>
      </c>
      <c r="D30" s="2711">
        <v>0</v>
      </c>
      <c r="E30" s="2711">
        <v>0</v>
      </c>
      <c r="F30" s="2711">
        <v>0</v>
      </c>
      <c r="G30" s="2711">
        <v>0</v>
      </c>
      <c r="H30" s="2711">
        <v>0</v>
      </c>
      <c r="I30" s="2711">
        <v>0</v>
      </c>
      <c r="J30" s="2711">
        <v>0</v>
      </c>
      <c r="K30" s="2711">
        <v>0</v>
      </c>
      <c r="L30" s="240">
        <v>0</v>
      </c>
    </row>
    <row r="31" spans="1:12" s="96" customFormat="1" ht="13.5" customHeight="1">
      <c r="A31" s="2021" t="s">
        <v>3031</v>
      </c>
      <c r="B31" s="488">
        <f t="shared" si="0"/>
        <v>1169</v>
      </c>
      <c r="C31" s="2711">
        <v>0</v>
      </c>
      <c r="D31" s="2711">
        <v>1019</v>
      </c>
      <c r="E31" s="2711">
        <v>150</v>
      </c>
      <c r="F31" s="2711">
        <v>0</v>
      </c>
      <c r="G31" s="2711">
        <v>0</v>
      </c>
      <c r="H31" s="2711">
        <v>0</v>
      </c>
      <c r="I31" s="2711">
        <v>0</v>
      </c>
      <c r="J31" s="2711">
        <v>0</v>
      </c>
      <c r="K31" s="2711">
        <v>0</v>
      </c>
      <c r="L31" s="240">
        <v>0</v>
      </c>
    </row>
    <row r="32" spans="1:12" s="96" customFormat="1" ht="13.5" customHeight="1">
      <c r="A32" s="2021" t="s">
        <v>3030</v>
      </c>
      <c r="B32" s="488">
        <f t="shared" si="0"/>
        <v>0</v>
      </c>
      <c r="C32" s="2711">
        <v>0</v>
      </c>
      <c r="D32" s="2711">
        <v>0</v>
      </c>
      <c r="E32" s="2711">
        <v>0</v>
      </c>
      <c r="F32" s="2711">
        <v>0</v>
      </c>
      <c r="G32" s="2711">
        <v>0</v>
      </c>
      <c r="H32" s="2711">
        <v>0</v>
      </c>
      <c r="I32" s="2711">
        <v>0</v>
      </c>
      <c r="J32" s="2711">
        <v>0</v>
      </c>
      <c r="K32" s="2711">
        <v>0</v>
      </c>
      <c r="L32" s="240">
        <v>0</v>
      </c>
    </row>
    <row r="33" spans="1:12" s="96" customFormat="1" ht="13.5" customHeight="1">
      <c r="A33" s="2024" t="s">
        <v>3029</v>
      </c>
      <c r="B33" s="488">
        <f t="shared" si="0"/>
        <v>20652</v>
      </c>
      <c r="C33" s="2711">
        <v>13871</v>
      </c>
      <c r="D33" s="2711">
        <v>486</v>
      </c>
      <c r="E33" s="2711">
        <v>6087</v>
      </c>
      <c r="F33" s="2711">
        <v>2</v>
      </c>
      <c r="G33" s="2711">
        <v>0</v>
      </c>
      <c r="H33" s="2711">
        <v>6</v>
      </c>
      <c r="I33" s="2711">
        <v>41</v>
      </c>
      <c r="J33" s="2711">
        <v>4</v>
      </c>
      <c r="K33" s="2711">
        <v>155</v>
      </c>
      <c r="L33" s="240">
        <v>0</v>
      </c>
    </row>
    <row r="34" spans="1:12" s="96" customFormat="1">
      <c r="A34" s="217"/>
      <c r="B34" s="218"/>
      <c r="C34" s="219"/>
      <c r="D34" s="219"/>
      <c r="E34" s="219"/>
      <c r="F34" s="219"/>
      <c r="G34" s="219"/>
      <c r="H34" s="219"/>
      <c r="I34" s="219"/>
      <c r="J34" s="219"/>
      <c r="K34" s="220"/>
    </row>
    <row r="35" spans="1:12" s="96" customFormat="1">
      <c r="A35" s="221" t="s">
        <v>3329</v>
      </c>
      <c r="B35" s="218"/>
      <c r="C35" s="222"/>
      <c r="D35" s="222"/>
      <c r="E35" s="222"/>
      <c r="F35" s="222"/>
      <c r="G35" s="222"/>
      <c r="H35" s="222"/>
      <c r="I35" s="222"/>
      <c r="J35" s="222"/>
      <c r="K35" s="220"/>
    </row>
    <row r="36" spans="1:12" s="96" customFormat="1">
      <c r="A36" s="96" t="s">
        <v>3330</v>
      </c>
    </row>
    <row r="37" spans="1:12" s="96" customFormat="1">
      <c r="A37" s="189" t="s">
        <v>22</v>
      </c>
      <c r="B37" s="218"/>
      <c r="C37" s="222"/>
      <c r="D37" s="222"/>
      <c r="E37" s="222"/>
      <c r="F37" s="222"/>
      <c r="G37" s="222"/>
      <c r="H37" s="222"/>
      <c r="I37" s="222"/>
      <c r="J37" s="222"/>
      <c r="K37" s="220"/>
    </row>
    <row r="38" spans="1:12">
      <c r="A38" s="2378" t="s">
        <v>3028</v>
      </c>
      <c r="B38" s="2378"/>
      <c r="C38" s="2378"/>
      <c r="D38" s="2378"/>
      <c r="E38" s="2378"/>
      <c r="F38" s="2378"/>
      <c r="G38" s="2378"/>
      <c r="H38" s="2378"/>
      <c r="I38" s="2378"/>
      <c r="J38" s="2378"/>
      <c r="K38" s="2378"/>
    </row>
    <row r="39" spans="1:12">
      <c r="A39" s="96"/>
      <c r="B39" s="96"/>
      <c r="C39" s="96"/>
      <c r="D39" s="96"/>
      <c r="E39" s="96"/>
      <c r="F39" s="96"/>
      <c r="G39" s="96"/>
      <c r="H39" s="96"/>
      <c r="I39" s="96"/>
      <c r="J39" s="96"/>
      <c r="K39" s="96"/>
    </row>
  </sheetData>
  <mergeCells count="5">
    <mergeCell ref="A4:A5"/>
    <mergeCell ref="B4:B5"/>
    <mergeCell ref="C4:L4"/>
    <mergeCell ref="A38:K38"/>
    <mergeCell ref="A2:L2"/>
  </mergeCells>
  <pageMargins left="0.25" right="0.25" top="0.75" bottom="0.75" header="0.3" footer="0.3"/>
  <pageSetup paperSize="14" scale="85" orientation="landscape" r:id="rId1"/>
</worksheet>
</file>

<file path=xl/worksheets/sheet322.xml><?xml version="1.0" encoding="utf-8"?>
<worksheet xmlns="http://schemas.openxmlformats.org/spreadsheetml/2006/main" xmlns:r="http://schemas.openxmlformats.org/officeDocument/2006/relationships">
  <dimension ref="A2:I266"/>
  <sheetViews>
    <sheetView zoomScaleNormal="100" workbookViewId="0">
      <selection activeCell="A202" sqref="A202"/>
    </sheetView>
  </sheetViews>
  <sheetFormatPr baseColWidth="10" defaultRowHeight="11.25"/>
  <cols>
    <col min="1" max="1" width="22.5703125" style="177" bestFit="1" customWidth="1"/>
    <col min="2" max="2" width="11.42578125" style="177"/>
    <col min="3" max="5" width="17.28515625" style="177" customWidth="1"/>
    <col min="6" max="6" width="18.5703125" style="177" customWidth="1"/>
    <col min="7" max="7" width="17.28515625" style="177" customWidth="1"/>
    <col min="8" max="8" width="17.5703125" style="177" customWidth="1"/>
    <col min="9" max="16384" width="11.42578125" style="177"/>
  </cols>
  <sheetData>
    <row r="2" spans="1:9" ht="29.25" customHeight="1">
      <c r="A2" s="2638" t="s">
        <v>3133</v>
      </c>
      <c r="B2" s="2638"/>
      <c r="C2" s="2638"/>
      <c r="D2" s="2638"/>
      <c r="E2" s="2638"/>
      <c r="F2" s="2638"/>
      <c r="G2" s="2638"/>
      <c r="H2" s="2638"/>
      <c r="I2" s="176"/>
    </row>
    <row r="3" spans="1:9">
      <c r="A3" s="211"/>
      <c r="B3" s="211"/>
      <c r="C3" s="211"/>
      <c r="D3" s="211"/>
      <c r="E3" s="211"/>
      <c r="F3" s="211"/>
      <c r="G3" s="211"/>
      <c r="H3" s="211"/>
      <c r="I3" s="211"/>
    </row>
    <row r="4" spans="1:9" ht="12.75" customHeight="1">
      <c r="A4" s="2200" t="s">
        <v>3132</v>
      </c>
      <c r="B4" s="2203" t="s">
        <v>3131</v>
      </c>
      <c r="C4" s="2203"/>
      <c r="D4" s="2203"/>
      <c r="E4" s="2203"/>
      <c r="F4" s="2203"/>
      <c r="G4" s="2203"/>
      <c r="H4" s="2203"/>
    </row>
    <row r="5" spans="1:9" ht="10.5" customHeight="1">
      <c r="A5" s="2200"/>
      <c r="B5" s="2174" t="s">
        <v>6</v>
      </c>
      <c r="C5" s="2975" t="s">
        <v>3130</v>
      </c>
      <c r="D5" s="2975"/>
      <c r="E5" s="2975"/>
      <c r="F5" s="2975"/>
      <c r="G5" s="2975"/>
      <c r="H5" s="2975"/>
    </row>
    <row r="6" spans="1:9" ht="101.25">
      <c r="A6" s="2200"/>
      <c r="B6" s="2174"/>
      <c r="C6" s="2947" t="s">
        <v>2978</v>
      </c>
      <c r="D6" s="2007" t="s">
        <v>3224</v>
      </c>
      <c r="E6" s="2007" t="s">
        <v>3225</v>
      </c>
      <c r="F6" s="2007" t="s">
        <v>3227</v>
      </c>
      <c r="G6" s="2007" t="s">
        <v>2976</v>
      </c>
      <c r="H6" s="2007" t="s">
        <v>3226</v>
      </c>
    </row>
    <row r="7" spans="1:9">
      <c r="A7" s="192" t="s">
        <v>6</v>
      </c>
      <c r="B7" s="488">
        <f t="shared" ref="B7:H7" si="0">+B8+B16+B23+B28+B36+B43+B73+B124+B132+B149+B165+B174+B180+B188+B190</f>
        <v>1113</v>
      </c>
      <c r="C7" s="488">
        <f t="shared" si="0"/>
        <v>87</v>
      </c>
      <c r="D7" s="488">
        <f t="shared" si="0"/>
        <v>158</v>
      </c>
      <c r="E7" s="488">
        <f t="shared" si="0"/>
        <v>15</v>
      </c>
      <c r="F7" s="488">
        <f t="shared" si="0"/>
        <v>31</v>
      </c>
      <c r="G7" s="488">
        <f t="shared" si="0"/>
        <v>782</v>
      </c>
      <c r="H7" s="488">
        <f t="shared" si="0"/>
        <v>40</v>
      </c>
    </row>
    <row r="8" spans="1:9">
      <c r="A8" s="192" t="s">
        <v>3129</v>
      </c>
      <c r="B8" s="212">
        <f t="shared" ref="B8:B39" si="1">SUM(C8:H8)</f>
        <v>62</v>
      </c>
      <c r="C8" s="212">
        <f t="shared" ref="C8:H8" si="2">SUM(C9:C15)</f>
        <v>2</v>
      </c>
      <c r="D8" s="212">
        <f t="shared" si="2"/>
        <v>12</v>
      </c>
      <c r="E8" s="212">
        <f t="shared" si="2"/>
        <v>0</v>
      </c>
      <c r="F8" s="212">
        <f t="shared" si="2"/>
        <v>2</v>
      </c>
      <c r="G8" s="212">
        <f t="shared" si="2"/>
        <v>37</v>
      </c>
      <c r="H8" s="212">
        <f t="shared" si="2"/>
        <v>9</v>
      </c>
    </row>
    <row r="9" spans="1:9">
      <c r="A9" s="177" t="s">
        <v>35</v>
      </c>
      <c r="B9" s="212">
        <f t="shared" si="1"/>
        <v>3</v>
      </c>
      <c r="C9" s="213">
        <v>0</v>
      </c>
      <c r="D9" s="213">
        <v>0</v>
      </c>
      <c r="E9" s="213">
        <v>0</v>
      </c>
      <c r="F9" s="213">
        <v>0</v>
      </c>
      <c r="G9" s="213">
        <v>0</v>
      </c>
      <c r="H9" s="213">
        <v>3</v>
      </c>
    </row>
    <row r="10" spans="1:9">
      <c r="A10" s="177" t="s">
        <v>3128</v>
      </c>
      <c r="B10" s="212">
        <f t="shared" si="1"/>
        <v>1</v>
      </c>
      <c r="C10" s="213">
        <v>0</v>
      </c>
      <c r="D10" s="213">
        <v>0</v>
      </c>
      <c r="E10" s="213">
        <v>0</v>
      </c>
      <c r="F10" s="213">
        <v>0</v>
      </c>
      <c r="G10" s="213">
        <v>1</v>
      </c>
      <c r="H10" s="213">
        <v>0</v>
      </c>
    </row>
    <row r="11" spans="1:9">
      <c r="A11" s="177" t="s">
        <v>2325</v>
      </c>
      <c r="B11" s="212">
        <f t="shared" si="1"/>
        <v>1</v>
      </c>
      <c r="C11" s="213">
        <v>0</v>
      </c>
      <c r="D11" s="213">
        <v>1</v>
      </c>
      <c r="E11" s="213">
        <v>0</v>
      </c>
      <c r="F11" s="213">
        <v>0</v>
      </c>
      <c r="G11" s="213">
        <v>0</v>
      </c>
      <c r="H11" s="213">
        <v>0</v>
      </c>
    </row>
    <row r="12" spans="1:9">
      <c r="A12" s="177" t="s">
        <v>9</v>
      </c>
      <c r="B12" s="212">
        <f t="shared" si="1"/>
        <v>1</v>
      </c>
      <c r="C12" s="213">
        <v>0</v>
      </c>
      <c r="D12" s="213">
        <v>0</v>
      </c>
      <c r="E12" s="213">
        <v>0</v>
      </c>
      <c r="F12" s="213">
        <v>0</v>
      </c>
      <c r="G12" s="213">
        <v>1</v>
      </c>
      <c r="H12" s="213">
        <v>0</v>
      </c>
    </row>
    <row r="13" spans="1:9">
      <c r="A13" s="177" t="s">
        <v>186</v>
      </c>
      <c r="B13" s="212">
        <f t="shared" si="1"/>
        <v>3</v>
      </c>
      <c r="C13" s="213">
        <v>0</v>
      </c>
      <c r="D13" s="213">
        <v>0</v>
      </c>
      <c r="E13" s="213">
        <v>0</v>
      </c>
      <c r="F13" s="213">
        <v>0</v>
      </c>
      <c r="G13" s="213">
        <v>2</v>
      </c>
      <c r="H13" s="213">
        <v>1</v>
      </c>
    </row>
    <row r="14" spans="1:9" ht="12.75">
      <c r="A14" s="177" t="s">
        <v>3324</v>
      </c>
      <c r="B14" s="212">
        <f t="shared" si="1"/>
        <v>12</v>
      </c>
      <c r="C14" s="213">
        <v>0</v>
      </c>
      <c r="D14" s="213">
        <v>2</v>
      </c>
      <c r="E14" s="213">
        <v>0</v>
      </c>
      <c r="F14" s="213">
        <v>0</v>
      </c>
      <c r="G14" s="213">
        <v>10</v>
      </c>
      <c r="H14" s="213">
        <v>0</v>
      </c>
    </row>
    <row r="15" spans="1:9">
      <c r="A15" s="177" t="s">
        <v>33</v>
      </c>
      <c r="B15" s="212">
        <f t="shared" si="1"/>
        <v>41</v>
      </c>
      <c r="C15" s="213">
        <v>2</v>
      </c>
      <c r="D15" s="213">
        <v>9</v>
      </c>
      <c r="E15" s="213">
        <v>0</v>
      </c>
      <c r="F15" s="213">
        <v>2</v>
      </c>
      <c r="G15" s="213">
        <v>23</v>
      </c>
      <c r="H15" s="213">
        <v>5</v>
      </c>
    </row>
    <row r="16" spans="1:9">
      <c r="A16" s="192" t="s">
        <v>8</v>
      </c>
      <c r="B16" s="212">
        <f t="shared" si="1"/>
        <v>94</v>
      </c>
      <c r="C16" s="212">
        <f t="shared" ref="C16:H16" si="3">SUM(C17:C22)</f>
        <v>0</v>
      </c>
      <c r="D16" s="212">
        <f t="shared" si="3"/>
        <v>9</v>
      </c>
      <c r="E16" s="212">
        <f t="shared" si="3"/>
        <v>1</v>
      </c>
      <c r="F16" s="212">
        <f t="shared" si="3"/>
        <v>2</v>
      </c>
      <c r="G16" s="212">
        <f t="shared" si="3"/>
        <v>82</v>
      </c>
      <c r="H16" s="212">
        <f t="shared" si="3"/>
        <v>0</v>
      </c>
    </row>
    <row r="17" spans="1:8">
      <c r="A17" s="177" t="s">
        <v>35</v>
      </c>
      <c r="B17" s="212">
        <f t="shared" si="1"/>
        <v>64</v>
      </c>
      <c r="C17" s="213">
        <v>0</v>
      </c>
      <c r="D17" s="213">
        <v>2</v>
      </c>
      <c r="E17" s="213">
        <v>1</v>
      </c>
      <c r="F17" s="213">
        <v>2</v>
      </c>
      <c r="G17" s="213">
        <v>59</v>
      </c>
      <c r="H17" s="213">
        <v>0</v>
      </c>
    </row>
    <row r="18" spans="1:8">
      <c r="A18" s="177" t="s">
        <v>1052</v>
      </c>
      <c r="B18" s="212">
        <f t="shared" si="1"/>
        <v>1</v>
      </c>
      <c r="C18" s="213">
        <v>0</v>
      </c>
      <c r="D18" s="213">
        <v>0</v>
      </c>
      <c r="E18" s="213">
        <v>0</v>
      </c>
      <c r="F18" s="213">
        <v>0</v>
      </c>
      <c r="G18" s="213">
        <v>1</v>
      </c>
      <c r="H18" s="213">
        <v>0</v>
      </c>
    </row>
    <row r="19" spans="1:8">
      <c r="A19" s="177" t="s">
        <v>3128</v>
      </c>
      <c r="B19" s="212">
        <f t="shared" si="1"/>
        <v>26</v>
      </c>
      <c r="C19" s="213">
        <v>0</v>
      </c>
      <c r="D19" s="213">
        <v>6</v>
      </c>
      <c r="E19" s="213">
        <v>0</v>
      </c>
      <c r="F19" s="213">
        <v>0</v>
      </c>
      <c r="G19" s="213">
        <v>20</v>
      </c>
      <c r="H19" s="213">
        <v>0</v>
      </c>
    </row>
    <row r="20" spans="1:8">
      <c r="A20" s="177" t="s">
        <v>2939</v>
      </c>
      <c r="B20" s="212">
        <f t="shared" si="1"/>
        <v>1</v>
      </c>
      <c r="C20" s="213">
        <v>0</v>
      </c>
      <c r="D20" s="213">
        <v>0</v>
      </c>
      <c r="E20" s="213">
        <v>0</v>
      </c>
      <c r="F20" s="213">
        <v>0</v>
      </c>
      <c r="G20" s="213">
        <v>1</v>
      </c>
      <c r="H20" s="213">
        <v>0</v>
      </c>
    </row>
    <row r="21" spans="1:8">
      <c r="A21" s="177" t="s">
        <v>3127</v>
      </c>
      <c r="B21" s="212">
        <f t="shared" si="1"/>
        <v>1</v>
      </c>
      <c r="C21" s="213">
        <v>0</v>
      </c>
      <c r="D21" s="213">
        <v>1</v>
      </c>
      <c r="E21" s="213">
        <v>0</v>
      </c>
      <c r="F21" s="213">
        <v>0</v>
      </c>
      <c r="G21" s="213">
        <v>0</v>
      </c>
      <c r="H21" s="213">
        <v>0</v>
      </c>
    </row>
    <row r="22" spans="1:8">
      <c r="A22" s="177" t="s">
        <v>186</v>
      </c>
      <c r="B22" s="212">
        <f t="shared" si="1"/>
        <v>1</v>
      </c>
      <c r="C22" s="213">
        <v>0</v>
      </c>
      <c r="D22" s="213">
        <v>0</v>
      </c>
      <c r="E22" s="213">
        <v>0</v>
      </c>
      <c r="F22" s="213">
        <v>0</v>
      </c>
      <c r="G22" s="213">
        <v>1</v>
      </c>
      <c r="H22" s="213">
        <v>0</v>
      </c>
    </row>
    <row r="23" spans="1:8" ht="10.5" customHeight="1">
      <c r="A23" s="192" t="s">
        <v>9</v>
      </c>
      <c r="B23" s="212">
        <f t="shared" si="1"/>
        <v>38</v>
      </c>
      <c r="C23" s="212">
        <f t="shared" ref="C23:H23" si="4">SUM(C24:C27)</f>
        <v>5</v>
      </c>
      <c r="D23" s="212">
        <f t="shared" si="4"/>
        <v>2</v>
      </c>
      <c r="E23" s="212">
        <f t="shared" si="4"/>
        <v>1</v>
      </c>
      <c r="F23" s="212">
        <f t="shared" si="4"/>
        <v>0</v>
      </c>
      <c r="G23" s="212">
        <f t="shared" si="4"/>
        <v>30</v>
      </c>
      <c r="H23" s="212">
        <f t="shared" si="4"/>
        <v>0</v>
      </c>
    </row>
    <row r="24" spans="1:8">
      <c r="A24" s="177" t="s">
        <v>2325</v>
      </c>
      <c r="B24" s="212">
        <f t="shared" si="1"/>
        <v>8</v>
      </c>
      <c r="C24" s="213">
        <v>1</v>
      </c>
      <c r="D24" s="213">
        <v>0</v>
      </c>
      <c r="E24" s="213">
        <v>1</v>
      </c>
      <c r="F24" s="213">
        <v>0</v>
      </c>
      <c r="G24" s="213">
        <v>6</v>
      </c>
      <c r="H24" s="213">
        <v>0</v>
      </c>
    </row>
    <row r="25" spans="1:8">
      <c r="A25" s="177" t="s">
        <v>9</v>
      </c>
      <c r="B25" s="212">
        <f t="shared" si="1"/>
        <v>28</v>
      </c>
      <c r="C25" s="213">
        <v>4</v>
      </c>
      <c r="D25" s="213">
        <v>2</v>
      </c>
      <c r="E25" s="213">
        <v>0</v>
      </c>
      <c r="F25" s="213">
        <v>0</v>
      </c>
      <c r="G25" s="213">
        <v>22</v>
      </c>
      <c r="H25" s="213">
        <v>0</v>
      </c>
    </row>
    <row r="26" spans="1:8">
      <c r="A26" s="177" t="s">
        <v>11</v>
      </c>
      <c r="B26" s="212">
        <f t="shared" si="1"/>
        <v>1</v>
      </c>
      <c r="C26" s="213">
        <v>0</v>
      </c>
      <c r="D26" s="213">
        <v>0</v>
      </c>
      <c r="E26" s="213">
        <v>0</v>
      </c>
      <c r="F26" s="213">
        <v>0</v>
      </c>
      <c r="G26" s="213">
        <v>1</v>
      </c>
      <c r="H26" s="213">
        <v>0</v>
      </c>
    </row>
    <row r="27" spans="1:8">
      <c r="A27" s="177" t="s">
        <v>3126</v>
      </c>
      <c r="B27" s="212">
        <f t="shared" si="1"/>
        <v>1</v>
      </c>
      <c r="C27" s="213">
        <v>0</v>
      </c>
      <c r="D27" s="213">
        <v>0</v>
      </c>
      <c r="E27" s="213">
        <v>0</v>
      </c>
      <c r="F27" s="213">
        <v>0</v>
      </c>
      <c r="G27" s="213">
        <v>1</v>
      </c>
      <c r="H27" s="213">
        <v>0</v>
      </c>
    </row>
    <row r="28" spans="1:8">
      <c r="A28" s="192" t="s">
        <v>10</v>
      </c>
      <c r="B28" s="212">
        <f t="shared" si="1"/>
        <v>60</v>
      </c>
      <c r="C28" s="212">
        <f t="shared" ref="C28:H28" si="5">SUM(C29:C35)</f>
        <v>4</v>
      </c>
      <c r="D28" s="212">
        <f t="shared" si="5"/>
        <v>10</v>
      </c>
      <c r="E28" s="212">
        <f t="shared" si="5"/>
        <v>1</v>
      </c>
      <c r="F28" s="212">
        <f t="shared" si="5"/>
        <v>0</v>
      </c>
      <c r="G28" s="212">
        <f t="shared" si="5"/>
        <v>43</v>
      </c>
      <c r="H28" s="212">
        <f t="shared" si="5"/>
        <v>2</v>
      </c>
    </row>
    <row r="29" spans="1:8">
      <c r="A29" s="177" t="s">
        <v>175</v>
      </c>
      <c r="B29" s="212">
        <f t="shared" si="1"/>
        <v>31</v>
      </c>
      <c r="C29" s="213">
        <v>2</v>
      </c>
      <c r="D29" s="213">
        <v>6</v>
      </c>
      <c r="E29" s="213">
        <v>1</v>
      </c>
      <c r="F29" s="213">
        <v>0</v>
      </c>
      <c r="G29" s="213">
        <v>22</v>
      </c>
      <c r="H29" s="213">
        <v>0</v>
      </c>
    </row>
    <row r="30" spans="1:8">
      <c r="A30" s="177" t="s">
        <v>3125</v>
      </c>
      <c r="B30" s="212">
        <f t="shared" si="1"/>
        <v>5</v>
      </c>
      <c r="C30" s="213">
        <v>2</v>
      </c>
      <c r="D30" s="213">
        <v>1</v>
      </c>
      <c r="E30" s="213">
        <v>0</v>
      </c>
      <c r="F30" s="213">
        <v>0</v>
      </c>
      <c r="G30" s="213">
        <v>1</v>
      </c>
      <c r="H30" s="213">
        <v>1</v>
      </c>
    </row>
    <row r="31" spans="1:8">
      <c r="A31" s="177" t="s">
        <v>3124</v>
      </c>
      <c r="B31" s="212">
        <f t="shared" si="1"/>
        <v>5</v>
      </c>
      <c r="C31" s="213">
        <v>0</v>
      </c>
      <c r="D31" s="213">
        <v>0</v>
      </c>
      <c r="E31" s="213">
        <v>0</v>
      </c>
      <c r="F31" s="213">
        <v>0</v>
      </c>
      <c r="G31" s="213">
        <v>5</v>
      </c>
      <c r="H31" s="213">
        <v>0</v>
      </c>
    </row>
    <row r="32" spans="1:8">
      <c r="A32" s="177" t="s">
        <v>3123</v>
      </c>
      <c r="B32" s="212">
        <f t="shared" si="1"/>
        <v>16</v>
      </c>
      <c r="C32" s="213">
        <v>0</v>
      </c>
      <c r="D32" s="213">
        <v>3</v>
      </c>
      <c r="E32" s="213">
        <v>0</v>
      </c>
      <c r="F32" s="213">
        <v>0</v>
      </c>
      <c r="G32" s="213">
        <v>13</v>
      </c>
      <c r="H32" s="213">
        <v>0</v>
      </c>
    </row>
    <row r="33" spans="1:8">
      <c r="A33" s="177" t="s">
        <v>240</v>
      </c>
      <c r="B33" s="212">
        <f t="shared" si="1"/>
        <v>1</v>
      </c>
      <c r="C33" s="213">
        <v>0</v>
      </c>
      <c r="D33" s="213">
        <v>0</v>
      </c>
      <c r="E33" s="213">
        <v>0</v>
      </c>
      <c r="F33" s="213">
        <v>0</v>
      </c>
      <c r="G33" s="213">
        <v>1</v>
      </c>
      <c r="H33" s="213">
        <v>0</v>
      </c>
    </row>
    <row r="34" spans="1:8">
      <c r="A34" s="177" t="s">
        <v>3122</v>
      </c>
      <c r="B34" s="212">
        <f t="shared" si="1"/>
        <v>1</v>
      </c>
      <c r="C34" s="213">
        <v>0</v>
      </c>
      <c r="D34" s="213">
        <v>0</v>
      </c>
      <c r="E34" s="213">
        <v>0</v>
      </c>
      <c r="F34" s="213">
        <v>0</v>
      </c>
      <c r="G34" s="213">
        <v>0</v>
      </c>
      <c r="H34" s="213">
        <v>1</v>
      </c>
    </row>
    <row r="35" spans="1:8" ht="12.75">
      <c r="A35" s="177" t="s">
        <v>3324</v>
      </c>
      <c r="B35" s="212">
        <f t="shared" si="1"/>
        <v>1</v>
      </c>
      <c r="C35" s="213">
        <v>0</v>
      </c>
      <c r="D35" s="213">
        <v>0</v>
      </c>
      <c r="E35" s="213">
        <v>0</v>
      </c>
      <c r="F35" s="213">
        <v>0</v>
      </c>
      <c r="G35" s="213">
        <v>1</v>
      </c>
      <c r="H35" s="213">
        <v>0</v>
      </c>
    </row>
    <row r="36" spans="1:8">
      <c r="A36" s="192" t="s">
        <v>11</v>
      </c>
      <c r="B36" s="212">
        <f t="shared" si="1"/>
        <v>69</v>
      </c>
      <c r="C36" s="212">
        <f t="shared" ref="C36:H36" si="6">SUM(C37:C42)</f>
        <v>7</v>
      </c>
      <c r="D36" s="212">
        <f t="shared" si="6"/>
        <v>13</v>
      </c>
      <c r="E36" s="212">
        <f t="shared" si="6"/>
        <v>0</v>
      </c>
      <c r="F36" s="212">
        <f t="shared" si="6"/>
        <v>6</v>
      </c>
      <c r="G36" s="212">
        <f t="shared" si="6"/>
        <v>42</v>
      </c>
      <c r="H36" s="212">
        <f t="shared" si="6"/>
        <v>1</v>
      </c>
    </row>
    <row r="37" spans="1:8">
      <c r="A37" s="177" t="s">
        <v>176</v>
      </c>
      <c r="B37" s="212">
        <f t="shared" si="1"/>
        <v>29</v>
      </c>
      <c r="C37" s="213">
        <v>2</v>
      </c>
      <c r="D37" s="213">
        <v>2</v>
      </c>
      <c r="E37" s="213">
        <v>0</v>
      </c>
      <c r="F37" s="213">
        <v>2</v>
      </c>
      <c r="G37" s="213">
        <v>23</v>
      </c>
      <c r="H37" s="213">
        <v>0</v>
      </c>
    </row>
    <row r="38" spans="1:8">
      <c r="A38" s="177" t="s">
        <v>11</v>
      </c>
      <c r="B38" s="212">
        <f t="shared" si="1"/>
        <v>27</v>
      </c>
      <c r="C38" s="213">
        <v>2</v>
      </c>
      <c r="D38" s="213">
        <v>4</v>
      </c>
      <c r="E38" s="213">
        <v>0</v>
      </c>
      <c r="F38" s="213">
        <v>4</v>
      </c>
      <c r="G38" s="213">
        <v>16</v>
      </c>
      <c r="H38" s="213">
        <v>1</v>
      </c>
    </row>
    <row r="39" spans="1:8">
      <c r="A39" s="177" t="s">
        <v>243</v>
      </c>
      <c r="B39" s="212">
        <f t="shared" si="1"/>
        <v>3</v>
      </c>
      <c r="C39" s="213">
        <v>2</v>
      </c>
      <c r="D39" s="213">
        <v>1</v>
      </c>
      <c r="E39" s="213">
        <v>0</v>
      </c>
      <c r="F39" s="213">
        <v>0</v>
      </c>
      <c r="G39" s="213">
        <v>0</v>
      </c>
      <c r="H39" s="213">
        <v>0</v>
      </c>
    </row>
    <row r="40" spans="1:8">
      <c r="A40" s="177" t="s">
        <v>332</v>
      </c>
      <c r="B40" s="212">
        <f t="shared" ref="B40:B71" si="7">SUM(C40:H40)</f>
        <v>1</v>
      </c>
      <c r="C40" s="213">
        <v>0</v>
      </c>
      <c r="D40" s="213">
        <v>1</v>
      </c>
      <c r="E40" s="213">
        <v>0</v>
      </c>
      <c r="F40" s="213">
        <v>0</v>
      </c>
      <c r="G40" s="213">
        <v>0</v>
      </c>
      <c r="H40" s="213">
        <v>0</v>
      </c>
    </row>
    <row r="41" spans="1:8">
      <c r="A41" s="177" t="s">
        <v>3121</v>
      </c>
      <c r="B41" s="212">
        <f t="shared" si="7"/>
        <v>8</v>
      </c>
      <c r="C41" s="213">
        <v>1</v>
      </c>
      <c r="D41" s="213">
        <v>5</v>
      </c>
      <c r="E41" s="213">
        <v>0</v>
      </c>
      <c r="F41" s="213">
        <v>0</v>
      </c>
      <c r="G41" s="213">
        <v>2</v>
      </c>
      <c r="H41" s="213">
        <v>0</v>
      </c>
    </row>
    <row r="42" spans="1:8">
      <c r="A42" s="177" t="s">
        <v>248</v>
      </c>
      <c r="B42" s="212">
        <f t="shared" si="7"/>
        <v>1</v>
      </c>
      <c r="C42" s="213">
        <v>0</v>
      </c>
      <c r="D42" s="213">
        <v>0</v>
      </c>
      <c r="E42" s="213">
        <v>0</v>
      </c>
      <c r="F42" s="213">
        <v>0</v>
      </c>
      <c r="G42" s="213">
        <v>1</v>
      </c>
      <c r="H42" s="213">
        <v>0</v>
      </c>
    </row>
    <row r="43" spans="1:8">
      <c r="A43" s="192" t="s">
        <v>12</v>
      </c>
      <c r="B43" s="212">
        <f t="shared" si="7"/>
        <v>146</v>
      </c>
      <c r="C43" s="212">
        <f t="shared" ref="C43:H43" si="8">SUM(C44:C72)</f>
        <v>8</v>
      </c>
      <c r="D43" s="212">
        <f t="shared" si="8"/>
        <v>27</v>
      </c>
      <c r="E43" s="212">
        <f t="shared" si="8"/>
        <v>0</v>
      </c>
      <c r="F43" s="212">
        <f t="shared" si="8"/>
        <v>0</v>
      </c>
      <c r="G43" s="212">
        <f t="shared" si="8"/>
        <v>97</v>
      </c>
      <c r="H43" s="212">
        <f t="shared" si="8"/>
        <v>14</v>
      </c>
    </row>
    <row r="44" spans="1:8">
      <c r="A44" s="177" t="s">
        <v>176</v>
      </c>
      <c r="B44" s="212">
        <f t="shared" si="7"/>
        <v>1</v>
      </c>
      <c r="C44" s="213">
        <v>0</v>
      </c>
      <c r="D44" s="213">
        <v>0</v>
      </c>
      <c r="E44" s="213">
        <v>0</v>
      </c>
      <c r="F44" s="213">
        <v>0</v>
      </c>
      <c r="G44" s="213">
        <v>1</v>
      </c>
      <c r="H44" s="213">
        <v>0</v>
      </c>
    </row>
    <row r="45" spans="1:8">
      <c r="A45" s="177" t="s">
        <v>1050</v>
      </c>
      <c r="B45" s="212">
        <f t="shared" si="7"/>
        <v>2</v>
      </c>
      <c r="C45" s="213">
        <v>0</v>
      </c>
      <c r="D45" s="213">
        <v>2</v>
      </c>
      <c r="E45" s="213">
        <v>0</v>
      </c>
      <c r="F45" s="213">
        <v>0</v>
      </c>
      <c r="G45" s="213">
        <v>0</v>
      </c>
      <c r="H45" s="213">
        <v>0</v>
      </c>
    </row>
    <row r="46" spans="1:8">
      <c r="A46" s="177" t="s">
        <v>3120</v>
      </c>
      <c r="B46" s="212">
        <f t="shared" si="7"/>
        <v>1</v>
      </c>
      <c r="C46" s="213">
        <v>0</v>
      </c>
      <c r="D46" s="213">
        <v>1</v>
      </c>
      <c r="E46" s="213">
        <v>0</v>
      </c>
      <c r="F46" s="213">
        <v>0</v>
      </c>
      <c r="G46" s="213">
        <v>0</v>
      </c>
      <c r="H46" s="213">
        <v>0</v>
      </c>
    </row>
    <row r="47" spans="1:8">
      <c r="A47" s="177" t="s">
        <v>43</v>
      </c>
      <c r="B47" s="212">
        <f t="shared" si="7"/>
        <v>3</v>
      </c>
      <c r="C47" s="213">
        <v>0</v>
      </c>
      <c r="D47" s="213">
        <v>0</v>
      </c>
      <c r="E47" s="213">
        <v>0</v>
      </c>
      <c r="F47" s="213">
        <v>0</v>
      </c>
      <c r="G47" s="213">
        <v>1</v>
      </c>
      <c r="H47" s="213">
        <v>2</v>
      </c>
    </row>
    <row r="48" spans="1:8">
      <c r="A48" s="177" t="s">
        <v>248</v>
      </c>
      <c r="B48" s="212">
        <f t="shared" si="7"/>
        <v>1</v>
      </c>
      <c r="C48" s="213">
        <v>0</v>
      </c>
      <c r="D48" s="213">
        <v>0</v>
      </c>
      <c r="E48" s="213">
        <v>0</v>
      </c>
      <c r="F48" s="213">
        <v>0</v>
      </c>
      <c r="G48" s="213">
        <v>1</v>
      </c>
      <c r="H48" s="213">
        <v>0</v>
      </c>
    </row>
    <row r="49" spans="1:8">
      <c r="A49" s="177" t="s">
        <v>2974</v>
      </c>
      <c r="B49" s="212">
        <f t="shared" si="7"/>
        <v>3</v>
      </c>
      <c r="C49" s="213">
        <v>0</v>
      </c>
      <c r="D49" s="213">
        <v>0</v>
      </c>
      <c r="E49" s="213">
        <v>0</v>
      </c>
      <c r="F49" s="213">
        <v>0</v>
      </c>
      <c r="G49" s="213">
        <v>3</v>
      </c>
      <c r="H49" s="213">
        <v>0</v>
      </c>
    </row>
    <row r="50" spans="1:8">
      <c r="A50" s="177" t="s">
        <v>12</v>
      </c>
      <c r="B50" s="212">
        <f t="shared" si="7"/>
        <v>35</v>
      </c>
      <c r="C50" s="213">
        <v>0</v>
      </c>
      <c r="D50" s="213">
        <v>5</v>
      </c>
      <c r="E50" s="213">
        <v>0</v>
      </c>
      <c r="F50" s="213">
        <v>0</v>
      </c>
      <c r="G50" s="213">
        <v>29</v>
      </c>
      <c r="H50" s="213">
        <v>1</v>
      </c>
    </row>
    <row r="51" spans="1:8">
      <c r="A51" s="177" t="s">
        <v>3075</v>
      </c>
      <c r="B51" s="212">
        <f t="shared" si="7"/>
        <v>28</v>
      </c>
      <c r="C51" s="213">
        <v>0</v>
      </c>
      <c r="D51" s="213">
        <v>12</v>
      </c>
      <c r="E51" s="213">
        <v>0</v>
      </c>
      <c r="F51" s="213">
        <v>0</v>
      </c>
      <c r="G51" s="213">
        <v>16</v>
      </c>
      <c r="H51" s="213">
        <v>0</v>
      </c>
    </row>
    <row r="52" spans="1:8">
      <c r="A52" s="177" t="s">
        <v>3119</v>
      </c>
      <c r="B52" s="212">
        <f t="shared" si="7"/>
        <v>3</v>
      </c>
      <c r="C52" s="213">
        <v>0</v>
      </c>
      <c r="D52" s="213">
        <v>1</v>
      </c>
      <c r="E52" s="213">
        <v>0</v>
      </c>
      <c r="F52" s="213">
        <v>0</v>
      </c>
      <c r="G52" s="213">
        <v>2</v>
      </c>
      <c r="H52" s="213">
        <v>0</v>
      </c>
    </row>
    <row r="53" spans="1:8">
      <c r="A53" s="177" t="s">
        <v>3118</v>
      </c>
      <c r="B53" s="212">
        <f t="shared" si="7"/>
        <v>1</v>
      </c>
      <c r="C53" s="213">
        <v>0</v>
      </c>
      <c r="D53" s="213">
        <v>1</v>
      </c>
      <c r="E53" s="213">
        <v>0</v>
      </c>
      <c r="F53" s="213">
        <v>0</v>
      </c>
      <c r="G53" s="213">
        <v>0</v>
      </c>
      <c r="H53" s="213">
        <v>0</v>
      </c>
    </row>
    <row r="54" spans="1:8">
      <c r="A54" s="177" t="s">
        <v>3117</v>
      </c>
      <c r="B54" s="212">
        <f t="shared" si="7"/>
        <v>1</v>
      </c>
      <c r="C54" s="213">
        <v>0</v>
      </c>
      <c r="D54" s="213">
        <v>1</v>
      </c>
      <c r="E54" s="213">
        <v>0</v>
      </c>
      <c r="F54" s="213">
        <v>0</v>
      </c>
      <c r="G54" s="213">
        <v>0</v>
      </c>
      <c r="H54" s="213">
        <v>0</v>
      </c>
    </row>
    <row r="55" spans="1:8">
      <c r="A55" s="177" t="s">
        <v>3116</v>
      </c>
      <c r="B55" s="212">
        <f t="shared" si="7"/>
        <v>1</v>
      </c>
      <c r="C55" s="213">
        <v>0</v>
      </c>
      <c r="D55" s="213">
        <v>0</v>
      </c>
      <c r="E55" s="213">
        <v>0</v>
      </c>
      <c r="F55" s="213">
        <v>0</v>
      </c>
      <c r="G55" s="213">
        <v>0</v>
      </c>
      <c r="H55" s="213">
        <v>1</v>
      </c>
    </row>
    <row r="56" spans="1:8">
      <c r="A56" s="177" t="s">
        <v>338</v>
      </c>
      <c r="B56" s="212">
        <f t="shared" si="7"/>
        <v>38</v>
      </c>
      <c r="C56" s="213">
        <v>7</v>
      </c>
      <c r="D56" s="213">
        <v>3</v>
      </c>
      <c r="E56" s="213">
        <v>0</v>
      </c>
      <c r="F56" s="213">
        <v>0</v>
      </c>
      <c r="G56" s="213">
        <v>28</v>
      </c>
      <c r="H56" s="213">
        <v>0</v>
      </c>
    </row>
    <row r="57" spans="1:8">
      <c r="A57" s="177" t="s">
        <v>3074</v>
      </c>
      <c r="B57" s="212">
        <f t="shared" si="7"/>
        <v>4</v>
      </c>
      <c r="C57" s="213">
        <v>0</v>
      </c>
      <c r="D57" s="213">
        <v>1</v>
      </c>
      <c r="E57" s="213">
        <v>0</v>
      </c>
      <c r="F57" s="213">
        <v>0</v>
      </c>
      <c r="G57" s="213">
        <v>3</v>
      </c>
      <c r="H57" s="213">
        <v>0</v>
      </c>
    </row>
    <row r="58" spans="1:8">
      <c r="A58" s="177" t="s">
        <v>3115</v>
      </c>
      <c r="B58" s="212">
        <f t="shared" si="7"/>
        <v>2</v>
      </c>
      <c r="C58" s="213">
        <v>0</v>
      </c>
      <c r="D58" s="213">
        <v>0</v>
      </c>
      <c r="E58" s="213">
        <v>0</v>
      </c>
      <c r="F58" s="213">
        <v>0</v>
      </c>
      <c r="G58" s="213">
        <v>2</v>
      </c>
      <c r="H58" s="213">
        <v>0</v>
      </c>
    </row>
    <row r="59" spans="1:8">
      <c r="A59" s="177" t="s">
        <v>3114</v>
      </c>
      <c r="B59" s="212">
        <f t="shared" si="7"/>
        <v>8</v>
      </c>
      <c r="C59" s="213">
        <v>0</v>
      </c>
      <c r="D59" s="213">
        <v>0</v>
      </c>
      <c r="E59" s="213">
        <v>0</v>
      </c>
      <c r="F59" s="213">
        <v>0</v>
      </c>
      <c r="G59" s="213">
        <v>0</v>
      </c>
      <c r="H59" s="213">
        <v>8</v>
      </c>
    </row>
    <row r="60" spans="1:8">
      <c r="A60" s="177" t="s">
        <v>346</v>
      </c>
      <c r="B60" s="212">
        <f t="shared" si="7"/>
        <v>1</v>
      </c>
      <c r="C60" s="213">
        <v>0</v>
      </c>
      <c r="D60" s="213">
        <v>0</v>
      </c>
      <c r="E60" s="213">
        <v>0</v>
      </c>
      <c r="F60" s="213">
        <v>0</v>
      </c>
      <c r="G60" s="213">
        <v>0</v>
      </c>
      <c r="H60" s="213">
        <v>1</v>
      </c>
    </row>
    <row r="61" spans="1:8">
      <c r="A61" s="177" t="s">
        <v>348</v>
      </c>
      <c r="B61" s="212">
        <f t="shared" si="7"/>
        <v>1</v>
      </c>
      <c r="C61" s="213">
        <v>0</v>
      </c>
      <c r="D61" s="213">
        <v>0</v>
      </c>
      <c r="E61" s="213">
        <v>0</v>
      </c>
      <c r="F61" s="213">
        <v>0</v>
      </c>
      <c r="G61" s="213">
        <v>1</v>
      </c>
      <c r="H61" s="213">
        <v>0</v>
      </c>
    </row>
    <row r="62" spans="1:8">
      <c r="A62" s="177" t="s">
        <v>186</v>
      </c>
      <c r="B62" s="212">
        <f t="shared" si="7"/>
        <v>2</v>
      </c>
      <c r="C62" s="213">
        <v>0</v>
      </c>
      <c r="D62" s="213">
        <v>0</v>
      </c>
      <c r="E62" s="213">
        <v>0</v>
      </c>
      <c r="F62" s="213">
        <v>0</v>
      </c>
      <c r="G62" s="213">
        <v>1</v>
      </c>
      <c r="H62" s="213">
        <v>1</v>
      </c>
    </row>
    <row r="63" spans="1:8">
      <c r="A63" s="177" t="s">
        <v>3113</v>
      </c>
      <c r="B63" s="212">
        <f t="shared" si="7"/>
        <v>1</v>
      </c>
      <c r="C63" s="213">
        <v>0</v>
      </c>
      <c r="D63" s="213">
        <v>0</v>
      </c>
      <c r="E63" s="213">
        <v>0</v>
      </c>
      <c r="F63" s="213">
        <v>0</v>
      </c>
      <c r="G63" s="213">
        <v>1</v>
      </c>
      <c r="H63" s="213">
        <v>0</v>
      </c>
    </row>
    <row r="64" spans="1:8">
      <c r="A64" s="177" t="s">
        <v>2967</v>
      </c>
      <c r="B64" s="212">
        <f t="shared" si="7"/>
        <v>1</v>
      </c>
      <c r="C64" s="213">
        <v>0</v>
      </c>
      <c r="D64" s="213">
        <v>0</v>
      </c>
      <c r="E64" s="213">
        <v>0</v>
      </c>
      <c r="F64" s="213">
        <v>0</v>
      </c>
      <c r="G64" s="213">
        <v>1</v>
      </c>
      <c r="H64" s="213">
        <v>0</v>
      </c>
    </row>
    <row r="65" spans="1:8">
      <c r="A65" s="177" t="s">
        <v>3104</v>
      </c>
      <c r="B65" s="212">
        <f t="shared" si="7"/>
        <v>1</v>
      </c>
      <c r="C65" s="213">
        <v>0</v>
      </c>
      <c r="D65" s="213">
        <v>0</v>
      </c>
      <c r="E65" s="213">
        <v>0</v>
      </c>
      <c r="F65" s="213">
        <v>0</v>
      </c>
      <c r="G65" s="213">
        <v>1</v>
      </c>
      <c r="H65" s="213">
        <v>0</v>
      </c>
    </row>
    <row r="66" spans="1:8">
      <c r="A66" s="177" t="s">
        <v>2961</v>
      </c>
      <c r="B66" s="212">
        <f t="shared" si="7"/>
        <v>1</v>
      </c>
      <c r="C66" s="213">
        <v>0</v>
      </c>
      <c r="D66" s="213">
        <v>0</v>
      </c>
      <c r="E66" s="213">
        <v>0</v>
      </c>
      <c r="F66" s="213">
        <v>0</v>
      </c>
      <c r="G66" s="213">
        <v>1</v>
      </c>
      <c r="H66" s="213">
        <v>0</v>
      </c>
    </row>
    <row r="67" spans="1:8">
      <c r="A67" s="177" t="s">
        <v>2959</v>
      </c>
      <c r="B67" s="212">
        <f t="shared" si="7"/>
        <v>1</v>
      </c>
      <c r="C67" s="213">
        <v>0</v>
      </c>
      <c r="D67" s="213">
        <v>0</v>
      </c>
      <c r="E67" s="213">
        <v>0</v>
      </c>
      <c r="F67" s="213">
        <v>0</v>
      </c>
      <c r="G67" s="213">
        <v>1</v>
      </c>
      <c r="H67" s="213">
        <v>0</v>
      </c>
    </row>
    <row r="68" spans="1:8">
      <c r="A68" s="177" t="s">
        <v>2956</v>
      </c>
      <c r="B68" s="212">
        <f t="shared" si="7"/>
        <v>1</v>
      </c>
      <c r="C68" s="213">
        <v>0</v>
      </c>
      <c r="D68" s="213">
        <v>0</v>
      </c>
      <c r="E68" s="213">
        <v>0</v>
      </c>
      <c r="F68" s="213">
        <v>0</v>
      </c>
      <c r="G68" s="213">
        <v>1</v>
      </c>
      <c r="H68" s="213">
        <v>0</v>
      </c>
    </row>
    <row r="69" spans="1:8">
      <c r="A69" s="177" t="s">
        <v>2953</v>
      </c>
      <c r="B69" s="212">
        <f t="shared" si="7"/>
        <v>1</v>
      </c>
      <c r="C69" s="213">
        <v>0</v>
      </c>
      <c r="D69" s="213">
        <v>0</v>
      </c>
      <c r="E69" s="213">
        <v>0</v>
      </c>
      <c r="F69" s="213">
        <v>0</v>
      </c>
      <c r="G69" s="213">
        <v>1</v>
      </c>
      <c r="H69" s="213">
        <v>0</v>
      </c>
    </row>
    <row r="70" spans="1:8">
      <c r="A70" s="177" t="s">
        <v>2949</v>
      </c>
      <c r="B70" s="212">
        <f t="shared" si="7"/>
        <v>1</v>
      </c>
      <c r="C70" s="213">
        <v>0</v>
      </c>
      <c r="D70" s="213">
        <v>0</v>
      </c>
      <c r="E70" s="213">
        <v>0</v>
      </c>
      <c r="F70" s="213">
        <v>0</v>
      </c>
      <c r="G70" s="213">
        <v>1</v>
      </c>
      <c r="H70" s="213">
        <v>0</v>
      </c>
    </row>
    <row r="71" spans="1:8">
      <c r="A71" s="177" t="s">
        <v>3082</v>
      </c>
      <c r="B71" s="212">
        <f t="shared" si="7"/>
        <v>1</v>
      </c>
      <c r="C71" s="213">
        <v>1</v>
      </c>
      <c r="D71" s="213">
        <v>0</v>
      </c>
      <c r="E71" s="213">
        <v>0</v>
      </c>
      <c r="F71" s="213">
        <v>0</v>
      </c>
      <c r="G71" s="213">
        <v>0</v>
      </c>
      <c r="H71" s="213">
        <v>0</v>
      </c>
    </row>
    <row r="72" spans="1:8">
      <c r="A72" s="177" t="s">
        <v>343</v>
      </c>
      <c r="B72" s="212">
        <f t="shared" ref="B72:B103" si="9">SUM(C72:H72)</f>
        <v>1</v>
      </c>
      <c r="C72" s="213">
        <v>0</v>
      </c>
      <c r="D72" s="213">
        <v>0</v>
      </c>
      <c r="E72" s="213">
        <v>0</v>
      </c>
      <c r="F72" s="213">
        <v>0</v>
      </c>
      <c r="G72" s="213">
        <v>1</v>
      </c>
      <c r="H72" s="213">
        <v>0</v>
      </c>
    </row>
    <row r="73" spans="1:8">
      <c r="A73" s="192" t="s">
        <v>13</v>
      </c>
      <c r="B73" s="212">
        <f t="shared" si="9"/>
        <v>342</v>
      </c>
      <c r="C73" s="212">
        <f t="shared" ref="C73:H73" si="10">SUM(C74:C123)</f>
        <v>38</v>
      </c>
      <c r="D73" s="212">
        <f t="shared" si="10"/>
        <v>36</v>
      </c>
      <c r="E73" s="212">
        <f t="shared" si="10"/>
        <v>3</v>
      </c>
      <c r="F73" s="212">
        <f t="shared" si="10"/>
        <v>11</v>
      </c>
      <c r="G73" s="212">
        <f t="shared" si="10"/>
        <v>251</v>
      </c>
      <c r="H73" s="212">
        <f t="shared" si="10"/>
        <v>3</v>
      </c>
    </row>
    <row r="74" spans="1:8">
      <c r="A74" s="177" t="s">
        <v>2325</v>
      </c>
      <c r="B74" s="212">
        <f t="shared" si="9"/>
        <v>1</v>
      </c>
      <c r="C74" s="213">
        <v>0</v>
      </c>
      <c r="D74" s="213">
        <v>0</v>
      </c>
      <c r="E74" s="213">
        <v>0</v>
      </c>
      <c r="F74" s="213">
        <v>0</v>
      </c>
      <c r="G74" s="213">
        <v>1</v>
      </c>
      <c r="H74" s="213">
        <v>0</v>
      </c>
    </row>
    <row r="75" spans="1:8">
      <c r="A75" s="177" t="s">
        <v>3112</v>
      </c>
      <c r="B75" s="212">
        <f t="shared" si="9"/>
        <v>2</v>
      </c>
      <c r="C75" s="213">
        <v>2</v>
      </c>
      <c r="D75" s="213">
        <v>0</v>
      </c>
      <c r="E75" s="213">
        <v>0</v>
      </c>
      <c r="F75" s="213">
        <v>0</v>
      </c>
      <c r="G75" s="213">
        <v>0</v>
      </c>
      <c r="H75" s="213">
        <v>0</v>
      </c>
    </row>
    <row r="76" spans="1:8">
      <c r="A76" s="177" t="s">
        <v>3111</v>
      </c>
      <c r="B76" s="212">
        <f t="shared" si="9"/>
        <v>1</v>
      </c>
      <c r="C76" s="213">
        <v>0</v>
      </c>
      <c r="D76" s="213">
        <v>0</v>
      </c>
      <c r="E76" s="213">
        <v>0</v>
      </c>
      <c r="F76" s="213">
        <v>0</v>
      </c>
      <c r="G76" s="213">
        <v>1</v>
      </c>
      <c r="H76" s="213">
        <v>0</v>
      </c>
    </row>
    <row r="77" spans="1:8">
      <c r="A77" s="177" t="s">
        <v>254</v>
      </c>
      <c r="B77" s="212">
        <f t="shared" si="9"/>
        <v>2</v>
      </c>
      <c r="C77" s="213">
        <v>0</v>
      </c>
      <c r="D77" s="213">
        <v>0</v>
      </c>
      <c r="E77" s="213">
        <v>0</v>
      </c>
      <c r="F77" s="213">
        <v>0</v>
      </c>
      <c r="G77" s="213">
        <v>2</v>
      </c>
      <c r="H77" s="213">
        <v>0</v>
      </c>
    </row>
    <row r="78" spans="1:8">
      <c r="A78" s="177" t="s">
        <v>3110</v>
      </c>
      <c r="B78" s="212">
        <f t="shared" si="9"/>
        <v>1</v>
      </c>
      <c r="C78" s="213">
        <v>0</v>
      </c>
      <c r="D78" s="213">
        <v>1</v>
      </c>
      <c r="E78" s="213">
        <v>0</v>
      </c>
      <c r="F78" s="213">
        <v>0</v>
      </c>
      <c r="G78" s="213">
        <v>0</v>
      </c>
      <c r="H78" s="213">
        <v>0</v>
      </c>
    </row>
    <row r="79" spans="1:8">
      <c r="A79" s="177" t="s">
        <v>3109</v>
      </c>
      <c r="B79" s="212">
        <f t="shared" si="9"/>
        <v>1</v>
      </c>
      <c r="C79" s="213">
        <v>0</v>
      </c>
      <c r="D79" s="213">
        <v>0</v>
      </c>
      <c r="E79" s="213">
        <v>0</v>
      </c>
      <c r="F79" s="213">
        <v>0</v>
      </c>
      <c r="G79" s="213">
        <v>1</v>
      </c>
      <c r="H79" s="213">
        <v>0</v>
      </c>
    </row>
    <row r="80" spans="1:8">
      <c r="A80" s="177" t="s">
        <v>3108</v>
      </c>
      <c r="B80" s="212">
        <f t="shared" si="9"/>
        <v>1</v>
      </c>
      <c r="C80" s="213">
        <v>1</v>
      </c>
      <c r="D80" s="213">
        <v>0</v>
      </c>
      <c r="E80" s="213">
        <v>0</v>
      </c>
      <c r="F80" s="213">
        <v>0</v>
      </c>
      <c r="G80" s="213">
        <v>0</v>
      </c>
      <c r="H80" s="213">
        <v>0</v>
      </c>
    </row>
    <row r="81" spans="1:8">
      <c r="A81" s="177" t="s">
        <v>181</v>
      </c>
      <c r="B81" s="212">
        <f t="shared" si="9"/>
        <v>2</v>
      </c>
      <c r="C81" s="213">
        <v>0</v>
      </c>
      <c r="D81" s="213">
        <v>0</v>
      </c>
      <c r="E81" s="213">
        <v>0</v>
      </c>
      <c r="F81" s="213">
        <v>0</v>
      </c>
      <c r="G81" s="213">
        <v>2</v>
      </c>
      <c r="H81" s="213">
        <v>0</v>
      </c>
    </row>
    <row r="82" spans="1:8">
      <c r="A82" s="177" t="s">
        <v>186</v>
      </c>
      <c r="B82" s="212">
        <f t="shared" si="9"/>
        <v>34</v>
      </c>
      <c r="C82" s="213">
        <v>6</v>
      </c>
      <c r="D82" s="213">
        <v>2</v>
      </c>
      <c r="E82" s="213">
        <v>0</v>
      </c>
      <c r="F82" s="213">
        <v>0</v>
      </c>
      <c r="G82" s="213">
        <v>26</v>
      </c>
      <c r="H82" s="213">
        <v>0</v>
      </c>
    </row>
    <row r="83" spans="1:8">
      <c r="A83" s="177" t="s">
        <v>2970</v>
      </c>
      <c r="B83" s="212">
        <f t="shared" si="9"/>
        <v>5</v>
      </c>
      <c r="C83" s="213">
        <v>1</v>
      </c>
      <c r="D83" s="213">
        <v>0</v>
      </c>
      <c r="E83" s="213">
        <v>0</v>
      </c>
      <c r="F83" s="213">
        <v>0</v>
      </c>
      <c r="G83" s="213">
        <v>4</v>
      </c>
      <c r="H83" s="213">
        <v>0</v>
      </c>
    </row>
    <row r="84" spans="1:8">
      <c r="A84" s="177" t="s">
        <v>2969</v>
      </c>
      <c r="B84" s="212">
        <f t="shared" si="9"/>
        <v>15</v>
      </c>
      <c r="C84" s="213">
        <v>5</v>
      </c>
      <c r="D84" s="213">
        <v>2</v>
      </c>
      <c r="E84" s="213">
        <v>0</v>
      </c>
      <c r="F84" s="213">
        <v>0</v>
      </c>
      <c r="G84" s="213">
        <v>7</v>
      </c>
      <c r="H84" s="213">
        <v>1</v>
      </c>
    </row>
    <row r="85" spans="1:8">
      <c r="A85" s="177" t="s">
        <v>2968</v>
      </c>
      <c r="B85" s="212">
        <f t="shared" si="9"/>
        <v>4</v>
      </c>
      <c r="C85" s="213">
        <v>1</v>
      </c>
      <c r="D85" s="213">
        <v>0</v>
      </c>
      <c r="E85" s="213">
        <v>0</v>
      </c>
      <c r="F85" s="213">
        <v>0</v>
      </c>
      <c r="G85" s="213">
        <v>3</v>
      </c>
      <c r="H85" s="213">
        <v>0</v>
      </c>
    </row>
    <row r="86" spans="1:8">
      <c r="A86" s="177" t="s">
        <v>2967</v>
      </c>
      <c r="B86" s="212">
        <f t="shared" si="9"/>
        <v>12</v>
      </c>
      <c r="C86" s="213">
        <v>2</v>
      </c>
      <c r="D86" s="213">
        <v>1</v>
      </c>
      <c r="E86" s="213">
        <v>0</v>
      </c>
      <c r="F86" s="213">
        <v>0</v>
      </c>
      <c r="G86" s="213">
        <v>9</v>
      </c>
      <c r="H86" s="213">
        <v>0</v>
      </c>
    </row>
    <row r="87" spans="1:8">
      <c r="A87" s="177" t="s">
        <v>2966</v>
      </c>
      <c r="B87" s="212">
        <f t="shared" si="9"/>
        <v>1</v>
      </c>
      <c r="C87" s="213">
        <v>0</v>
      </c>
      <c r="D87" s="213">
        <v>0</v>
      </c>
      <c r="E87" s="213">
        <v>0</v>
      </c>
      <c r="F87" s="213">
        <v>0</v>
      </c>
      <c r="G87" s="213">
        <v>1</v>
      </c>
      <c r="H87" s="213">
        <v>0</v>
      </c>
    </row>
    <row r="88" spans="1:8">
      <c r="A88" s="177" t="s">
        <v>2964</v>
      </c>
      <c r="B88" s="212">
        <f t="shared" si="9"/>
        <v>1</v>
      </c>
      <c r="C88" s="213">
        <v>0</v>
      </c>
      <c r="D88" s="213">
        <v>0</v>
      </c>
      <c r="E88" s="213">
        <v>0</v>
      </c>
      <c r="F88" s="213">
        <v>0</v>
      </c>
      <c r="G88" s="213">
        <v>1</v>
      </c>
      <c r="H88" s="213">
        <v>0</v>
      </c>
    </row>
    <row r="89" spans="1:8">
      <c r="A89" s="177" t="s">
        <v>2938</v>
      </c>
      <c r="B89" s="212">
        <f t="shared" si="9"/>
        <v>1</v>
      </c>
      <c r="C89" s="213">
        <v>0</v>
      </c>
      <c r="D89" s="213">
        <v>0</v>
      </c>
      <c r="E89" s="213">
        <v>0</v>
      </c>
      <c r="F89" s="213">
        <v>0</v>
      </c>
      <c r="G89" s="213">
        <v>1</v>
      </c>
      <c r="H89" s="213">
        <v>0</v>
      </c>
    </row>
    <row r="90" spans="1:8">
      <c r="A90" s="177" t="s">
        <v>2963</v>
      </c>
      <c r="B90" s="212">
        <f t="shared" si="9"/>
        <v>2</v>
      </c>
      <c r="C90" s="213">
        <v>0</v>
      </c>
      <c r="D90" s="213">
        <v>0</v>
      </c>
      <c r="E90" s="213">
        <v>0</v>
      </c>
      <c r="F90" s="213">
        <v>0</v>
      </c>
      <c r="G90" s="213">
        <v>2</v>
      </c>
      <c r="H90" s="213">
        <v>0</v>
      </c>
    </row>
    <row r="91" spans="1:8">
      <c r="A91" s="177" t="s">
        <v>3107</v>
      </c>
      <c r="B91" s="212">
        <f t="shared" si="9"/>
        <v>5</v>
      </c>
      <c r="C91" s="213">
        <v>0</v>
      </c>
      <c r="D91" s="213">
        <v>2</v>
      </c>
      <c r="E91" s="213">
        <v>0</v>
      </c>
      <c r="F91" s="213">
        <v>0</v>
      </c>
      <c r="G91" s="213">
        <v>3</v>
      </c>
      <c r="H91" s="213">
        <v>0</v>
      </c>
    </row>
    <row r="92" spans="1:8">
      <c r="A92" s="177" t="s">
        <v>3106</v>
      </c>
      <c r="B92" s="212">
        <f t="shared" si="9"/>
        <v>11</v>
      </c>
      <c r="C92" s="213">
        <v>0</v>
      </c>
      <c r="D92" s="213">
        <v>4</v>
      </c>
      <c r="E92" s="213">
        <v>0</v>
      </c>
      <c r="F92" s="213">
        <v>0</v>
      </c>
      <c r="G92" s="213">
        <v>7</v>
      </c>
      <c r="H92" s="213">
        <v>0</v>
      </c>
    </row>
    <row r="93" spans="1:8">
      <c r="A93" s="177" t="s">
        <v>2962</v>
      </c>
      <c r="B93" s="212">
        <f t="shared" si="9"/>
        <v>14</v>
      </c>
      <c r="C93" s="213">
        <v>0</v>
      </c>
      <c r="D93" s="213">
        <v>0</v>
      </c>
      <c r="E93" s="213">
        <v>0</v>
      </c>
      <c r="F93" s="213">
        <v>0</v>
      </c>
      <c r="G93" s="213">
        <v>14</v>
      </c>
      <c r="H93" s="213">
        <v>0</v>
      </c>
    </row>
    <row r="94" spans="1:8">
      <c r="A94" s="177" t="s">
        <v>3105</v>
      </c>
      <c r="B94" s="212">
        <f t="shared" si="9"/>
        <v>12</v>
      </c>
      <c r="C94" s="213">
        <v>2</v>
      </c>
      <c r="D94" s="213">
        <v>4</v>
      </c>
      <c r="E94" s="213">
        <v>0</v>
      </c>
      <c r="F94" s="213">
        <v>0</v>
      </c>
      <c r="G94" s="213">
        <v>6</v>
      </c>
      <c r="H94" s="213">
        <v>0</v>
      </c>
    </row>
    <row r="95" spans="1:8">
      <c r="A95" s="177" t="s">
        <v>3104</v>
      </c>
      <c r="B95" s="212">
        <f t="shared" si="9"/>
        <v>8</v>
      </c>
      <c r="C95" s="213">
        <v>0</v>
      </c>
      <c r="D95" s="213">
        <v>3</v>
      </c>
      <c r="E95" s="213">
        <v>0</v>
      </c>
      <c r="F95" s="213">
        <v>0</v>
      </c>
      <c r="G95" s="213">
        <v>5</v>
      </c>
      <c r="H95" s="213">
        <v>0</v>
      </c>
    </row>
    <row r="96" spans="1:8">
      <c r="A96" s="177" t="s">
        <v>2961</v>
      </c>
      <c r="B96" s="212">
        <f t="shared" si="9"/>
        <v>20</v>
      </c>
      <c r="C96" s="213">
        <v>0</v>
      </c>
      <c r="D96" s="213">
        <v>2</v>
      </c>
      <c r="E96" s="213">
        <v>0</v>
      </c>
      <c r="F96" s="213">
        <v>3</v>
      </c>
      <c r="G96" s="213">
        <v>14</v>
      </c>
      <c r="H96" s="213">
        <v>1</v>
      </c>
    </row>
    <row r="97" spans="1:8">
      <c r="A97" s="177" t="s">
        <v>3103</v>
      </c>
      <c r="B97" s="212">
        <f t="shared" si="9"/>
        <v>3</v>
      </c>
      <c r="C97" s="213">
        <v>0</v>
      </c>
      <c r="D97" s="213">
        <v>0</v>
      </c>
      <c r="E97" s="213">
        <v>0</v>
      </c>
      <c r="F97" s="213">
        <v>1</v>
      </c>
      <c r="G97" s="213">
        <v>2</v>
      </c>
      <c r="H97" s="213">
        <v>0</v>
      </c>
    </row>
    <row r="98" spans="1:8">
      <c r="A98" s="177" t="s">
        <v>187</v>
      </c>
      <c r="B98" s="212">
        <f t="shared" si="9"/>
        <v>6</v>
      </c>
      <c r="C98" s="213">
        <v>0</v>
      </c>
      <c r="D98" s="213">
        <v>0</v>
      </c>
      <c r="E98" s="213">
        <v>0</v>
      </c>
      <c r="F98" s="213">
        <v>0</v>
      </c>
      <c r="G98" s="213">
        <v>5</v>
      </c>
      <c r="H98" s="213">
        <v>1</v>
      </c>
    </row>
    <row r="99" spans="1:8">
      <c r="A99" s="177" t="s">
        <v>2960</v>
      </c>
      <c r="B99" s="212">
        <f t="shared" si="9"/>
        <v>5</v>
      </c>
      <c r="C99" s="213">
        <v>2</v>
      </c>
      <c r="D99" s="213">
        <v>0</v>
      </c>
      <c r="E99" s="213">
        <v>0</v>
      </c>
      <c r="F99" s="213">
        <v>0</v>
      </c>
      <c r="G99" s="213">
        <v>3</v>
      </c>
      <c r="H99" s="213">
        <v>0</v>
      </c>
    </row>
    <row r="100" spans="1:8">
      <c r="A100" s="177" t="s">
        <v>3102</v>
      </c>
      <c r="B100" s="212">
        <f t="shared" si="9"/>
        <v>5</v>
      </c>
      <c r="C100" s="213">
        <v>0</v>
      </c>
      <c r="D100" s="213">
        <v>0</v>
      </c>
      <c r="E100" s="213">
        <v>0</v>
      </c>
      <c r="F100" s="213">
        <v>0</v>
      </c>
      <c r="G100" s="213">
        <v>5</v>
      </c>
      <c r="H100" s="213">
        <v>0</v>
      </c>
    </row>
    <row r="101" spans="1:8">
      <c r="A101" s="177" t="s">
        <v>2959</v>
      </c>
      <c r="B101" s="212">
        <f t="shared" si="9"/>
        <v>11</v>
      </c>
      <c r="C101" s="213">
        <v>1</v>
      </c>
      <c r="D101" s="213">
        <v>3</v>
      </c>
      <c r="E101" s="213">
        <v>0</v>
      </c>
      <c r="F101" s="213">
        <v>0</v>
      </c>
      <c r="G101" s="213">
        <v>7</v>
      </c>
      <c r="H101" s="213">
        <v>0</v>
      </c>
    </row>
    <row r="102" spans="1:8">
      <c r="A102" s="177" t="s">
        <v>3101</v>
      </c>
      <c r="B102" s="212">
        <f t="shared" si="9"/>
        <v>9</v>
      </c>
      <c r="C102" s="213">
        <v>2</v>
      </c>
      <c r="D102" s="213">
        <v>1</v>
      </c>
      <c r="E102" s="213">
        <v>0</v>
      </c>
      <c r="F102" s="213">
        <v>0</v>
      </c>
      <c r="G102" s="213">
        <v>6</v>
      </c>
      <c r="H102" s="213">
        <v>0</v>
      </c>
    </row>
    <row r="103" spans="1:8">
      <c r="A103" s="177" t="s">
        <v>2958</v>
      </c>
      <c r="B103" s="212">
        <f t="shared" si="9"/>
        <v>4</v>
      </c>
      <c r="C103" s="213">
        <v>0</v>
      </c>
      <c r="D103" s="213">
        <v>0</v>
      </c>
      <c r="E103" s="213">
        <v>0</v>
      </c>
      <c r="F103" s="213">
        <v>0</v>
      </c>
      <c r="G103" s="213">
        <v>4</v>
      </c>
      <c r="H103" s="213">
        <v>0</v>
      </c>
    </row>
    <row r="104" spans="1:8">
      <c r="A104" s="177" t="s">
        <v>2957</v>
      </c>
      <c r="B104" s="212">
        <f t="shared" ref="B104:B135" si="11">SUM(C104:H104)</f>
        <v>12</v>
      </c>
      <c r="C104" s="213">
        <v>1</v>
      </c>
      <c r="D104" s="213">
        <v>0</v>
      </c>
      <c r="E104" s="213">
        <v>0</v>
      </c>
      <c r="F104" s="213">
        <v>0</v>
      </c>
      <c r="G104" s="213">
        <v>11</v>
      </c>
      <c r="H104" s="213">
        <v>0</v>
      </c>
    </row>
    <row r="105" spans="1:8">
      <c r="A105" s="177" t="s">
        <v>2956</v>
      </c>
      <c r="B105" s="212">
        <f t="shared" si="11"/>
        <v>17</v>
      </c>
      <c r="C105" s="213">
        <v>0</v>
      </c>
      <c r="D105" s="213">
        <v>1</v>
      </c>
      <c r="E105" s="213">
        <v>1</v>
      </c>
      <c r="F105" s="213">
        <v>0</v>
      </c>
      <c r="G105" s="213">
        <v>15</v>
      </c>
      <c r="H105" s="213">
        <v>0</v>
      </c>
    </row>
    <row r="106" spans="1:8">
      <c r="A106" s="177" t="s">
        <v>2955</v>
      </c>
      <c r="B106" s="212">
        <f t="shared" si="11"/>
        <v>7</v>
      </c>
      <c r="C106" s="213">
        <v>1</v>
      </c>
      <c r="D106" s="213">
        <v>2</v>
      </c>
      <c r="E106" s="213">
        <v>0</v>
      </c>
      <c r="F106" s="213">
        <v>0</v>
      </c>
      <c r="G106" s="213">
        <v>4</v>
      </c>
      <c r="H106" s="213">
        <v>0</v>
      </c>
    </row>
    <row r="107" spans="1:8">
      <c r="A107" s="177" t="s">
        <v>3100</v>
      </c>
      <c r="B107" s="212">
        <f t="shared" si="11"/>
        <v>5</v>
      </c>
      <c r="C107" s="213">
        <v>0</v>
      </c>
      <c r="D107" s="213">
        <v>0</v>
      </c>
      <c r="E107" s="213">
        <v>0</v>
      </c>
      <c r="F107" s="213">
        <v>0</v>
      </c>
      <c r="G107" s="213">
        <v>5</v>
      </c>
      <c r="H107" s="213">
        <v>0</v>
      </c>
    </row>
    <row r="108" spans="1:8">
      <c r="A108" s="177" t="s">
        <v>2954</v>
      </c>
      <c r="B108" s="212">
        <f t="shared" si="11"/>
        <v>16</v>
      </c>
      <c r="C108" s="213">
        <v>3</v>
      </c>
      <c r="D108" s="213">
        <v>0</v>
      </c>
      <c r="E108" s="213">
        <v>1</v>
      </c>
      <c r="F108" s="213">
        <v>0</v>
      </c>
      <c r="G108" s="213">
        <v>12</v>
      </c>
      <c r="H108" s="213">
        <v>0</v>
      </c>
    </row>
    <row r="109" spans="1:8">
      <c r="A109" s="177" t="s">
        <v>2953</v>
      </c>
      <c r="B109" s="212">
        <f t="shared" si="11"/>
        <v>8</v>
      </c>
      <c r="C109" s="213">
        <v>1</v>
      </c>
      <c r="D109" s="213">
        <v>0</v>
      </c>
      <c r="E109" s="213">
        <v>0</v>
      </c>
      <c r="F109" s="213">
        <v>0</v>
      </c>
      <c r="G109" s="213">
        <v>7</v>
      </c>
      <c r="H109" s="213">
        <v>0</v>
      </c>
    </row>
    <row r="110" spans="1:8">
      <c r="A110" s="177" t="s">
        <v>2952</v>
      </c>
      <c r="B110" s="212">
        <f t="shared" si="11"/>
        <v>11</v>
      </c>
      <c r="C110" s="213">
        <v>3</v>
      </c>
      <c r="D110" s="213">
        <v>1</v>
      </c>
      <c r="E110" s="213">
        <v>0</v>
      </c>
      <c r="F110" s="213">
        <v>0</v>
      </c>
      <c r="G110" s="213">
        <v>7</v>
      </c>
      <c r="H110" s="213">
        <v>0</v>
      </c>
    </row>
    <row r="111" spans="1:8">
      <c r="A111" s="177" t="s">
        <v>2951</v>
      </c>
      <c r="B111" s="212">
        <f t="shared" si="11"/>
        <v>5</v>
      </c>
      <c r="C111" s="213">
        <v>1</v>
      </c>
      <c r="D111" s="213">
        <v>0</v>
      </c>
      <c r="E111" s="213">
        <v>0</v>
      </c>
      <c r="F111" s="213">
        <v>0</v>
      </c>
      <c r="G111" s="213">
        <v>4</v>
      </c>
      <c r="H111" s="213">
        <v>0</v>
      </c>
    </row>
    <row r="112" spans="1:8">
      <c r="A112" s="177" t="s">
        <v>2950</v>
      </c>
      <c r="B112" s="212">
        <f t="shared" si="11"/>
        <v>3</v>
      </c>
      <c r="C112" s="213">
        <v>0</v>
      </c>
      <c r="D112" s="213">
        <v>0</v>
      </c>
      <c r="E112" s="213">
        <v>0</v>
      </c>
      <c r="F112" s="213">
        <v>0</v>
      </c>
      <c r="G112" s="213">
        <v>3</v>
      </c>
      <c r="H112" s="213">
        <v>0</v>
      </c>
    </row>
    <row r="113" spans="1:8">
      <c r="A113" s="177" t="s">
        <v>3099</v>
      </c>
      <c r="B113" s="212">
        <f t="shared" si="11"/>
        <v>2</v>
      </c>
      <c r="C113" s="213">
        <v>0</v>
      </c>
      <c r="D113" s="213">
        <v>0</v>
      </c>
      <c r="E113" s="213">
        <v>0</v>
      </c>
      <c r="F113" s="213">
        <v>0</v>
      </c>
      <c r="G113" s="213">
        <v>2</v>
      </c>
      <c r="H113" s="213">
        <v>0</v>
      </c>
    </row>
    <row r="114" spans="1:8">
      <c r="A114" s="177" t="s">
        <v>2949</v>
      </c>
      <c r="B114" s="212">
        <f t="shared" si="11"/>
        <v>20</v>
      </c>
      <c r="C114" s="213">
        <v>1</v>
      </c>
      <c r="D114" s="213">
        <v>3</v>
      </c>
      <c r="E114" s="213">
        <v>0</v>
      </c>
      <c r="F114" s="213">
        <v>0</v>
      </c>
      <c r="G114" s="213">
        <v>16</v>
      </c>
      <c r="H114" s="213">
        <v>0</v>
      </c>
    </row>
    <row r="115" spans="1:8">
      <c r="A115" s="177" t="s">
        <v>3082</v>
      </c>
      <c r="B115" s="212">
        <f t="shared" si="11"/>
        <v>12</v>
      </c>
      <c r="C115" s="213">
        <v>0</v>
      </c>
      <c r="D115" s="213">
        <v>0</v>
      </c>
      <c r="E115" s="213">
        <v>0</v>
      </c>
      <c r="F115" s="213">
        <v>1</v>
      </c>
      <c r="G115" s="213">
        <v>11</v>
      </c>
      <c r="H115" s="213">
        <v>0</v>
      </c>
    </row>
    <row r="116" spans="1:8">
      <c r="A116" s="177" t="s">
        <v>2948</v>
      </c>
      <c r="B116" s="212">
        <f t="shared" si="11"/>
        <v>2</v>
      </c>
      <c r="C116" s="213">
        <v>0</v>
      </c>
      <c r="D116" s="213">
        <v>0</v>
      </c>
      <c r="E116" s="213">
        <v>0</v>
      </c>
      <c r="F116" s="213">
        <v>0</v>
      </c>
      <c r="G116" s="213">
        <v>2</v>
      </c>
      <c r="H116" s="213">
        <v>0</v>
      </c>
    </row>
    <row r="117" spans="1:8">
      <c r="A117" s="177" t="s">
        <v>3098</v>
      </c>
      <c r="B117" s="212">
        <f t="shared" si="11"/>
        <v>2</v>
      </c>
      <c r="C117" s="213">
        <v>0</v>
      </c>
      <c r="D117" s="213">
        <v>1</v>
      </c>
      <c r="E117" s="213">
        <v>0</v>
      </c>
      <c r="F117" s="213">
        <v>0</v>
      </c>
      <c r="G117" s="213">
        <v>1</v>
      </c>
      <c r="H117" s="213">
        <v>0</v>
      </c>
    </row>
    <row r="118" spans="1:8">
      <c r="A118" s="177" t="s">
        <v>343</v>
      </c>
      <c r="B118" s="212">
        <f t="shared" si="11"/>
        <v>9</v>
      </c>
      <c r="C118" s="213">
        <v>1</v>
      </c>
      <c r="D118" s="213">
        <v>1</v>
      </c>
      <c r="E118" s="213">
        <v>0</v>
      </c>
      <c r="F118" s="213">
        <v>6</v>
      </c>
      <c r="G118" s="213">
        <v>1</v>
      </c>
      <c r="H118" s="213">
        <v>0</v>
      </c>
    </row>
    <row r="119" spans="1:8">
      <c r="A119" s="177" t="s">
        <v>3097</v>
      </c>
      <c r="B119" s="212">
        <f t="shared" si="11"/>
        <v>5</v>
      </c>
      <c r="C119" s="213">
        <v>1</v>
      </c>
      <c r="D119" s="213">
        <v>1</v>
      </c>
      <c r="E119" s="213">
        <v>1</v>
      </c>
      <c r="F119" s="213">
        <v>0</v>
      </c>
      <c r="G119" s="213">
        <v>2</v>
      </c>
      <c r="H119" s="213">
        <v>0</v>
      </c>
    </row>
    <row r="120" spans="1:8">
      <c r="A120" s="177" t="s">
        <v>3096</v>
      </c>
      <c r="B120" s="212">
        <f t="shared" si="11"/>
        <v>1</v>
      </c>
      <c r="C120" s="213">
        <v>0</v>
      </c>
      <c r="D120" s="213">
        <v>0</v>
      </c>
      <c r="E120" s="213">
        <v>0</v>
      </c>
      <c r="F120" s="213">
        <v>0</v>
      </c>
      <c r="G120" s="213">
        <v>1</v>
      </c>
      <c r="H120" s="213">
        <v>0</v>
      </c>
    </row>
    <row r="121" spans="1:8">
      <c r="A121" s="177" t="s">
        <v>3095</v>
      </c>
      <c r="B121" s="212">
        <f t="shared" si="11"/>
        <v>1</v>
      </c>
      <c r="C121" s="213">
        <v>0</v>
      </c>
      <c r="D121" s="213">
        <v>0</v>
      </c>
      <c r="E121" s="213">
        <v>0</v>
      </c>
      <c r="F121" s="213">
        <v>0</v>
      </c>
      <c r="G121" s="213">
        <v>1</v>
      </c>
      <c r="H121" s="213">
        <v>0</v>
      </c>
    </row>
    <row r="122" spans="1:8" ht="12.75">
      <c r="A122" s="177" t="s">
        <v>3324</v>
      </c>
      <c r="B122" s="212">
        <f t="shared" si="11"/>
        <v>3</v>
      </c>
      <c r="C122" s="213">
        <v>0</v>
      </c>
      <c r="D122" s="213">
        <v>1</v>
      </c>
      <c r="E122" s="213">
        <v>0</v>
      </c>
      <c r="F122" s="213">
        <v>0</v>
      </c>
      <c r="G122" s="213">
        <v>2</v>
      </c>
      <c r="H122" s="213">
        <v>0</v>
      </c>
    </row>
    <row r="123" spans="1:8">
      <c r="A123" s="177" t="s">
        <v>33</v>
      </c>
      <c r="B123" s="212">
        <f t="shared" si="11"/>
        <v>2</v>
      </c>
      <c r="C123" s="213">
        <v>0</v>
      </c>
      <c r="D123" s="213">
        <v>0</v>
      </c>
      <c r="E123" s="213">
        <v>0</v>
      </c>
      <c r="F123" s="213">
        <v>0</v>
      </c>
      <c r="G123" s="213">
        <v>2</v>
      </c>
      <c r="H123" s="213">
        <v>0</v>
      </c>
    </row>
    <row r="124" spans="1:8">
      <c r="A124" s="192" t="s">
        <v>14</v>
      </c>
      <c r="B124" s="212">
        <f t="shared" si="11"/>
        <v>23</v>
      </c>
      <c r="C124" s="212">
        <f t="shared" ref="C124:H124" si="12">SUM(C125:C131)</f>
        <v>1</v>
      </c>
      <c r="D124" s="212">
        <f t="shared" si="12"/>
        <v>10</v>
      </c>
      <c r="E124" s="212">
        <f t="shared" si="12"/>
        <v>0</v>
      </c>
      <c r="F124" s="212">
        <f t="shared" si="12"/>
        <v>1</v>
      </c>
      <c r="G124" s="212">
        <f t="shared" si="12"/>
        <v>11</v>
      </c>
      <c r="H124" s="212">
        <f t="shared" si="12"/>
        <v>0</v>
      </c>
    </row>
    <row r="125" spans="1:8">
      <c r="A125" s="177" t="s">
        <v>177</v>
      </c>
      <c r="B125" s="212">
        <f t="shared" si="11"/>
        <v>11</v>
      </c>
      <c r="C125" s="213">
        <v>0</v>
      </c>
      <c r="D125" s="213">
        <v>5</v>
      </c>
      <c r="E125" s="213">
        <v>0</v>
      </c>
      <c r="F125" s="213">
        <v>1</v>
      </c>
      <c r="G125" s="213">
        <v>5</v>
      </c>
      <c r="H125" s="213">
        <v>0</v>
      </c>
    </row>
    <row r="126" spans="1:8">
      <c r="A126" s="177" t="s">
        <v>3094</v>
      </c>
      <c r="B126" s="212">
        <f t="shared" si="11"/>
        <v>1</v>
      </c>
      <c r="C126" s="213">
        <v>0</v>
      </c>
      <c r="D126" s="213">
        <v>0</v>
      </c>
      <c r="E126" s="213">
        <v>0</v>
      </c>
      <c r="F126" s="213">
        <v>0</v>
      </c>
      <c r="G126" s="213">
        <v>1</v>
      </c>
      <c r="H126" s="213">
        <v>0</v>
      </c>
    </row>
    <row r="127" spans="1:8">
      <c r="A127" s="177" t="s">
        <v>3093</v>
      </c>
      <c r="B127" s="212">
        <f t="shared" si="11"/>
        <v>1</v>
      </c>
      <c r="C127" s="213">
        <v>0</v>
      </c>
      <c r="D127" s="213">
        <v>1</v>
      </c>
      <c r="E127" s="213">
        <v>0</v>
      </c>
      <c r="F127" s="213">
        <v>0</v>
      </c>
      <c r="G127" s="213">
        <v>0</v>
      </c>
      <c r="H127" s="213">
        <v>0</v>
      </c>
    </row>
    <row r="128" spans="1:8">
      <c r="A128" s="177" t="s">
        <v>3092</v>
      </c>
      <c r="B128" s="212">
        <f t="shared" si="11"/>
        <v>4</v>
      </c>
      <c r="C128" s="213">
        <v>1</v>
      </c>
      <c r="D128" s="213">
        <v>1</v>
      </c>
      <c r="E128" s="213">
        <v>0</v>
      </c>
      <c r="F128" s="213">
        <v>0</v>
      </c>
      <c r="G128" s="213">
        <v>2</v>
      </c>
      <c r="H128" s="213">
        <v>0</v>
      </c>
    </row>
    <row r="129" spans="1:8">
      <c r="A129" s="177" t="s">
        <v>3091</v>
      </c>
      <c r="B129" s="212">
        <f t="shared" si="11"/>
        <v>3</v>
      </c>
      <c r="C129" s="213">
        <v>0</v>
      </c>
      <c r="D129" s="213">
        <v>1</v>
      </c>
      <c r="E129" s="213">
        <v>0</v>
      </c>
      <c r="F129" s="213">
        <v>0</v>
      </c>
      <c r="G129" s="213">
        <v>2</v>
      </c>
      <c r="H129" s="213">
        <v>0</v>
      </c>
    </row>
    <row r="130" spans="1:8">
      <c r="A130" s="177" t="s">
        <v>183</v>
      </c>
      <c r="B130" s="212">
        <f t="shared" si="11"/>
        <v>1</v>
      </c>
      <c r="C130" s="213">
        <v>0</v>
      </c>
      <c r="D130" s="213">
        <v>1</v>
      </c>
      <c r="E130" s="213">
        <v>0</v>
      </c>
      <c r="F130" s="213">
        <v>0</v>
      </c>
      <c r="G130" s="213">
        <v>0</v>
      </c>
      <c r="H130" s="213">
        <v>0</v>
      </c>
    </row>
    <row r="131" spans="1:8">
      <c r="A131" s="177" t="s">
        <v>3082</v>
      </c>
      <c r="B131" s="212">
        <f t="shared" si="11"/>
        <v>2</v>
      </c>
      <c r="C131" s="213">
        <v>0</v>
      </c>
      <c r="D131" s="213">
        <v>1</v>
      </c>
      <c r="E131" s="213">
        <v>0</v>
      </c>
      <c r="F131" s="213">
        <v>0</v>
      </c>
      <c r="G131" s="213">
        <v>1</v>
      </c>
      <c r="H131" s="213">
        <v>0</v>
      </c>
    </row>
    <row r="132" spans="1:8">
      <c r="A132" s="192" t="s">
        <v>15</v>
      </c>
      <c r="B132" s="212">
        <f t="shared" si="11"/>
        <v>65</v>
      </c>
      <c r="C132" s="212">
        <f t="shared" ref="C132:H132" si="13">SUM(C133:C148)</f>
        <v>8</v>
      </c>
      <c r="D132" s="212">
        <f t="shared" si="13"/>
        <v>4</v>
      </c>
      <c r="E132" s="212">
        <f t="shared" si="13"/>
        <v>1</v>
      </c>
      <c r="F132" s="212">
        <f t="shared" si="13"/>
        <v>1</v>
      </c>
      <c r="G132" s="212">
        <f t="shared" si="13"/>
        <v>50</v>
      </c>
      <c r="H132" s="212">
        <f t="shared" si="13"/>
        <v>1</v>
      </c>
    </row>
    <row r="133" spans="1:8">
      <c r="A133" s="177" t="s">
        <v>3090</v>
      </c>
      <c r="B133" s="212">
        <f t="shared" si="11"/>
        <v>6</v>
      </c>
      <c r="C133" s="213">
        <v>0</v>
      </c>
      <c r="D133" s="213">
        <v>1</v>
      </c>
      <c r="E133" s="213">
        <v>1</v>
      </c>
      <c r="F133" s="213">
        <v>0</v>
      </c>
      <c r="G133" s="213">
        <v>4</v>
      </c>
      <c r="H133" s="213">
        <v>0</v>
      </c>
    </row>
    <row r="134" spans="1:8">
      <c r="A134" s="177" t="s">
        <v>178</v>
      </c>
      <c r="B134" s="212">
        <f t="shared" si="11"/>
        <v>33</v>
      </c>
      <c r="C134" s="213">
        <v>7</v>
      </c>
      <c r="D134" s="213">
        <v>2</v>
      </c>
      <c r="E134" s="213">
        <v>0</v>
      </c>
      <c r="F134" s="213">
        <v>1</v>
      </c>
      <c r="G134" s="213">
        <v>23</v>
      </c>
      <c r="H134" s="213">
        <v>0</v>
      </c>
    </row>
    <row r="135" spans="1:8">
      <c r="A135" s="177" t="s">
        <v>351</v>
      </c>
      <c r="B135" s="212">
        <f t="shared" si="11"/>
        <v>1</v>
      </c>
      <c r="C135" s="213">
        <v>0</v>
      </c>
      <c r="D135" s="213">
        <v>0</v>
      </c>
      <c r="E135" s="213">
        <v>0</v>
      </c>
      <c r="F135" s="213">
        <v>0</v>
      </c>
      <c r="G135" s="213">
        <v>1</v>
      </c>
      <c r="H135" s="213">
        <v>0</v>
      </c>
    </row>
    <row r="136" spans="1:8">
      <c r="A136" s="177" t="s">
        <v>15</v>
      </c>
      <c r="B136" s="212">
        <f t="shared" ref="B136:B167" si="14">SUM(C136:H136)</f>
        <v>1</v>
      </c>
      <c r="C136" s="213">
        <v>0</v>
      </c>
      <c r="D136" s="213">
        <v>0</v>
      </c>
      <c r="E136" s="213">
        <v>0</v>
      </c>
      <c r="F136" s="213">
        <v>0</v>
      </c>
      <c r="G136" s="213">
        <v>1</v>
      </c>
      <c r="H136" s="213">
        <v>0</v>
      </c>
    </row>
    <row r="137" spans="1:8">
      <c r="A137" s="177" t="s">
        <v>3089</v>
      </c>
      <c r="B137" s="212">
        <f t="shared" si="14"/>
        <v>1</v>
      </c>
      <c r="C137" s="213">
        <v>0</v>
      </c>
      <c r="D137" s="213">
        <v>0</v>
      </c>
      <c r="E137" s="213">
        <v>0</v>
      </c>
      <c r="F137" s="213">
        <v>0</v>
      </c>
      <c r="G137" s="213">
        <v>1</v>
      </c>
      <c r="H137" s="213">
        <v>0</v>
      </c>
    </row>
    <row r="138" spans="1:8">
      <c r="A138" s="177" t="s">
        <v>3088</v>
      </c>
      <c r="B138" s="212">
        <f t="shared" si="14"/>
        <v>5</v>
      </c>
      <c r="C138" s="213">
        <v>1</v>
      </c>
      <c r="D138" s="213">
        <v>0</v>
      </c>
      <c r="E138" s="213">
        <v>0</v>
      </c>
      <c r="F138" s="213">
        <v>0</v>
      </c>
      <c r="G138" s="213">
        <v>4</v>
      </c>
      <c r="H138" s="213">
        <v>0</v>
      </c>
    </row>
    <row r="139" spans="1:8">
      <c r="A139" s="177" t="s">
        <v>356</v>
      </c>
      <c r="B139" s="212">
        <f t="shared" si="14"/>
        <v>6</v>
      </c>
      <c r="C139" s="213">
        <v>0</v>
      </c>
      <c r="D139" s="213">
        <v>0</v>
      </c>
      <c r="E139" s="213">
        <v>0</v>
      </c>
      <c r="F139" s="213">
        <v>0</v>
      </c>
      <c r="G139" s="213">
        <v>6</v>
      </c>
      <c r="H139" s="213">
        <v>0</v>
      </c>
    </row>
    <row r="140" spans="1:8">
      <c r="A140" s="177" t="s">
        <v>3087</v>
      </c>
      <c r="B140" s="212">
        <f t="shared" si="14"/>
        <v>1</v>
      </c>
      <c r="C140" s="213">
        <v>0</v>
      </c>
      <c r="D140" s="213">
        <v>0</v>
      </c>
      <c r="E140" s="213">
        <v>0</v>
      </c>
      <c r="F140" s="213">
        <v>0</v>
      </c>
      <c r="G140" s="213">
        <v>1</v>
      </c>
      <c r="H140" s="213">
        <v>0</v>
      </c>
    </row>
    <row r="141" spans="1:8">
      <c r="A141" s="177" t="s">
        <v>357</v>
      </c>
      <c r="B141" s="212">
        <f t="shared" si="14"/>
        <v>1</v>
      </c>
      <c r="C141" s="213">
        <v>0</v>
      </c>
      <c r="D141" s="213">
        <v>0</v>
      </c>
      <c r="E141" s="213">
        <v>0</v>
      </c>
      <c r="F141" s="213">
        <v>0</v>
      </c>
      <c r="G141" s="213">
        <v>0</v>
      </c>
      <c r="H141" s="213">
        <v>1</v>
      </c>
    </row>
    <row r="142" spans="1:8">
      <c r="A142" s="177" t="s">
        <v>3086</v>
      </c>
      <c r="B142" s="212">
        <f t="shared" si="14"/>
        <v>2</v>
      </c>
      <c r="C142" s="213">
        <v>0</v>
      </c>
      <c r="D142" s="213">
        <v>0</v>
      </c>
      <c r="E142" s="213">
        <v>0</v>
      </c>
      <c r="F142" s="213">
        <v>0</v>
      </c>
      <c r="G142" s="213">
        <v>2</v>
      </c>
      <c r="H142" s="213">
        <v>0</v>
      </c>
    </row>
    <row r="143" spans="1:8">
      <c r="A143" s="177" t="s">
        <v>3085</v>
      </c>
      <c r="B143" s="212">
        <f t="shared" si="14"/>
        <v>2</v>
      </c>
      <c r="C143" s="213">
        <v>0</v>
      </c>
      <c r="D143" s="213">
        <v>1</v>
      </c>
      <c r="E143" s="213">
        <v>0</v>
      </c>
      <c r="F143" s="213">
        <v>0</v>
      </c>
      <c r="G143" s="213">
        <v>1</v>
      </c>
      <c r="H143" s="213">
        <v>0</v>
      </c>
    </row>
    <row r="144" spans="1:8">
      <c r="A144" s="177" t="s">
        <v>3084</v>
      </c>
      <c r="B144" s="212">
        <f t="shared" si="14"/>
        <v>1</v>
      </c>
      <c r="C144" s="213">
        <v>0</v>
      </c>
      <c r="D144" s="213">
        <v>0</v>
      </c>
      <c r="E144" s="213">
        <v>0</v>
      </c>
      <c r="F144" s="213">
        <v>0</v>
      </c>
      <c r="G144" s="213">
        <v>1</v>
      </c>
      <c r="H144" s="213">
        <v>0</v>
      </c>
    </row>
    <row r="145" spans="1:8">
      <c r="A145" s="177" t="s">
        <v>3083</v>
      </c>
      <c r="B145" s="212">
        <f t="shared" si="14"/>
        <v>2</v>
      </c>
      <c r="C145" s="213">
        <v>0</v>
      </c>
      <c r="D145" s="213">
        <v>0</v>
      </c>
      <c r="E145" s="213">
        <v>0</v>
      </c>
      <c r="F145" s="213">
        <v>0</v>
      </c>
      <c r="G145" s="213">
        <v>2</v>
      </c>
      <c r="H145" s="213">
        <v>0</v>
      </c>
    </row>
    <row r="146" spans="1:8">
      <c r="A146" s="177" t="s">
        <v>2947</v>
      </c>
      <c r="B146" s="212">
        <f t="shared" si="14"/>
        <v>1</v>
      </c>
      <c r="C146" s="213">
        <v>0</v>
      </c>
      <c r="D146" s="213">
        <v>0</v>
      </c>
      <c r="E146" s="213">
        <v>0</v>
      </c>
      <c r="F146" s="213">
        <v>0</v>
      </c>
      <c r="G146" s="213">
        <v>1</v>
      </c>
      <c r="H146" s="213">
        <v>0</v>
      </c>
    </row>
    <row r="147" spans="1:8">
      <c r="A147" s="177" t="s">
        <v>359</v>
      </c>
      <c r="B147" s="212">
        <f t="shared" si="14"/>
        <v>1</v>
      </c>
      <c r="C147" s="213">
        <v>0</v>
      </c>
      <c r="D147" s="213">
        <v>0</v>
      </c>
      <c r="E147" s="213">
        <v>0</v>
      </c>
      <c r="F147" s="213">
        <v>0</v>
      </c>
      <c r="G147" s="213">
        <v>1</v>
      </c>
      <c r="H147" s="213">
        <v>0</v>
      </c>
    </row>
    <row r="148" spans="1:8">
      <c r="A148" s="177" t="s">
        <v>3082</v>
      </c>
      <c r="B148" s="212">
        <f t="shared" si="14"/>
        <v>1</v>
      </c>
      <c r="C148" s="213">
        <v>0</v>
      </c>
      <c r="D148" s="213">
        <v>0</v>
      </c>
      <c r="E148" s="213">
        <v>0</v>
      </c>
      <c r="F148" s="213">
        <v>0</v>
      </c>
      <c r="G148" s="213">
        <v>1</v>
      </c>
      <c r="H148" s="213">
        <v>0</v>
      </c>
    </row>
    <row r="149" spans="1:8">
      <c r="A149" s="192" t="s">
        <v>16</v>
      </c>
      <c r="B149" s="212">
        <f t="shared" si="14"/>
        <v>66</v>
      </c>
      <c r="C149" s="212">
        <f t="shared" ref="C149:H149" si="15">SUM(C150:C164)</f>
        <v>3</v>
      </c>
      <c r="D149" s="212">
        <f t="shared" si="15"/>
        <v>6</v>
      </c>
      <c r="E149" s="212">
        <f t="shared" si="15"/>
        <v>5</v>
      </c>
      <c r="F149" s="212">
        <f t="shared" si="15"/>
        <v>0</v>
      </c>
      <c r="G149" s="212">
        <f t="shared" si="15"/>
        <v>51</v>
      </c>
      <c r="H149" s="212">
        <f t="shared" si="15"/>
        <v>1</v>
      </c>
    </row>
    <row r="150" spans="1:8">
      <c r="A150" s="177" t="s">
        <v>179</v>
      </c>
      <c r="B150" s="212">
        <f t="shared" si="14"/>
        <v>13</v>
      </c>
      <c r="C150" s="213">
        <v>0</v>
      </c>
      <c r="D150" s="213">
        <v>2</v>
      </c>
      <c r="E150" s="213">
        <v>2</v>
      </c>
      <c r="F150" s="213">
        <v>0</v>
      </c>
      <c r="G150" s="213">
        <v>8</v>
      </c>
      <c r="H150" s="213">
        <v>1</v>
      </c>
    </row>
    <row r="151" spans="1:8">
      <c r="A151" s="177" t="s">
        <v>3081</v>
      </c>
      <c r="B151" s="212">
        <f t="shared" si="14"/>
        <v>3</v>
      </c>
      <c r="C151" s="213">
        <v>3</v>
      </c>
      <c r="D151" s="213">
        <v>0</v>
      </c>
      <c r="E151" s="213">
        <v>0</v>
      </c>
      <c r="F151" s="213">
        <v>0</v>
      </c>
      <c r="G151" s="213">
        <v>0</v>
      </c>
      <c r="H151" s="213">
        <v>0</v>
      </c>
    </row>
    <row r="152" spans="1:8">
      <c r="A152" s="177" t="s">
        <v>2946</v>
      </c>
      <c r="B152" s="212">
        <f t="shared" si="14"/>
        <v>2</v>
      </c>
      <c r="C152" s="213">
        <v>0</v>
      </c>
      <c r="D152" s="213">
        <v>1</v>
      </c>
      <c r="E152" s="213">
        <v>0</v>
      </c>
      <c r="F152" s="213">
        <v>0</v>
      </c>
      <c r="G152" s="213">
        <v>1</v>
      </c>
      <c r="H152" s="213">
        <v>0</v>
      </c>
    </row>
    <row r="153" spans="1:8">
      <c r="A153" s="177" t="s">
        <v>2943</v>
      </c>
      <c r="B153" s="212">
        <f t="shared" si="14"/>
        <v>3</v>
      </c>
      <c r="C153" s="213">
        <v>0</v>
      </c>
      <c r="D153" s="213">
        <v>1</v>
      </c>
      <c r="E153" s="213">
        <v>0</v>
      </c>
      <c r="F153" s="213">
        <v>0</v>
      </c>
      <c r="G153" s="213">
        <v>2</v>
      </c>
      <c r="H153" s="213">
        <v>0</v>
      </c>
    </row>
    <row r="154" spans="1:8">
      <c r="A154" s="177" t="s">
        <v>3080</v>
      </c>
      <c r="B154" s="212">
        <f t="shared" si="14"/>
        <v>1</v>
      </c>
      <c r="C154" s="213">
        <v>0</v>
      </c>
      <c r="D154" s="213">
        <v>0</v>
      </c>
      <c r="E154" s="213">
        <v>0</v>
      </c>
      <c r="F154" s="213">
        <v>0</v>
      </c>
      <c r="G154" s="213">
        <v>1</v>
      </c>
      <c r="H154" s="213">
        <v>0</v>
      </c>
    </row>
    <row r="155" spans="1:8">
      <c r="A155" s="177" t="s">
        <v>180</v>
      </c>
      <c r="B155" s="212">
        <f t="shared" si="14"/>
        <v>8</v>
      </c>
      <c r="C155" s="213">
        <v>0</v>
      </c>
      <c r="D155" s="213">
        <v>0</v>
      </c>
      <c r="E155" s="213">
        <v>2</v>
      </c>
      <c r="F155" s="213">
        <v>0</v>
      </c>
      <c r="G155" s="213">
        <v>6</v>
      </c>
      <c r="H155" s="213">
        <v>0</v>
      </c>
    </row>
    <row r="156" spans="1:8">
      <c r="A156" s="177" t="s">
        <v>2934</v>
      </c>
      <c r="B156" s="212">
        <f t="shared" si="14"/>
        <v>8</v>
      </c>
      <c r="C156" s="213">
        <v>0</v>
      </c>
      <c r="D156" s="213">
        <v>1</v>
      </c>
      <c r="E156" s="213">
        <v>0</v>
      </c>
      <c r="F156" s="213">
        <v>0</v>
      </c>
      <c r="G156" s="213">
        <v>7</v>
      </c>
      <c r="H156" s="213">
        <v>0</v>
      </c>
    </row>
    <row r="157" spans="1:8">
      <c r="A157" s="177" t="s">
        <v>3079</v>
      </c>
      <c r="B157" s="212">
        <f t="shared" si="14"/>
        <v>2</v>
      </c>
      <c r="C157" s="213">
        <v>0</v>
      </c>
      <c r="D157" s="213">
        <v>0</v>
      </c>
      <c r="E157" s="213">
        <v>0</v>
      </c>
      <c r="F157" s="213">
        <v>0</v>
      </c>
      <c r="G157" s="213">
        <v>2</v>
      </c>
      <c r="H157" s="213">
        <v>0</v>
      </c>
    </row>
    <row r="158" spans="1:8">
      <c r="A158" s="177" t="s">
        <v>2942</v>
      </c>
      <c r="B158" s="212">
        <f t="shared" si="14"/>
        <v>3</v>
      </c>
      <c r="C158" s="213">
        <v>0</v>
      </c>
      <c r="D158" s="213">
        <v>0</v>
      </c>
      <c r="E158" s="213">
        <v>0</v>
      </c>
      <c r="F158" s="213">
        <v>0</v>
      </c>
      <c r="G158" s="213">
        <v>3</v>
      </c>
      <c r="H158" s="213">
        <v>0</v>
      </c>
    </row>
    <row r="159" spans="1:8">
      <c r="A159" s="177" t="s">
        <v>2941</v>
      </c>
      <c r="B159" s="212">
        <f t="shared" si="14"/>
        <v>8</v>
      </c>
      <c r="C159" s="213">
        <v>0</v>
      </c>
      <c r="D159" s="213">
        <v>0</v>
      </c>
      <c r="E159" s="213">
        <v>0</v>
      </c>
      <c r="F159" s="213">
        <v>0</v>
      </c>
      <c r="G159" s="213">
        <v>8</v>
      </c>
      <c r="H159" s="213">
        <v>0</v>
      </c>
    </row>
    <row r="160" spans="1:8">
      <c r="A160" s="177" t="s">
        <v>3078</v>
      </c>
      <c r="B160" s="212">
        <f t="shared" si="14"/>
        <v>7</v>
      </c>
      <c r="C160" s="213">
        <v>0</v>
      </c>
      <c r="D160" s="213">
        <v>1</v>
      </c>
      <c r="E160" s="213">
        <v>1</v>
      </c>
      <c r="F160" s="213">
        <v>0</v>
      </c>
      <c r="G160" s="213">
        <v>5</v>
      </c>
      <c r="H160" s="213">
        <v>0</v>
      </c>
    </row>
    <row r="161" spans="1:8">
      <c r="A161" s="177" t="s">
        <v>3077</v>
      </c>
      <c r="B161" s="212">
        <f t="shared" si="14"/>
        <v>3</v>
      </c>
      <c r="C161" s="213">
        <v>0</v>
      </c>
      <c r="D161" s="213">
        <v>0</v>
      </c>
      <c r="E161" s="213">
        <v>0</v>
      </c>
      <c r="F161" s="213">
        <v>0</v>
      </c>
      <c r="G161" s="213">
        <v>3</v>
      </c>
      <c r="H161" s="213">
        <v>0</v>
      </c>
    </row>
    <row r="162" spans="1:8">
      <c r="A162" s="177" t="s">
        <v>3076</v>
      </c>
      <c r="B162" s="212">
        <f t="shared" si="14"/>
        <v>1</v>
      </c>
      <c r="C162" s="213">
        <v>0</v>
      </c>
      <c r="D162" s="213">
        <v>0</v>
      </c>
      <c r="E162" s="213">
        <v>0</v>
      </c>
      <c r="F162" s="213">
        <v>0</v>
      </c>
      <c r="G162" s="213">
        <v>1</v>
      </c>
      <c r="H162" s="213">
        <v>0</v>
      </c>
    </row>
    <row r="163" spans="1:8">
      <c r="A163" s="177" t="s">
        <v>2328</v>
      </c>
      <c r="B163" s="212">
        <f t="shared" si="14"/>
        <v>3</v>
      </c>
      <c r="C163" s="213">
        <v>0</v>
      </c>
      <c r="D163" s="213">
        <v>0</v>
      </c>
      <c r="E163" s="213">
        <v>0</v>
      </c>
      <c r="F163" s="213">
        <v>0</v>
      </c>
      <c r="G163" s="213">
        <v>3</v>
      </c>
      <c r="H163" s="213">
        <v>0</v>
      </c>
    </row>
    <row r="164" spans="1:8">
      <c r="A164" s="177" t="s">
        <v>186</v>
      </c>
      <c r="B164" s="212">
        <f t="shared" si="14"/>
        <v>1</v>
      </c>
      <c r="C164" s="213">
        <v>0</v>
      </c>
      <c r="D164" s="213">
        <v>0</v>
      </c>
      <c r="E164" s="213">
        <v>0</v>
      </c>
      <c r="F164" s="213">
        <v>0</v>
      </c>
      <c r="G164" s="213">
        <v>1</v>
      </c>
      <c r="H164" s="213">
        <v>0</v>
      </c>
    </row>
    <row r="165" spans="1:8">
      <c r="A165" s="192" t="s">
        <v>379</v>
      </c>
      <c r="B165" s="212">
        <f t="shared" si="14"/>
        <v>34</v>
      </c>
      <c r="C165" s="212">
        <f t="shared" ref="C165:H165" si="16">SUM(C166:C173)</f>
        <v>1</v>
      </c>
      <c r="D165" s="212">
        <f t="shared" si="16"/>
        <v>6</v>
      </c>
      <c r="E165" s="212">
        <f t="shared" si="16"/>
        <v>0</v>
      </c>
      <c r="F165" s="212">
        <f t="shared" si="16"/>
        <v>0</v>
      </c>
      <c r="G165" s="212">
        <f t="shared" si="16"/>
        <v>27</v>
      </c>
      <c r="H165" s="212">
        <f t="shared" si="16"/>
        <v>0</v>
      </c>
    </row>
    <row r="166" spans="1:8">
      <c r="A166" s="177" t="s">
        <v>3075</v>
      </c>
      <c r="B166" s="212">
        <f t="shared" si="14"/>
        <v>1</v>
      </c>
      <c r="C166" s="213">
        <v>0</v>
      </c>
      <c r="D166" s="213">
        <v>0</v>
      </c>
      <c r="E166" s="213">
        <v>0</v>
      </c>
      <c r="F166" s="213">
        <v>0</v>
      </c>
      <c r="G166" s="213">
        <v>1</v>
      </c>
      <c r="H166" s="213">
        <v>0</v>
      </c>
    </row>
    <row r="167" spans="1:8">
      <c r="A167" s="177" t="s">
        <v>3074</v>
      </c>
      <c r="B167" s="212">
        <f t="shared" si="14"/>
        <v>1</v>
      </c>
      <c r="C167" s="213">
        <v>0</v>
      </c>
      <c r="D167" s="213">
        <v>0</v>
      </c>
      <c r="E167" s="213">
        <v>0</v>
      </c>
      <c r="F167" s="213">
        <v>0</v>
      </c>
      <c r="G167" s="213">
        <v>1</v>
      </c>
      <c r="H167" s="213">
        <v>0</v>
      </c>
    </row>
    <row r="168" spans="1:8">
      <c r="A168" s="177" t="s">
        <v>3073</v>
      </c>
      <c r="B168" s="212">
        <f t="shared" ref="B168:B192" si="17">SUM(C168:H168)</f>
        <v>1</v>
      </c>
      <c r="C168" s="213">
        <v>0</v>
      </c>
      <c r="D168" s="213">
        <v>0</v>
      </c>
      <c r="E168" s="213">
        <v>0</v>
      </c>
      <c r="F168" s="213">
        <v>0</v>
      </c>
      <c r="G168" s="213">
        <v>1</v>
      </c>
      <c r="H168" s="213">
        <v>0</v>
      </c>
    </row>
    <row r="169" spans="1:8">
      <c r="A169" s="177" t="s">
        <v>2937</v>
      </c>
      <c r="B169" s="212">
        <f t="shared" si="17"/>
        <v>3</v>
      </c>
      <c r="C169" s="213">
        <v>0</v>
      </c>
      <c r="D169" s="213">
        <v>2</v>
      </c>
      <c r="E169" s="213">
        <v>0</v>
      </c>
      <c r="F169" s="213">
        <v>0</v>
      </c>
      <c r="G169" s="213">
        <v>1</v>
      </c>
      <c r="H169" s="213">
        <v>0</v>
      </c>
    </row>
    <row r="170" spans="1:8">
      <c r="A170" s="177" t="s">
        <v>181</v>
      </c>
      <c r="B170" s="212">
        <f t="shared" si="17"/>
        <v>20</v>
      </c>
      <c r="C170" s="213">
        <v>0</v>
      </c>
      <c r="D170" s="213">
        <v>4</v>
      </c>
      <c r="E170" s="213">
        <v>0</v>
      </c>
      <c r="F170" s="213">
        <v>0</v>
      </c>
      <c r="G170" s="213">
        <v>16</v>
      </c>
      <c r="H170" s="213">
        <v>0</v>
      </c>
    </row>
    <row r="171" spans="1:8">
      <c r="A171" s="177" t="s">
        <v>2935</v>
      </c>
      <c r="B171" s="212">
        <f t="shared" si="17"/>
        <v>3</v>
      </c>
      <c r="C171" s="213">
        <v>1</v>
      </c>
      <c r="D171" s="213">
        <v>0</v>
      </c>
      <c r="E171" s="213">
        <v>0</v>
      </c>
      <c r="F171" s="213">
        <v>0</v>
      </c>
      <c r="G171" s="213">
        <v>2</v>
      </c>
      <c r="H171" s="213">
        <v>0</v>
      </c>
    </row>
    <row r="172" spans="1:8">
      <c r="A172" s="177" t="s">
        <v>3072</v>
      </c>
      <c r="B172" s="212">
        <f t="shared" si="17"/>
        <v>4</v>
      </c>
      <c r="C172" s="213">
        <v>0</v>
      </c>
      <c r="D172" s="213">
        <v>0</v>
      </c>
      <c r="E172" s="213">
        <v>0</v>
      </c>
      <c r="F172" s="213">
        <v>0</v>
      </c>
      <c r="G172" s="213">
        <v>4</v>
      </c>
      <c r="H172" s="213">
        <v>0</v>
      </c>
    </row>
    <row r="173" spans="1:8">
      <c r="A173" s="177" t="s">
        <v>2967</v>
      </c>
      <c r="B173" s="212">
        <f t="shared" si="17"/>
        <v>1</v>
      </c>
      <c r="C173" s="213">
        <v>0</v>
      </c>
      <c r="D173" s="213">
        <v>0</v>
      </c>
      <c r="E173" s="213">
        <v>0</v>
      </c>
      <c r="F173" s="213">
        <v>0</v>
      </c>
      <c r="G173" s="213">
        <v>1</v>
      </c>
      <c r="H173" s="213">
        <v>0</v>
      </c>
    </row>
    <row r="174" spans="1:8">
      <c r="A174" s="192" t="s">
        <v>18</v>
      </c>
      <c r="B174" s="212">
        <f t="shared" si="17"/>
        <v>31</v>
      </c>
      <c r="C174" s="212">
        <f t="shared" ref="C174:H174" si="18">SUM(C175:C179)</f>
        <v>5</v>
      </c>
      <c r="D174" s="212">
        <f t="shared" si="18"/>
        <v>3</v>
      </c>
      <c r="E174" s="212">
        <f t="shared" si="18"/>
        <v>0</v>
      </c>
      <c r="F174" s="212">
        <f t="shared" si="18"/>
        <v>7</v>
      </c>
      <c r="G174" s="212">
        <f t="shared" si="18"/>
        <v>7</v>
      </c>
      <c r="H174" s="212">
        <f t="shared" si="18"/>
        <v>9</v>
      </c>
    </row>
    <row r="175" spans="1:8">
      <c r="A175" s="177" t="s">
        <v>3071</v>
      </c>
      <c r="B175" s="212">
        <f t="shared" si="17"/>
        <v>1</v>
      </c>
      <c r="C175" s="213">
        <v>0</v>
      </c>
      <c r="D175" s="213">
        <v>0</v>
      </c>
      <c r="E175" s="213">
        <v>0</v>
      </c>
      <c r="F175" s="213">
        <v>0</v>
      </c>
      <c r="G175" s="213">
        <v>0</v>
      </c>
      <c r="H175" s="213">
        <v>1</v>
      </c>
    </row>
    <row r="176" spans="1:8">
      <c r="A176" s="177" t="s">
        <v>182</v>
      </c>
      <c r="B176" s="212">
        <f t="shared" si="17"/>
        <v>27</v>
      </c>
      <c r="C176" s="213">
        <v>4</v>
      </c>
      <c r="D176" s="213">
        <v>3</v>
      </c>
      <c r="E176" s="213">
        <v>0</v>
      </c>
      <c r="F176" s="213">
        <v>7</v>
      </c>
      <c r="G176" s="213">
        <v>7</v>
      </c>
      <c r="H176" s="213">
        <v>6</v>
      </c>
    </row>
    <row r="177" spans="1:8">
      <c r="A177" s="177" t="s">
        <v>3070</v>
      </c>
      <c r="B177" s="212">
        <f t="shared" si="17"/>
        <v>1</v>
      </c>
      <c r="C177" s="213">
        <v>0</v>
      </c>
      <c r="D177" s="213">
        <v>0</v>
      </c>
      <c r="E177" s="213">
        <v>0</v>
      </c>
      <c r="F177" s="213">
        <v>0</v>
      </c>
      <c r="G177" s="213">
        <v>0</v>
      </c>
      <c r="H177" s="213">
        <v>1</v>
      </c>
    </row>
    <row r="178" spans="1:8">
      <c r="A178" s="177" t="s">
        <v>3069</v>
      </c>
      <c r="B178" s="212">
        <f t="shared" si="17"/>
        <v>1</v>
      </c>
      <c r="C178" s="213">
        <v>0</v>
      </c>
      <c r="D178" s="213">
        <v>0</v>
      </c>
      <c r="E178" s="213">
        <v>0</v>
      </c>
      <c r="F178" s="213">
        <v>0</v>
      </c>
      <c r="G178" s="213">
        <v>0</v>
      </c>
      <c r="H178" s="213">
        <v>1</v>
      </c>
    </row>
    <row r="179" spans="1:8">
      <c r="A179" s="177" t="s">
        <v>2931</v>
      </c>
      <c r="B179" s="212">
        <f t="shared" si="17"/>
        <v>1</v>
      </c>
      <c r="C179" s="213">
        <v>1</v>
      </c>
      <c r="D179" s="213">
        <v>0</v>
      </c>
      <c r="E179" s="213">
        <v>0</v>
      </c>
      <c r="F179" s="213">
        <v>0</v>
      </c>
      <c r="G179" s="213">
        <v>0</v>
      </c>
      <c r="H179" s="213">
        <v>0</v>
      </c>
    </row>
    <row r="180" spans="1:8">
      <c r="A180" s="192" t="s">
        <v>19</v>
      </c>
      <c r="B180" s="212">
        <f t="shared" si="17"/>
        <v>66</v>
      </c>
      <c r="C180" s="212">
        <f t="shared" ref="C180:H180" si="19">SUM(C181:C187)</f>
        <v>3</v>
      </c>
      <c r="D180" s="212">
        <f t="shared" si="19"/>
        <v>19</v>
      </c>
      <c r="E180" s="212">
        <f t="shared" si="19"/>
        <v>3</v>
      </c>
      <c r="F180" s="212">
        <f t="shared" si="19"/>
        <v>1</v>
      </c>
      <c r="G180" s="212">
        <f t="shared" si="19"/>
        <v>40</v>
      </c>
      <c r="H180" s="212">
        <f t="shared" si="19"/>
        <v>0</v>
      </c>
    </row>
    <row r="181" spans="1:8">
      <c r="A181" s="177" t="s">
        <v>47</v>
      </c>
      <c r="B181" s="212">
        <f t="shared" si="17"/>
        <v>19</v>
      </c>
      <c r="C181" s="213">
        <v>0</v>
      </c>
      <c r="D181" s="213">
        <v>6</v>
      </c>
      <c r="E181" s="213">
        <v>1</v>
      </c>
      <c r="F181" s="213">
        <v>1</v>
      </c>
      <c r="G181" s="213">
        <v>11</v>
      </c>
      <c r="H181" s="213">
        <v>0</v>
      </c>
    </row>
    <row r="182" spans="1:8">
      <c r="A182" s="177" t="s">
        <v>3068</v>
      </c>
      <c r="B182" s="212">
        <f t="shared" si="17"/>
        <v>1</v>
      </c>
      <c r="C182" s="213">
        <v>0</v>
      </c>
      <c r="D182" s="213">
        <v>1</v>
      </c>
      <c r="E182" s="213">
        <v>0</v>
      </c>
      <c r="F182" s="213">
        <v>0</v>
      </c>
      <c r="G182" s="213">
        <v>0</v>
      </c>
      <c r="H182" s="213">
        <v>0</v>
      </c>
    </row>
    <row r="183" spans="1:8">
      <c r="A183" s="177" t="s">
        <v>183</v>
      </c>
      <c r="B183" s="212">
        <f t="shared" si="17"/>
        <v>37</v>
      </c>
      <c r="C183" s="213">
        <v>3</v>
      </c>
      <c r="D183" s="213">
        <v>11</v>
      </c>
      <c r="E183" s="213">
        <v>2</v>
      </c>
      <c r="F183" s="213">
        <v>0</v>
      </c>
      <c r="G183" s="213">
        <v>21</v>
      </c>
      <c r="H183" s="213">
        <v>0</v>
      </c>
    </row>
    <row r="184" spans="1:8">
      <c r="A184" s="177" t="s">
        <v>3067</v>
      </c>
      <c r="B184" s="212">
        <f t="shared" si="17"/>
        <v>2</v>
      </c>
      <c r="C184" s="213">
        <v>0</v>
      </c>
      <c r="D184" s="213">
        <v>0</v>
      </c>
      <c r="E184" s="213">
        <v>0</v>
      </c>
      <c r="F184" s="213">
        <v>0</v>
      </c>
      <c r="G184" s="213">
        <v>2</v>
      </c>
      <c r="H184" s="213">
        <v>0</v>
      </c>
    </row>
    <row r="185" spans="1:8">
      <c r="A185" s="177" t="s">
        <v>3066</v>
      </c>
      <c r="B185" s="212">
        <f t="shared" si="17"/>
        <v>2</v>
      </c>
      <c r="C185" s="213">
        <v>0</v>
      </c>
      <c r="D185" s="213">
        <v>1</v>
      </c>
      <c r="E185" s="213">
        <v>0</v>
      </c>
      <c r="F185" s="213">
        <v>0</v>
      </c>
      <c r="G185" s="213">
        <v>1</v>
      </c>
      <c r="H185" s="213">
        <v>0</v>
      </c>
    </row>
    <row r="186" spans="1:8">
      <c r="A186" s="177" t="s">
        <v>443</v>
      </c>
      <c r="B186" s="212">
        <f t="shared" si="17"/>
        <v>4</v>
      </c>
      <c r="C186" s="213">
        <v>0</v>
      </c>
      <c r="D186" s="213">
        <v>0</v>
      </c>
      <c r="E186" s="213">
        <v>0</v>
      </c>
      <c r="F186" s="213">
        <v>0</v>
      </c>
      <c r="G186" s="213">
        <v>4</v>
      </c>
      <c r="H186" s="213">
        <v>0</v>
      </c>
    </row>
    <row r="187" spans="1:8">
      <c r="A187" s="177" t="s">
        <v>3065</v>
      </c>
      <c r="B187" s="212">
        <f t="shared" si="17"/>
        <v>1</v>
      </c>
      <c r="C187" s="213">
        <v>0</v>
      </c>
      <c r="D187" s="213">
        <v>0</v>
      </c>
      <c r="E187" s="213">
        <v>0</v>
      </c>
      <c r="F187" s="213">
        <v>0</v>
      </c>
      <c r="G187" s="213">
        <v>1</v>
      </c>
      <c r="H187" s="213">
        <v>0</v>
      </c>
    </row>
    <row r="188" spans="1:8">
      <c r="A188" s="192" t="s">
        <v>20</v>
      </c>
      <c r="B188" s="212">
        <f t="shared" si="17"/>
        <v>3</v>
      </c>
      <c r="C188" s="212">
        <f t="shared" ref="C188:H188" si="20">SUM(C189)</f>
        <v>2</v>
      </c>
      <c r="D188" s="212">
        <f t="shared" si="20"/>
        <v>0</v>
      </c>
      <c r="E188" s="212">
        <f t="shared" si="20"/>
        <v>0</v>
      </c>
      <c r="F188" s="212">
        <f t="shared" si="20"/>
        <v>0</v>
      </c>
      <c r="G188" s="212">
        <f t="shared" si="20"/>
        <v>1</v>
      </c>
      <c r="H188" s="212">
        <f t="shared" si="20"/>
        <v>0</v>
      </c>
    </row>
    <row r="189" spans="1:8">
      <c r="A189" s="177" t="s">
        <v>2929</v>
      </c>
      <c r="B189" s="212">
        <f t="shared" si="17"/>
        <v>3</v>
      </c>
      <c r="C189" s="213">
        <v>2</v>
      </c>
      <c r="D189" s="213">
        <v>0</v>
      </c>
      <c r="E189" s="213">
        <v>0</v>
      </c>
      <c r="F189" s="213">
        <v>0</v>
      </c>
      <c r="G189" s="213">
        <v>1</v>
      </c>
      <c r="H189" s="213">
        <v>0</v>
      </c>
    </row>
    <row r="190" spans="1:8">
      <c r="A190" s="192" t="s">
        <v>21</v>
      </c>
      <c r="B190" s="212">
        <f t="shared" si="17"/>
        <v>14</v>
      </c>
      <c r="C190" s="212">
        <f t="shared" ref="C190:H190" si="21">SUM(C191:C192)</f>
        <v>0</v>
      </c>
      <c r="D190" s="212">
        <f t="shared" si="21"/>
        <v>1</v>
      </c>
      <c r="E190" s="212">
        <f t="shared" si="21"/>
        <v>0</v>
      </c>
      <c r="F190" s="212">
        <f t="shared" si="21"/>
        <v>0</v>
      </c>
      <c r="G190" s="212">
        <f t="shared" si="21"/>
        <v>13</v>
      </c>
      <c r="H190" s="212">
        <f t="shared" si="21"/>
        <v>0</v>
      </c>
    </row>
    <row r="191" spans="1:8">
      <c r="A191" s="177" t="s">
        <v>2927</v>
      </c>
      <c r="B191" s="212">
        <f t="shared" si="17"/>
        <v>2</v>
      </c>
      <c r="C191" s="213">
        <v>0</v>
      </c>
      <c r="D191" s="213">
        <v>0</v>
      </c>
      <c r="E191" s="213">
        <v>0</v>
      </c>
      <c r="F191" s="213">
        <v>0</v>
      </c>
      <c r="G191" s="213">
        <v>2</v>
      </c>
      <c r="H191" s="213">
        <v>0</v>
      </c>
    </row>
    <row r="192" spans="1:8">
      <c r="A192" s="177" t="s">
        <v>185</v>
      </c>
      <c r="B192" s="212">
        <f t="shared" si="17"/>
        <v>12</v>
      </c>
      <c r="C192" s="213">
        <v>0</v>
      </c>
      <c r="D192" s="213">
        <v>1</v>
      </c>
      <c r="E192" s="213">
        <v>0</v>
      </c>
      <c r="F192" s="213">
        <v>0</v>
      </c>
      <c r="G192" s="213">
        <v>11</v>
      </c>
      <c r="H192" s="213">
        <v>0</v>
      </c>
    </row>
    <row r="193" spans="1:9">
      <c r="B193" s="212"/>
      <c r="C193" s="213"/>
      <c r="D193" s="213"/>
      <c r="E193" s="213"/>
      <c r="F193" s="213"/>
      <c r="G193" s="213"/>
      <c r="H193" s="213"/>
    </row>
    <row r="194" spans="1:9" s="195" customFormat="1">
      <c r="A194" s="2628" t="s">
        <v>3326</v>
      </c>
      <c r="B194" s="2628"/>
      <c r="C194" s="2628"/>
      <c r="D194" s="2628"/>
      <c r="E194" s="2628"/>
      <c r="F194" s="2628"/>
      <c r="G194" s="193"/>
      <c r="H194" s="193"/>
      <c r="I194" s="194"/>
    </row>
    <row r="195" spans="1:9" ht="12">
      <c r="A195" s="48" t="s">
        <v>733</v>
      </c>
      <c r="B195" s="214"/>
      <c r="C195" s="214"/>
      <c r="D195" s="214"/>
      <c r="E195" s="214"/>
      <c r="F195" s="214"/>
      <c r="G195" s="214"/>
      <c r="H195" s="214"/>
    </row>
    <row r="196" spans="1:9">
      <c r="A196" s="196" t="s">
        <v>2926</v>
      </c>
      <c r="B196" s="214"/>
      <c r="C196" s="214"/>
      <c r="D196" s="214"/>
      <c r="E196" s="214"/>
      <c r="F196" s="214"/>
      <c r="G196" s="214"/>
      <c r="H196" s="214"/>
    </row>
    <row r="197" spans="1:9">
      <c r="A197" s="192"/>
      <c r="B197" s="214"/>
      <c r="C197" s="214"/>
      <c r="D197" s="214"/>
      <c r="E197" s="214"/>
      <c r="F197" s="214"/>
      <c r="G197" s="214"/>
      <c r="H197" s="214"/>
    </row>
    <row r="198" spans="1:9">
      <c r="A198" s="192"/>
      <c r="B198" s="214"/>
      <c r="C198" s="214"/>
      <c r="D198" s="214"/>
      <c r="E198" s="214"/>
      <c r="F198" s="214"/>
      <c r="G198" s="214"/>
      <c r="H198" s="214"/>
    </row>
    <row r="199" spans="1:9">
      <c r="B199" s="215"/>
      <c r="C199" s="215"/>
      <c r="D199" s="215"/>
      <c r="E199" s="215"/>
      <c r="F199" s="215"/>
      <c r="G199" s="215"/>
      <c r="H199" s="215"/>
    </row>
    <row r="200" spans="1:9">
      <c r="B200" s="215"/>
      <c r="C200" s="215"/>
      <c r="D200" s="215"/>
      <c r="E200" s="215"/>
      <c r="F200" s="215"/>
      <c r="G200" s="215"/>
      <c r="H200" s="215"/>
    </row>
    <row r="201" spans="1:9">
      <c r="B201" s="215"/>
      <c r="C201" s="215"/>
      <c r="D201" s="215"/>
      <c r="E201" s="215"/>
      <c r="F201" s="215"/>
      <c r="G201" s="215"/>
      <c r="H201" s="215"/>
    </row>
    <row r="202" spans="1:9">
      <c r="B202" s="215"/>
      <c r="C202" s="215"/>
      <c r="D202" s="215"/>
      <c r="E202" s="215"/>
      <c r="F202" s="215"/>
      <c r="G202" s="215"/>
      <c r="H202" s="215"/>
    </row>
    <row r="203" spans="1:9">
      <c r="B203" s="215"/>
      <c r="C203" s="215"/>
      <c r="D203" s="215"/>
      <c r="E203" s="215"/>
      <c r="F203" s="215"/>
      <c r="G203" s="215"/>
      <c r="H203" s="215"/>
    </row>
    <row r="204" spans="1:9">
      <c r="B204" s="215"/>
      <c r="C204" s="215"/>
      <c r="D204" s="215"/>
      <c r="E204" s="215"/>
      <c r="F204" s="215"/>
      <c r="G204" s="215"/>
      <c r="H204" s="215"/>
    </row>
    <row r="205" spans="1:9">
      <c r="B205" s="215"/>
      <c r="C205" s="215"/>
      <c r="D205" s="215"/>
      <c r="E205" s="215"/>
      <c r="F205" s="215"/>
      <c r="G205" s="215"/>
      <c r="H205" s="215"/>
    </row>
    <row r="206" spans="1:9">
      <c r="B206" s="215"/>
      <c r="C206" s="215"/>
      <c r="D206" s="215"/>
      <c r="E206" s="215"/>
      <c r="F206" s="215"/>
      <c r="G206" s="215"/>
      <c r="H206" s="215"/>
    </row>
    <row r="207" spans="1:9">
      <c r="B207" s="215"/>
      <c r="C207" s="215"/>
      <c r="D207" s="215"/>
      <c r="E207" s="215"/>
      <c r="F207" s="215"/>
      <c r="G207" s="215"/>
      <c r="H207" s="215"/>
    </row>
    <row r="208" spans="1:9">
      <c r="B208" s="215"/>
      <c r="C208" s="215"/>
      <c r="D208" s="215"/>
      <c r="E208" s="215"/>
      <c r="F208" s="215"/>
      <c r="G208" s="215"/>
      <c r="H208" s="215"/>
    </row>
    <row r="209" spans="2:8">
      <c r="B209" s="215"/>
      <c r="C209" s="215"/>
      <c r="D209" s="215"/>
      <c r="E209" s="215"/>
      <c r="F209" s="215"/>
      <c r="G209" s="215"/>
      <c r="H209" s="215"/>
    </row>
    <row r="210" spans="2:8">
      <c r="B210" s="215"/>
      <c r="C210" s="215"/>
      <c r="D210" s="215"/>
      <c r="E210" s="215"/>
      <c r="F210" s="215"/>
      <c r="G210" s="215"/>
      <c r="H210" s="215"/>
    </row>
    <row r="211" spans="2:8">
      <c r="B211" s="215"/>
      <c r="C211" s="215"/>
      <c r="D211" s="215"/>
      <c r="E211" s="215"/>
      <c r="F211" s="215"/>
      <c r="G211" s="215"/>
      <c r="H211" s="215"/>
    </row>
    <row r="212" spans="2:8">
      <c r="B212" s="215"/>
      <c r="C212" s="215"/>
      <c r="D212" s="215"/>
      <c r="E212" s="215"/>
      <c r="F212" s="215"/>
      <c r="G212" s="215"/>
      <c r="H212" s="215"/>
    </row>
    <row r="213" spans="2:8">
      <c r="B213" s="215"/>
      <c r="C213" s="215"/>
      <c r="D213" s="215"/>
      <c r="E213" s="215"/>
      <c r="F213" s="215"/>
      <c r="G213" s="215"/>
      <c r="H213" s="215"/>
    </row>
    <row r="214" spans="2:8">
      <c r="B214" s="215"/>
      <c r="C214" s="215"/>
      <c r="D214" s="215"/>
      <c r="E214" s="215"/>
      <c r="F214" s="215"/>
      <c r="G214" s="215"/>
      <c r="H214" s="215"/>
    </row>
    <row r="215" spans="2:8">
      <c r="B215" s="215"/>
      <c r="C215" s="215"/>
      <c r="D215" s="215"/>
      <c r="E215" s="215"/>
      <c r="F215" s="215"/>
      <c r="G215" s="215"/>
      <c r="H215" s="215"/>
    </row>
    <row r="216" spans="2:8">
      <c r="B216" s="215"/>
      <c r="C216" s="215"/>
      <c r="D216" s="215"/>
      <c r="E216" s="215"/>
      <c r="F216" s="215"/>
      <c r="G216" s="215"/>
      <c r="H216" s="215"/>
    </row>
    <row r="217" spans="2:8">
      <c r="B217" s="215"/>
      <c r="C217" s="215"/>
      <c r="D217" s="215"/>
      <c r="E217" s="215"/>
      <c r="F217" s="215"/>
      <c r="G217" s="215"/>
      <c r="H217" s="215"/>
    </row>
    <row r="218" spans="2:8">
      <c r="B218" s="215"/>
      <c r="C218" s="215"/>
      <c r="D218" s="215"/>
      <c r="E218" s="215"/>
      <c r="F218" s="215"/>
      <c r="G218" s="215"/>
      <c r="H218" s="215"/>
    </row>
    <row r="219" spans="2:8">
      <c r="B219" s="215"/>
      <c r="C219" s="215"/>
      <c r="D219" s="215"/>
      <c r="E219" s="215"/>
      <c r="F219" s="215"/>
      <c r="G219" s="215"/>
      <c r="H219" s="215"/>
    </row>
    <row r="220" spans="2:8">
      <c r="B220" s="215"/>
      <c r="C220" s="215"/>
      <c r="D220" s="215"/>
      <c r="E220" s="215"/>
      <c r="F220" s="215"/>
      <c r="G220" s="215"/>
      <c r="H220" s="215"/>
    </row>
    <row r="221" spans="2:8">
      <c r="B221" s="215"/>
      <c r="C221" s="215"/>
      <c r="D221" s="215"/>
      <c r="E221" s="215"/>
      <c r="F221" s="215"/>
      <c r="G221" s="215"/>
      <c r="H221" s="215"/>
    </row>
    <row r="222" spans="2:8">
      <c r="B222" s="215"/>
      <c r="C222" s="215"/>
      <c r="D222" s="215"/>
      <c r="E222" s="215"/>
      <c r="F222" s="215"/>
      <c r="G222" s="215"/>
      <c r="H222" s="215"/>
    </row>
    <row r="223" spans="2:8">
      <c r="B223" s="215"/>
      <c r="C223" s="215"/>
      <c r="D223" s="215"/>
      <c r="E223" s="215"/>
      <c r="F223" s="215"/>
      <c r="G223" s="215"/>
      <c r="H223" s="215"/>
    </row>
    <row r="224" spans="2:8">
      <c r="B224" s="215"/>
      <c r="C224" s="215"/>
      <c r="D224" s="215"/>
      <c r="E224" s="215"/>
      <c r="F224" s="215"/>
      <c r="G224" s="215"/>
      <c r="H224" s="215"/>
    </row>
    <row r="225" spans="2:8">
      <c r="B225" s="215"/>
      <c r="C225" s="215"/>
      <c r="D225" s="215"/>
      <c r="E225" s="215"/>
      <c r="F225" s="215"/>
      <c r="G225" s="215"/>
      <c r="H225" s="215"/>
    </row>
    <row r="226" spans="2:8">
      <c r="B226" s="215"/>
      <c r="C226" s="215"/>
      <c r="D226" s="215"/>
      <c r="E226" s="215"/>
      <c r="F226" s="215"/>
      <c r="G226" s="215"/>
      <c r="H226" s="215"/>
    </row>
    <row r="227" spans="2:8">
      <c r="B227" s="215"/>
      <c r="C227" s="215"/>
      <c r="D227" s="215"/>
      <c r="E227" s="215"/>
      <c r="F227" s="215"/>
      <c r="G227" s="215"/>
      <c r="H227" s="215"/>
    </row>
    <row r="228" spans="2:8">
      <c r="B228" s="215"/>
      <c r="C228" s="215"/>
      <c r="D228" s="215"/>
      <c r="E228" s="215"/>
      <c r="F228" s="215"/>
      <c r="G228" s="215"/>
      <c r="H228" s="215"/>
    </row>
    <row r="229" spans="2:8">
      <c r="B229" s="215"/>
      <c r="C229" s="215"/>
      <c r="D229" s="215"/>
      <c r="E229" s="215"/>
      <c r="F229" s="215"/>
      <c r="G229" s="215"/>
      <c r="H229" s="215"/>
    </row>
    <row r="230" spans="2:8">
      <c r="B230" s="215"/>
      <c r="C230" s="215"/>
      <c r="D230" s="215"/>
      <c r="E230" s="215"/>
      <c r="F230" s="215"/>
      <c r="G230" s="215"/>
      <c r="H230" s="215"/>
    </row>
    <row r="231" spans="2:8">
      <c r="B231" s="215"/>
      <c r="C231" s="215"/>
      <c r="D231" s="215"/>
      <c r="E231" s="215"/>
      <c r="F231" s="215"/>
      <c r="G231" s="215"/>
      <c r="H231" s="215"/>
    </row>
    <row r="232" spans="2:8">
      <c r="B232" s="215"/>
      <c r="C232" s="215"/>
      <c r="D232" s="215"/>
      <c r="E232" s="215"/>
      <c r="F232" s="215"/>
      <c r="G232" s="215"/>
      <c r="H232" s="215"/>
    </row>
    <row r="233" spans="2:8">
      <c r="B233" s="215"/>
      <c r="C233" s="215"/>
      <c r="D233" s="215"/>
      <c r="E233" s="215"/>
      <c r="F233" s="215"/>
      <c r="G233" s="215"/>
      <c r="H233" s="215"/>
    </row>
    <row r="234" spans="2:8">
      <c r="B234" s="215"/>
      <c r="C234" s="215"/>
      <c r="D234" s="215"/>
      <c r="E234" s="215"/>
      <c r="F234" s="215"/>
      <c r="G234" s="215"/>
      <c r="H234" s="215"/>
    </row>
    <row r="235" spans="2:8">
      <c r="B235" s="215"/>
      <c r="C235" s="215"/>
      <c r="D235" s="215"/>
      <c r="E235" s="215"/>
      <c r="F235" s="215"/>
      <c r="G235" s="215"/>
      <c r="H235" s="215"/>
    </row>
    <row r="236" spans="2:8">
      <c r="B236" s="215"/>
      <c r="C236" s="215"/>
      <c r="D236" s="215"/>
      <c r="E236" s="215"/>
      <c r="F236" s="215"/>
      <c r="G236" s="215"/>
      <c r="H236" s="215"/>
    </row>
    <row r="237" spans="2:8">
      <c r="B237" s="215"/>
      <c r="C237" s="215"/>
      <c r="D237" s="215"/>
      <c r="E237" s="215"/>
      <c r="F237" s="215"/>
      <c r="G237" s="215"/>
      <c r="H237" s="215"/>
    </row>
    <row r="238" spans="2:8">
      <c r="B238" s="215"/>
      <c r="C238" s="215"/>
      <c r="D238" s="215"/>
      <c r="E238" s="215"/>
      <c r="F238" s="215"/>
      <c r="G238" s="215"/>
      <c r="H238" s="215"/>
    </row>
    <row r="239" spans="2:8">
      <c r="B239" s="215"/>
      <c r="C239" s="215"/>
      <c r="D239" s="215"/>
      <c r="E239" s="215"/>
      <c r="F239" s="215"/>
      <c r="G239" s="215"/>
      <c r="H239" s="215"/>
    </row>
    <row r="240" spans="2:8">
      <c r="B240" s="215"/>
      <c r="C240" s="215"/>
      <c r="D240" s="215"/>
      <c r="E240" s="215"/>
      <c r="F240" s="215"/>
      <c r="G240" s="215"/>
      <c r="H240" s="215"/>
    </row>
    <row r="241" spans="2:8">
      <c r="B241" s="215"/>
      <c r="C241" s="215"/>
      <c r="D241" s="215"/>
      <c r="E241" s="215"/>
      <c r="F241" s="215"/>
      <c r="G241" s="215"/>
      <c r="H241" s="215"/>
    </row>
    <row r="242" spans="2:8">
      <c r="B242" s="215"/>
      <c r="C242" s="215"/>
      <c r="D242" s="215"/>
      <c r="E242" s="215"/>
      <c r="F242" s="215"/>
      <c r="G242" s="215"/>
      <c r="H242" s="215"/>
    </row>
    <row r="243" spans="2:8">
      <c r="B243" s="215"/>
      <c r="C243" s="215"/>
      <c r="D243" s="215"/>
      <c r="E243" s="215"/>
      <c r="F243" s="215"/>
      <c r="G243" s="215"/>
      <c r="H243" s="215"/>
    </row>
    <row r="244" spans="2:8">
      <c r="B244" s="215"/>
      <c r="C244" s="215"/>
      <c r="D244" s="215"/>
      <c r="E244" s="215"/>
      <c r="F244" s="215"/>
      <c r="G244" s="215"/>
      <c r="H244" s="215"/>
    </row>
    <row r="245" spans="2:8">
      <c r="B245" s="215"/>
      <c r="C245" s="215"/>
      <c r="D245" s="215"/>
      <c r="E245" s="215"/>
      <c r="F245" s="215"/>
      <c r="G245" s="215"/>
      <c r="H245" s="215"/>
    </row>
    <row r="246" spans="2:8">
      <c r="B246" s="215"/>
      <c r="C246" s="215"/>
      <c r="D246" s="215"/>
      <c r="E246" s="215"/>
      <c r="F246" s="215"/>
      <c r="G246" s="215"/>
      <c r="H246" s="215"/>
    </row>
    <row r="247" spans="2:8">
      <c r="B247" s="215"/>
      <c r="C247" s="215"/>
      <c r="D247" s="215"/>
      <c r="E247" s="215"/>
      <c r="F247" s="215"/>
      <c r="G247" s="215"/>
      <c r="H247" s="215"/>
    </row>
    <row r="248" spans="2:8">
      <c r="B248" s="215"/>
      <c r="C248" s="215"/>
      <c r="D248" s="215"/>
      <c r="E248" s="215"/>
      <c r="F248" s="215"/>
      <c r="G248" s="215"/>
      <c r="H248" s="215"/>
    </row>
    <row r="249" spans="2:8">
      <c r="B249" s="215"/>
      <c r="C249" s="215"/>
      <c r="D249" s="215"/>
      <c r="E249" s="215"/>
      <c r="F249" s="215"/>
      <c r="G249" s="215"/>
      <c r="H249" s="215"/>
    </row>
    <row r="250" spans="2:8">
      <c r="B250" s="215"/>
      <c r="C250" s="215"/>
      <c r="D250" s="215"/>
      <c r="E250" s="215"/>
      <c r="F250" s="215"/>
      <c r="G250" s="215"/>
      <c r="H250" s="215"/>
    </row>
    <row r="251" spans="2:8">
      <c r="B251" s="215"/>
      <c r="C251" s="215"/>
      <c r="D251" s="215"/>
      <c r="E251" s="215"/>
      <c r="F251" s="215"/>
      <c r="G251" s="215"/>
      <c r="H251" s="215"/>
    </row>
    <row r="252" spans="2:8">
      <c r="B252" s="215"/>
      <c r="C252" s="215"/>
      <c r="D252" s="215"/>
      <c r="E252" s="215"/>
      <c r="F252" s="215"/>
      <c r="G252" s="215"/>
      <c r="H252" s="215"/>
    </row>
    <row r="253" spans="2:8">
      <c r="B253" s="215"/>
      <c r="C253" s="215"/>
      <c r="D253" s="215"/>
      <c r="E253" s="215"/>
      <c r="F253" s="215"/>
      <c r="G253" s="215"/>
      <c r="H253" s="215"/>
    </row>
    <row r="254" spans="2:8">
      <c r="B254" s="215"/>
      <c r="C254" s="215"/>
      <c r="D254" s="215"/>
      <c r="E254" s="215"/>
      <c r="F254" s="215"/>
      <c r="G254" s="215"/>
      <c r="H254" s="215"/>
    </row>
    <row r="255" spans="2:8">
      <c r="B255" s="215"/>
      <c r="C255" s="215"/>
      <c r="D255" s="215"/>
      <c r="E255" s="215"/>
      <c r="F255" s="215"/>
      <c r="G255" s="215"/>
      <c r="H255" s="215"/>
    </row>
    <row r="256" spans="2:8">
      <c r="B256" s="215"/>
      <c r="C256" s="215"/>
      <c r="D256" s="215"/>
      <c r="E256" s="215"/>
      <c r="F256" s="215"/>
      <c r="G256" s="215"/>
      <c r="H256" s="215"/>
    </row>
    <row r="257" spans="2:8">
      <c r="B257" s="215"/>
      <c r="C257" s="215"/>
      <c r="D257" s="215"/>
      <c r="E257" s="215"/>
      <c r="F257" s="215"/>
      <c r="G257" s="215"/>
      <c r="H257" s="215"/>
    </row>
    <row r="258" spans="2:8">
      <c r="B258" s="215"/>
      <c r="C258" s="215"/>
      <c r="D258" s="215"/>
      <c r="E258" s="215"/>
      <c r="F258" s="215"/>
      <c r="G258" s="215"/>
      <c r="H258" s="215"/>
    </row>
    <row r="259" spans="2:8">
      <c r="B259" s="215"/>
      <c r="C259" s="215"/>
      <c r="D259" s="215"/>
      <c r="E259" s="215"/>
      <c r="F259" s="215"/>
      <c r="G259" s="215"/>
      <c r="H259" s="215"/>
    </row>
    <row r="260" spans="2:8">
      <c r="B260" s="215"/>
      <c r="C260" s="215"/>
      <c r="D260" s="215"/>
      <c r="E260" s="215"/>
      <c r="F260" s="215"/>
      <c r="G260" s="215"/>
      <c r="H260" s="215"/>
    </row>
    <row r="261" spans="2:8">
      <c r="B261" s="215"/>
      <c r="C261" s="215"/>
      <c r="D261" s="215"/>
      <c r="E261" s="215"/>
      <c r="F261" s="215"/>
      <c r="G261" s="215"/>
      <c r="H261" s="215"/>
    </row>
    <row r="262" spans="2:8">
      <c r="B262" s="215"/>
      <c r="C262" s="215"/>
      <c r="D262" s="215"/>
      <c r="E262" s="215"/>
      <c r="F262" s="215"/>
      <c r="G262" s="215"/>
      <c r="H262" s="215"/>
    </row>
    <row r="263" spans="2:8">
      <c r="B263" s="215"/>
      <c r="C263" s="215"/>
      <c r="D263" s="215"/>
      <c r="E263" s="215"/>
      <c r="F263" s="215"/>
      <c r="G263" s="215"/>
      <c r="H263" s="215"/>
    </row>
    <row r="264" spans="2:8">
      <c r="B264" s="215"/>
      <c r="C264" s="215"/>
      <c r="D264" s="215"/>
      <c r="E264" s="215"/>
      <c r="F264" s="215"/>
      <c r="G264" s="215"/>
      <c r="H264" s="215"/>
    </row>
    <row r="265" spans="2:8">
      <c r="B265" s="215"/>
      <c r="C265" s="215"/>
      <c r="D265" s="215"/>
      <c r="E265" s="215"/>
      <c r="F265" s="215"/>
      <c r="G265" s="215"/>
      <c r="H265" s="215"/>
    </row>
    <row r="266" spans="2:8">
      <c r="B266" s="215"/>
      <c r="C266" s="215"/>
      <c r="D266" s="215"/>
      <c r="E266" s="215"/>
      <c r="F266" s="215"/>
      <c r="G266" s="215"/>
      <c r="H266" s="215"/>
    </row>
  </sheetData>
  <mergeCells count="6">
    <mergeCell ref="A194:F194"/>
    <mergeCell ref="A2:H2"/>
    <mergeCell ref="A4:A6"/>
    <mergeCell ref="B4:H4"/>
    <mergeCell ref="B5:B6"/>
    <mergeCell ref="C5:H5"/>
  </mergeCells>
  <pageMargins left="0.7" right="0.7" top="0.75" bottom="0.75" header="0.3" footer="0.3"/>
</worksheet>
</file>

<file path=xl/worksheets/sheet323.xml><?xml version="1.0" encoding="utf-8"?>
<worksheet xmlns="http://schemas.openxmlformats.org/spreadsheetml/2006/main" xmlns:r="http://schemas.openxmlformats.org/officeDocument/2006/relationships">
  <dimension ref="A2:H25"/>
  <sheetViews>
    <sheetView zoomScaleNormal="100" workbookViewId="0">
      <selection activeCell="H17" sqref="H17"/>
    </sheetView>
  </sheetViews>
  <sheetFormatPr baseColWidth="10" defaultRowHeight="12"/>
  <cols>
    <col min="1" max="1" width="18.5703125" style="48" customWidth="1"/>
    <col min="2" max="2" width="11.42578125" style="48"/>
    <col min="3" max="4" width="21" style="48" customWidth="1"/>
    <col min="5" max="6" width="16.85546875" style="48" customWidth="1"/>
    <col min="7" max="16384" width="11.42578125" style="48"/>
  </cols>
  <sheetData>
    <row r="2" spans="1:8" s="49" customFormat="1" ht="33.75" customHeight="1">
      <c r="A2" s="2475" t="s">
        <v>3223</v>
      </c>
      <c r="B2" s="2475"/>
      <c r="C2" s="2475"/>
      <c r="D2" s="2475"/>
      <c r="E2" s="2475"/>
      <c r="F2" s="2475"/>
    </row>
    <row r="3" spans="1:8" s="49" customFormat="1" ht="11.25">
      <c r="A3" s="205"/>
    </row>
    <row r="4" spans="1:8" s="49" customFormat="1" ht="12.75" customHeight="1">
      <c r="A4" s="2977" t="s">
        <v>221</v>
      </c>
      <c r="B4" s="2205" t="s">
        <v>3135</v>
      </c>
      <c r="C4" s="2205"/>
      <c r="D4" s="2205"/>
      <c r="E4" s="2205"/>
      <c r="F4" s="2205"/>
    </row>
    <row r="5" spans="1:8" s="49" customFormat="1" ht="12.75" customHeight="1">
      <c r="A5" s="2977"/>
      <c r="B5" s="2977" t="s">
        <v>6</v>
      </c>
      <c r="C5" s="2977" t="s">
        <v>3134</v>
      </c>
      <c r="D5" s="2977"/>
      <c r="E5" s="2977"/>
      <c r="F5" s="2977"/>
    </row>
    <row r="6" spans="1:8" s="206" customFormat="1" ht="78.75">
      <c r="A6" s="2977"/>
      <c r="B6" s="2977"/>
      <c r="C6" s="1621" t="s">
        <v>3228</v>
      </c>
      <c r="D6" s="1621" t="s">
        <v>3229</v>
      </c>
      <c r="E6" s="1621" t="s">
        <v>2976</v>
      </c>
      <c r="F6" s="1621" t="s">
        <v>3226</v>
      </c>
      <c r="H6" s="191"/>
    </row>
    <row r="7" spans="1:8" s="207" customFormat="1" ht="11.25">
      <c r="A7" s="1080" t="s">
        <v>6</v>
      </c>
      <c r="B7" s="209">
        <f>SUM(B8:B22)</f>
        <v>45</v>
      </c>
      <c r="C7" s="209">
        <f>SUM(C8:C22)</f>
        <v>1</v>
      </c>
      <c r="D7" s="209">
        <f>SUM(D8:D22)</f>
        <v>3</v>
      </c>
      <c r="E7" s="209">
        <f>SUM(E8:E22)</f>
        <v>26</v>
      </c>
      <c r="F7" s="209">
        <f>SUM(F8:F22)</f>
        <v>15</v>
      </c>
    </row>
    <row r="8" spans="1:8" s="207" customFormat="1" ht="11.25">
      <c r="A8" s="2976" t="s">
        <v>7</v>
      </c>
      <c r="B8" s="209">
        <f t="shared" ref="B8:B22" si="0">SUM(C8:F8)</f>
        <v>4</v>
      </c>
      <c r="C8" s="210">
        <v>0</v>
      </c>
      <c r="D8" s="210">
        <v>0</v>
      </c>
      <c r="E8" s="210">
        <v>0</v>
      </c>
      <c r="F8" s="210">
        <v>4</v>
      </c>
    </row>
    <row r="9" spans="1:8" s="207" customFormat="1" ht="11.25">
      <c r="A9" s="2976" t="s">
        <v>8</v>
      </c>
      <c r="B9" s="209">
        <f t="shared" si="0"/>
        <v>1</v>
      </c>
      <c r="C9" s="210">
        <v>0</v>
      </c>
      <c r="D9" s="210">
        <v>0</v>
      </c>
      <c r="E9" s="210">
        <v>1</v>
      </c>
      <c r="F9" s="210">
        <v>0</v>
      </c>
    </row>
    <row r="10" spans="1:8" s="207" customFormat="1" ht="11.25">
      <c r="A10" s="2976" t="s">
        <v>9</v>
      </c>
      <c r="B10" s="209">
        <f t="shared" si="0"/>
        <v>1</v>
      </c>
      <c r="C10" s="210">
        <v>0</v>
      </c>
      <c r="D10" s="210">
        <v>0</v>
      </c>
      <c r="E10" s="210">
        <v>1</v>
      </c>
      <c r="F10" s="210">
        <v>0</v>
      </c>
    </row>
    <row r="11" spans="1:8" s="207" customFormat="1" ht="11.25">
      <c r="A11" s="2976" t="s">
        <v>10</v>
      </c>
      <c r="B11" s="209">
        <f t="shared" si="0"/>
        <v>4</v>
      </c>
      <c r="C11" s="210">
        <v>0</v>
      </c>
      <c r="D11" s="210">
        <v>0</v>
      </c>
      <c r="E11" s="210">
        <v>0</v>
      </c>
      <c r="F11" s="210">
        <v>4</v>
      </c>
    </row>
    <row r="12" spans="1:8" s="207" customFormat="1" ht="11.25">
      <c r="A12" s="208" t="s">
        <v>11</v>
      </c>
      <c r="B12" s="209">
        <f t="shared" si="0"/>
        <v>0</v>
      </c>
      <c r="C12" s="210">
        <v>0</v>
      </c>
      <c r="D12" s="210">
        <v>0</v>
      </c>
      <c r="E12" s="210">
        <v>0</v>
      </c>
      <c r="F12" s="210">
        <v>0</v>
      </c>
    </row>
    <row r="13" spans="1:8" s="207" customFormat="1" ht="11.25">
      <c r="A13" s="2976" t="s">
        <v>12</v>
      </c>
      <c r="B13" s="209">
        <f t="shared" si="0"/>
        <v>3</v>
      </c>
      <c r="C13" s="210">
        <v>0</v>
      </c>
      <c r="D13" s="210">
        <v>1</v>
      </c>
      <c r="E13" s="210">
        <v>0</v>
      </c>
      <c r="F13" s="210">
        <v>2</v>
      </c>
    </row>
    <row r="14" spans="1:8" s="207" customFormat="1" ht="11.25">
      <c r="A14" s="2976" t="s">
        <v>13</v>
      </c>
      <c r="B14" s="209">
        <f t="shared" si="0"/>
        <v>16</v>
      </c>
      <c r="C14" s="210">
        <v>0</v>
      </c>
      <c r="D14" s="210">
        <v>2</v>
      </c>
      <c r="E14" s="210">
        <v>11</v>
      </c>
      <c r="F14" s="210">
        <v>3</v>
      </c>
    </row>
    <row r="15" spans="1:8" s="207" customFormat="1" ht="11.25">
      <c r="A15" s="2976" t="s">
        <v>14</v>
      </c>
      <c r="B15" s="209">
        <f t="shared" si="0"/>
        <v>4</v>
      </c>
      <c r="C15" s="210">
        <v>0</v>
      </c>
      <c r="D15" s="210">
        <v>0</v>
      </c>
      <c r="E15" s="210">
        <v>4</v>
      </c>
      <c r="F15" s="210">
        <v>0</v>
      </c>
    </row>
    <row r="16" spans="1:8" s="207" customFormat="1" ht="11.25">
      <c r="A16" s="2976" t="s">
        <v>15</v>
      </c>
      <c r="B16" s="209">
        <f t="shared" si="0"/>
        <v>3</v>
      </c>
      <c r="C16" s="210">
        <v>0</v>
      </c>
      <c r="D16" s="210">
        <v>0</v>
      </c>
      <c r="E16" s="210">
        <v>3</v>
      </c>
      <c r="F16" s="210">
        <v>0</v>
      </c>
    </row>
    <row r="17" spans="1:6" s="207" customFormat="1" ht="11.25">
      <c r="A17" s="2976" t="s">
        <v>16</v>
      </c>
      <c r="B17" s="209">
        <f t="shared" si="0"/>
        <v>1</v>
      </c>
      <c r="C17" s="210">
        <v>0</v>
      </c>
      <c r="D17" s="210">
        <v>0</v>
      </c>
      <c r="E17" s="210">
        <v>1</v>
      </c>
      <c r="F17" s="210">
        <v>0</v>
      </c>
    </row>
    <row r="18" spans="1:6" s="207" customFormat="1" ht="11.25">
      <c r="A18" s="2976" t="s">
        <v>17</v>
      </c>
      <c r="B18" s="209">
        <f t="shared" si="0"/>
        <v>2</v>
      </c>
      <c r="C18" s="210">
        <v>0</v>
      </c>
      <c r="D18" s="210">
        <v>0</v>
      </c>
      <c r="E18" s="210">
        <v>1</v>
      </c>
      <c r="F18" s="210">
        <v>1</v>
      </c>
    </row>
    <row r="19" spans="1:6" s="207" customFormat="1" ht="11.25">
      <c r="A19" s="2976" t="s">
        <v>18</v>
      </c>
      <c r="B19" s="209">
        <f t="shared" si="0"/>
        <v>4</v>
      </c>
      <c r="C19" s="210">
        <v>1</v>
      </c>
      <c r="D19" s="210">
        <v>0</v>
      </c>
      <c r="E19" s="210">
        <v>2</v>
      </c>
      <c r="F19" s="210">
        <v>1</v>
      </c>
    </row>
    <row r="20" spans="1:6" s="207" customFormat="1" ht="11.25">
      <c r="A20" s="2976" t="s">
        <v>19</v>
      </c>
      <c r="B20" s="209">
        <f t="shared" si="0"/>
        <v>2</v>
      </c>
      <c r="C20" s="210">
        <v>0</v>
      </c>
      <c r="D20" s="210">
        <v>0</v>
      </c>
      <c r="E20" s="210">
        <v>2</v>
      </c>
      <c r="F20" s="210">
        <v>0</v>
      </c>
    </row>
    <row r="21" spans="1:6" s="207" customFormat="1" ht="11.25">
      <c r="A21" s="208" t="s">
        <v>20</v>
      </c>
      <c r="B21" s="209">
        <f t="shared" si="0"/>
        <v>0</v>
      </c>
      <c r="C21" s="210">
        <v>0</v>
      </c>
      <c r="D21" s="210">
        <v>0</v>
      </c>
      <c r="E21" s="210">
        <v>0</v>
      </c>
      <c r="F21" s="210">
        <v>0</v>
      </c>
    </row>
    <row r="22" spans="1:6" s="207" customFormat="1" ht="11.25">
      <c r="A22" s="208" t="s">
        <v>21</v>
      </c>
      <c r="B22" s="209">
        <f t="shared" si="0"/>
        <v>0</v>
      </c>
      <c r="C22" s="210">
        <v>0</v>
      </c>
      <c r="D22" s="210">
        <v>0</v>
      </c>
      <c r="E22" s="210">
        <v>0</v>
      </c>
      <c r="F22" s="210">
        <v>0</v>
      </c>
    </row>
    <row r="23" spans="1:6" s="207" customFormat="1" ht="11.25">
      <c r="A23" s="208"/>
      <c r="B23" s="209"/>
      <c r="C23" s="210"/>
      <c r="D23" s="210"/>
      <c r="E23" s="210"/>
      <c r="F23" s="210"/>
    </row>
    <row r="24" spans="1:6">
      <c r="A24" s="48" t="s">
        <v>733</v>
      </c>
    </row>
    <row r="25" spans="1:6">
      <c r="A25" s="196" t="s">
        <v>2926</v>
      </c>
    </row>
  </sheetData>
  <mergeCells count="5">
    <mergeCell ref="A4:A6"/>
    <mergeCell ref="B4:F4"/>
    <mergeCell ref="B5:B6"/>
    <mergeCell ref="C5:F5"/>
    <mergeCell ref="A2:F2"/>
  </mergeCells>
  <pageMargins left="0.7" right="0.7" top="0.75" bottom="0.75" header="0.3" footer="0.3"/>
</worksheet>
</file>

<file path=xl/worksheets/sheet324.xml><?xml version="1.0" encoding="utf-8"?>
<worksheet xmlns="http://schemas.openxmlformats.org/spreadsheetml/2006/main" xmlns:r="http://schemas.openxmlformats.org/officeDocument/2006/relationships">
  <dimension ref="A2:I25"/>
  <sheetViews>
    <sheetView zoomScaleNormal="100" workbookViewId="0">
      <selection activeCell="C33" sqref="C33"/>
    </sheetView>
  </sheetViews>
  <sheetFormatPr baseColWidth="10" defaultRowHeight="12"/>
  <cols>
    <col min="1" max="1" width="24.42578125" style="48" customWidth="1"/>
    <col min="2" max="2" width="11.42578125" style="48"/>
    <col min="3" max="3" width="23.42578125" style="199" customWidth="1"/>
    <col min="4" max="4" width="24.28515625" style="199" customWidth="1"/>
    <col min="5" max="5" width="19.7109375" style="199" customWidth="1"/>
    <col min="6" max="6" width="23.5703125" style="199" customWidth="1"/>
    <col min="7" max="16384" width="11.42578125" style="48"/>
  </cols>
  <sheetData>
    <row r="2" spans="1:8" ht="27.75" customHeight="1">
      <c r="A2" s="2641" t="s">
        <v>3139</v>
      </c>
      <c r="B2" s="2641"/>
      <c r="C2" s="2641"/>
      <c r="D2" s="2641"/>
      <c r="E2" s="2641"/>
      <c r="F2" s="2641"/>
    </row>
    <row r="3" spans="1:8">
      <c r="A3" s="197"/>
      <c r="B3" s="142"/>
      <c r="C3" s="198"/>
      <c r="D3" s="198"/>
      <c r="E3" s="198"/>
      <c r="F3" s="198"/>
    </row>
    <row r="4" spans="1:8">
      <c r="A4" s="2200" t="s">
        <v>3008</v>
      </c>
      <c r="B4" s="2203" t="s">
        <v>3135</v>
      </c>
      <c r="C4" s="2203"/>
      <c r="D4" s="2203"/>
      <c r="E4" s="2203"/>
      <c r="F4" s="2203"/>
    </row>
    <row r="5" spans="1:8">
      <c r="A5" s="2200"/>
      <c r="B5" s="2174" t="s">
        <v>6</v>
      </c>
      <c r="C5" s="2174" t="s">
        <v>3134</v>
      </c>
      <c r="D5" s="2174"/>
      <c r="E5" s="2174"/>
      <c r="F5" s="2174"/>
    </row>
    <row r="6" spans="1:8" s="199" customFormat="1" ht="56.25">
      <c r="A6" s="2200"/>
      <c r="B6" s="2174"/>
      <c r="C6" s="2007" t="s">
        <v>3228</v>
      </c>
      <c r="D6" s="2007" t="s">
        <v>3230</v>
      </c>
      <c r="E6" s="2007" t="s">
        <v>2976</v>
      </c>
      <c r="F6" s="2007" t="s">
        <v>3226</v>
      </c>
      <c r="H6" s="191"/>
    </row>
    <row r="7" spans="1:8" s="200" customFormat="1">
      <c r="A7" s="2948" t="s">
        <v>6</v>
      </c>
      <c r="B7" s="202">
        <f>SUM(B8:B19)</f>
        <v>45</v>
      </c>
      <c r="C7" s="1081">
        <f>SUM(C8:C19)</f>
        <v>1</v>
      </c>
      <c r="D7" s="1081">
        <f>SUM(D8:D19)</f>
        <v>3</v>
      </c>
      <c r="E7" s="1081">
        <f>SUM(E8:E19)</f>
        <v>26</v>
      </c>
      <c r="F7" s="1081">
        <f>SUM(F8:F19)</f>
        <v>15</v>
      </c>
    </row>
    <row r="8" spans="1:8">
      <c r="A8" s="201" t="s">
        <v>2986</v>
      </c>
      <c r="B8" s="202">
        <f t="shared" ref="B8:B19" si="0">SUM(C8:F8)</f>
        <v>1</v>
      </c>
      <c r="C8" s="203">
        <v>0</v>
      </c>
      <c r="D8" s="203">
        <v>0</v>
      </c>
      <c r="E8" s="203">
        <v>1</v>
      </c>
      <c r="F8" s="203">
        <v>0</v>
      </c>
    </row>
    <row r="9" spans="1:8">
      <c r="A9" s="201" t="s">
        <v>3001</v>
      </c>
      <c r="B9" s="202">
        <f t="shared" si="0"/>
        <v>4</v>
      </c>
      <c r="C9" s="203">
        <v>0</v>
      </c>
      <c r="D9" s="203">
        <v>0</v>
      </c>
      <c r="E9" s="203">
        <v>2</v>
      </c>
      <c r="F9" s="203">
        <v>2</v>
      </c>
    </row>
    <row r="10" spans="1:8">
      <c r="A10" s="201" t="s">
        <v>3000</v>
      </c>
      <c r="B10" s="202">
        <f t="shared" si="0"/>
        <v>3</v>
      </c>
      <c r="C10" s="203">
        <v>0</v>
      </c>
      <c r="D10" s="203">
        <v>0</v>
      </c>
      <c r="E10" s="203">
        <v>0</v>
      </c>
      <c r="F10" s="203">
        <v>3</v>
      </c>
    </row>
    <row r="11" spans="1:8">
      <c r="A11" s="201" t="s">
        <v>2999</v>
      </c>
      <c r="B11" s="202">
        <f t="shared" si="0"/>
        <v>5</v>
      </c>
      <c r="C11" s="203">
        <v>0</v>
      </c>
      <c r="D11" s="203">
        <v>0</v>
      </c>
      <c r="E11" s="203">
        <v>4</v>
      </c>
      <c r="F11" s="203">
        <v>1</v>
      </c>
    </row>
    <row r="12" spans="1:8" ht="22.5">
      <c r="A12" s="201" t="s">
        <v>3138</v>
      </c>
      <c r="B12" s="202">
        <f t="shared" si="0"/>
        <v>2</v>
      </c>
      <c r="C12" s="203">
        <v>0</v>
      </c>
      <c r="D12" s="203">
        <v>1</v>
      </c>
      <c r="E12" s="203">
        <v>1</v>
      </c>
      <c r="F12" s="203">
        <v>0</v>
      </c>
    </row>
    <row r="13" spans="1:8">
      <c r="A13" s="201" t="s">
        <v>2996</v>
      </c>
      <c r="B13" s="202">
        <f t="shared" si="0"/>
        <v>2</v>
      </c>
      <c r="C13" s="203">
        <v>0</v>
      </c>
      <c r="D13" s="203">
        <v>0</v>
      </c>
      <c r="E13" s="203">
        <v>0</v>
      </c>
      <c r="F13" s="203">
        <v>2</v>
      </c>
    </row>
    <row r="14" spans="1:8">
      <c r="A14" s="201" t="s">
        <v>2982</v>
      </c>
      <c r="B14" s="202">
        <f t="shared" si="0"/>
        <v>3</v>
      </c>
      <c r="C14" s="203">
        <v>0</v>
      </c>
      <c r="D14" s="203">
        <v>0</v>
      </c>
      <c r="E14" s="203">
        <v>3</v>
      </c>
      <c r="F14" s="203">
        <v>0</v>
      </c>
    </row>
    <row r="15" spans="1:8">
      <c r="A15" s="201" t="s">
        <v>2980</v>
      </c>
      <c r="B15" s="202">
        <f t="shared" si="0"/>
        <v>5</v>
      </c>
      <c r="C15" s="203">
        <v>0</v>
      </c>
      <c r="D15" s="203">
        <v>0</v>
      </c>
      <c r="E15" s="203">
        <v>4</v>
      </c>
      <c r="F15" s="203">
        <v>1</v>
      </c>
    </row>
    <row r="16" spans="1:8">
      <c r="A16" s="201" t="s">
        <v>162</v>
      </c>
      <c r="B16" s="202">
        <f t="shared" si="0"/>
        <v>4</v>
      </c>
      <c r="C16" s="203">
        <v>0</v>
      </c>
      <c r="D16" s="203">
        <v>1</v>
      </c>
      <c r="E16" s="203">
        <v>3</v>
      </c>
      <c r="F16" s="203">
        <v>0</v>
      </c>
    </row>
    <row r="17" spans="1:9">
      <c r="A17" s="201" t="s">
        <v>3137</v>
      </c>
      <c r="B17" s="202">
        <f t="shared" si="0"/>
        <v>2</v>
      </c>
      <c r="C17" s="203">
        <v>0</v>
      </c>
      <c r="D17" s="203">
        <v>0</v>
      </c>
      <c r="E17" s="203">
        <v>2</v>
      </c>
      <c r="F17" s="203">
        <v>0</v>
      </c>
    </row>
    <row r="18" spans="1:9" ht="12.75">
      <c r="A18" s="201" t="s">
        <v>3324</v>
      </c>
      <c r="B18" s="202">
        <f t="shared" si="0"/>
        <v>13</v>
      </c>
      <c r="C18" s="203">
        <v>1</v>
      </c>
      <c r="D18" s="203">
        <v>1</v>
      </c>
      <c r="E18" s="203">
        <v>5</v>
      </c>
      <c r="F18" s="203">
        <v>6</v>
      </c>
    </row>
    <row r="19" spans="1:9">
      <c r="A19" s="201" t="s">
        <v>2990</v>
      </c>
      <c r="B19" s="202">
        <f t="shared" si="0"/>
        <v>1</v>
      </c>
      <c r="C19" s="203">
        <v>0</v>
      </c>
      <c r="D19" s="203">
        <v>0</v>
      </c>
      <c r="E19" s="203">
        <v>1</v>
      </c>
      <c r="F19" s="203">
        <v>0</v>
      </c>
    </row>
    <row r="20" spans="1:9">
      <c r="A20" s="201"/>
      <c r="B20" s="202"/>
      <c r="C20" s="203"/>
      <c r="D20" s="203"/>
      <c r="E20" s="203"/>
      <c r="F20" s="203"/>
    </row>
    <row r="21" spans="1:9" s="195" customFormat="1" ht="11.25">
      <c r="A21" s="2628" t="s">
        <v>3325</v>
      </c>
      <c r="B21" s="2628"/>
      <c r="C21" s="2628"/>
      <c r="D21" s="2628"/>
      <c r="E21" s="2628"/>
      <c r="F21" s="2628"/>
      <c r="G21" s="193"/>
      <c r="H21" s="193"/>
      <c r="I21" s="194"/>
    </row>
    <row r="22" spans="1:9">
      <c r="A22" s="2640" t="s">
        <v>22</v>
      </c>
      <c r="B22" s="2640"/>
      <c r="C22" s="2640"/>
      <c r="D22" s="2640"/>
      <c r="E22" s="2640"/>
      <c r="F22" s="204"/>
    </row>
    <row r="23" spans="1:9">
      <c r="A23" s="196" t="s">
        <v>3136</v>
      </c>
      <c r="B23" s="192"/>
      <c r="C23" s="204"/>
      <c r="D23" s="204"/>
      <c r="E23" s="204"/>
      <c r="F23" s="204"/>
    </row>
    <row r="24" spans="1:9">
      <c r="A24" s="197"/>
      <c r="B24" s="192"/>
      <c r="C24" s="204"/>
      <c r="D24" s="204"/>
      <c r="E24" s="204"/>
      <c r="F24" s="204"/>
    </row>
    <row r="25" spans="1:9">
      <c r="A25" s="142"/>
      <c r="B25" s="142"/>
      <c r="C25" s="198"/>
      <c r="D25" s="198"/>
      <c r="E25" s="198"/>
      <c r="F25" s="198"/>
    </row>
  </sheetData>
  <mergeCells count="7">
    <mergeCell ref="A22:E22"/>
    <mergeCell ref="A2:F2"/>
    <mergeCell ref="B4:F4"/>
    <mergeCell ref="C5:F5"/>
    <mergeCell ref="B5:B6"/>
    <mergeCell ref="A4:A6"/>
    <mergeCell ref="A21:F21"/>
  </mergeCells>
  <pageMargins left="0.7" right="0.7" top="0.75" bottom="0.75" header="0.3" footer="0.3"/>
</worksheet>
</file>

<file path=xl/worksheets/sheet325.xml><?xml version="1.0" encoding="utf-8"?>
<worksheet xmlns="http://schemas.openxmlformats.org/spreadsheetml/2006/main" xmlns:r="http://schemas.openxmlformats.org/officeDocument/2006/relationships">
  <dimension ref="A2:I48"/>
  <sheetViews>
    <sheetView zoomScaleNormal="100" workbookViewId="0">
      <selection activeCell="H13" sqref="H13"/>
    </sheetView>
  </sheetViews>
  <sheetFormatPr baseColWidth="10" defaultRowHeight="11.25"/>
  <cols>
    <col min="1" max="1" width="22.5703125" style="96" customWidth="1"/>
    <col min="2" max="2" width="11.42578125" style="96"/>
    <col min="3" max="6" width="15.28515625" style="96" customWidth="1"/>
    <col min="7" max="16384" width="11.42578125" style="96"/>
  </cols>
  <sheetData>
    <row r="2" spans="1:8" ht="35.25" customHeight="1">
      <c r="A2" s="2642" t="s">
        <v>3143</v>
      </c>
      <c r="B2" s="2642"/>
      <c r="C2" s="2642"/>
      <c r="D2" s="2642"/>
      <c r="E2" s="2642"/>
      <c r="F2" s="2642"/>
      <c r="G2" s="47"/>
    </row>
    <row r="3" spans="1:8">
      <c r="A3" s="142"/>
      <c r="B3" s="142"/>
      <c r="C3" s="142"/>
      <c r="D3" s="142"/>
      <c r="E3" s="142"/>
      <c r="F3" s="142"/>
      <c r="G3" s="142"/>
    </row>
    <row r="4" spans="1:8" ht="16.5" customHeight="1">
      <c r="A4" s="2200" t="s">
        <v>3142</v>
      </c>
      <c r="B4" s="2174" t="s">
        <v>3130</v>
      </c>
      <c r="C4" s="2174"/>
      <c r="D4" s="2174"/>
      <c r="E4" s="2174"/>
      <c r="F4" s="2174"/>
    </row>
    <row r="5" spans="1:8" ht="101.25">
      <c r="A5" s="2200"/>
      <c r="B5" s="2004" t="s">
        <v>6</v>
      </c>
      <c r="C5" s="2007" t="s">
        <v>3231</v>
      </c>
      <c r="D5" s="2007" t="s">
        <v>3230</v>
      </c>
      <c r="E5" s="2007" t="s">
        <v>2976</v>
      </c>
      <c r="F5" s="2007" t="s">
        <v>3226</v>
      </c>
      <c r="G5" s="142"/>
      <c r="H5" s="191"/>
    </row>
    <row r="6" spans="1:8">
      <c r="A6" s="192" t="s">
        <v>6</v>
      </c>
      <c r="B6" s="202">
        <f>+B7+B9+B11+B13+B16+B19+B28+B31+B34+B36+B39+B43</f>
        <v>45</v>
      </c>
      <c r="C6" s="202">
        <f>+C7+C9+C11+C13+C16+C19+C28+C31+C34+C36+C39+C43</f>
        <v>1</v>
      </c>
      <c r="D6" s="202">
        <f>+D7+D9+D11+D13+D16+D19+D28+D31+D34+D36+D39+D43</f>
        <v>3</v>
      </c>
      <c r="E6" s="202">
        <f>+E7+E9+E11+E13+E16+E19+E28+E31+E34+E36+E39+E43</f>
        <v>26</v>
      </c>
      <c r="F6" s="202">
        <f>+F7+F9+F11+F13+F16+F19+F28+F31+F34+F36+F39+F43</f>
        <v>15</v>
      </c>
      <c r="G6" s="192"/>
    </row>
    <row r="7" spans="1:8">
      <c r="A7" s="2978" t="s">
        <v>7</v>
      </c>
      <c r="B7" s="202">
        <f t="shared" ref="B7:B44" si="0">SUM(C7:F7)</f>
        <v>4</v>
      </c>
      <c r="C7" s="202">
        <v>0</v>
      </c>
      <c r="D7" s="202">
        <v>0</v>
      </c>
      <c r="E7" s="202">
        <v>0</v>
      </c>
      <c r="F7" s="202">
        <v>4</v>
      </c>
      <c r="G7" s="192"/>
    </row>
    <row r="8" spans="1:8">
      <c r="A8" s="177" t="s">
        <v>33</v>
      </c>
      <c r="B8" s="202">
        <f t="shared" si="0"/>
        <v>4</v>
      </c>
      <c r="C8" s="250">
        <v>0</v>
      </c>
      <c r="D8" s="250">
        <v>0</v>
      </c>
      <c r="E8" s="250">
        <v>0</v>
      </c>
      <c r="F8" s="250">
        <v>4</v>
      </c>
      <c r="G8" s="192"/>
    </row>
    <row r="9" spans="1:8">
      <c r="A9" s="2979" t="s">
        <v>8</v>
      </c>
      <c r="B9" s="202">
        <f t="shared" si="0"/>
        <v>1</v>
      </c>
      <c r="C9" s="202">
        <v>0</v>
      </c>
      <c r="D9" s="202">
        <v>0</v>
      </c>
      <c r="E9" s="202">
        <v>1</v>
      </c>
      <c r="F9" s="202">
        <v>0</v>
      </c>
      <c r="G9" s="192"/>
    </row>
    <row r="10" spans="1:8">
      <c r="A10" s="177" t="s">
        <v>35</v>
      </c>
      <c r="B10" s="202">
        <f t="shared" si="0"/>
        <v>1</v>
      </c>
      <c r="C10" s="250">
        <v>0</v>
      </c>
      <c r="D10" s="250">
        <v>0</v>
      </c>
      <c r="E10" s="250">
        <v>1</v>
      </c>
      <c r="F10" s="250">
        <v>0</v>
      </c>
      <c r="G10" s="192"/>
    </row>
    <row r="11" spans="1:8">
      <c r="A11" s="2979" t="s">
        <v>9</v>
      </c>
      <c r="B11" s="202">
        <f t="shared" si="0"/>
        <v>1</v>
      </c>
      <c r="C11" s="202">
        <v>0</v>
      </c>
      <c r="D11" s="202">
        <v>0</v>
      </c>
      <c r="E11" s="202">
        <v>1</v>
      </c>
      <c r="F11" s="202">
        <v>0</v>
      </c>
      <c r="G11" s="192"/>
    </row>
    <row r="12" spans="1:8">
      <c r="A12" s="177" t="s">
        <v>2325</v>
      </c>
      <c r="B12" s="202">
        <f t="shared" si="0"/>
        <v>1</v>
      </c>
      <c r="C12" s="250">
        <v>0</v>
      </c>
      <c r="D12" s="250">
        <v>0</v>
      </c>
      <c r="E12" s="250">
        <v>1</v>
      </c>
      <c r="F12" s="250">
        <v>0</v>
      </c>
      <c r="G12" s="192"/>
    </row>
    <row r="13" spans="1:8">
      <c r="A13" s="2979" t="s">
        <v>10</v>
      </c>
      <c r="B13" s="202">
        <f t="shared" si="0"/>
        <v>4</v>
      </c>
      <c r="C13" s="202">
        <v>0</v>
      </c>
      <c r="D13" s="202">
        <v>0</v>
      </c>
      <c r="E13" s="202">
        <v>0</v>
      </c>
      <c r="F13" s="202">
        <v>4</v>
      </c>
      <c r="G13" s="192"/>
    </row>
    <row r="14" spans="1:8">
      <c r="A14" s="177" t="s">
        <v>175</v>
      </c>
      <c r="B14" s="202">
        <f t="shared" si="0"/>
        <v>3</v>
      </c>
      <c r="C14" s="250">
        <v>0</v>
      </c>
      <c r="D14" s="250">
        <v>0</v>
      </c>
      <c r="E14" s="250">
        <v>0</v>
      </c>
      <c r="F14" s="250">
        <v>3</v>
      </c>
      <c r="G14" s="192"/>
    </row>
    <row r="15" spans="1:8">
      <c r="A15" s="177" t="s">
        <v>3125</v>
      </c>
      <c r="B15" s="202">
        <f t="shared" si="0"/>
        <v>1</v>
      </c>
      <c r="C15" s="250">
        <v>0</v>
      </c>
      <c r="D15" s="250">
        <v>0</v>
      </c>
      <c r="E15" s="250">
        <v>0</v>
      </c>
      <c r="F15" s="250">
        <v>1</v>
      </c>
      <c r="G15" s="192"/>
    </row>
    <row r="16" spans="1:8">
      <c r="A16" s="2979" t="s">
        <v>12</v>
      </c>
      <c r="B16" s="202">
        <f t="shared" si="0"/>
        <v>3</v>
      </c>
      <c r="C16" s="202">
        <v>0</v>
      </c>
      <c r="D16" s="202">
        <v>1</v>
      </c>
      <c r="E16" s="202">
        <v>0</v>
      </c>
      <c r="F16" s="202">
        <v>2</v>
      </c>
      <c r="G16" s="192"/>
    </row>
    <row r="17" spans="1:7">
      <c r="A17" s="177" t="s">
        <v>12</v>
      </c>
      <c r="B17" s="202">
        <f t="shared" si="0"/>
        <v>1</v>
      </c>
      <c r="C17" s="250">
        <v>0</v>
      </c>
      <c r="D17" s="250">
        <v>1</v>
      </c>
      <c r="E17" s="250">
        <v>0</v>
      </c>
      <c r="F17" s="250">
        <v>0</v>
      </c>
      <c r="G17" s="192"/>
    </row>
    <row r="18" spans="1:7">
      <c r="A18" s="177" t="s">
        <v>251</v>
      </c>
      <c r="B18" s="202">
        <f t="shared" si="0"/>
        <v>2</v>
      </c>
      <c r="C18" s="250">
        <v>0</v>
      </c>
      <c r="D18" s="250">
        <v>0</v>
      </c>
      <c r="E18" s="250">
        <v>0</v>
      </c>
      <c r="F18" s="250">
        <v>2</v>
      </c>
      <c r="G18" s="192"/>
    </row>
    <row r="19" spans="1:7">
      <c r="A19" s="2978" t="s">
        <v>13</v>
      </c>
      <c r="B19" s="202">
        <f t="shared" si="0"/>
        <v>16</v>
      </c>
      <c r="C19" s="202">
        <v>0</v>
      </c>
      <c r="D19" s="202">
        <v>2</v>
      </c>
      <c r="E19" s="202">
        <v>11</v>
      </c>
      <c r="F19" s="202">
        <v>3</v>
      </c>
      <c r="G19" s="192"/>
    </row>
    <row r="20" spans="1:7">
      <c r="A20" s="177" t="s">
        <v>338</v>
      </c>
      <c r="B20" s="202">
        <f t="shared" si="0"/>
        <v>1</v>
      </c>
      <c r="C20" s="250">
        <v>0</v>
      </c>
      <c r="D20" s="250">
        <v>1</v>
      </c>
      <c r="E20" s="250">
        <v>0</v>
      </c>
      <c r="F20" s="250">
        <v>0</v>
      </c>
      <c r="G20" s="192"/>
    </row>
    <row r="21" spans="1:7">
      <c r="A21" s="177" t="s">
        <v>186</v>
      </c>
      <c r="B21" s="202">
        <f t="shared" si="0"/>
        <v>6</v>
      </c>
      <c r="C21" s="250">
        <v>0</v>
      </c>
      <c r="D21" s="250">
        <v>0</v>
      </c>
      <c r="E21" s="250">
        <v>4</v>
      </c>
      <c r="F21" s="250">
        <v>2</v>
      </c>
      <c r="G21" s="192"/>
    </row>
    <row r="22" spans="1:7">
      <c r="A22" s="177" t="s">
        <v>2965</v>
      </c>
      <c r="B22" s="202">
        <f t="shared" si="0"/>
        <v>1</v>
      </c>
      <c r="C22" s="250">
        <v>0</v>
      </c>
      <c r="D22" s="250">
        <v>0</v>
      </c>
      <c r="E22" s="250">
        <v>1</v>
      </c>
      <c r="F22" s="250">
        <v>0</v>
      </c>
      <c r="G22" s="192"/>
    </row>
    <row r="23" spans="1:7">
      <c r="A23" s="177" t="s">
        <v>2964</v>
      </c>
      <c r="B23" s="202">
        <f t="shared" si="0"/>
        <v>1</v>
      </c>
      <c r="C23" s="250">
        <v>0</v>
      </c>
      <c r="D23" s="250">
        <v>0</v>
      </c>
      <c r="E23" s="250">
        <v>1</v>
      </c>
      <c r="F23" s="250">
        <v>0</v>
      </c>
      <c r="G23" s="192"/>
    </row>
    <row r="24" spans="1:7">
      <c r="A24" s="177" t="s">
        <v>2938</v>
      </c>
      <c r="B24" s="202">
        <f t="shared" si="0"/>
        <v>3</v>
      </c>
      <c r="C24" s="250">
        <v>0</v>
      </c>
      <c r="D24" s="250">
        <v>0</v>
      </c>
      <c r="E24" s="250">
        <v>3</v>
      </c>
      <c r="F24" s="250">
        <v>0</v>
      </c>
      <c r="G24" s="192"/>
    </row>
    <row r="25" spans="1:7">
      <c r="A25" s="177" t="s">
        <v>3141</v>
      </c>
      <c r="B25" s="202">
        <f t="shared" si="0"/>
        <v>1</v>
      </c>
      <c r="C25" s="250">
        <v>0</v>
      </c>
      <c r="D25" s="250">
        <v>0</v>
      </c>
      <c r="E25" s="250">
        <v>1</v>
      </c>
      <c r="F25" s="250">
        <v>0</v>
      </c>
      <c r="G25" s="192"/>
    </row>
    <row r="26" spans="1:7">
      <c r="A26" s="177" t="s">
        <v>2949</v>
      </c>
      <c r="B26" s="202">
        <f t="shared" si="0"/>
        <v>2</v>
      </c>
      <c r="C26" s="250">
        <v>0</v>
      </c>
      <c r="D26" s="250">
        <v>0</v>
      </c>
      <c r="E26" s="250">
        <v>1</v>
      </c>
      <c r="F26" s="250">
        <v>1</v>
      </c>
      <c r="G26" s="192"/>
    </row>
    <row r="27" spans="1:7" ht="12.75">
      <c r="A27" s="201" t="s">
        <v>3324</v>
      </c>
      <c r="B27" s="202">
        <f t="shared" si="0"/>
        <v>1</v>
      </c>
      <c r="C27" s="250">
        <v>0</v>
      </c>
      <c r="D27" s="250">
        <v>1</v>
      </c>
      <c r="E27" s="250">
        <v>0</v>
      </c>
      <c r="F27" s="250">
        <v>0</v>
      </c>
      <c r="G27" s="192"/>
    </row>
    <row r="28" spans="1:7">
      <c r="A28" s="2979" t="s">
        <v>14</v>
      </c>
      <c r="B28" s="202">
        <f t="shared" si="0"/>
        <v>4</v>
      </c>
      <c r="C28" s="202">
        <v>0</v>
      </c>
      <c r="D28" s="202">
        <v>0</v>
      </c>
      <c r="E28" s="202">
        <v>4</v>
      </c>
      <c r="F28" s="202">
        <v>0</v>
      </c>
      <c r="G28" s="192"/>
    </row>
    <row r="29" spans="1:7">
      <c r="A29" s="177" t="s">
        <v>177</v>
      </c>
      <c r="B29" s="202">
        <f t="shared" si="0"/>
        <v>3</v>
      </c>
      <c r="C29" s="250">
        <v>0</v>
      </c>
      <c r="D29" s="250">
        <v>0</v>
      </c>
      <c r="E29" s="250">
        <v>3</v>
      </c>
      <c r="F29" s="250">
        <v>0</v>
      </c>
      <c r="G29" s="192"/>
    </row>
    <row r="30" spans="1:7">
      <c r="A30" s="177" t="s">
        <v>3091</v>
      </c>
      <c r="B30" s="202">
        <f t="shared" si="0"/>
        <v>1</v>
      </c>
      <c r="C30" s="250">
        <v>0</v>
      </c>
      <c r="D30" s="250">
        <v>0</v>
      </c>
      <c r="E30" s="250">
        <v>1</v>
      </c>
      <c r="F30" s="250">
        <v>0</v>
      </c>
      <c r="G30" s="192"/>
    </row>
    <row r="31" spans="1:7">
      <c r="A31" s="2979" t="s">
        <v>15</v>
      </c>
      <c r="B31" s="202">
        <f t="shared" si="0"/>
        <v>3</v>
      </c>
      <c r="C31" s="202">
        <v>0</v>
      </c>
      <c r="D31" s="202">
        <v>0</v>
      </c>
      <c r="E31" s="202">
        <v>3</v>
      </c>
      <c r="F31" s="202">
        <v>0</v>
      </c>
      <c r="G31" s="192"/>
    </row>
    <row r="32" spans="1:7">
      <c r="A32" s="177" t="s">
        <v>178</v>
      </c>
      <c r="B32" s="202">
        <f t="shared" si="0"/>
        <v>1</v>
      </c>
      <c r="C32" s="250">
        <v>0</v>
      </c>
      <c r="D32" s="250">
        <v>0</v>
      </c>
      <c r="E32" s="250">
        <v>1</v>
      </c>
      <c r="F32" s="250">
        <v>0</v>
      </c>
      <c r="G32" s="192"/>
    </row>
    <row r="33" spans="1:9">
      <c r="A33" s="177" t="s">
        <v>359</v>
      </c>
      <c r="B33" s="202">
        <f t="shared" si="0"/>
        <v>2</v>
      </c>
      <c r="C33" s="250">
        <v>0</v>
      </c>
      <c r="D33" s="250">
        <v>0</v>
      </c>
      <c r="E33" s="250">
        <v>2</v>
      </c>
      <c r="F33" s="250">
        <v>0</v>
      </c>
      <c r="G33" s="192"/>
    </row>
    <row r="34" spans="1:9">
      <c r="A34" s="2979" t="s">
        <v>16</v>
      </c>
      <c r="B34" s="202">
        <f t="shared" si="0"/>
        <v>1</v>
      </c>
      <c r="C34" s="202">
        <v>0</v>
      </c>
      <c r="D34" s="202">
        <v>0</v>
      </c>
      <c r="E34" s="202">
        <v>1</v>
      </c>
      <c r="F34" s="202">
        <v>0</v>
      </c>
      <c r="G34" s="192"/>
    </row>
    <row r="35" spans="1:9">
      <c r="A35" s="177" t="s">
        <v>2940</v>
      </c>
      <c r="B35" s="202">
        <f t="shared" si="0"/>
        <v>1</v>
      </c>
      <c r="C35" s="250">
        <v>0</v>
      </c>
      <c r="D35" s="250">
        <v>0</v>
      </c>
      <c r="E35" s="250">
        <v>1</v>
      </c>
      <c r="F35" s="250">
        <v>0</v>
      </c>
      <c r="G35" s="192"/>
    </row>
    <row r="36" spans="1:9">
      <c r="A36" s="2979" t="s">
        <v>17</v>
      </c>
      <c r="B36" s="202">
        <f t="shared" si="0"/>
        <v>2</v>
      </c>
      <c r="C36" s="202">
        <v>0</v>
      </c>
      <c r="D36" s="202">
        <v>0</v>
      </c>
      <c r="E36" s="202">
        <v>1</v>
      </c>
      <c r="F36" s="202">
        <v>1</v>
      </c>
      <c r="G36" s="192"/>
    </row>
    <row r="37" spans="1:9">
      <c r="A37" s="177" t="s">
        <v>381</v>
      </c>
      <c r="B37" s="202">
        <f t="shared" si="0"/>
        <v>1</v>
      </c>
      <c r="C37" s="250">
        <v>0</v>
      </c>
      <c r="D37" s="250">
        <v>0</v>
      </c>
      <c r="E37" s="250">
        <v>0</v>
      </c>
      <c r="F37" s="250">
        <v>1</v>
      </c>
      <c r="G37" s="192"/>
    </row>
    <row r="38" spans="1:9" ht="12.75">
      <c r="A38" s="201" t="s">
        <v>3324</v>
      </c>
      <c r="B38" s="202">
        <f t="shared" si="0"/>
        <v>1</v>
      </c>
      <c r="C38" s="250">
        <v>0</v>
      </c>
      <c r="D38" s="250">
        <v>0</v>
      </c>
      <c r="E38" s="250">
        <v>1</v>
      </c>
      <c r="F38" s="250">
        <v>0</v>
      </c>
      <c r="G38" s="192"/>
    </row>
    <row r="39" spans="1:9">
      <c r="A39" s="192" t="s">
        <v>3140</v>
      </c>
      <c r="B39" s="202">
        <f t="shared" si="0"/>
        <v>4</v>
      </c>
      <c r="C39" s="202">
        <v>1</v>
      </c>
      <c r="D39" s="202">
        <v>0</v>
      </c>
      <c r="E39" s="202">
        <v>2</v>
      </c>
      <c r="F39" s="202">
        <v>1</v>
      </c>
      <c r="G39" s="192"/>
    </row>
    <row r="40" spans="1:9">
      <c r="A40" s="177" t="s">
        <v>182</v>
      </c>
      <c r="B40" s="202">
        <f t="shared" si="0"/>
        <v>2</v>
      </c>
      <c r="C40" s="250">
        <v>0</v>
      </c>
      <c r="D40" s="250">
        <v>0</v>
      </c>
      <c r="E40" s="250">
        <v>1</v>
      </c>
      <c r="F40" s="250">
        <v>1</v>
      </c>
      <c r="G40" s="192"/>
    </row>
    <row r="41" spans="1:9">
      <c r="A41" s="177" t="s">
        <v>2931</v>
      </c>
      <c r="B41" s="202">
        <f t="shared" si="0"/>
        <v>1</v>
      </c>
      <c r="C41" s="250">
        <v>1</v>
      </c>
      <c r="D41" s="250">
        <v>0</v>
      </c>
      <c r="E41" s="250">
        <v>0</v>
      </c>
      <c r="F41" s="250">
        <v>0</v>
      </c>
      <c r="G41" s="192"/>
    </row>
    <row r="42" spans="1:9">
      <c r="A42" s="177" t="s">
        <v>2930</v>
      </c>
      <c r="B42" s="202">
        <f t="shared" si="0"/>
        <v>1</v>
      </c>
      <c r="C42" s="250">
        <v>0</v>
      </c>
      <c r="D42" s="250">
        <v>0</v>
      </c>
      <c r="E42" s="250">
        <v>1</v>
      </c>
      <c r="F42" s="250">
        <v>0</v>
      </c>
      <c r="G42" s="192"/>
    </row>
    <row r="43" spans="1:9">
      <c r="A43" s="192" t="s">
        <v>280</v>
      </c>
      <c r="B43" s="202">
        <f t="shared" si="0"/>
        <v>2</v>
      </c>
      <c r="C43" s="202">
        <v>0</v>
      </c>
      <c r="D43" s="202">
        <v>0</v>
      </c>
      <c r="E43" s="202">
        <v>2</v>
      </c>
      <c r="F43" s="202">
        <v>0</v>
      </c>
      <c r="G43" s="192"/>
    </row>
    <row r="44" spans="1:9">
      <c r="A44" s="177" t="s">
        <v>183</v>
      </c>
      <c r="B44" s="202">
        <f t="shared" si="0"/>
        <v>2</v>
      </c>
      <c r="C44" s="250">
        <v>0</v>
      </c>
      <c r="D44" s="250">
        <v>0</v>
      </c>
      <c r="E44" s="250">
        <v>2</v>
      </c>
      <c r="F44" s="250">
        <v>0</v>
      </c>
      <c r="G44" s="192"/>
    </row>
    <row r="45" spans="1:9">
      <c r="A45" s="177"/>
      <c r="B45" s="192"/>
      <c r="C45" s="177"/>
      <c r="D45" s="177"/>
      <c r="E45" s="177"/>
      <c r="F45" s="177"/>
      <c r="G45" s="192"/>
    </row>
    <row r="46" spans="1:9" s="195" customFormat="1">
      <c r="A46" s="2628" t="s">
        <v>3325</v>
      </c>
      <c r="B46" s="2628"/>
      <c r="C46" s="2628"/>
      <c r="D46" s="2628"/>
      <c r="E46" s="2628"/>
      <c r="F46" s="2628"/>
      <c r="G46" s="193"/>
      <c r="H46" s="193"/>
      <c r="I46" s="194"/>
    </row>
    <row r="47" spans="1:9">
      <c r="A47" s="2640" t="s">
        <v>22</v>
      </c>
      <c r="B47" s="2640"/>
      <c r="C47" s="2640"/>
      <c r="D47" s="2640"/>
      <c r="E47" s="2640"/>
      <c r="F47" s="192"/>
      <c r="G47" s="192"/>
    </row>
    <row r="48" spans="1:9">
      <c r="A48" s="196" t="s">
        <v>2926</v>
      </c>
    </row>
  </sheetData>
  <mergeCells count="5">
    <mergeCell ref="A47:E47"/>
    <mergeCell ref="A4:A5"/>
    <mergeCell ref="B4:F4"/>
    <mergeCell ref="A2:F2"/>
    <mergeCell ref="A46:F46"/>
  </mergeCells>
  <pageMargins left="0.7" right="0.7" top="0.75" bottom="0.75" header="0.3" footer="0.3"/>
</worksheet>
</file>

<file path=xl/worksheets/sheet326.xml><?xml version="1.0" encoding="utf-8"?>
<worksheet xmlns="http://schemas.openxmlformats.org/spreadsheetml/2006/main" xmlns:r="http://schemas.openxmlformats.org/officeDocument/2006/relationships">
  <dimension ref="A2:N27"/>
  <sheetViews>
    <sheetView zoomScaleNormal="100" workbookViewId="0">
      <selection activeCell="E30" sqref="E30"/>
    </sheetView>
  </sheetViews>
  <sheetFormatPr baseColWidth="10" defaultRowHeight="11.25"/>
  <cols>
    <col min="1" max="1" width="20.140625" style="96" customWidth="1"/>
    <col min="2" max="2" width="16.28515625" style="96" customWidth="1"/>
    <col min="3" max="3" width="18.5703125" style="96" customWidth="1"/>
    <col min="4" max="4" width="17.7109375" style="96" customWidth="1"/>
    <col min="5" max="5" width="20.140625" style="96" customWidth="1"/>
    <col min="6" max="6" width="15.85546875" style="96" customWidth="1"/>
    <col min="7" max="7" width="19.28515625" style="96" customWidth="1"/>
    <col min="8" max="8" width="19.5703125" style="96" customWidth="1"/>
    <col min="9" max="9" width="11.42578125" style="96"/>
    <col min="10" max="10" width="22.140625" style="96" customWidth="1"/>
    <col min="11" max="16384" width="11.42578125" style="96"/>
  </cols>
  <sheetData>
    <row r="2" spans="1:14" ht="15.75" customHeight="1">
      <c r="A2" s="2644" t="s">
        <v>3148</v>
      </c>
      <c r="B2" s="2644"/>
      <c r="C2" s="2644"/>
      <c r="D2" s="2644"/>
      <c r="E2" s="2644"/>
      <c r="F2" s="2644"/>
      <c r="G2" s="2644"/>
      <c r="H2" s="2644"/>
    </row>
    <row r="3" spans="1:14">
      <c r="B3" s="162"/>
      <c r="C3" s="162"/>
      <c r="D3" s="162"/>
      <c r="E3" s="162"/>
      <c r="F3" s="162"/>
      <c r="G3" s="162"/>
    </row>
    <row r="4" spans="1:14" ht="12.75" customHeight="1">
      <c r="A4" s="2986" t="s">
        <v>171</v>
      </c>
      <c r="B4" s="2200" t="s">
        <v>26</v>
      </c>
      <c r="C4" s="2174" t="s">
        <v>3147</v>
      </c>
      <c r="D4" s="2174"/>
      <c r="E4" s="2174"/>
      <c r="F4" s="2174"/>
      <c r="G4" s="2174"/>
      <c r="H4" s="2174"/>
    </row>
    <row r="5" spans="1:14" ht="67.5">
      <c r="A5" s="2986"/>
      <c r="B5" s="2200"/>
      <c r="C5" s="2007" t="s">
        <v>3226</v>
      </c>
      <c r="D5" s="2007" t="s">
        <v>3146</v>
      </c>
      <c r="E5" s="2007" t="s">
        <v>3234</v>
      </c>
      <c r="F5" s="2007" t="s">
        <v>3145</v>
      </c>
      <c r="G5" s="2007" t="s">
        <v>3144</v>
      </c>
      <c r="H5" s="2007" t="s">
        <v>3236</v>
      </c>
      <c r="I5" s="187"/>
      <c r="M5" s="188"/>
      <c r="N5" s="188"/>
    </row>
    <row r="6" spans="1:14">
      <c r="A6" s="2981" t="s">
        <v>6</v>
      </c>
      <c r="B6" s="2982">
        <f t="shared" ref="B6:H6" si="0">SUM(B7:B23)</f>
        <v>2810</v>
      </c>
      <c r="C6" s="2982">
        <f t="shared" si="0"/>
        <v>46</v>
      </c>
      <c r="D6" s="2973">
        <f t="shared" si="0"/>
        <v>239</v>
      </c>
      <c r="E6" s="2973">
        <f t="shared" si="0"/>
        <v>163</v>
      </c>
      <c r="F6" s="2973">
        <f t="shared" si="0"/>
        <v>1979</v>
      </c>
      <c r="G6" s="2973">
        <f t="shared" si="0"/>
        <v>22</v>
      </c>
      <c r="H6" s="2973">
        <f t="shared" si="0"/>
        <v>361</v>
      </c>
      <c r="I6" s="162"/>
    </row>
    <row r="7" spans="1:14">
      <c r="A7" s="2983" t="s">
        <v>33</v>
      </c>
      <c r="B7" s="2984">
        <f t="shared" ref="B7:B23" si="1">SUM(C7:H7)</f>
        <v>62</v>
      </c>
      <c r="C7" s="2961">
        <v>0</v>
      </c>
      <c r="D7" s="213">
        <v>0</v>
      </c>
      <c r="E7" s="2956">
        <v>9</v>
      </c>
      <c r="F7" s="2956">
        <v>33</v>
      </c>
      <c r="G7" s="213">
        <v>0</v>
      </c>
      <c r="H7" s="2985">
        <v>20</v>
      </c>
      <c r="I7" s="162"/>
    </row>
    <row r="8" spans="1:14">
      <c r="A8" s="2983" t="s">
        <v>35</v>
      </c>
      <c r="B8" s="2984">
        <f t="shared" si="1"/>
        <v>198</v>
      </c>
      <c r="C8" s="2961">
        <v>0</v>
      </c>
      <c r="D8" s="213">
        <v>0</v>
      </c>
      <c r="E8" s="2956">
        <v>5</v>
      </c>
      <c r="F8" s="2956">
        <v>155</v>
      </c>
      <c r="G8" s="213">
        <v>13</v>
      </c>
      <c r="H8" s="2985">
        <v>25</v>
      </c>
      <c r="J8" s="188"/>
      <c r="K8" s="188"/>
      <c r="L8" s="188"/>
    </row>
    <row r="9" spans="1:14">
      <c r="A9" s="2983" t="s">
        <v>9</v>
      </c>
      <c r="B9" s="2984">
        <f t="shared" si="1"/>
        <v>145</v>
      </c>
      <c r="C9" s="2961">
        <v>4</v>
      </c>
      <c r="D9" s="213">
        <v>0</v>
      </c>
      <c r="E9" s="2956">
        <v>10</v>
      </c>
      <c r="F9" s="2956">
        <v>60</v>
      </c>
      <c r="G9" s="213">
        <v>3</v>
      </c>
      <c r="H9" s="2985">
        <v>68</v>
      </c>
    </row>
    <row r="10" spans="1:14">
      <c r="A10" s="2983" t="s">
        <v>175</v>
      </c>
      <c r="B10" s="2984">
        <f t="shared" si="1"/>
        <v>83</v>
      </c>
      <c r="C10" s="2961">
        <v>2</v>
      </c>
      <c r="D10" s="213">
        <v>0</v>
      </c>
      <c r="E10" s="2956">
        <v>9</v>
      </c>
      <c r="F10" s="2956">
        <v>51</v>
      </c>
      <c r="G10" s="213">
        <v>0</v>
      </c>
      <c r="H10" s="2985">
        <v>21</v>
      </c>
    </row>
    <row r="11" spans="1:14">
      <c r="A11" s="2983" t="s">
        <v>176</v>
      </c>
      <c r="B11" s="2984">
        <f t="shared" si="1"/>
        <v>100</v>
      </c>
      <c r="C11" s="2961">
        <v>2</v>
      </c>
      <c r="D11" s="213">
        <v>0</v>
      </c>
      <c r="E11" s="2956">
        <v>2</v>
      </c>
      <c r="F11" s="2956">
        <v>70</v>
      </c>
      <c r="G11" s="213">
        <v>0</v>
      </c>
      <c r="H11" s="2985">
        <v>26</v>
      </c>
    </row>
    <row r="12" spans="1:14">
      <c r="A12" s="2983" t="s">
        <v>12</v>
      </c>
      <c r="B12" s="2984">
        <f t="shared" si="1"/>
        <v>466</v>
      </c>
      <c r="C12" s="2961">
        <v>11</v>
      </c>
      <c r="D12" s="213">
        <v>1</v>
      </c>
      <c r="E12" s="2956">
        <v>23</v>
      </c>
      <c r="F12" s="2956">
        <v>381</v>
      </c>
      <c r="G12" s="213">
        <v>0</v>
      </c>
      <c r="H12" s="2985">
        <v>50</v>
      </c>
    </row>
    <row r="13" spans="1:14">
      <c r="A13" s="2983" t="s">
        <v>186</v>
      </c>
      <c r="B13" s="2984">
        <f t="shared" si="1"/>
        <v>743</v>
      </c>
      <c r="C13" s="2961">
        <v>15</v>
      </c>
      <c r="D13" s="213">
        <v>233</v>
      </c>
      <c r="E13" s="2956">
        <v>42</v>
      </c>
      <c r="F13" s="2956">
        <v>434</v>
      </c>
      <c r="G13" s="213">
        <v>6</v>
      </c>
      <c r="H13" s="2985">
        <v>13</v>
      </c>
    </row>
    <row r="14" spans="1:14">
      <c r="A14" s="2983" t="s">
        <v>187</v>
      </c>
      <c r="B14" s="2984">
        <f t="shared" si="1"/>
        <v>296</v>
      </c>
      <c r="C14" s="2961">
        <v>2</v>
      </c>
      <c r="D14" s="213">
        <v>0</v>
      </c>
      <c r="E14" s="2956">
        <v>33</v>
      </c>
      <c r="F14" s="2956">
        <v>191</v>
      </c>
      <c r="G14" s="213">
        <v>0</v>
      </c>
      <c r="H14" s="2985">
        <v>70</v>
      </c>
    </row>
    <row r="15" spans="1:14">
      <c r="A15" s="2983" t="s">
        <v>177</v>
      </c>
      <c r="B15" s="2984">
        <f t="shared" si="1"/>
        <v>96</v>
      </c>
      <c r="C15" s="2961">
        <v>0</v>
      </c>
      <c r="D15" s="213">
        <v>0</v>
      </c>
      <c r="E15" s="2956">
        <v>3</v>
      </c>
      <c r="F15" s="2956">
        <v>73</v>
      </c>
      <c r="G15" s="213">
        <v>0</v>
      </c>
      <c r="H15" s="2985">
        <v>20</v>
      </c>
    </row>
    <row r="16" spans="1:14">
      <c r="A16" s="2983" t="s">
        <v>178</v>
      </c>
      <c r="B16" s="2984">
        <f t="shared" si="1"/>
        <v>147</v>
      </c>
      <c r="C16" s="2961">
        <v>2</v>
      </c>
      <c r="D16" s="213">
        <v>0</v>
      </c>
      <c r="E16" s="2956">
        <v>7</v>
      </c>
      <c r="F16" s="2956">
        <v>130</v>
      </c>
      <c r="G16" s="213">
        <v>0</v>
      </c>
      <c r="H16" s="2985">
        <v>8</v>
      </c>
    </row>
    <row r="17" spans="1:8">
      <c r="A17" s="2983" t="s">
        <v>179</v>
      </c>
      <c r="B17" s="2984">
        <f t="shared" si="1"/>
        <v>38</v>
      </c>
      <c r="C17" s="2961">
        <v>1</v>
      </c>
      <c r="D17" s="213">
        <v>0</v>
      </c>
      <c r="E17" s="2956">
        <v>0</v>
      </c>
      <c r="F17" s="2956">
        <v>31</v>
      </c>
      <c r="G17" s="213">
        <v>0</v>
      </c>
      <c r="H17" s="2985">
        <v>6</v>
      </c>
    </row>
    <row r="18" spans="1:8">
      <c r="A18" s="2983" t="s">
        <v>180</v>
      </c>
      <c r="B18" s="2984">
        <f t="shared" si="1"/>
        <v>192</v>
      </c>
      <c r="C18" s="2961">
        <v>2</v>
      </c>
      <c r="D18" s="213">
        <v>1</v>
      </c>
      <c r="E18" s="2956">
        <v>11</v>
      </c>
      <c r="F18" s="2956">
        <v>156</v>
      </c>
      <c r="G18" s="213">
        <v>0</v>
      </c>
      <c r="H18" s="2985">
        <v>22</v>
      </c>
    </row>
    <row r="19" spans="1:8">
      <c r="A19" s="2983" t="s">
        <v>181</v>
      </c>
      <c r="B19" s="2984">
        <f t="shared" si="1"/>
        <v>65</v>
      </c>
      <c r="C19" s="2961">
        <v>0</v>
      </c>
      <c r="D19" s="213">
        <v>1</v>
      </c>
      <c r="E19" s="2956">
        <v>1</v>
      </c>
      <c r="F19" s="2956">
        <v>61</v>
      </c>
      <c r="G19" s="213">
        <v>0</v>
      </c>
      <c r="H19" s="2985">
        <v>2</v>
      </c>
    </row>
    <row r="20" spans="1:8">
      <c r="A20" s="2983" t="s">
        <v>182</v>
      </c>
      <c r="B20" s="2984">
        <f t="shared" si="1"/>
        <v>67</v>
      </c>
      <c r="C20" s="2961">
        <v>1</v>
      </c>
      <c r="D20" s="213">
        <v>3</v>
      </c>
      <c r="E20" s="2956">
        <v>6</v>
      </c>
      <c r="F20" s="2956">
        <v>51</v>
      </c>
      <c r="G20" s="213">
        <v>0</v>
      </c>
      <c r="H20" s="2985">
        <v>6</v>
      </c>
    </row>
    <row r="21" spans="1:8">
      <c r="A21" s="2983" t="s">
        <v>183</v>
      </c>
      <c r="B21" s="2984">
        <f t="shared" si="1"/>
        <v>88</v>
      </c>
      <c r="C21" s="2961">
        <v>3</v>
      </c>
      <c r="D21" s="213">
        <v>0</v>
      </c>
      <c r="E21" s="2956">
        <v>1</v>
      </c>
      <c r="F21" s="2956">
        <v>83</v>
      </c>
      <c r="G21" s="213">
        <v>0</v>
      </c>
      <c r="H21" s="2985">
        <v>1</v>
      </c>
    </row>
    <row r="22" spans="1:8">
      <c r="A22" s="2983" t="s">
        <v>184</v>
      </c>
      <c r="B22" s="2984">
        <f t="shared" si="1"/>
        <v>2</v>
      </c>
      <c r="C22" s="2961">
        <v>1</v>
      </c>
      <c r="D22" s="213">
        <v>0</v>
      </c>
      <c r="E22" s="2956">
        <v>0</v>
      </c>
      <c r="F22" s="2956">
        <v>1</v>
      </c>
      <c r="G22" s="213">
        <v>0</v>
      </c>
      <c r="H22" s="2985">
        <v>0</v>
      </c>
    </row>
    <row r="23" spans="1:8">
      <c r="A23" s="2983" t="s">
        <v>185</v>
      </c>
      <c r="B23" s="2984">
        <f t="shared" si="1"/>
        <v>22</v>
      </c>
      <c r="C23" s="2961">
        <v>0</v>
      </c>
      <c r="D23" s="213">
        <v>0</v>
      </c>
      <c r="E23" s="2956">
        <v>1</v>
      </c>
      <c r="F23" s="2956">
        <v>18</v>
      </c>
      <c r="G23" s="213">
        <v>0</v>
      </c>
      <c r="H23" s="2985">
        <v>3</v>
      </c>
    </row>
    <row r="25" spans="1:8" ht="17.25" customHeight="1">
      <c r="A25" s="189" t="s">
        <v>22</v>
      </c>
      <c r="B25" s="190"/>
      <c r="C25" s="190"/>
      <c r="D25" s="173"/>
      <c r="E25" s="173"/>
      <c r="F25" s="173"/>
      <c r="G25" s="173"/>
      <c r="H25" s="173"/>
    </row>
    <row r="26" spans="1:8" ht="14.25" customHeight="1">
      <c r="A26" s="96" t="s">
        <v>188</v>
      </c>
      <c r="H26" s="173"/>
    </row>
    <row r="27" spans="1:8">
      <c r="H27" s="173"/>
    </row>
  </sheetData>
  <mergeCells count="4">
    <mergeCell ref="A4:A5"/>
    <mergeCell ref="B4:B5"/>
    <mergeCell ref="C4:H4"/>
    <mergeCell ref="A2:H2"/>
  </mergeCells>
  <pageMargins left="0.74803149606299213" right="0.74803149606299213" top="0.98425196850393704" bottom="0.98425196850393704" header="0" footer="0"/>
  <pageSetup paperSize="14" orientation="landscape" r:id="rId1"/>
  <headerFooter alignWithMargins="0"/>
</worksheet>
</file>

<file path=xl/worksheets/sheet327.xml><?xml version="1.0" encoding="utf-8"?>
<worksheet xmlns="http://schemas.openxmlformats.org/spreadsheetml/2006/main" xmlns:r="http://schemas.openxmlformats.org/officeDocument/2006/relationships">
  <dimension ref="A1:R27"/>
  <sheetViews>
    <sheetView zoomScaleNormal="100" workbookViewId="0">
      <selection activeCell="C31" sqref="C31"/>
    </sheetView>
  </sheetViews>
  <sheetFormatPr baseColWidth="10" defaultRowHeight="12"/>
  <cols>
    <col min="1" max="1" width="23.85546875" style="48" customWidth="1"/>
    <col min="2" max="2" width="11.42578125" style="48"/>
    <col min="3" max="3" width="13.5703125" style="48" customWidth="1"/>
    <col min="4" max="4" width="17.140625" style="48" customWidth="1"/>
    <col min="5" max="5" width="15.85546875" style="48" customWidth="1"/>
    <col min="6" max="6" width="15.7109375" style="48" customWidth="1"/>
    <col min="7" max="7" width="16.85546875" style="48" customWidth="1"/>
    <col min="8" max="16384" width="11.42578125" style="48"/>
  </cols>
  <sheetData>
    <row r="1" spans="1:18" s="96" customFormat="1">
      <c r="A1" s="184"/>
      <c r="H1" s="173"/>
    </row>
    <row r="2" spans="1:18" s="96" customFormat="1" ht="25.5" customHeight="1">
      <c r="A2" s="2645" t="s">
        <v>3151</v>
      </c>
      <c r="B2" s="2645"/>
      <c r="C2" s="2645"/>
      <c r="D2" s="2645"/>
      <c r="E2" s="2645"/>
      <c r="F2" s="2645"/>
      <c r="G2" s="2645"/>
    </row>
    <row r="3" spans="1:18" s="96" customFormat="1" ht="11.25"/>
    <row r="4" spans="1:18" s="96" customFormat="1" ht="12.75" customHeight="1">
      <c r="A4" s="2643" t="s">
        <v>171</v>
      </c>
      <c r="B4" s="2582" t="s">
        <v>26</v>
      </c>
      <c r="C4" s="2639" t="s">
        <v>3150</v>
      </c>
      <c r="D4" s="2639"/>
      <c r="E4" s="2639"/>
      <c r="F4" s="2639"/>
      <c r="G4" s="2639"/>
    </row>
    <row r="5" spans="1:18" s="96" customFormat="1" ht="90">
      <c r="A5" s="2980"/>
      <c r="B5" s="2257"/>
      <c r="C5" s="2012" t="s">
        <v>3149</v>
      </c>
      <c r="D5" s="2012" t="s">
        <v>3234</v>
      </c>
      <c r="E5" s="2012" t="s">
        <v>3235</v>
      </c>
      <c r="F5" s="2012" t="s">
        <v>3232</v>
      </c>
      <c r="G5" s="2012" t="s">
        <v>3233</v>
      </c>
      <c r="M5" s="170"/>
      <c r="N5" s="170"/>
      <c r="O5" s="170"/>
      <c r="P5" s="170"/>
      <c r="Q5" s="170"/>
      <c r="R5" s="170"/>
    </row>
    <row r="6" spans="1:18" s="96" customFormat="1" ht="11.25">
      <c r="A6" s="192" t="s">
        <v>6</v>
      </c>
      <c r="B6" s="202">
        <f t="shared" ref="B6:G6" si="0">SUM(B7:B23)</f>
        <v>1329</v>
      </c>
      <c r="C6" s="202">
        <f t="shared" si="0"/>
        <v>129</v>
      </c>
      <c r="D6" s="202">
        <f t="shared" si="0"/>
        <v>108</v>
      </c>
      <c r="E6" s="202">
        <f t="shared" si="0"/>
        <v>939</v>
      </c>
      <c r="F6" s="202">
        <f t="shared" si="0"/>
        <v>151</v>
      </c>
      <c r="G6" s="202">
        <f t="shared" si="0"/>
        <v>2</v>
      </c>
    </row>
    <row r="7" spans="1:18" s="96" customFormat="1" ht="11.25">
      <c r="A7" s="2983" t="s">
        <v>33</v>
      </c>
      <c r="B7" s="202">
        <f t="shared" ref="B7:B23" si="1">SUM(C7:G7)</f>
        <v>21</v>
      </c>
      <c r="C7" s="250">
        <v>0</v>
      </c>
      <c r="D7" s="250">
        <v>0</v>
      </c>
      <c r="E7" s="250">
        <v>4</v>
      </c>
      <c r="F7" s="250">
        <v>17</v>
      </c>
      <c r="G7" s="202">
        <v>0</v>
      </c>
      <c r="H7" s="177"/>
    </row>
    <row r="8" spans="1:18" s="96" customFormat="1" ht="11.25">
      <c r="A8" s="2983" t="s">
        <v>35</v>
      </c>
      <c r="B8" s="202">
        <f t="shared" si="1"/>
        <v>62</v>
      </c>
      <c r="C8" s="250">
        <v>0</v>
      </c>
      <c r="D8" s="250">
        <v>0</v>
      </c>
      <c r="E8" s="250">
        <v>54</v>
      </c>
      <c r="F8" s="250">
        <v>6</v>
      </c>
      <c r="G8" s="202">
        <v>2</v>
      </c>
      <c r="K8" s="170"/>
      <c r="L8" s="170"/>
    </row>
    <row r="9" spans="1:18" s="96" customFormat="1" ht="11.25">
      <c r="A9" s="2983" t="s">
        <v>9</v>
      </c>
      <c r="B9" s="202">
        <f t="shared" si="1"/>
        <v>78</v>
      </c>
      <c r="C9" s="250">
        <v>3</v>
      </c>
      <c r="D9" s="250">
        <v>4</v>
      </c>
      <c r="E9" s="250">
        <v>51</v>
      </c>
      <c r="F9" s="250">
        <v>20</v>
      </c>
      <c r="G9" s="202">
        <v>0</v>
      </c>
    </row>
    <row r="10" spans="1:18" s="96" customFormat="1" ht="11.25">
      <c r="A10" s="2983" t="s">
        <v>175</v>
      </c>
      <c r="B10" s="202">
        <f t="shared" si="1"/>
        <v>31</v>
      </c>
      <c r="C10" s="250">
        <v>0</v>
      </c>
      <c r="D10" s="250">
        <v>6</v>
      </c>
      <c r="E10" s="250">
        <v>13</v>
      </c>
      <c r="F10" s="250">
        <v>12</v>
      </c>
      <c r="G10" s="202">
        <v>0</v>
      </c>
    </row>
    <row r="11" spans="1:18" s="96" customFormat="1" ht="11.25">
      <c r="A11" s="2983" t="s">
        <v>176</v>
      </c>
      <c r="B11" s="202">
        <f t="shared" si="1"/>
        <v>76</v>
      </c>
      <c r="C11" s="250">
        <v>0</v>
      </c>
      <c r="D11" s="250">
        <v>0</v>
      </c>
      <c r="E11" s="250">
        <v>59</v>
      </c>
      <c r="F11" s="250">
        <v>17</v>
      </c>
      <c r="G11" s="202">
        <v>0</v>
      </c>
    </row>
    <row r="12" spans="1:18" s="96" customFormat="1" ht="11.25">
      <c r="A12" s="2983" t="s">
        <v>12</v>
      </c>
      <c r="B12" s="202">
        <f t="shared" si="1"/>
        <v>196</v>
      </c>
      <c r="C12" s="250">
        <v>1</v>
      </c>
      <c r="D12" s="250">
        <v>14</v>
      </c>
      <c r="E12" s="250">
        <v>156</v>
      </c>
      <c r="F12" s="250">
        <v>25</v>
      </c>
      <c r="G12" s="202">
        <v>0</v>
      </c>
    </row>
    <row r="13" spans="1:18" s="96" customFormat="1" ht="11.25">
      <c r="A13" s="2983" t="s">
        <v>186</v>
      </c>
      <c r="B13" s="202">
        <f t="shared" si="1"/>
        <v>319</v>
      </c>
      <c r="C13" s="250">
        <v>123</v>
      </c>
      <c r="D13" s="250">
        <v>3</v>
      </c>
      <c r="E13" s="250">
        <v>193</v>
      </c>
      <c r="F13" s="250">
        <v>0</v>
      </c>
      <c r="G13" s="202">
        <v>0</v>
      </c>
    </row>
    <row r="14" spans="1:18" s="96" customFormat="1" ht="11.25">
      <c r="A14" s="2983" t="s">
        <v>187</v>
      </c>
      <c r="B14" s="202">
        <f t="shared" si="1"/>
        <v>100</v>
      </c>
      <c r="C14" s="250">
        <v>0</v>
      </c>
      <c r="D14" s="250">
        <v>16</v>
      </c>
      <c r="E14" s="250">
        <v>84</v>
      </c>
      <c r="F14" s="250">
        <v>0</v>
      </c>
      <c r="G14" s="202">
        <v>0</v>
      </c>
    </row>
    <row r="15" spans="1:18" s="96" customFormat="1" ht="11.25">
      <c r="A15" s="2983" t="s">
        <v>177</v>
      </c>
      <c r="B15" s="202">
        <f t="shared" si="1"/>
        <v>129</v>
      </c>
      <c r="C15" s="250">
        <v>0</v>
      </c>
      <c r="D15" s="250">
        <v>44</v>
      </c>
      <c r="E15" s="250">
        <v>59</v>
      </c>
      <c r="F15" s="250">
        <v>26</v>
      </c>
      <c r="G15" s="202">
        <v>0</v>
      </c>
    </row>
    <row r="16" spans="1:18" s="96" customFormat="1" ht="11.25">
      <c r="A16" s="2983" t="s">
        <v>178</v>
      </c>
      <c r="B16" s="202">
        <f t="shared" si="1"/>
        <v>52</v>
      </c>
      <c r="C16" s="250">
        <v>0</v>
      </c>
      <c r="D16" s="250">
        <v>3</v>
      </c>
      <c r="E16" s="250">
        <v>43</v>
      </c>
      <c r="F16" s="250">
        <v>6</v>
      </c>
      <c r="G16" s="202">
        <v>0</v>
      </c>
    </row>
    <row r="17" spans="1:7" s="96" customFormat="1" ht="11.25">
      <c r="A17" s="2983" t="s">
        <v>179</v>
      </c>
      <c r="B17" s="202">
        <f t="shared" si="1"/>
        <v>26</v>
      </c>
      <c r="C17" s="250">
        <v>0</v>
      </c>
      <c r="D17" s="250">
        <v>0</v>
      </c>
      <c r="E17" s="250">
        <v>24</v>
      </c>
      <c r="F17" s="250">
        <v>2</v>
      </c>
      <c r="G17" s="202">
        <v>0</v>
      </c>
    </row>
    <row r="18" spans="1:7" s="96" customFormat="1" ht="11.25">
      <c r="A18" s="2983" t="s">
        <v>180</v>
      </c>
      <c r="B18" s="202">
        <f t="shared" si="1"/>
        <v>74</v>
      </c>
      <c r="C18" s="250">
        <v>1</v>
      </c>
      <c r="D18" s="250">
        <v>1</v>
      </c>
      <c r="E18" s="250">
        <v>56</v>
      </c>
      <c r="F18" s="250">
        <v>16</v>
      </c>
      <c r="G18" s="202">
        <v>0</v>
      </c>
    </row>
    <row r="19" spans="1:7" s="96" customFormat="1" ht="11.25">
      <c r="A19" s="2983" t="s">
        <v>181</v>
      </c>
      <c r="B19" s="202">
        <f t="shared" si="1"/>
        <v>49</v>
      </c>
      <c r="C19" s="250">
        <v>1</v>
      </c>
      <c r="D19" s="250">
        <v>0</v>
      </c>
      <c r="E19" s="250">
        <v>46</v>
      </c>
      <c r="F19" s="250">
        <v>2</v>
      </c>
      <c r="G19" s="202">
        <v>0</v>
      </c>
    </row>
    <row r="20" spans="1:7" s="96" customFormat="1" ht="11.25">
      <c r="A20" s="2983" t="s">
        <v>182</v>
      </c>
      <c r="B20" s="202">
        <f t="shared" si="1"/>
        <v>39</v>
      </c>
      <c r="C20" s="250">
        <v>0</v>
      </c>
      <c r="D20" s="250">
        <v>10</v>
      </c>
      <c r="E20" s="250">
        <v>29</v>
      </c>
      <c r="F20" s="250">
        <v>0</v>
      </c>
      <c r="G20" s="202">
        <v>0</v>
      </c>
    </row>
    <row r="21" spans="1:7" s="96" customFormat="1" ht="11.25">
      <c r="A21" s="2983" t="s">
        <v>183</v>
      </c>
      <c r="B21" s="202">
        <f t="shared" si="1"/>
        <v>66</v>
      </c>
      <c r="C21" s="250">
        <v>0</v>
      </c>
      <c r="D21" s="250">
        <v>1</v>
      </c>
      <c r="E21" s="250">
        <v>64</v>
      </c>
      <c r="F21" s="250">
        <v>1</v>
      </c>
      <c r="G21" s="202">
        <v>0</v>
      </c>
    </row>
    <row r="22" spans="1:7" s="96" customFormat="1" ht="11.25">
      <c r="A22" s="2983" t="s">
        <v>184</v>
      </c>
      <c r="B22" s="202">
        <f t="shared" si="1"/>
        <v>0</v>
      </c>
      <c r="C22" s="250">
        <v>0</v>
      </c>
      <c r="D22" s="250">
        <v>0</v>
      </c>
      <c r="E22" s="250">
        <v>0</v>
      </c>
      <c r="F22" s="250">
        <v>0</v>
      </c>
      <c r="G22" s="202">
        <v>0</v>
      </c>
    </row>
    <row r="23" spans="1:7" s="96" customFormat="1" ht="11.25">
      <c r="A23" s="2983" t="s">
        <v>185</v>
      </c>
      <c r="B23" s="202">
        <f t="shared" si="1"/>
        <v>11</v>
      </c>
      <c r="C23" s="250">
        <v>0</v>
      </c>
      <c r="D23" s="250">
        <v>6</v>
      </c>
      <c r="E23" s="250">
        <v>4</v>
      </c>
      <c r="F23" s="250">
        <v>1</v>
      </c>
      <c r="G23" s="202">
        <v>0</v>
      </c>
    </row>
    <row r="24" spans="1:7" s="96" customFormat="1" ht="11.25">
      <c r="A24" s="185"/>
      <c r="B24" s="186"/>
      <c r="G24" s="179"/>
    </row>
    <row r="25" spans="1:7" s="96" customFormat="1" ht="11.25">
      <c r="A25" s="2629" t="s">
        <v>22</v>
      </c>
      <c r="B25" s="2629"/>
      <c r="C25" s="2629"/>
      <c r="D25" s="2629"/>
      <c r="E25" s="2629"/>
      <c r="F25" s="2629"/>
      <c r="G25" s="2629"/>
    </row>
    <row r="26" spans="1:7" s="96" customFormat="1" ht="11.25">
      <c r="A26" s="2378" t="s">
        <v>188</v>
      </c>
      <c r="B26" s="2378"/>
      <c r="C26" s="2378"/>
      <c r="D26" s="2378"/>
      <c r="E26" s="2378"/>
      <c r="F26" s="2378"/>
      <c r="G26" s="2378"/>
    </row>
    <row r="27" spans="1:7" s="96" customFormat="1" ht="11.25"/>
  </sheetData>
  <mergeCells count="6">
    <mergeCell ref="A26:G26"/>
    <mergeCell ref="A2:G2"/>
    <mergeCell ref="A4:A5"/>
    <mergeCell ref="B4:B5"/>
    <mergeCell ref="C4:G4"/>
    <mergeCell ref="A25:G25"/>
  </mergeCells>
  <pageMargins left="0.70866141732283472" right="0.70866141732283472" top="0.74803149606299213" bottom="0.74803149606299213" header="0.31496062992125984" footer="0.31496062992125984"/>
  <pageSetup paperSize="14" orientation="portrait" verticalDpi="599" r:id="rId1"/>
</worksheet>
</file>

<file path=xl/worksheets/sheet328.xml><?xml version="1.0" encoding="utf-8"?>
<worksheet xmlns="http://schemas.openxmlformats.org/spreadsheetml/2006/main" xmlns:r="http://schemas.openxmlformats.org/officeDocument/2006/relationships">
  <dimension ref="A2:M26"/>
  <sheetViews>
    <sheetView zoomScaleNormal="100" workbookViewId="0">
      <selection activeCell="C34" sqref="C34"/>
    </sheetView>
  </sheetViews>
  <sheetFormatPr baseColWidth="10" defaultRowHeight="11.25"/>
  <cols>
    <col min="1" max="1" width="22.28515625" style="181" customWidth="1"/>
    <col min="2" max="3" width="11.5703125" style="181" customWidth="1"/>
    <col min="4" max="4" width="11.42578125" style="181" customWidth="1"/>
    <col min="5" max="5" width="14.42578125" style="181" customWidth="1"/>
    <col min="6" max="6" width="12.140625" style="181" customWidth="1"/>
    <col min="7" max="7" width="13" style="181" customWidth="1"/>
    <col min="8" max="8" width="9.28515625" style="181" bestFit="1" customWidth="1"/>
    <col min="9" max="9" width="9.7109375" style="181" bestFit="1" customWidth="1"/>
    <col min="10" max="10" width="9.28515625" style="181" bestFit="1" customWidth="1"/>
    <col min="11" max="11" width="9.7109375" style="181" bestFit="1" customWidth="1"/>
    <col min="12" max="12" width="9.28515625" style="181" bestFit="1" customWidth="1"/>
    <col min="13" max="13" width="9.7109375" style="181" bestFit="1" customWidth="1"/>
    <col min="14" max="15" width="11.42578125" style="181"/>
    <col min="16" max="16" width="11" style="181" customWidth="1"/>
    <col min="17" max="16384" width="11.42578125" style="181"/>
  </cols>
  <sheetData>
    <row r="2" spans="1:13" ht="27.75" customHeight="1">
      <c r="A2" s="2646" t="s">
        <v>3158</v>
      </c>
      <c r="B2" s="2646"/>
      <c r="C2" s="2646"/>
      <c r="D2" s="2646"/>
      <c r="E2" s="2646"/>
      <c r="F2" s="2646"/>
      <c r="G2" s="2646"/>
      <c r="H2" s="2646"/>
      <c r="I2" s="2646"/>
      <c r="J2" s="2646"/>
      <c r="K2" s="2646"/>
      <c r="L2" s="2646"/>
      <c r="M2" s="2646"/>
    </row>
    <row r="3" spans="1:13">
      <c r="A3" s="181" t="s">
        <v>3157</v>
      </c>
    </row>
    <row r="4" spans="1:13" ht="55.5" customHeight="1">
      <c r="A4" s="2225" t="s">
        <v>3156</v>
      </c>
      <c r="B4" s="2225" t="s">
        <v>3155</v>
      </c>
      <c r="C4" s="2225"/>
      <c r="D4" s="2225" t="s">
        <v>3234</v>
      </c>
      <c r="E4" s="2225"/>
      <c r="F4" s="2225" t="s">
        <v>3236</v>
      </c>
      <c r="G4" s="2225"/>
      <c r="H4" s="2225" t="s">
        <v>3154</v>
      </c>
      <c r="I4" s="2225"/>
      <c r="J4" s="2225" t="s">
        <v>3153</v>
      </c>
      <c r="K4" s="2225"/>
      <c r="L4" s="2225" t="s">
        <v>3152</v>
      </c>
      <c r="M4" s="2225"/>
    </row>
    <row r="5" spans="1:13" ht="21.75" customHeight="1">
      <c r="A5" s="2225"/>
      <c r="B5" s="2010" t="s">
        <v>173</v>
      </c>
      <c r="C5" s="2010" t="s">
        <v>174</v>
      </c>
      <c r="D5" s="2010" t="s">
        <v>173</v>
      </c>
      <c r="E5" s="2010" t="s">
        <v>174</v>
      </c>
      <c r="F5" s="2010" t="s">
        <v>173</v>
      </c>
      <c r="G5" s="2010" t="s">
        <v>174</v>
      </c>
      <c r="H5" s="2010" t="s">
        <v>173</v>
      </c>
      <c r="I5" s="2010" t="s">
        <v>174</v>
      </c>
      <c r="J5" s="2010" t="s">
        <v>173</v>
      </c>
      <c r="K5" s="2010" t="s">
        <v>174</v>
      </c>
      <c r="L5" s="2010" t="s">
        <v>173</v>
      </c>
      <c r="M5" s="2010" t="s">
        <v>174</v>
      </c>
    </row>
    <row r="6" spans="1:13" s="182" customFormat="1">
      <c r="A6" s="1231" t="s">
        <v>6</v>
      </c>
      <c r="B6" s="2987">
        <f t="shared" ref="B6:M6" si="0">SUM(B7:B23)</f>
        <v>2322</v>
      </c>
      <c r="C6" s="2987">
        <f t="shared" si="0"/>
        <v>3530</v>
      </c>
      <c r="D6" s="2987">
        <f t="shared" si="0"/>
        <v>129</v>
      </c>
      <c r="E6" s="2987">
        <f t="shared" si="0"/>
        <v>129</v>
      </c>
      <c r="F6" s="2987">
        <f t="shared" si="0"/>
        <v>311</v>
      </c>
      <c r="G6" s="2987">
        <f t="shared" si="0"/>
        <v>429</v>
      </c>
      <c r="H6" s="2987">
        <f t="shared" si="0"/>
        <v>22</v>
      </c>
      <c r="I6" s="2987">
        <f t="shared" si="0"/>
        <v>45</v>
      </c>
      <c r="J6" s="2987">
        <f t="shared" si="0"/>
        <v>204</v>
      </c>
      <c r="K6" s="2987">
        <f t="shared" si="0"/>
        <v>469</v>
      </c>
      <c r="L6" s="2987">
        <f t="shared" si="0"/>
        <v>1656</v>
      </c>
      <c r="M6" s="2987">
        <f t="shared" si="0"/>
        <v>2458</v>
      </c>
    </row>
    <row r="7" spans="1:13">
      <c r="A7" s="1291" t="s">
        <v>33</v>
      </c>
      <c r="B7" s="2988">
        <v>63</v>
      </c>
      <c r="C7" s="2988">
        <v>101</v>
      </c>
      <c r="D7" s="2988">
        <v>9</v>
      </c>
      <c r="E7" s="2988">
        <v>0</v>
      </c>
      <c r="F7" s="2988">
        <v>20</v>
      </c>
      <c r="G7" s="2988">
        <v>44</v>
      </c>
      <c r="H7" s="2988">
        <v>0</v>
      </c>
      <c r="I7" s="2988">
        <v>0</v>
      </c>
      <c r="J7" s="2988">
        <v>0</v>
      </c>
      <c r="K7" s="2988">
        <v>13</v>
      </c>
      <c r="L7" s="2988">
        <v>34</v>
      </c>
      <c r="M7" s="2988">
        <v>44</v>
      </c>
    </row>
    <row r="8" spans="1:13">
      <c r="A8" s="1291" t="s">
        <v>35</v>
      </c>
      <c r="B8" s="2988">
        <v>163</v>
      </c>
      <c r="C8" s="2988">
        <v>221</v>
      </c>
      <c r="D8" s="2988">
        <v>4</v>
      </c>
      <c r="E8" s="2988">
        <v>4</v>
      </c>
      <c r="F8" s="2988">
        <v>23</v>
      </c>
      <c r="G8" s="2988">
        <v>8</v>
      </c>
      <c r="H8" s="2988">
        <v>13</v>
      </c>
      <c r="I8" s="2988">
        <v>36</v>
      </c>
      <c r="J8" s="2988">
        <v>0</v>
      </c>
      <c r="K8" s="2988">
        <v>21</v>
      </c>
      <c r="L8" s="2988">
        <v>123</v>
      </c>
      <c r="M8" s="2988">
        <v>152</v>
      </c>
    </row>
    <row r="9" spans="1:13">
      <c r="A9" s="1291" t="s">
        <v>9</v>
      </c>
      <c r="B9" s="2988">
        <v>110</v>
      </c>
      <c r="C9" s="2988">
        <v>150</v>
      </c>
      <c r="D9" s="2988">
        <v>8</v>
      </c>
      <c r="E9" s="2988">
        <v>11</v>
      </c>
      <c r="F9" s="2988">
        <v>57</v>
      </c>
      <c r="G9" s="2988">
        <v>47</v>
      </c>
      <c r="H9" s="2988">
        <v>2</v>
      </c>
      <c r="I9" s="2988">
        <v>1</v>
      </c>
      <c r="J9" s="2988">
        <v>0</v>
      </c>
      <c r="K9" s="2988">
        <v>20</v>
      </c>
      <c r="L9" s="2988">
        <v>43</v>
      </c>
      <c r="M9" s="2988">
        <v>71</v>
      </c>
    </row>
    <row r="10" spans="1:13">
      <c r="A10" s="1291" t="s">
        <v>175</v>
      </c>
      <c r="B10" s="2988">
        <v>64</v>
      </c>
      <c r="C10" s="2988">
        <v>80</v>
      </c>
      <c r="D10" s="2988">
        <v>7</v>
      </c>
      <c r="E10" s="2988">
        <v>8</v>
      </c>
      <c r="F10" s="2988">
        <v>19</v>
      </c>
      <c r="G10" s="2988">
        <v>22</v>
      </c>
      <c r="H10" s="2988">
        <v>0</v>
      </c>
      <c r="I10" s="2988">
        <v>0</v>
      </c>
      <c r="J10" s="2988">
        <v>0</v>
      </c>
      <c r="K10" s="2988">
        <v>4</v>
      </c>
      <c r="L10" s="2988">
        <v>38</v>
      </c>
      <c r="M10" s="2988">
        <v>46</v>
      </c>
    </row>
    <row r="11" spans="1:13">
      <c r="A11" s="1291" t="s">
        <v>176</v>
      </c>
      <c r="B11" s="2988">
        <v>81</v>
      </c>
      <c r="C11" s="2988">
        <v>154</v>
      </c>
      <c r="D11" s="2988">
        <v>1</v>
      </c>
      <c r="E11" s="2988">
        <v>1</v>
      </c>
      <c r="F11" s="2988">
        <v>23</v>
      </c>
      <c r="G11" s="2988">
        <v>21</v>
      </c>
      <c r="H11" s="2988">
        <v>0</v>
      </c>
      <c r="I11" s="2988">
        <v>0</v>
      </c>
      <c r="J11" s="2988">
        <v>0</v>
      </c>
      <c r="K11" s="2988">
        <v>19</v>
      </c>
      <c r="L11" s="2988">
        <v>57</v>
      </c>
      <c r="M11" s="2988">
        <v>113</v>
      </c>
    </row>
    <row r="12" spans="1:13">
      <c r="A12" s="1291" t="s">
        <v>12</v>
      </c>
      <c r="B12" s="2988">
        <v>349</v>
      </c>
      <c r="C12" s="2988">
        <v>547</v>
      </c>
      <c r="D12" s="2988">
        <v>18</v>
      </c>
      <c r="E12" s="2988">
        <v>23</v>
      </c>
      <c r="F12" s="2988">
        <v>39</v>
      </c>
      <c r="G12" s="2988">
        <v>53</v>
      </c>
      <c r="H12" s="2988">
        <v>1</v>
      </c>
      <c r="I12" s="2988">
        <v>0</v>
      </c>
      <c r="J12" s="2988">
        <v>1</v>
      </c>
      <c r="K12" s="2988">
        <v>45</v>
      </c>
      <c r="L12" s="2988">
        <v>290</v>
      </c>
      <c r="M12" s="2988">
        <v>426</v>
      </c>
    </row>
    <row r="13" spans="1:13">
      <c r="A13" s="1291" t="s">
        <v>186</v>
      </c>
      <c r="B13" s="2988">
        <v>633</v>
      </c>
      <c r="C13" s="2988">
        <v>1065</v>
      </c>
      <c r="D13" s="2988">
        <v>31</v>
      </c>
      <c r="E13" s="2988">
        <v>42</v>
      </c>
      <c r="F13" s="2988">
        <v>13</v>
      </c>
      <c r="G13" s="2988">
        <v>37</v>
      </c>
      <c r="H13" s="2988">
        <v>6</v>
      </c>
      <c r="I13" s="2988">
        <v>7</v>
      </c>
      <c r="J13" s="2988">
        <v>201</v>
      </c>
      <c r="K13" s="2988">
        <v>300</v>
      </c>
      <c r="L13" s="2988">
        <v>382</v>
      </c>
      <c r="M13" s="2988">
        <v>679</v>
      </c>
    </row>
    <row r="14" spans="1:13">
      <c r="A14" s="1291" t="s">
        <v>187</v>
      </c>
      <c r="B14" s="2988">
        <v>253</v>
      </c>
      <c r="C14" s="2988">
        <v>414</v>
      </c>
      <c r="D14" s="2988">
        <v>27</v>
      </c>
      <c r="E14" s="2988">
        <v>14</v>
      </c>
      <c r="F14" s="2988">
        <v>57</v>
      </c>
      <c r="G14" s="2988">
        <v>109</v>
      </c>
      <c r="H14" s="2988">
        <v>0</v>
      </c>
      <c r="I14" s="2988">
        <v>0</v>
      </c>
      <c r="J14" s="2988">
        <v>0</v>
      </c>
      <c r="K14" s="2988">
        <v>11</v>
      </c>
      <c r="L14" s="2988">
        <v>169</v>
      </c>
      <c r="M14" s="2988">
        <v>280</v>
      </c>
    </row>
    <row r="15" spans="1:13">
      <c r="A15" s="1291" t="s">
        <v>177</v>
      </c>
      <c r="B15" s="2988">
        <v>76</v>
      </c>
      <c r="C15" s="2988">
        <v>152</v>
      </c>
      <c r="D15" s="2988">
        <v>3</v>
      </c>
      <c r="E15" s="2988">
        <v>4</v>
      </c>
      <c r="F15" s="2988">
        <v>16</v>
      </c>
      <c r="G15" s="2988">
        <v>26</v>
      </c>
      <c r="H15" s="2988">
        <v>0</v>
      </c>
      <c r="I15" s="2988">
        <v>0</v>
      </c>
      <c r="J15" s="2988">
        <v>0</v>
      </c>
      <c r="K15" s="2988">
        <v>0</v>
      </c>
      <c r="L15" s="2988">
        <v>57</v>
      </c>
      <c r="M15" s="2988">
        <v>122</v>
      </c>
    </row>
    <row r="16" spans="1:13">
      <c r="A16" s="1291" t="s">
        <v>178</v>
      </c>
      <c r="B16" s="2988">
        <v>129</v>
      </c>
      <c r="C16" s="2988">
        <v>162</v>
      </c>
      <c r="D16" s="2988">
        <v>6</v>
      </c>
      <c r="E16" s="2988">
        <v>8</v>
      </c>
      <c r="F16" s="2988">
        <v>7</v>
      </c>
      <c r="G16" s="2988">
        <v>17</v>
      </c>
      <c r="H16" s="2988">
        <v>0</v>
      </c>
      <c r="I16" s="2988">
        <v>0</v>
      </c>
      <c r="J16" s="2988">
        <v>0</v>
      </c>
      <c r="K16" s="2988">
        <v>20</v>
      </c>
      <c r="L16" s="2988">
        <v>116</v>
      </c>
      <c r="M16" s="2988">
        <v>117</v>
      </c>
    </row>
    <row r="17" spans="1:13">
      <c r="A17" s="1291" t="s">
        <v>179</v>
      </c>
      <c r="B17" s="2988">
        <v>26</v>
      </c>
      <c r="C17" s="2988">
        <v>59</v>
      </c>
      <c r="D17" s="2988">
        <v>1</v>
      </c>
      <c r="E17" s="2988">
        <v>1</v>
      </c>
      <c r="F17" s="2988">
        <v>5</v>
      </c>
      <c r="G17" s="2988">
        <v>7</v>
      </c>
      <c r="H17" s="2988">
        <v>0</v>
      </c>
      <c r="I17" s="2988">
        <v>0</v>
      </c>
      <c r="J17" s="2988">
        <v>0</v>
      </c>
      <c r="K17" s="2988">
        <v>5</v>
      </c>
      <c r="L17" s="2988">
        <v>20</v>
      </c>
      <c r="M17" s="2988">
        <v>46</v>
      </c>
    </row>
    <row r="18" spans="1:13">
      <c r="A18" s="1291" t="s">
        <v>180</v>
      </c>
      <c r="B18" s="2988">
        <v>169</v>
      </c>
      <c r="C18" s="2988">
        <v>153</v>
      </c>
      <c r="D18" s="2988">
        <v>6</v>
      </c>
      <c r="E18" s="2988">
        <v>2</v>
      </c>
      <c r="F18" s="2988">
        <v>20</v>
      </c>
      <c r="G18" s="2988">
        <v>25</v>
      </c>
      <c r="H18" s="2988">
        <v>0</v>
      </c>
      <c r="I18" s="2988">
        <v>1</v>
      </c>
      <c r="J18" s="2988">
        <v>1</v>
      </c>
      <c r="K18" s="2988">
        <v>3</v>
      </c>
      <c r="L18" s="2988">
        <v>142</v>
      </c>
      <c r="M18" s="2988">
        <v>122</v>
      </c>
    </row>
    <row r="19" spans="1:13">
      <c r="A19" s="1291" t="s">
        <v>181</v>
      </c>
      <c r="B19" s="2988">
        <v>61</v>
      </c>
      <c r="C19" s="2988">
        <v>92</v>
      </c>
      <c r="D19" s="2988">
        <v>1</v>
      </c>
      <c r="E19" s="2988">
        <v>2</v>
      </c>
      <c r="F19" s="2988">
        <v>2</v>
      </c>
      <c r="G19" s="2988">
        <v>4</v>
      </c>
      <c r="H19" s="2988">
        <v>0</v>
      </c>
      <c r="I19" s="2988">
        <v>0</v>
      </c>
      <c r="J19" s="2988">
        <v>1</v>
      </c>
      <c r="K19" s="2988">
        <v>7</v>
      </c>
      <c r="L19" s="2988">
        <v>57</v>
      </c>
      <c r="M19" s="2988">
        <v>79</v>
      </c>
    </row>
    <row r="20" spans="1:13">
      <c r="A20" s="1291" t="s">
        <v>182</v>
      </c>
      <c r="B20" s="2988">
        <v>53</v>
      </c>
      <c r="C20" s="2988">
        <v>61</v>
      </c>
      <c r="D20" s="2988">
        <v>5</v>
      </c>
      <c r="E20" s="2988">
        <v>5</v>
      </c>
      <c r="F20" s="2988">
        <v>5</v>
      </c>
      <c r="G20" s="2988">
        <v>3</v>
      </c>
      <c r="H20" s="2988">
        <v>0</v>
      </c>
      <c r="I20" s="2988">
        <v>0</v>
      </c>
      <c r="J20" s="2988">
        <v>0</v>
      </c>
      <c r="K20" s="2988">
        <v>0</v>
      </c>
      <c r="L20" s="2988">
        <v>43</v>
      </c>
      <c r="M20" s="2988">
        <v>53</v>
      </c>
    </row>
    <row r="21" spans="1:13">
      <c r="A21" s="1291" t="s">
        <v>183</v>
      </c>
      <c r="B21" s="2988">
        <v>73</v>
      </c>
      <c r="C21" s="2988">
        <v>99</v>
      </c>
      <c r="D21" s="2988">
        <v>1</v>
      </c>
      <c r="E21" s="2988">
        <v>1</v>
      </c>
      <c r="F21" s="2988">
        <v>2</v>
      </c>
      <c r="G21" s="2988">
        <v>5</v>
      </c>
      <c r="H21" s="2988">
        <v>0</v>
      </c>
      <c r="I21" s="2988">
        <v>0</v>
      </c>
      <c r="J21" s="2988">
        <v>0</v>
      </c>
      <c r="K21" s="2988">
        <v>1</v>
      </c>
      <c r="L21" s="2988">
        <v>70</v>
      </c>
      <c r="M21" s="2988">
        <v>92</v>
      </c>
    </row>
    <row r="22" spans="1:13">
      <c r="A22" s="1291" t="s">
        <v>184</v>
      </c>
      <c r="B22" s="2988">
        <v>1</v>
      </c>
      <c r="C22" s="2988">
        <v>2</v>
      </c>
      <c r="D22" s="2988">
        <v>0</v>
      </c>
      <c r="E22" s="2988">
        <v>0</v>
      </c>
      <c r="F22" s="2988">
        <v>0</v>
      </c>
      <c r="G22" s="2988">
        <v>0</v>
      </c>
      <c r="H22" s="2988">
        <v>0</v>
      </c>
      <c r="I22" s="2988">
        <v>0</v>
      </c>
      <c r="J22" s="2988">
        <v>0</v>
      </c>
      <c r="K22" s="2988">
        <v>0</v>
      </c>
      <c r="L22" s="2988">
        <v>1</v>
      </c>
      <c r="M22" s="2988">
        <v>2</v>
      </c>
    </row>
    <row r="23" spans="1:13">
      <c r="A23" s="1291" t="s">
        <v>185</v>
      </c>
      <c r="B23" s="2988">
        <v>18</v>
      </c>
      <c r="C23" s="2988">
        <v>18</v>
      </c>
      <c r="D23" s="2988">
        <v>1</v>
      </c>
      <c r="E23" s="2988">
        <v>3</v>
      </c>
      <c r="F23" s="2988">
        <v>3</v>
      </c>
      <c r="G23" s="2988">
        <v>1</v>
      </c>
      <c r="H23" s="2988">
        <v>0</v>
      </c>
      <c r="I23" s="2988">
        <v>0</v>
      </c>
      <c r="J23" s="2988">
        <v>0</v>
      </c>
      <c r="K23" s="2988">
        <v>0</v>
      </c>
      <c r="L23" s="2988">
        <v>14</v>
      </c>
      <c r="M23" s="2988">
        <v>14</v>
      </c>
    </row>
    <row r="25" spans="1:13">
      <c r="A25" s="183" t="s">
        <v>22</v>
      </c>
    </row>
    <row r="26" spans="1:13">
      <c r="A26" s="183" t="s">
        <v>188</v>
      </c>
      <c r="B26" s="183"/>
      <c r="C26" s="183"/>
      <c r="D26" s="183"/>
      <c r="E26" s="183"/>
      <c r="F26" s="183"/>
      <c r="G26" s="183"/>
      <c r="H26" s="183"/>
      <c r="I26" s="183"/>
      <c r="J26" s="183"/>
      <c r="K26" s="183"/>
      <c r="L26" s="183"/>
      <c r="M26" s="183"/>
    </row>
  </sheetData>
  <mergeCells count="8">
    <mergeCell ref="A2:M2"/>
    <mergeCell ref="A4:A5"/>
    <mergeCell ref="B4:C4"/>
    <mergeCell ref="D4:E4"/>
    <mergeCell ref="F4:G4"/>
    <mergeCell ref="H4:I4"/>
    <mergeCell ref="J4:K4"/>
    <mergeCell ref="L4:M4"/>
  </mergeCells>
  <pageMargins left="0.75" right="0.75" top="1" bottom="1" header="0" footer="0"/>
  <pageSetup paperSize="14" orientation="landscape" r:id="rId1"/>
  <headerFooter alignWithMargins="0"/>
</worksheet>
</file>

<file path=xl/worksheets/sheet329.xml><?xml version="1.0" encoding="utf-8"?>
<worksheet xmlns="http://schemas.openxmlformats.org/spreadsheetml/2006/main" xmlns:r="http://schemas.openxmlformats.org/officeDocument/2006/relationships">
  <dimension ref="A1:H31"/>
  <sheetViews>
    <sheetView zoomScaleNormal="100" workbookViewId="0">
      <selection activeCell="A37" sqref="A37"/>
    </sheetView>
  </sheetViews>
  <sheetFormatPr baseColWidth="10" defaultRowHeight="12"/>
  <cols>
    <col min="1" max="1" width="26.28515625" style="48" customWidth="1"/>
    <col min="2" max="16384" width="11.42578125" style="48"/>
  </cols>
  <sheetData>
    <row r="1" spans="1:8" s="96" customFormat="1" ht="11.25">
      <c r="A1" s="174"/>
      <c r="B1" s="174"/>
      <c r="C1" s="174"/>
      <c r="D1" s="174"/>
      <c r="E1" s="174"/>
      <c r="F1" s="174"/>
    </row>
    <row r="2" spans="1:8" s="96" customFormat="1" ht="30" customHeight="1">
      <c r="A2" s="2647" t="s">
        <v>3160</v>
      </c>
      <c r="B2" s="2647"/>
      <c r="C2" s="2647"/>
      <c r="D2" s="2647"/>
      <c r="E2" s="2647"/>
      <c r="F2" s="2647"/>
      <c r="G2" s="2647"/>
      <c r="H2" s="95"/>
    </row>
    <row r="3" spans="1:8" s="177" customFormat="1" ht="11.25">
      <c r="A3" s="175"/>
      <c r="B3" s="175"/>
      <c r="C3" s="175"/>
      <c r="D3" s="175"/>
      <c r="E3" s="175"/>
      <c r="F3" s="175"/>
      <c r="G3" s="175"/>
      <c r="H3" s="176"/>
    </row>
    <row r="4" spans="1:8" s="164" customFormat="1" ht="23.25" customHeight="1">
      <c r="A4" s="2004" t="s">
        <v>3159</v>
      </c>
      <c r="B4" s="2004" t="s">
        <v>3314</v>
      </c>
      <c r="C4" s="2004" t="s">
        <v>3315</v>
      </c>
      <c r="D4" s="2004" t="s">
        <v>3316</v>
      </c>
      <c r="E4" s="2004" t="s">
        <v>3317</v>
      </c>
      <c r="F4" s="2004" t="s">
        <v>3318</v>
      </c>
      <c r="G4" s="2004">
        <v>2014</v>
      </c>
    </row>
    <row r="5" spans="1:8" s="142" customFormat="1" ht="11.25">
      <c r="A5" s="2981" t="s">
        <v>6</v>
      </c>
      <c r="B5" s="489">
        <v>6031</v>
      </c>
      <c r="C5" s="489">
        <v>5369</v>
      </c>
      <c r="D5" s="489">
        <v>4466</v>
      </c>
      <c r="E5" s="489">
        <v>3327</v>
      </c>
      <c r="F5" s="489">
        <v>2892</v>
      </c>
      <c r="G5" s="489">
        <v>2425</v>
      </c>
      <c r="H5" s="178"/>
    </row>
    <row r="6" spans="1:8" s="96" customFormat="1" ht="11.25">
      <c r="A6" s="1712" t="s">
        <v>7</v>
      </c>
      <c r="B6" s="2989">
        <v>266</v>
      </c>
      <c r="C6" s="2989">
        <v>192</v>
      </c>
      <c r="D6" s="2989">
        <v>177</v>
      </c>
      <c r="E6" s="2989">
        <v>84</v>
      </c>
      <c r="F6" s="2989">
        <v>96</v>
      </c>
      <c r="G6" s="2989">
        <v>57</v>
      </c>
      <c r="H6" s="168"/>
    </row>
    <row r="7" spans="1:8" s="96" customFormat="1" ht="11.25">
      <c r="A7" s="2709" t="s">
        <v>8</v>
      </c>
      <c r="B7" s="2989">
        <v>217</v>
      </c>
      <c r="C7" s="2989">
        <v>232</v>
      </c>
      <c r="D7" s="2989">
        <v>224</v>
      </c>
      <c r="E7" s="2989">
        <v>206</v>
      </c>
      <c r="F7" s="2989">
        <v>206</v>
      </c>
      <c r="G7" s="2989">
        <v>167</v>
      </c>
      <c r="H7" s="168"/>
    </row>
    <row r="8" spans="1:8" s="96" customFormat="1" ht="11.25">
      <c r="A8" s="2709" t="s">
        <v>9</v>
      </c>
      <c r="B8" s="2989">
        <v>236</v>
      </c>
      <c r="C8" s="2989">
        <v>252</v>
      </c>
      <c r="D8" s="2989">
        <v>163</v>
      </c>
      <c r="E8" s="2989">
        <v>128</v>
      </c>
      <c r="F8" s="2989">
        <v>109</v>
      </c>
      <c r="G8" s="2989">
        <v>153</v>
      </c>
      <c r="H8" s="168"/>
    </row>
    <row r="9" spans="1:8" s="96" customFormat="1" ht="11.25">
      <c r="A9" s="2709" t="s">
        <v>10</v>
      </c>
      <c r="B9" s="2989">
        <v>110</v>
      </c>
      <c r="C9" s="2989">
        <v>73</v>
      </c>
      <c r="D9" s="2989">
        <v>55</v>
      </c>
      <c r="E9" s="2989">
        <v>50</v>
      </c>
      <c r="F9" s="2989">
        <v>71</v>
      </c>
      <c r="G9" s="2989">
        <v>69</v>
      </c>
      <c r="H9" s="168"/>
    </row>
    <row r="10" spans="1:8" s="96" customFormat="1" ht="11.25">
      <c r="A10" s="2709" t="s">
        <v>11</v>
      </c>
      <c r="B10" s="2989">
        <v>197</v>
      </c>
      <c r="C10" s="2989">
        <v>201</v>
      </c>
      <c r="D10" s="2989">
        <v>93</v>
      </c>
      <c r="E10" s="2989">
        <v>95</v>
      </c>
      <c r="F10" s="2989">
        <v>126</v>
      </c>
      <c r="G10" s="2989">
        <v>79</v>
      </c>
      <c r="H10" s="168"/>
    </row>
    <row r="11" spans="1:8" s="96" customFormat="1" ht="11.25">
      <c r="A11" s="2709" t="s">
        <v>12</v>
      </c>
      <c r="B11" s="2989">
        <v>620</v>
      </c>
      <c r="C11" s="2989">
        <v>634</v>
      </c>
      <c r="D11" s="2989">
        <v>553</v>
      </c>
      <c r="E11" s="2989">
        <v>404</v>
      </c>
      <c r="F11" s="2989">
        <v>351</v>
      </c>
      <c r="G11" s="2989">
        <v>365</v>
      </c>
      <c r="H11" s="168"/>
    </row>
    <row r="12" spans="1:8" s="96" customFormat="1" ht="12.75">
      <c r="A12" s="479" t="s">
        <v>3306</v>
      </c>
      <c r="B12" s="2989">
        <v>1082</v>
      </c>
      <c r="C12" s="2989">
        <v>997</v>
      </c>
      <c r="D12" s="2989">
        <v>766</v>
      </c>
      <c r="E12" s="2989">
        <v>592</v>
      </c>
      <c r="F12" s="2989">
        <v>536</v>
      </c>
      <c r="G12" s="2989">
        <v>445</v>
      </c>
      <c r="H12" s="168"/>
    </row>
    <row r="13" spans="1:8" s="96" customFormat="1" ht="12.75">
      <c r="A13" s="177" t="s">
        <v>3307</v>
      </c>
      <c r="B13" s="2989">
        <v>680</v>
      </c>
      <c r="C13" s="2989">
        <v>501</v>
      </c>
      <c r="D13" s="2989">
        <v>475</v>
      </c>
      <c r="E13" s="2989">
        <v>250</v>
      </c>
      <c r="F13" s="2989">
        <v>206</v>
      </c>
      <c r="G13" s="2989">
        <v>181</v>
      </c>
      <c r="H13" s="168"/>
    </row>
    <row r="14" spans="1:8" s="96" customFormat="1" ht="12.75">
      <c r="A14" s="177" t="s">
        <v>3308</v>
      </c>
      <c r="B14" s="2989">
        <v>370</v>
      </c>
      <c r="C14" s="2989">
        <v>344</v>
      </c>
      <c r="D14" s="2989">
        <v>265</v>
      </c>
      <c r="E14" s="2989">
        <v>181</v>
      </c>
      <c r="F14" s="2989">
        <v>178</v>
      </c>
      <c r="G14" s="2989">
        <v>112</v>
      </c>
      <c r="H14" s="168"/>
    </row>
    <row r="15" spans="1:8" s="96" customFormat="1" ht="12.75">
      <c r="A15" s="177" t="s">
        <v>3309</v>
      </c>
      <c r="B15" s="2989">
        <v>688</v>
      </c>
      <c r="C15" s="2989">
        <v>571</v>
      </c>
      <c r="D15" s="2989">
        <v>478</v>
      </c>
      <c r="E15" s="2989">
        <v>364</v>
      </c>
      <c r="F15" s="2989">
        <v>256</v>
      </c>
      <c r="G15" s="2989">
        <v>137</v>
      </c>
      <c r="H15" s="168"/>
    </row>
    <row r="16" spans="1:8" s="96" customFormat="1" ht="11.25">
      <c r="A16" s="1712" t="s">
        <v>14</v>
      </c>
      <c r="B16" s="2989">
        <v>269</v>
      </c>
      <c r="C16" s="2989">
        <v>254</v>
      </c>
      <c r="D16" s="2989">
        <v>249</v>
      </c>
      <c r="E16" s="2989">
        <v>215</v>
      </c>
      <c r="F16" s="2989">
        <v>154</v>
      </c>
      <c r="G16" s="2989">
        <v>87</v>
      </c>
      <c r="H16" s="168"/>
    </row>
    <row r="17" spans="1:8" s="96" customFormat="1" ht="11.25">
      <c r="A17" s="2709" t="s">
        <v>15</v>
      </c>
      <c r="B17" s="2989">
        <v>314</v>
      </c>
      <c r="C17" s="2989">
        <v>202</v>
      </c>
      <c r="D17" s="2989">
        <v>149</v>
      </c>
      <c r="E17" s="2989">
        <v>158</v>
      </c>
      <c r="F17" s="2989">
        <v>114</v>
      </c>
      <c r="G17" s="2989">
        <v>149</v>
      </c>
      <c r="H17" s="168"/>
    </row>
    <row r="18" spans="1:8" s="96" customFormat="1" ht="11.25">
      <c r="A18" s="2709" t="s">
        <v>16</v>
      </c>
      <c r="B18" s="2989">
        <v>490</v>
      </c>
      <c r="C18" s="2989">
        <v>353</v>
      </c>
      <c r="D18" s="2989">
        <v>352</v>
      </c>
      <c r="E18" s="2989">
        <v>249</v>
      </c>
      <c r="F18" s="2989">
        <v>213</v>
      </c>
      <c r="G18" s="2989">
        <v>218</v>
      </c>
      <c r="H18" s="168"/>
    </row>
    <row r="19" spans="1:8" s="96" customFormat="1" ht="11.25">
      <c r="A19" s="2709" t="s">
        <v>379</v>
      </c>
      <c r="B19" s="2989">
        <v>152</v>
      </c>
      <c r="C19" s="2989">
        <v>192</v>
      </c>
      <c r="D19" s="2989">
        <v>113</v>
      </c>
      <c r="E19" s="2989">
        <v>66</v>
      </c>
      <c r="F19" s="2989">
        <v>91</v>
      </c>
      <c r="G19" s="2989">
        <v>59</v>
      </c>
      <c r="H19" s="168"/>
    </row>
    <row r="20" spans="1:8" s="96" customFormat="1" ht="11.25">
      <c r="A20" s="2709" t="s">
        <v>18</v>
      </c>
      <c r="B20" s="2989">
        <v>69</v>
      </c>
      <c r="C20" s="2989">
        <v>63</v>
      </c>
      <c r="D20" s="2989">
        <v>49</v>
      </c>
      <c r="E20" s="2989">
        <v>40</v>
      </c>
      <c r="F20" s="2989">
        <v>36</v>
      </c>
      <c r="G20" s="2989">
        <v>32</v>
      </c>
      <c r="H20" s="168"/>
    </row>
    <row r="21" spans="1:8" s="96" customFormat="1" ht="11.25">
      <c r="A21" s="2709" t="s">
        <v>19</v>
      </c>
      <c r="B21" s="2989">
        <v>235</v>
      </c>
      <c r="C21" s="2989">
        <v>278</v>
      </c>
      <c r="D21" s="2989">
        <v>264</v>
      </c>
      <c r="E21" s="2989">
        <v>220</v>
      </c>
      <c r="F21" s="2989">
        <v>131</v>
      </c>
      <c r="G21" s="2989">
        <v>97</v>
      </c>
      <c r="H21" s="168"/>
    </row>
    <row r="22" spans="1:8" s="96" customFormat="1" ht="11.25">
      <c r="A22" s="2709" t="s">
        <v>20</v>
      </c>
      <c r="B22" s="2989">
        <v>14</v>
      </c>
      <c r="C22" s="2989">
        <v>11</v>
      </c>
      <c r="D22" s="2989">
        <v>11</v>
      </c>
      <c r="E22" s="2989">
        <v>3</v>
      </c>
      <c r="F22" s="2989">
        <v>2</v>
      </c>
      <c r="G22" s="2989">
        <v>2</v>
      </c>
      <c r="H22" s="168"/>
    </row>
    <row r="23" spans="1:8" s="96" customFormat="1" ht="11.25">
      <c r="A23" s="1712" t="s">
        <v>21</v>
      </c>
      <c r="B23" s="2989">
        <v>22</v>
      </c>
      <c r="C23" s="2989">
        <v>19</v>
      </c>
      <c r="D23" s="2989">
        <v>30</v>
      </c>
      <c r="E23" s="2989">
        <v>22</v>
      </c>
      <c r="F23" s="2989">
        <v>16</v>
      </c>
      <c r="G23" s="2989">
        <v>16</v>
      </c>
      <c r="H23" s="168"/>
    </row>
    <row r="24" spans="1:8" s="96" customFormat="1" ht="11.25">
      <c r="B24" s="179"/>
      <c r="C24" s="173"/>
      <c r="D24" s="173"/>
      <c r="E24" s="168"/>
      <c r="G24" s="168"/>
      <c r="H24" s="168"/>
    </row>
    <row r="25" spans="1:8" s="96" customFormat="1" ht="11.25">
      <c r="A25" s="2378" t="s">
        <v>3319</v>
      </c>
      <c r="B25" s="2378"/>
      <c r="C25" s="2378"/>
      <c r="D25" s="2378"/>
      <c r="E25" s="2378"/>
      <c r="F25" s="2378"/>
    </row>
    <row r="26" spans="1:8" s="96" customFormat="1" ht="11.25">
      <c r="A26" s="170" t="s">
        <v>3320</v>
      </c>
      <c r="B26" s="174"/>
      <c r="C26" s="174"/>
      <c r="D26" s="174"/>
      <c r="E26" s="174"/>
      <c r="F26" s="174"/>
    </row>
    <row r="27" spans="1:8" s="96" customFormat="1" ht="11.25">
      <c r="A27" s="96" t="s">
        <v>3321</v>
      </c>
      <c r="B27" s="174"/>
      <c r="C27" s="174"/>
      <c r="D27" s="174"/>
      <c r="E27" s="174"/>
      <c r="F27" s="174"/>
    </row>
    <row r="28" spans="1:8" s="96" customFormat="1" ht="11.25">
      <c r="A28" s="96" t="s">
        <v>3322</v>
      </c>
      <c r="B28" s="174"/>
      <c r="C28" s="174"/>
      <c r="D28" s="174"/>
      <c r="E28" s="174"/>
      <c r="F28" s="174"/>
    </row>
    <row r="29" spans="1:8" s="96" customFormat="1" ht="11.25">
      <c r="A29" s="96" t="s">
        <v>3323</v>
      </c>
      <c r="B29" s="174"/>
      <c r="C29" s="174"/>
      <c r="D29" s="174"/>
      <c r="E29" s="174"/>
      <c r="F29" s="174"/>
    </row>
    <row r="30" spans="1:8" s="96" customFormat="1" ht="11.25">
      <c r="A30" s="2378" t="s">
        <v>677</v>
      </c>
      <c r="B30" s="2378"/>
      <c r="C30" s="2378"/>
      <c r="D30" s="2378"/>
      <c r="E30" s="2378"/>
      <c r="F30" s="2378"/>
    </row>
    <row r="31" spans="1:8">
      <c r="A31" s="180"/>
      <c r="B31" s="180"/>
      <c r="C31" s="180"/>
      <c r="D31" s="180"/>
      <c r="E31" s="180"/>
      <c r="F31" s="180"/>
    </row>
  </sheetData>
  <mergeCells count="3">
    <mergeCell ref="A25:F25"/>
    <mergeCell ref="A30:F30"/>
    <mergeCell ref="A2:G2"/>
  </mergeCells>
  <pageMargins left="0.70866141732283472" right="0.70866141732283472" top="0.74803149606299213" bottom="0.74803149606299213" header="0.31496062992125984" footer="0.31496062992125984"/>
  <pageSetup paperSize="14" orientation="portrait" verticalDpi="599" r:id="rId1"/>
</worksheet>
</file>

<file path=xl/worksheets/sheet33.xml><?xml version="1.0" encoding="utf-8"?>
<worksheet xmlns="http://schemas.openxmlformats.org/spreadsheetml/2006/main" xmlns:r="http://schemas.openxmlformats.org/officeDocument/2006/relationships">
  <dimension ref="A1:C14"/>
  <sheetViews>
    <sheetView zoomScaleNormal="100" workbookViewId="0">
      <selection activeCell="A16" sqref="A16"/>
    </sheetView>
  </sheetViews>
  <sheetFormatPr baseColWidth="10" defaultRowHeight="11.25"/>
  <cols>
    <col min="1" max="1" width="52.42578125" style="2" customWidth="1"/>
    <col min="2" max="3" width="12.85546875" style="2" customWidth="1"/>
    <col min="4" max="4" width="3.42578125" style="2" customWidth="1"/>
    <col min="5" max="5" width="11.42578125" style="2"/>
    <col min="6" max="6" width="42.140625" style="2" customWidth="1"/>
    <col min="7" max="16384" width="11.42578125" style="2"/>
  </cols>
  <sheetData>
    <row r="1" spans="1:3" ht="13.5" customHeight="1"/>
    <row r="2" spans="1:3" ht="23.25" customHeight="1">
      <c r="A2" s="2096" t="s">
        <v>990</v>
      </c>
      <c r="B2" s="2096"/>
      <c r="C2" s="2096"/>
    </row>
    <row r="3" spans="1:3">
      <c r="A3" s="1882"/>
      <c r="B3" s="1882"/>
      <c r="C3" s="1882"/>
    </row>
    <row r="4" spans="1:3" s="4" customFormat="1">
      <c r="A4" s="2097" t="s">
        <v>0</v>
      </c>
      <c r="B4" s="2099" t="s">
        <v>671</v>
      </c>
      <c r="C4" s="2100"/>
    </row>
    <row r="5" spans="1:3" s="4" customFormat="1">
      <c r="A5" s="2098"/>
      <c r="B5" s="41">
        <v>2013</v>
      </c>
      <c r="C5" s="42">
        <v>2014</v>
      </c>
    </row>
    <row r="6" spans="1:3">
      <c r="A6" s="5" t="s">
        <v>6</v>
      </c>
      <c r="B6" s="6">
        <f>SUM(B7:B8)</f>
        <v>1</v>
      </c>
      <c r="C6" s="6">
        <f>SUM(C7:C8)</f>
        <v>1</v>
      </c>
    </row>
    <row r="7" spans="1:3" ht="24">
      <c r="A7" s="1891" t="s">
        <v>3867</v>
      </c>
      <c r="B7" s="338">
        <v>1</v>
      </c>
      <c r="C7" s="338">
        <v>1</v>
      </c>
    </row>
    <row r="8" spans="1:3" ht="24">
      <c r="A8" s="369" t="s">
        <v>3868</v>
      </c>
      <c r="B8" s="338">
        <v>0</v>
      </c>
      <c r="C8" s="338">
        <v>0</v>
      </c>
    </row>
    <row r="10" spans="1:3" ht="24.75" customHeight="1">
      <c r="A10" s="2094" t="s">
        <v>3869</v>
      </c>
      <c r="B10" s="2094"/>
      <c r="C10" s="2094"/>
    </row>
    <row r="11" spans="1:3">
      <c r="A11" s="2094" t="s">
        <v>3870</v>
      </c>
      <c r="B11" s="2094"/>
      <c r="C11" s="2094"/>
    </row>
    <row r="12" spans="1:3">
      <c r="A12" s="2094" t="s">
        <v>3871</v>
      </c>
      <c r="B12" s="2094"/>
      <c r="C12" s="2094"/>
    </row>
    <row r="13" spans="1:3">
      <c r="A13" s="1890" t="s">
        <v>747</v>
      </c>
      <c r="B13" s="1892"/>
      <c r="C13" s="1892"/>
    </row>
    <row r="14" spans="1:3" ht="24" customHeight="1">
      <c r="A14" s="2095" t="s">
        <v>861</v>
      </c>
      <c r="B14" s="2095"/>
      <c r="C14" s="2095"/>
    </row>
  </sheetData>
  <mergeCells count="7">
    <mergeCell ref="A11:C11"/>
    <mergeCell ref="A12:C12"/>
    <mergeCell ref="A14:C14"/>
    <mergeCell ref="A2:C2"/>
    <mergeCell ref="A4:A5"/>
    <mergeCell ref="B4:C4"/>
    <mergeCell ref="A10:C10"/>
  </mergeCells>
  <pageMargins left="0.7" right="0.7" top="0.75" bottom="0.75" header="0.3" footer="0.3"/>
</worksheet>
</file>

<file path=xl/worksheets/sheet330.xml><?xml version="1.0" encoding="utf-8"?>
<worksheet xmlns="http://schemas.openxmlformats.org/spreadsheetml/2006/main" xmlns:r="http://schemas.openxmlformats.org/officeDocument/2006/relationships">
  <dimension ref="A1:G31"/>
  <sheetViews>
    <sheetView zoomScaleNormal="100" workbookViewId="0">
      <selection activeCell="F37" sqref="F37"/>
    </sheetView>
  </sheetViews>
  <sheetFormatPr baseColWidth="10" defaultRowHeight="12"/>
  <cols>
    <col min="1" max="1" width="29.42578125" style="48" customWidth="1"/>
    <col min="2" max="16384" width="11.42578125" style="48"/>
  </cols>
  <sheetData>
    <row r="1" spans="1:7">
      <c r="A1" s="172"/>
    </row>
    <row r="2" spans="1:7" s="96" customFormat="1" ht="25.5" customHeight="1">
      <c r="A2" s="2641" t="s">
        <v>3161</v>
      </c>
      <c r="B2" s="2641"/>
      <c r="C2" s="2641"/>
      <c r="D2" s="2641"/>
      <c r="E2" s="2641"/>
      <c r="F2" s="2641"/>
      <c r="G2" s="2641"/>
    </row>
    <row r="3" spans="1:7" s="96" customFormat="1">
      <c r="B3" s="2648"/>
      <c r="C3" s="2648"/>
      <c r="D3" s="2648"/>
    </row>
    <row r="4" spans="1:7" s="164" customFormat="1" ht="27.75" customHeight="1">
      <c r="A4" s="2004" t="s">
        <v>3159</v>
      </c>
      <c r="B4" s="2004" t="s">
        <v>3314</v>
      </c>
      <c r="C4" s="2004" t="s">
        <v>3315</v>
      </c>
      <c r="D4" s="2004" t="s">
        <v>3316</v>
      </c>
      <c r="E4" s="2004" t="s">
        <v>3317</v>
      </c>
      <c r="F4" s="2004" t="s">
        <v>3318</v>
      </c>
      <c r="G4" s="2004">
        <v>2014</v>
      </c>
    </row>
    <row r="5" spans="1:7" s="96" customFormat="1" ht="11.25">
      <c r="A5" s="2990" t="s">
        <v>6</v>
      </c>
      <c r="B5" s="186">
        <f t="shared" ref="B5:G5" si="0">SUM(B6:B23)</f>
        <v>6495</v>
      </c>
      <c r="C5" s="186">
        <f t="shared" si="0"/>
        <v>6174</v>
      </c>
      <c r="D5" s="186">
        <f t="shared" si="0"/>
        <v>7273</v>
      </c>
      <c r="E5" s="186">
        <f t="shared" si="0"/>
        <v>5939</v>
      </c>
      <c r="F5" s="186">
        <f t="shared" si="0"/>
        <v>4545</v>
      </c>
      <c r="G5" s="186">
        <f t="shared" si="0"/>
        <v>3856</v>
      </c>
    </row>
    <row r="6" spans="1:7" s="96" customFormat="1" ht="11.25">
      <c r="A6" s="1712" t="s">
        <v>7</v>
      </c>
      <c r="B6" s="215">
        <v>313</v>
      </c>
      <c r="C6" s="215">
        <v>344</v>
      </c>
      <c r="D6" s="215">
        <v>242</v>
      </c>
      <c r="E6" s="215">
        <v>212</v>
      </c>
      <c r="F6" s="177">
        <v>164</v>
      </c>
      <c r="G6" s="177">
        <v>70</v>
      </c>
    </row>
    <row r="7" spans="1:7" s="96" customFormat="1" ht="11.25">
      <c r="A7" s="2709" t="s">
        <v>8</v>
      </c>
      <c r="B7" s="215">
        <v>201</v>
      </c>
      <c r="C7" s="215">
        <v>228</v>
      </c>
      <c r="D7" s="215">
        <v>327</v>
      </c>
      <c r="E7" s="215">
        <v>449</v>
      </c>
      <c r="F7" s="177">
        <v>278</v>
      </c>
      <c r="G7" s="177">
        <v>240</v>
      </c>
    </row>
    <row r="8" spans="1:7" s="96" customFormat="1" ht="11.25">
      <c r="A8" s="2709" t="s">
        <v>9</v>
      </c>
      <c r="B8" s="215">
        <v>287</v>
      </c>
      <c r="C8" s="215">
        <v>270</v>
      </c>
      <c r="D8" s="215">
        <v>255</v>
      </c>
      <c r="E8" s="215">
        <v>165</v>
      </c>
      <c r="F8" s="177">
        <v>143</v>
      </c>
      <c r="G8" s="177">
        <v>155</v>
      </c>
    </row>
    <row r="9" spans="1:7" s="96" customFormat="1" ht="11.25">
      <c r="A9" s="2709" t="s">
        <v>10</v>
      </c>
      <c r="B9" s="215">
        <v>138</v>
      </c>
      <c r="C9" s="215">
        <v>109</v>
      </c>
      <c r="D9" s="215">
        <v>79</v>
      </c>
      <c r="E9" s="215">
        <v>61</v>
      </c>
      <c r="F9" s="177">
        <v>85</v>
      </c>
      <c r="G9" s="177">
        <v>108</v>
      </c>
    </row>
    <row r="10" spans="1:7" s="96" customFormat="1" ht="11.25">
      <c r="A10" s="2709" t="s">
        <v>11</v>
      </c>
      <c r="B10" s="215">
        <v>337</v>
      </c>
      <c r="C10" s="215">
        <v>290</v>
      </c>
      <c r="D10" s="215">
        <v>195</v>
      </c>
      <c r="E10" s="215">
        <v>150</v>
      </c>
      <c r="F10" s="177">
        <v>171</v>
      </c>
      <c r="G10" s="177">
        <v>170</v>
      </c>
    </row>
    <row r="11" spans="1:7" s="96" customFormat="1" ht="11.25">
      <c r="A11" s="2709" t="s">
        <v>12</v>
      </c>
      <c r="B11" s="215">
        <v>656</v>
      </c>
      <c r="C11" s="215">
        <v>729</v>
      </c>
      <c r="D11" s="215">
        <v>897</v>
      </c>
      <c r="E11" s="215">
        <v>681</v>
      </c>
      <c r="F11" s="177">
        <v>522</v>
      </c>
      <c r="G11" s="177">
        <v>568</v>
      </c>
    </row>
    <row r="12" spans="1:7" s="96" customFormat="1" ht="11.25" customHeight="1">
      <c r="A12" s="479" t="s">
        <v>3306</v>
      </c>
      <c r="B12" s="215">
        <v>909</v>
      </c>
      <c r="C12" s="215">
        <v>815</v>
      </c>
      <c r="D12" s="215">
        <v>1819</v>
      </c>
      <c r="E12" s="215">
        <v>1016</v>
      </c>
      <c r="F12" s="177">
        <v>1014</v>
      </c>
      <c r="G12" s="177">
        <v>712</v>
      </c>
    </row>
    <row r="13" spans="1:7" s="96" customFormat="1" ht="12.75">
      <c r="A13" s="177" t="s">
        <v>3307</v>
      </c>
      <c r="B13" s="215">
        <v>386</v>
      </c>
      <c r="C13" s="215">
        <v>404</v>
      </c>
      <c r="D13" s="215">
        <v>413</v>
      </c>
      <c r="E13" s="215">
        <v>393</v>
      </c>
      <c r="F13" s="177">
        <v>220</v>
      </c>
      <c r="G13" s="177">
        <v>260</v>
      </c>
    </row>
    <row r="14" spans="1:7" s="96" customFormat="1" ht="12.75">
      <c r="A14" s="177" t="s">
        <v>3308</v>
      </c>
      <c r="B14" s="215">
        <v>664</v>
      </c>
      <c r="C14" s="215">
        <v>661</v>
      </c>
      <c r="D14" s="215">
        <v>676</v>
      </c>
      <c r="E14" s="215">
        <v>733</v>
      </c>
      <c r="F14" s="177">
        <v>316</v>
      </c>
      <c r="G14" s="177">
        <v>284</v>
      </c>
    </row>
    <row r="15" spans="1:7" s="96" customFormat="1" ht="12.75">
      <c r="A15" s="177" t="s">
        <v>3309</v>
      </c>
      <c r="B15" s="215">
        <v>617</v>
      </c>
      <c r="C15" s="215">
        <v>580</v>
      </c>
      <c r="D15" s="215">
        <v>699</v>
      </c>
      <c r="E15" s="215">
        <v>756</v>
      </c>
      <c r="F15" s="177">
        <v>486</v>
      </c>
      <c r="G15" s="177">
        <v>256</v>
      </c>
    </row>
    <row r="16" spans="1:7" s="96" customFormat="1" ht="11.25">
      <c r="A16" s="1712" t="s">
        <v>14</v>
      </c>
      <c r="B16" s="215">
        <v>363</v>
      </c>
      <c r="C16" s="215">
        <v>314</v>
      </c>
      <c r="D16" s="215">
        <v>330</v>
      </c>
      <c r="E16" s="215">
        <v>277</v>
      </c>
      <c r="F16" s="177">
        <v>238</v>
      </c>
      <c r="G16" s="177">
        <v>207</v>
      </c>
    </row>
    <row r="17" spans="1:7" s="96" customFormat="1" ht="11.25">
      <c r="A17" s="2709" t="s">
        <v>15</v>
      </c>
      <c r="B17" s="215">
        <v>380</v>
      </c>
      <c r="C17" s="215">
        <v>305</v>
      </c>
      <c r="D17" s="215">
        <v>235</v>
      </c>
      <c r="E17" s="215">
        <v>213</v>
      </c>
      <c r="F17" s="177">
        <v>202</v>
      </c>
      <c r="G17" s="177">
        <v>210</v>
      </c>
    </row>
    <row r="18" spans="1:7" s="96" customFormat="1" ht="11.25">
      <c r="A18" s="2709" t="s">
        <v>16</v>
      </c>
      <c r="B18" s="215">
        <v>578</v>
      </c>
      <c r="C18" s="215">
        <v>454</v>
      </c>
      <c r="D18" s="215">
        <v>518</v>
      </c>
      <c r="E18" s="215">
        <v>354</v>
      </c>
      <c r="F18" s="177">
        <v>295</v>
      </c>
      <c r="G18" s="177">
        <v>293</v>
      </c>
    </row>
    <row r="19" spans="1:7" s="96" customFormat="1" ht="11.25">
      <c r="A19" s="2709" t="s">
        <v>379</v>
      </c>
      <c r="B19" s="215">
        <v>174</v>
      </c>
      <c r="C19" s="215">
        <v>229</v>
      </c>
      <c r="D19" s="215">
        <v>172</v>
      </c>
      <c r="E19" s="215">
        <v>106</v>
      </c>
      <c r="F19" s="177">
        <v>97</v>
      </c>
      <c r="G19" s="177">
        <v>96</v>
      </c>
    </row>
    <row r="20" spans="1:7" s="96" customFormat="1" ht="11.25">
      <c r="A20" s="2709" t="s">
        <v>18</v>
      </c>
      <c r="B20" s="215">
        <v>73</v>
      </c>
      <c r="C20" s="215">
        <v>98</v>
      </c>
      <c r="D20" s="215">
        <v>55</v>
      </c>
      <c r="E20" s="215">
        <v>60</v>
      </c>
      <c r="F20" s="177">
        <v>67</v>
      </c>
      <c r="G20" s="177">
        <v>46</v>
      </c>
    </row>
    <row r="21" spans="1:7" s="96" customFormat="1" ht="11.25">
      <c r="A21" s="2709" t="s">
        <v>19</v>
      </c>
      <c r="B21" s="215">
        <v>348</v>
      </c>
      <c r="C21" s="215">
        <v>313</v>
      </c>
      <c r="D21" s="215">
        <v>317</v>
      </c>
      <c r="E21" s="215">
        <v>268</v>
      </c>
      <c r="F21" s="177">
        <v>212</v>
      </c>
      <c r="G21" s="177">
        <v>152</v>
      </c>
    </row>
    <row r="22" spans="1:7" s="96" customFormat="1" ht="11.25">
      <c r="A22" s="2709" t="s">
        <v>20</v>
      </c>
      <c r="B22" s="215">
        <v>22</v>
      </c>
      <c r="C22" s="215">
        <v>12</v>
      </c>
      <c r="D22" s="215">
        <v>13</v>
      </c>
      <c r="E22" s="215">
        <v>14</v>
      </c>
      <c r="F22" s="177">
        <v>16</v>
      </c>
      <c r="G22" s="177">
        <v>4</v>
      </c>
    </row>
    <row r="23" spans="1:7" s="96" customFormat="1" ht="11.25" customHeight="1">
      <c r="A23" s="1712" t="s">
        <v>21</v>
      </c>
      <c r="B23" s="215">
        <v>49</v>
      </c>
      <c r="C23" s="215">
        <v>19</v>
      </c>
      <c r="D23" s="215">
        <v>31</v>
      </c>
      <c r="E23" s="215">
        <v>31</v>
      </c>
      <c r="F23" s="177">
        <v>19</v>
      </c>
      <c r="G23" s="177">
        <v>25</v>
      </c>
    </row>
    <row r="24" spans="1:7" s="96" customFormat="1" ht="6.75" customHeight="1">
      <c r="B24" s="173"/>
      <c r="C24" s="173"/>
      <c r="D24" s="173"/>
      <c r="E24" s="173"/>
      <c r="F24" s="173"/>
    </row>
    <row r="25" spans="1:7" s="96" customFormat="1" ht="11.25">
      <c r="A25" s="2378" t="s">
        <v>3319</v>
      </c>
      <c r="B25" s="2378"/>
      <c r="C25" s="2378"/>
      <c r="D25" s="2378"/>
      <c r="E25" s="2378"/>
      <c r="F25" s="2378"/>
    </row>
    <row r="26" spans="1:7" s="96" customFormat="1" ht="11.25">
      <c r="A26" s="170" t="s">
        <v>3320</v>
      </c>
      <c r="B26" s="174"/>
      <c r="C26" s="174"/>
      <c r="D26" s="174"/>
      <c r="E26" s="174"/>
      <c r="F26" s="174"/>
    </row>
    <row r="27" spans="1:7" s="96" customFormat="1" ht="11.25">
      <c r="A27" s="96" t="s">
        <v>3321</v>
      </c>
      <c r="B27" s="174"/>
      <c r="C27" s="174"/>
      <c r="D27" s="174"/>
      <c r="E27" s="174"/>
      <c r="F27" s="174"/>
    </row>
    <row r="28" spans="1:7" s="96" customFormat="1" ht="11.25">
      <c r="A28" s="96" t="s">
        <v>3322</v>
      </c>
      <c r="B28" s="174"/>
      <c r="C28" s="174"/>
      <c r="D28" s="174"/>
      <c r="E28" s="174"/>
      <c r="F28" s="174"/>
    </row>
    <row r="29" spans="1:7" s="96" customFormat="1" ht="11.25">
      <c r="A29" s="96" t="s">
        <v>3323</v>
      </c>
      <c r="B29" s="174"/>
      <c r="C29" s="174"/>
      <c r="D29" s="174"/>
      <c r="E29" s="174"/>
      <c r="F29" s="174"/>
    </row>
    <row r="30" spans="1:7" s="96" customFormat="1" ht="11.25">
      <c r="A30" s="2378" t="s">
        <v>677</v>
      </c>
      <c r="B30" s="2378"/>
      <c r="C30" s="2378"/>
      <c r="D30" s="2378"/>
      <c r="E30" s="2378"/>
      <c r="F30" s="2378"/>
    </row>
    <row r="31" spans="1:7" s="96" customFormat="1" ht="11.25">
      <c r="B31" s="168"/>
      <c r="C31" s="168"/>
      <c r="D31" s="168"/>
    </row>
  </sheetData>
  <mergeCells count="4">
    <mergeCell ref="A2:G2"/>
    <mergeCell ref="B3:D3"/>
    <mergeCell ref="A25:F25"/>
    <mergeCell ref="A30:F30"/>
  </mergeCells>
  <pageMargins left="0.70866141732283472" right="0.70866141732283472" top="0.74803149606299213" bottom="0.74803149606299213" header="0.31496062992125984" footer="0.31496062992125984"/>
  <pageSetup paperSize="14" orientation="portrait" verticalDpi="599" r:id="rId1"/>
</worksheet>
</file>

<file path=xl/worksheets/sheet331.xml><?xml version="1.0" encoding="utf-8"?>
<worksheet xmlns="http://schemas.openxmlformats.org/spreadsheetml/2006/main" xmlns:r="http://schemas.openxmlformats.org/officeDocument/2006/relationships">
  <dimension ref="A1:I31"/>
  <sheetViews>
    <sheetView zoomScaleNormal="100" workbookViewId="0">
      <selection activeCell="B36" sqref="B36"/>
    </sheetView>
  </sheetViews>
  <sheetFormatPr baseColWidth="10" defaultRowHeight="11.25"/>
  <cols>
    <col min="1" max="1" width="25.5703125" style="142" customWidth="1"/>
    <col min="2" max="16384" width="11.42578125" style="142"/>
  </cols>
  <sheetData>
    <row r="1" spans="1:9">
      <c r="A1" s="162"/>
    </row>
    <row r="2" spans="1:9" ht="27" customHeight="1">
      <c r="A2" s="2991" t="s">
        <v>3163</v>
      </c>
      <c r="B2" s="2991"/>
      <c r="C2" s="2991"/>
      <c r="D2" s="2991"/>
      <c r="E2" s="2991"/>
      <c r="F2" s="2991"/>
      <c r="G2" s="2991"/>
      <c r="H2" s="163"/>
    </row>
    <row r="4" spans="1:9" ht="32.25" customHeight="1">
      <c r="A4" s="2200" t="s">
        <v>3159</v>
      </c>
      <c r="B4" s="2200" t="s">
        <v>3162</v>
      </c>
      <c r="C4" s="2200"/>
      <c r="D4" s="2200"/>
      <c r="E4" s="2200"/>
      <c r="F4" s="2200"/>
      <c r="G4" s="2200"/>
      <c r="H4" s="162"/>
      <c r="I4" s="164"/>
    </row>
    <row r="5" spans="1:9" s="167" customFormat="1" ht="15.75" customHeight="1">
      <c r="A5" s="2200"/>
      <c r="B5" s="2004">
        <v>2009</v>
      </c>
      <c r="C5" s="2004">
        <v>2010</v>
      </c>
      <c r="D5" s="2004">
        <v>2011</v>
      </c>
      <c r="E5" s="2004">
        <v>2012</v>
      </c>
      <c r="F5" s="2004">
        <v>2013</v>
      </c>
      <c r="G5" s="2004">
        <v>2014</v>
      </c>
      <c r="H5" s="166"/>
    </row>
    <row r="6" spans="1:9">
      <c r="A6" s="2990" t="s">
        <v>6</v>
      </c>
      <c r="B6" s="202">
        <f t="shared" ref="B6:G6" si="0">SUM(B7:B24)</f>
        <v>2462</v>
      </c>
      <c r="C6" s="202">
        <f t="shared" si="0"/>
        <v>2235</v>
      </c>
      <c r="D6" s="202">
        <f t="shared" si="0"/>
        <v>1862</v>
      </c>
      <c r="E6" s="202">
        <f t="shared" si="0"/>
        <v>1425</v>
      </c>
      <c r="F6" s="202">
        <f t="shared" si="0"/>
        <v>1199</v>
      </c>
      <c r="G6" s="202">
        <f t="shared" si="0"/>
        <v>1063</v>
      </c>
    </row>
    <row r="7" spans="1:9" s="96" customFormat="1">
      <c r="A7" s="1712" t="s">
        <v>7</v>
      </c>
      <c r="B7" s="250">
        <v>71</v>
      </c>
      <c r="C7" s="250">
        <v>118</v>
      </c>
      <c r="D7" s="250">
        <v>36</v>
      </c>
      <c r="E7" s="2956">
        <v>25</v>
      </c>
      <c r="F7" s="250">
        <v>26</v>
      </c>
      <c r="G7" s="250">
        <v>18</v>
      </c>
      <c r="H7" s="168"/>
    </row>
    <row r="8" spans="1:9" s="96" customFormat="1">
      <c r="A8" s="2709" t="s">
        <v>8</v>
      </c>
      <c r="B8" s="250">
        <v>51</v>
      </c>
      <c r="C8" s="250">
        <v>84</v>
      </c>
      <c r="D8" s="250">
        <v>79</v>
      </c>
      <c r="E8" s="2956">
        <v>71</v>
      </c>
      <c r="F8" s="250">
        <v>51</v>
      </c>
      <c r="G8" s="250">
        <v>54</v>
      </c>
      <c r="H8" s="168"/>
    </row>
    <row r="9" spans="1:9" s="96" customFormat="1">
      <c r="A9" s="2709" t="s">
        <v>9</v>
      </c>
      <c r="B9" s="250">
        <v>75</v>
      </c>
      <c r="C9" s="250">
        <v>85</v>
      </c>
      <c r="D9" s="250">
        <v>106</v>
      </c>
      <c r="E9" s="2956">
        <v>56</v>
      </c>
      <c r="F9" s="250">
        <v>54</v>
      </c>
      <c r="G9" s="250">
        <v>62</v>
      </c>
      <c r="H9" s="168"/>
    </row>
    <row r="10" spans="1:9" s="96" customFormat="1">
      <c r="A10" s="2709" t="s">
        <v>10</v>
      </c>
      <c r="B10" s="250">
        <v>74</v>
      </c>
      <c r="C10" s="250">
        <v>46</v>
      </c>
      <c r="D10" s="250">
        <v>27</v>
      </c>
      <c r="E10" s="2956">
        <v>24</v>
      </c>
      <c r="F10" s="250">
        <v>34</v>
      </c>
      <c r="G10" s="250">
        <v>31</v>
      </c>
      <c r="H10" s="168"/>
    </row>
    <row r="11" spans="1:9" s="96" customFormat="1">
      <c r="A11" s="2709" t="s">
        <v>11</v>
      </c>
      <c r="B11" s="250">
        <v>143</v>
      </c>
      <c r="C11" s="250">
        <v>124</v>
      </c>
      <c r="D11" s="250">
        <v>62</v>
      </c>
      <c r="E11" s="2956">
        <v>67</v>
      </c>
      <c r="F11" s="250">
        <v>84</v>
      </c>
      <c r="G11" s="250">
        <v>67</v>
      </c>
      <c r="H11" s="168"/>
    </row>
    <row r="12" spans="1:9" s="96" customFormat="1">
      <c r="A12" s="2709" t="s">
        <v>12</v>
      </c>
      <c r="B12" s="250">
        <v>190</v>
      </c>
      <c r="C12" s="250">
        <v>219</v>
      </c>
      <c r="D12" s="250">
        <v>180</v>
      </c>
      <c r="E12" s="2956">
        <v>149</v>
      </c>
      <c r="F12" s="250">
        <v>115</v>
      </c>
      <c r="G12" s="250">
        <v>136</v>
      </c>
      <c r="H12" s="168"/>
    </row>
    <row r="13" spans="1:9" s="96" customFormat="1" ht="12.75">
      <c r="A13" s="479" t="s">
        <v>3306</v>
      </c>
      <c r="B13" s="250">
        <v>426</v>
      </c>
      <c r="C13" s="250">
        <v>365</v>
      </c>
      <c r="D13" s="250">
        <v>279</v>
      </c>
      <c r="E13" s="2956">
        <v>242</v>
      </c>
      <c r="F13" s="250">
        <v>194</v>
      </c>
      <c r="G13" s="250">
        <v>179</v>
      </c>
      <c r="H13" s="168"/>
    </row>
    <row r="14" spans="1:9" s="96" customFormat="1" ht="12.75">
      <c r="A14" s="177" t="s">
        <v>3307</v>
      </c>
      <c r="B14" s="250">
        <v>194</v>
      </c>
      <c r="C14" s="250">
        <v>156</v>
      </c>
      <c r="D14" s="250">
        <v>96</v>
      </c>
      <c r="E14" s="2956">
        <v>75</v>
      </c>
      <c r="F14" s="250">
        <v>63</v>
      </c>
      <c r="G14" s="250">
        <v>48</v>
      </c>
      <c r="H14" s="168"/>
    </row>
    <row r="15" spans="1:9" s="96" customFormat="1" ht="12.75">
      <c r="A15" s="177" t="s">
        <v>3308</v>
      </c>
      <c r="B15" s="250">
        <v>292</v>
      </c>
      <c r="C15" s="250">
        <v>210</v>
      </c>
      <c r="D15" s="250">
        <v>172</v>
      </c>
      <c r="E15" s="2956">
        <v>111</v>
      </c>
      <c r="F15" s="250">
        <v>61</v>
      </c>
      <c r="G15" s="250">
        <v>65</v>
      </c>
      <c r="H15" s="168"/>
    </row>
    <row r="16" spans="1:9" s="96" customFormat="1" ht="12.75">
      <c r="A16" s="177" t="s">
        <v>3309</v>
      </c>
      <c r="B16" s="250">
        <v>183</v>
      </c>
      <c r="C16" s="250">
        <v>140</v>
      </c>
      <c r="D16" s="250">
        <v>140</v>
      </c>
      <c r="E16" s="2956">
        <v>100</v>
      </c>
      <c r="F16" s="250">
        <v>80</v>
      </c>
      <c r="G16" s="250">
        <v>82</v>
      </c>
      <c r="H16" s="168"/>
    </row>
    <row r="17" spans="1:8" s="96" customFormat="1">
      <c r="A17" s="1712" t="s">
        <v>14</v>
      </c>
      <c r="B17" s="250">
        <v>113</v>
      </c>
      <c r="C17" s="250">
        <v>106</v>
      </c>
      <c r="D17" s="250">
        <v>146</v>
      </c>
      <c r="E17" s="2956">
        <v>112</v>
      </c>
      <c r="F17" s="250">
        <v>73</v>
      </c>
      <c r="G17" s="250">
        <v>66</v>
      </c>
      <c r="H17" s="168"/>
    </row>
    <row r="18" spans="1:8" s="96" customFormat="1">
      <c r="A18" s="2709" t="s">
        <v>15</v>
      </c>
      <c r="B18" s="250">
        <v>145</v>
      </c>
      <c r="C18" s="250">
        <v>110</v>
      </c>
      <c r="D18" s="250">
        <v>85</v>
      </c>
      <c r="E18" s="2956">
        <v>76</v>
      </c>
      <c r="F18" s="250">
        <v>73</v>
      </c>
      <c r="G18" s="250">
        <v>45</v>
      </c>
      <c r="H18" s="168"/>
    </row>
    <row r="19" spans="1:8" s="96" customFormat="1">
      <c r="A19" s="2709" t="s">
        <v>16</v>
      </c>
      <c r="B19" s="250">
        <v>213</v>
      </c>
      <c r="C19" s="250">
        <v>164</v>
      </c>
      <c r="D19" s="250">
        <v>194</v>
      </c>
      <c r="E19" s="2956">
        <v>122</v>
      </c>
      <c r="F19" s="250">
        <v>123</v>
      </c>
      <c r="G19" s="250">
        <v>86</v>
      </c>
      <c r="H19" s="168"/>
    </row>
    <row r="20" spans="1:8" s="96" customFormat="1">
      <c r="A20" s="2709" t="s">
        <v>379</v>
      </c>
      <c r="B20" s="250">
        <v>89</v>
      </c>
      <c r="C20" s="250">
        <v>116</v>
      </c>
      <c r="D20" s="250">
        <v>79</v>
      </c>
      <c r="E20" s="2956">
        <v>41</v>
      </c>
      <c r="F20" s="250">
        <v>45</v>
      </c>
      <c r="G20" s="250">
        <v>38</v>
      </c>
      <c r="H20" s="168"/>
    </row>
    <row r="21" spans="1:8" s="96" customFormat="1">
      <c r="A21" s="2709" t="s">
        <v>18</v>
      </c>
      <c r="B21" s="250">
        <v>28</v>
      </c>
      <c r="C21" s="250">
        <v>33</v>
      </c>
      <c r="D21" s="250">
        <v>9</v>
      </c>
      <c r="E21" s="2956">
        <v>11</v>
      </c>
      <c r="F21" s="250">
        <v>19</v>
      </c>
      <c r="G21" s="250">
        <v>17</v>
      </c>
      <c r="H21" s="168"/>
    </row>
    <row r="22" spans="1:8" s="96" customFormat="1">
      <c r="A22" s="2709" t="s">
        <v>19</v>
      </c>
      <c r="B22" s="250">
        <v>149</v>
      </c>
      <c r="C22" s="250">
        <v>151</v>
      </c>
      <c r="D22" s="250">
        <v>160</v>
      </c>
      <c r="E22" s="2956">
        <v>127</v>
      </c>
      <c r="F22" s="250">
        <v>92</v>
      </c>
      <c r="G22" s="250">
        <v>64</v>
      </c>
      <c r="H22" s="168"/>
    </row>
    <row r="23" spans="1:8" s="96" customFormat="1">
      <c r="A23" s="2709" t="s">
        <v>20</v>
      </c>
      <c r="B23" s="250">
        <v>10</v>
      </c>
      <c r="C23" s="250">
        <v>3</v>
      </c>
      <c r="D23" s="250">
        <v>8</v>
      </c>
      <c r="E23" s="2956">
        <v>11</v>
      </c>
      <c r="F23" s="250">
        <v>8</v>
      </c>
      <c r="G23" s="250">
        <v>0</v>
      </c>
      <c r="H23" s="168"/>
    </row>
    <row r="24" spans="1:8" s="96" customFormat="1">
      <c r="A24" s="1712" t="s">
        <v>21</v>
      </c>
      <c r="B24" s="250">
        <v>16</v>
      </c>
      <c r="C24" s="250">
        <v>5</v>
      </c>
      <c r="D24" s="250">
        <v>4</v>
      </c>
      <c r="E24" s="2956">
        <v>5</v>
      </c>
      <c r="F24" s="250">
        <v>4</v>
      </c>
      <c r="G24" s="250">
        <v>5</v>
      </c>
      <c r="H24" s="168"/>
    </row>
    <row r="25" spans="1:8" s="96" customFormat="1" ht="5.25" customHeight="1">
      <c r="E25" s="169"/>
      <c r="F25" s="168"/>
      <c r="G25" s="168"/>
      <c r="H25" s="168"/>
    </row>
    <row r="26" spans="1:8" s="96" customFormat="1" ht="12" customHeight="1">
      <c r="A26" s="170" t="s">
        <v>3310</v>
      </c>
      <c r="E26" s="169"/>
      <c r="F26" s="168"/>
      <c r="G26" s="168"/>
      <c r="H26" s="168"/>
    </row>
    <row r="27" spans="1:8" s="96" customFormat="1" ht="12" customHeight="1">
      <c r="A27" s="96" t="s">
        <v>3311</v>
      </c>
      <c r="E27" s="169"/>
      <c r="F27" s="168"/>
      <c r="G27" s="168"/>
      <c r="H27" s="168"/>
    </row>
    <row r="28" spans="1:8" s="96" customFormat="1" ht="12" customHeight="1">
      <c r="A28" s="96" t="s">
        <v>3312</v>
      </c>
      <c r="E28" s="169"/>
      <c r="F28" s="168"/>
      <c r="G28" s="168"/>
      <c r="H28" s="168"/>
    </row>
    <row r="29" spans="1:8" s="96" customFormat="1" ht="12" customHeight="1">
      <c r="A29" s="96" t="s">
        <v>3313</v>
      </c>
      <c r="E29" s="169"/>
      <c r="F29" s="168"/>
      <c r="G29" s="168"/>
      <c r="H29" s="168"/>
    </row>
    <row r="30" spans="1:8" s="96" customFormat="1" ht="12" customHeight="1">
      <c r="A30" s="2640" t="s">
        <v>22</v>
      </c>
      <c r="B30" s="2640"/>
      <c r="C30" s="2640"/>
      <c r="D30" s="2640"/>
      <c r="E30" s="2640"/>
      <c r="F30" s="2640"/>
      <c r="G30" s="168"/>
      <c r="H30" s="168"/>
    </row>
    <row r="31" spans="1:8" s="96" customFormat="1">
      <c r="A31" s="171" t="s">
        <v>677</v>
      </c>
    </row>
  </sheetData>
  <mergeCells count="4">
    <mergeCell ref="A2:G2"/>
    <mergeCell ref="A4:A5"/>
    <mergeCell ref="B4:G4"/>
    <mergeCell ref="A30:F30"/>
  </mergeCells>
  <pageMargins left="0.7" right="0.7" top="0.75" bottom="0.75" header="0.3" footer="0.3"/>
  <pageSetup paperSize="14" orientation="portrait" verticalDpi="599" r:id="rId1"/>
</worksheet>
</file>

<file path=xl/worksheets/sheet34.xml><?xml version="1.0" encoding="utf-8"?>
<worksheet xmlns="http://schemas.openxmlformats.org/spreadsheetml/2006/main" xmlns:r="http://schemas.openxmlformats.org/officeDocument/2006/relationships">
  <dimension ref="A2:C13"/>
  <sheetViews>
    <sheetView zoomScaleNormal="100" workbookViewId="0">
      <selection activeCell="A16" sqref="A16"/>
    </sheetView>
  </sheetViews>
  <sheetFormatPr baseColWidth="10" defaultRowHeight="11.25"/>
  <cols>
    <col min="1" max="1" width="60.5703125" style="2" bestFit="1" customWidth="1"/>
    <col min="2" max="2" width="9.7109375" style="2" customWidth="1"/>
    <col min="3" max="3" width="12.140625" style="2" customWidth="1"/>
    <col min="4" max="16384" width="11.42578125" style="2"/>
  </cols>
  <sheetData>
    <row r="2" spans="1:3" ht="36.75" customHeight="1">
      <c r="A2" s="2096" t="s">
        <v>992</v>
      </c>
      <c r="B2" s="2096"/>
      <c r="C2" s="2096"/>
    </row>
    <row r="3" spans="1:3">
      <c r="A3" s="1882"/>
      <c r="B3" s="1882"/>
      <c r="C3" s="1882"/>
    </row>
    <row r="4" spans="1:3">
      <c r="A4" s="2080" t="s">
        <v>991</v>
      </c>
      <c r="B4" s="2101" t="s">
        <v>671</v>
      </c>
      <c r="C4" s="2101"/>
    </row>
    <row r="5" spans="1:3">
      <c r="A5" s="2080"/>
      <c r="B5" s="805">
        <v>2013</v>
      </c>
      <c r="C5" s="805">
        <v>2014</v>
      </c>
    </row>
    <row r="6" spans="1:3" s="370" customFormat="1">
      <c r="A6" s="1887" t="s">
        <v>6</v>
      </c>
      <c r="B6" s="1888">
        <f>SUM(B7:B10)</f>
        <v>2</v>
      </c>
      <c r="C6" s="1888">
        <f>SUM(C7:C10)</f>
        <v>1</v>
      </c>
    </row>
    <row r="7" spans="1:3">
      <c r="A7" s="1889" t="s">
        <v>839</v>
      </c>
      <c r="B7" s="7">
        <v>1</v>
      </c>
      <c r="C7" s="7">
        <v>0</v>
      </c>
    </row>
    <row r="8" spans="1:3">
      <c r="A8" s="1889" t="s">
        <v>840</v>
      </c>
      <c r="B8" s="7">
        <v>1</v>
      </c>
      <c r="C8" s="7">
        <v>0</v>
      </c>
    </row>
    <row r="9" spans="1:3">
      <c r="A9" s="1889" t="s">
        <v>837</v>
      </c>
      <c r="B9" s="7">
        <v>0</v>
      </c>
      <c r="C9" s="7">
        <v>0</v>
      </c>
    </row>
    <row r="10" spans="1:3">
      <c r="A10" s="1" t="s">
        <v>838</v>
      </c>
      <c r="B10" s="7">
        <v>0</v>
      </c>
      <c r="C10" s="7">
        <v>1</v>
      </c>
    </row>
    <row r="11" spans="1:3">
      <c r="A11" s="1"/>
      <c r="B11" s="1"/>
      <c r="C11" s="1"/>
    </row>
    <row r="12" spans="1:3">
      <c r="A12" s="1890" t="s">
        <v>747</v>
      </c>
    </row>
    <row r="13" spans="1:3" ht="26.25" customHeight="1">
      <c r="A13" s="2074" t="s">
        <v>861</v>
      </c>
      <c r="B13" s="2074"/>
      <c r="C13" s="2074"/>
    </row>
  </sheetData>
  <mergeCells count="4">
    <mergeCell ref="A2:C2"/>
    <mergeCell ref="A4:A5"/>
    <mergeCell ref="B4:C4"/>
    <mergeCell ref="A13:C13"/>
  </mergeCells>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2:P89"/>
  <sheetViews>
    <sheetView topLeftCell="A49" zoomScaleNormal="100" workbookViewId="0">
      <selection activeCell="H15" sqref="H15"/>
    </sheetView>
  </sheetViews>
  <sheetFormatPr baseColWidth="10" defaultRowHeight="11.25"/>
  <cols>
    <col min="1" max="1" width="29.7109375" style="2" customWidth="1"/>
    <col min="2" max="5" width="11.42578125" style="2"/>
    <col min="6" max="6" width="5.140625" style="2" customWidth="1"/>
    <col min="7" max="16384" width="11.42578125" style="2"/>
  </cols>
  <sheetData>
    <row r="2" spans="1:10" ht="26.25" customHeight="1">
      <c r="A2" s="2075" t="s">
        <v>3303</v>
      </c>
      <c r="B2" s="2075"/>
      <c r="C2" s="2075"/>
      <c r="D2" s="2075"/>
      <c r="E2" s="2075"/>
    </row>
    <row r="3" spans="1:10">
      <c r="A3" s="1882"/>
      <c r="C3" s="1883"/>
      <c r="D3" s="1883"/>
      <c r="E3" s="1884"/>
    </row>
    <row r="4" spans="1:10" ht="15" customHeight="1">
      <c r="A4" s="2076" t="s">
        <v>996</v>
      </c>
      <c r="B4" s="2080" t="s">
        <v>671</v>
      </c>
      <c r="C4" s="2080"/>
      <c r="D4" s="2080"/>
      <c r="E4" s="2080"/>
    </row>
    <row r="5" spans="1:10" ht="18" customHeight="1">
      <c r="A5" s="2076"/>
      <c r="B5" s="40" t="s">
        <v>801</v>
      </c>
      <c r="C5" s="40" t="s">
        <v>802</v>
      </c>
      <c r="D5" s="40" t="s">
        <v>803</v>
      </c>
      <c r="E5" s="40" t="s">
        <v>804</v>
      </c>
    </row>
    <row r="6" spans="1:10" s="1" customFormat="1" ht="12.75">
      <c r="A6" s="57" t="s">
        <v>3604</v>
      </c>
      <c r="B6" s="1885">
        <f>SUM(B11,B16,B21,B26,B31,B36,B41,B46,B51,B56,B61,B66,B71,B76,B81)</f>
        <v>455</v>
      </c>
      <c r="C6" s="1885">
        <f>SUM(C11,C16,C21,C26,C31,C36,C41,C46,C51,C56,C61,C66,C71,C76,C81)</f>
        <v>62</v>
      </c>
      <c r="D6" s="1885">
        <f>SUM(D11,D16,D21,D26,D31,D36,D41,D46,D51,D56,D61,D66,D71,D76,D81)</f>
        <v>1411</v>
      </c>
      <c r="E6" s="1885">
        <f>SUM(E11,E16,E21,E26,E31,E36,E41,E46,E51,E56,E61,E66,E71,E76,E81)</f>
        <v>283</v>
      </c>
      <c r="G6" s="412"/>
      <c r="H6" s="412"/>
      <c r="I6" s="412"/>
      <c r="J6" s="412"/>
    </row>
    <row r="7" spans="1:10" s="1" customFormat="1">
      <c r="A7" s="405" t="s">
        <v>854</v>
      </c>
      <c r="B7" s="1885">
        <f>+B12+B17+B22+B27+B32+B37+B42+B47+B52+B57+B62+B67+B72+B77+B82</f>
        <v>55</v>
      </c>
      <c r="C7" s="1885">
        <f t="shared" ref="C7:E10" si="0">+C12+C17+C22+C27+C32+C37+C42+C47+C52+C57+C62+C67+C72+C77+C82</f>
        <v>22</v>
      </c>
      <c r="D7" s="1885">
        <f t="shared" si="0"/>
        <v>185</v>
      </c>
      <c r="E7" s="1885">
        <f t="shared" si="0"/>
        <v>39</v>
      </c>
    </row>
    <row r="8" spans="1:10" s="1" customFormat="1">
      <c r="A8" s="405" t="s">
        <v>855</v>
      </c>
      <c r="B8" s="1885">
        <f>+B13+B18+B23+B28+B33+B38+B43+B48+B53+B58+B63+B68+B73+B78+B83</f>
        <v>303</v>
      </c>
      <c r="C8" s="1885">
        <f t="shared" si="0"/>
        <v>38</v>
      </c>
      <c r="D8" s="1885">
        <f t="shared" si="0"/>
        <v>914</v>
      </c>
      <c r="E8" s="1885">
        <f t="shared" si="0"/>
        <v>189</v>
      </c>
    </row>
    <row r="9" spans="1:10" s="1" customFormat="1">
      <c r="A9" s="405" t="s">
        <v>856</v>
      </c>
      <c r="B9" s="1885">
        <f>+B14+B19+B24+B29+B34+B39+B44+B49+B54+B59+B64+B69+B74+B79+B84</f>
        <v>58</v>
      </c>
      <c r="C9" s="1885">
        <f t="shared" si="0"/>
        <v>1</v>
      </c>
      <c r="D9" s="1885">
        <f t="shared" si="0"/>
        <v>241</v>
      </c>
      <c r="E9" s="1885">
        <f t="shared" si="0"/>
        <v>26</v>
      </c>
    </row>
    <row r="10" spans="1:10" s="1" customFormat="1">
      <c r="A10" s="405" t="s">
        <v>857</v>
      </c>
      <c r="B10" s="1885">
        <f>+B15+B20+B25+B30+B35+B40+B45+B50+B55+B60+B65+B70+B75+B80+B85</f>
        <v>39</v>
      </c>
      <c r="C10" s="1885">
        <f t="shared" si="0"/>
        <v>1</v>
      </c>
      <c r="D10" s="1885">
        <f t="shared" si="0"/>
        <v>71</v>
      </c>
      <c r="E10" s="1885">
        <f t="shared" si="0"/>
        <v>29</v>
      </c>
    </row>
    <row r="11" spans="1:10" s="1" customFormat="1">
      <c r="A11" s="1883" t="s">
        <v>7</v>
      </c>
      <c r="B11" s="1885">
        <f>SUM(B12:B15)</f>
        <v>13</v>
      </c>
      <c r="C11" s="1885">
        <f>SUM(C12:C15)</f>
        <v>3</v>
      </c>
      <c r="D11" s="1885">
        <f>SUM(D12:D15)</f>
        <v>36</v>
      </c>
      <c r="E11" s="1885">
        <f>SUM(E12:E15)</f>
        <v>0</v>
      </c>
      <c r="G11" s="412"/>
      <c r="H11" s="412"/>
      <c r="I11" s="412"/>
    </row>
    <row r="12" spans="1:10" s="1" customFormat="1">
      <c r="A12" s="1" t="s">
        <v>854</v>
      </c>
      <c r="B12" s="1886">
        <v>2</v>
      </c>
      <c r="C12" s="1886">
        <v>0</v>
      </c>
      <c r="D12" s="1886">
        <v>2</v>
      </c>
      <c r="E12" s="1886">
        <v>0</v>
      </c>
    </row>
    <row r="13" spans="1:10" s="1" customFormat="1">
      <c r="A13" s="1" t="s">
        <v>855</v>
      </c>
      <c r="B13" s="1886">
        <v>6</v>
      </c>
      <c r="C13" s="1886">
        <v>3</v>
      </c>
      <c r="D13" s="1886">
        <v>12</v>
      </c>
      <c r="E13" s="1886">
        <v>0</v>
      </c>
    </row>
    <row r="14" spans="1:10" s="1" customFormat="1">
      <c r="A14" s="1" t="s">
        <v>856</v>
      </c>
      <c r="B14" s="1886">
        <v>5</v>
      </c>
      <c r="C14" s="1886">
        <v>0</v>
      </c>
      <c r="D14" s="1886">
        <v>18</v>
      </c>
      <c r="E14" s="1886">
        <v>0</v>
      </c>
    </row>
    <row r="15" spans="1:10" s="1" customFormat="1">
      <c r="A15" s="1" t="s">
        <v>857</v>
      </c>
      <c r="B15" s="1886">
        <v>0</v>
      </c>
      <c r="C15" s="1886">
        <v>0</v>
      </c>
      <c r="D15" s="1886">
        <v>4</v>
      </c>
      <c r="E15" s="1886">
        <v>0</v>
      </c>
    </row>
    <row r="16" spans="1:10" s="1" customFormat="1">
      <c r="A16" s="1883" t="s">
        <v>8</v>
      </c>
      <c r="B16" s="1885">
        <f>SUM(B17:B20)</f>
        <v>28</v>
      </c>
      <c r="C16" s="1885">
        <f>SUM(C17:C20)</f>
        <v>1</v>
      </c>
      <c r="D16" s="1885">
        <f>SUM(D17:D20)</f>
        <v>5</v>
      </c>
      <c r="E16" s="1885">
        <f>SUM(E17:E20)</f>
        <v>37</v>
      </c>
      <c r="G16" s="412"/>
      <c r="H16" s="412"/>
      <c r="I16" s="412"/>
    </row>
    <row r="17" spans="1:9" s="1" customFormat="1">
      <c r="A17" s="1" t="s">
        <v>854</v>
      </c>
      <c r="B17" s="1886">
        <v>3</v>
      </c>
      <c r="C17" s="1886">
        <v>0</v>
      </c>
      <c r="D17" s="1886">
        <v>0</v>
      </c>
      <c r="E17" s="1886">
        <v>4</v>
      </c>
    </row>
    <row r="18" spans="1:9" s="1" customFormat="1">
      <c r="A18" s="1" t="s">
        <v>855</v>
      </c>
      <c r="B18" s="1886">
        <v>14</v>
      </c>
      <c r="C18" s="1886">
        <v>1</v>
      </c>
      <c r="D18" s="1886">
        <v>4</v>
      </c>
      <c r="E18" s="1886">
        <v>14</v>
      </c>
    </row>
    <row r="19" spans="1:9" s="1" customFormat="1">
      <c r="A19" s="1" t="s">
        <v>856</v>
      </c>
      <c r="B19" s="1886">
        <v>3</v>
      </c>
      <c r="C19" s="1886">
        <v>0</v>
      </c>
      <c r="D19" s="1886">
        <v>1</v>
      </c>
      <c r="E19" s="1886">
        <v>19</v>
      </c>
    </row>
    <row r="20" spans="1:9" s="1" customFormat="1">
      <c r="A20" s="1" t="s">
        <v>857</v>
      </c>
      <c r="B20" s="1886">
        <v>8</v>
      </c>
      <c r="C20" s="1886">
        <v>0</v>
      </c>
      <c r="D20" s="1886">
        <v>0</v>
      </c>
      <c r="E20" s="1886">
        <v>0</v>
      </c>
    </row>
    <row r="21" spans="1:9" s="1" customFormat="1">
      <c r="A21" s="1883" t="s">
        <v>9</v>
      </c>
      <c r="B21" s="1885">
        <f>SUM(B22:B25)</f>
        <v>23</v>
      </c>
      <c r="C21" s="1885">
        <f>SUM(C22:C25)</f>
        <v>0</v>
      </c>
      <c r="D21" s="1885">
        <f>SUM(D22:D25)</f>
        <v>8</v>
      </c>
      <c r="E21" s="1885">
        <f>SUM(E22:E25)</f>
        <v>2</v>
      </c>
      <c r="G21" s="412"/>
      <c r="H21" s="412"/>
      <c r="I21" s="412"/>
    </row>
    <row r="22" spans="1:9" s="1" customFormat="1">
      <c r="A22" s="1" t="s">
        <v>854</v>
      </c>
      <c r="B22" s="1886">
        <v>6</v>
      </c>
      <c r="C22" s="1886">
        <v>0</v>
      </c>
      <c r="D22" s="1886">
        <v>0</v>
      </c>
      <c r="E22" s="1886">
        <v>2</v>
      </c>
    </row>
    <row r="23" spans="1:9" s="1" customFormat="1">
      <c r="A23" s="1" t="s">
        <v>855</v>
      </c>
      <c r="B23" s="1886">
        <v>10</v>
      </c>
      <c r="C23" s="1886">
        <v>0</v>
      </c>
      <c r="D23" s="1886">
        <v>3</v>
      </c>
      <c r="E23" s="1886">
        <v>0</v>
      </c>
    </row>
    <row r="24" spans="1:9" s="1" customFormat="1">
      <c r="A24" s="1" t="s">
        <v>856</v>
      </c>
      <c r="B24" s="1886">
        <v>7</v>
      </c>
      <c r="C24" s="1886">
        <v>0</v>
      </c>
      <c r="D24" s="1886">
        <v>3</v>
      </c>
      <c r="E24" s="1886">
        <v>0</v>
      </c>
    </row>
    <row r="25" spans="1:9" s="1" customFormat="1">
      <c r="A25" s="1" t="s">
        <v>857</v>
      </c>
      <c r="B25" s="1886">
        <v>0</v>
      </c>
      <c r="C25" s="1886">
        <v>0</v>
      </c>
      <c r="D25" s="1886">
        <v>2</v>
      </c>
      <c r="E25" s="1886">
        <v>0</v>
      </c>
    </row>
    <row r="26" spans="1:9" s="1" customFormat="1">
      <c r="A26" s="1883" t="s">
        <v>10</v>
      </c>
      <c r="B26" s="1885">
        <f>SUM(B27:B30)</f>
        <v>30</v>
      </c>
      <c r="C26" s="1885">
        <f>SUM(C27:C30)</f>
        <v>8</v>
      </c>
      <c r="D26" s="1885">
        <f>SUM(D27:D30)</f>
        <v>58</v>
      </c>
      <c r="E26" s="1885">
        <f>SUM(E27:E30)</f>
        <v>0</v>
      </c>
      <c r="G26" s="412"/>
      <c r="H26" s="412"/>
      <c r="I26" s="412"/>
    </row>
    <row r="27" spans="1:9" s="1" customFormat="1">
      <c r="A27" s="1" t="s">
        <v>854</v>
      </c>
      <c r="B27" s="1886">
        <v>6</v>
      </c>
      <c r="C27" s="1886">
        <v>3</v>
      </c>
      <c r="D27" s="1886">
        <v>11</v>
      </c>
      <c r="E27" s="1886">
        <v>0</v>
      </c>
    </row>
    <row r="28" spans="1:9" s="1" customFormat="1">
      <c r="A28" s="1" t="s">
        <v>855</v>
      </c>
      <c r="B28" s="1886">
        <v>21</v>
      </c>
      <c r="C28" s="1886">
        <v>5</v>
      </c>
      <c r="D28" s="1886">
        <v>36</v>
      </c>
      <c r="E28" s="1886">
        <v>0</v>
      </c>
    </row>
    <row r="29" spans="1:9" s="1" customFormat="1">
      <c r="A29" s="1" t="s">
        <v>856</v>
      </c>
      <c r="B29" s="1886">
        <v>2</v>
      </c>
      <c r="C29" s="1886">
        <v>0</v>
      </c>
      <c r="D29" s="1886">
        <v>11</v>
      </c>
      <c r="E29" s="1886">
        <v>0</v>
      </c>
    </row>
    <row r="30" spans="1:9" s="1" customFormat="1">
      <c r="A30" s="1" t="s">
        <v>857</v>
      </c>
      <c r="B30" s="1886">
        <v>1</v>
      </c>
      <c r="C30" s="1886">
        <v>0</v>
      </c>
      <c r="D30" s="1886">
        <v>0</v>
      </c>
      <c r="E30" s="1886">
        <v>0</v>
      </c>
    </row>
    <row r="31" spans="1:9" s="1" customFormat="1">
      <c r="A31" s="1883" t="s">
        <v>11</v>
      </c>
      <c r="B31" s="1885">
        <f>SUM(B32:B35)</f>
        <v>40</v>
      </c>
      <c r="C31" s="1885">
        <f>SUM(C32:C35)</f>
        <v>9</v>
      </c>
      <c r="D31" s="1885">
        <f>SUM(D32:D35)</f>
        <v>73</v>
      </c>
      <c r="E31" s="1885">
        <f>SUM(E32:E35)</f>
        <v>33</v>
      </c>
      <c r="G31" s="412"/>
      <c r="H31" s="412"/>
      <c r="I31" s="412"/>
    </row>
    <row r="32" spans="1:9" s="1" customFormat="1">
      <c r="A32" s="1" t="s">
        <v>854</v>
      </c>
      <c r="B32" s="1886">
        <v>14</v>
      </c>
      <c r="C32" s="1886">
        <v>3</v>
      </c>
      <c r="D32" s="1886">
        <v>16</v>
      </c>
      <c r="E32" s="1886">
        <v>11</v>
      </c>
    </row>
    <row r="33" spans="1:9" s="1" customFormat="1">
      <c r="A33" s="1" t="s">
        <v>855</v>
      </c>
      <c r="B33" s="1886">
        <v>14</v>
      </c>
      <c r="C33" s="1886">
        <v>5</v>
      </c>
      <c r="D33" s="1886">
        <v>32</v>
      </c>
      <c r="E33" s="1886">
        <v>21</v>
      </c>
    </row>
    <row r="34" spans="1:9" s="1" customFormat="1">
      <c r="A34" s="1" t="s">
        <v>856</v>
      </c>
      <c r="B34" s="1886">
        <v>12</v>
      </c>
      <c r="C34" s="1886">
        <v>1</v>
      </c>
      <c r="D34" s="1886">
        <v>22</v>
      </c>
      <c r="E34" s="1886">
        <v>1</v>
      </c>
    </row>
    <row r="35" spans="1:9" s="1" customFormat="1">
      <c r="A35" s="1" t="s">
        <v>857</v>
      </c>
      <c r="B35" s="1886">
        <v>0</v>
      </c>
      <c r="C35" s="1886">
        <v>0</v>
      </c>
      <c r="D35" s="1886">
        <v>3</v>
      </c>
      <c r="E35" s="1886">
        <v>0</v>
      </c>
    </row>
    <row r="36" spans="1:9" s="1" customFormat="1">
      <c r="A36" s="1883" t="s">
        <v>12</v>
      </c>
      <c r="B36" s="1885">
        <f>SUM(B37:B40)</f>
        <v>91</v>
      </c>
      <c r="C36" s="1885">
        <f>SUM(C37:C40)</f>
        <v>18</v>
      </c>
      <c r="D36" s="1885">
        <f>SUM(D37:D40)</f>
        <v>17</v>
      </c>
      <c r="E36" s="1885">
        <f>SUM(E37:E40)</f>
        <v>43</v>
      </c>
      <c r="G36" s="412"/>
      <c r="H36" s="412"/>
      <c r="I36" s="412"/>
    </row>
    <row r="37" spans="1:9" s="1" customFormat="1">
      <c r="A37" s="1" t="s">
        <v>854</v>
      </c>
      <c r="B37" s="1886">
        <v>6</v>
      </c>
      <c r="C37" s="1886">
        <v>16</v>
      </c>
      <c r="D37" s="1886">
        <v>4</v>
      </c>
      <c r="E37" s="1886">
        <v>6</v>
      </c>
    </row>
    <row r="38" spans="1:9" s="1" customFormat="1">
      <c r="A38" s="1" t="s">
        <v>855</v>
      </c>
      <c r="B38" s="1886">
        <v>58</v>
      </c>
      <c r="C38" s="1886">
        <v>1</v>
      </c>
      <c r="D38" s="1886">
        <v>12</v>
      </c>
      <c r="E38" s="1886">
        <v>37</v>
      </c>
    </row>
    <row r="39" spans="1:9" s="1" customFormat="1">
      <c r="A39" s="1" t="s">
        <v>856</v>
      </c>
      <c r="B39" s="1886">
        <v>12</v>
      </c>
      <c r="C39" s="1886">
        <v>0</v>
      </c>
      <c r="D39" s="1886">
        <v>1</v>
      </c>
      <c r="E39" s="1886">
        <v>0</v>
      </c>
    </row>
    <row r="40" spans="1:9" s="1" customFormat="1">
      <c r="A40" s="1" t="s">
        <v>857</v>
      </c>
      <c r="B40" s="1886">
        <v>15</v>
      </c>
      <c r="C40" s="1886">
        <v>1</v>
      </c>
      <c r="D40" s="1886">
        <v>0</v>
      </c>
      <c r="E40" s="1886">
        <v>0</v>
      </c>
    </row>
    <row r="41" spans="1:9" s="1" customFormat="1">
      <c r="A41" s="1883" t="s">
        <v>13</v>
      </c>
      <c r="B41" s="1885">
        <f>SUM(B42:B45)</f>
        <v>83</v>
      </c>
      <c r="C41" s="1885">
        <f>SUM(C42:C45)</f>
        <v>10</v>
      </c>
      <c r="D41" s="1885">
        <f>SUM(D42:D45)</f>
        <v>188</v>
      </c>
      <c r="E41" s="1885">
        <f>SUM(E42:E45)</f>
        <v>5</v>
      </c>
      <c r="G41" s="412"/>
      <c r="H41" s="412"/>
      <c r="I41" s="412"/>
    </row>
    <row r="42" spans="1:9" s="1" customFormat="1">
      <c r="A42" s="1" t="s">
        <v>854</v>
      </c>
      <c r="B42" s="1886">
        <v>4</v>
      </c>
      <c r="C42" s="1886">
        <v>0</v>
      </c>
      <c r="D42" s="1886">
        <v>57</v>
      </c>
      <c r="E42" s="1886">
        <v>0</v>
      </c>
    </row>
    <row r="43" spans="1:9" s="1" customFormat="1">
      <c r="A43" s="1" t="s">
        <v>855</v>
      </c>
      <c r="B43" s="1886">
        <v>64</v>
      </c>
      <c r="C43" s="1886">
        <v>10</v>
      </c>
      <c r="D43" s="1886">
        <v>118</v>
      </c>
      <c r="E43" s="1886">
        <v>4</v>
      </c>
    </row>
    <row r="44" spans="1:9" s="1" customFormat="1">
      <c r="A44" s="1" t="s">
        <v>856</v>
      </c>
      <c r="B44" s="1886">
        <v>5</v>
      </c>
      <c r="C44" s="1886">
        <v>0</v>
      </c>
      <c r="D44" s="1886">
        <v>13</v>
      </c>
      <c r="E44" s="1886">
        <v>1</v>
      </c>
    </row>
    <row r="45" spans="1:9" s="1" customFormat="1">
      <c r="A45" s="1" t="s">
        <v>857</v>
      </c>
      <c r="B45" s="1886">
        <v>10</v>
      </c>
      <c r="C45" s="1886">
        <v>0</v>
      </c>
      <c r="D45" s="1886">
        <v>0</v>
      </c>
      <c r="E45" s="1886">
        <v>0</v>
      </c>
    </row>
    <row r="46" spans="1:9" s="1" customFormat="1">
      <c r="A46" s="1883" t="s">
        <v>14</v>
      </c>
      <c r="B46" s="1885">
        <f>SUM(B47:B50)</f>
        <v>25</v>
      </c>
      <c r="C46" s="1885">
        <f>SUM(C47:C50)</f>
        <v>4</v>
      </c>
      <c r="D46" s="1885">
        <f>SUM(D47:D50)</f>
        <v>247</v>
      </c>
      <c r="E46" s="1885">
        <f>SUM(E47:E50)</f>
        <v>55</v>
      </c>
      <c r="G46" s="412"/>
      <c r="H46" s="412"/>
      <c r="I46" s="412"/>
    </row>
    <row r="47" spans="1:9" s="1" customFormat="1">
      <c r="A47" s="1" t="s">
        <v>854</v>
      </c>
      <c r="B47" s="1886">
        <v>4</v>
      </c>
      <c r="C47" s="1886">
        <v>0</v>
      </c>
      <c r="D47" s="1886">
        <v>1</v>
      </c>
      <c r="E47" s="1886">
        <v>5</v>
      </c>
    </row>
    <row r="48" spans="1:9" s="1" customFormat="1">
      <c r="A48" s="1" t="s">
        <v>855</v>
      </c>
      <c r="B48" s="1886">
        <v>19</v>
      </c>
      <c r="C48" s="1886">
        <v>4</v>
      </c>
      <c r="D48" s="1886">
        <v>206</v>
      </c>
      <c r="E48" s="1886">
        <v>30</v>
      </c>
    </row>
    <row r="49" spans="1:9" s="1" customFormat="1">
      <c r="A49" s="1" t="s">
        <v>856</v>
      </c>
      <c r="B49" s="1886">
        <v>2</v>
      </c>
      <c r="C49" s="1886">
        <v>0</v>
      </c>
      <c r="D49" s="1886">
        <v>40</v>
      </c>
      <c r="E49" s="1886">
        <v>5</v>
      </c>
    </row>
    <row r="50" spans="1:9" s="1" customFormat="1">
      <c r="A50" s="1" t="s">
        <v>857</v>
      </c>
      <c r="B50" s="1886">
        <v>0</v>
      </c>
      <c r="C50" s="1886">
        <v>0</v>
      </c>
      <c r="D50" s="1886">
        <v>0</v>
      </c>
      <c r="E50" s="1886">
        <v>15</v>
      </c>
    </row>
    <row r="51" spans="1:9" s="1" customFormat="1">
      <c r="A51" s="1883" t="s">
        <v>15</v>
      </c>
      <c r="B51" s="1885">
        <f>SUM(B52:B55)</f>
        <v>14</v>
      </c>
      <c r="C51" s="1885">
        <f>SUM(C52:C55)</f>
        <v>0</v>
      </c>
      <c r="D51" s="1885">
        <f>SUM(D52:D55)</f>
        <v>168</v>
      </c>
      <c r="E51" s="1885">
        <f>SUM(E52:E55)</f>
        <v>0</v>
      </c>
      <c r="G51" s="412"/>
      <c r="H51" s="412"/>
      <c r="I51" s="412"/>
    </row>
    <row r="52" spans="1:9" s="1" customFormat="1">
      <c r="A52" s="1" t="s">
        <v>854</v>
      </c>
      <c r="B52" s="1886">
        <v>2</v>
      </c>
      <c r="C52" s="1886">
        <v>0</v>
      </c>
      <c r="D52" s="1886">
        <v>1</v>
      </c>
      <c r="E52" s="1886">
        <v>0</v>
      </c>
    </row>
    <row r="53" spans="1:9" s="1" customFormat="1">
      <c r="A53" s="1" t="s">
        <v>855</v>
      </c>
      <c r="B53" s="1886">
        <v>8</v>
      </c>
      <c r="C53" s="1886">
        <v>0</v>
      </c>
      <c r="D53" s="1886">
        <v>163</v>
      </c>
      <c r="E53" s="1886">
        <v>0</v>
      </c>
    </row>
    <row r="54" spans="1:9" s="1" customFormat="1">
      <c r="A54" s="1" t="s">
        <v>856</v>
      </c>
      <c r="B54" s="1886">
        <v>4</v>
      </c>
      <c r="C54" s="1886">
        <v>0</v>
      </c>
      <c r="D54" s="1886">
        <v>4</v>
      </c>
      <c r="E54" s="1886">
        <v>0</v>
      </c>
    </row>
    <row r="55" spans="1:9" s="1" customFormat="1">
      <c r="A55" s="1" t="s">
        <v>857</v>
      </c>
      <c r="B55" s="1886">
        <v>0</v>
      </c>
      <c r="C55" s="1886">
        <v>0</v>
      </c>
      <c r="D55" s="1886">
        <v>0</v>
      </c>
      <c r="E55" s="1886">
        <v>0</v>
      </c>
    </row>
    <row r="56" spans="1:9" s="1" customFormat="1">
      <c r="A56" s="1883" t="s">
        <v>16</v>
      </c>
      <c r="B56" s="1885">
        <f>SUM(B57:B60)</f>
        <v>15</v>
      </c>
      <c r="C56" s="1885">
        <f>SUM(C57:C60)</f>
        <v>2</v>
      </c>
      <c r="D56" s="1885">
        <f>SUM(D57:D60)</f>
        <v>62</v>
      </c>
      <c r="E56" s="1885">
        <f>SUM(E57:E60)</f>
        <v>100</v>
      </c>
      <c r="G56" s="412"/>
      <c r="H56" s="412"/>
      <c r="I56" s="412"/>
    </row>
    <row r="57" spans="1:9" s="1" customFormat="1">
      <c r="A57" s="1" t="s">
        <v>854</v>
      </c>
      <c r="B57" s="1886">
        <v>2</v>
      </c>
      <c r="C57" s="1886">
        <v>0</v>
      </c>
      <c r="D57" s="1886">
        <v>1</v>
      </c>
      <c r="E57" s="1886">
        <v>11</v>
      </c>
    </row>
    <row r="58" spans="1:9" s="1" customFormat="1">
      <c r="A58" s="1" t="s">
        <v>855</v>
      </c>
      <c r="B58" s="1886">
        <v>10</v>
      </c>
      <c r="C58" s="1886">
        <v>2</v>
      </c>
      <c r="D58" s="1886">
        <v>61</v>
      </c>
      <c r="E58" s="1886">
        <v>75</v>
      </c>
    </row>
    <row r="59" spans="1:9" s="1" customFormat="1">
      <c r="A59" s="1" t="s">
        <v>856</v>
      </c>
      <c r="B59" s="1886">
        <v>3</v>
      </c>
      <c r="C59" s="1886">
        <v>0</v>
      </c>
      <c r="D59" s="1886">
        <v>0</v>
      </c>
      <c r="E59" s="1886">
        <v>0</v>
      </c>
    </row>
    <row r="60" spans="1:9" s="1" customFormat="1">
      <c r="A60" s="1" t="s">
        <v>857</v>
      </c>
      <c r="B60" s="1886">
        <v>0</v>
      </c>
      <c r="C60" s="1886">
        <v>0</v>
      </c>
      <c r="D60" s="1886">
        <v>0</v>
      </c>
      <c r="E60" s="1886">
        <v>14</v>
      </c>
    </row>
    <row r="61" spans="1:9" s="1" customFormat="1">
      <c r="A61" s="1883" t="s">
        <v>379</v>
      </c>
      <c r="B61" s="1885">
        <f>SUM(B62:B65)</f>
        <v>46</v>
      </c>
      <c r="C61" s="1885">
        <f>SUM(C62:C65)</f>
        <v>0</v>
      </c>
      <c r="D61" s="1885">
        <f>SUM(D62:D65)</f>
        <v>147</v>
      </c>
      <c r="E61" s="1885">
        <f>SUM(E62:E65)</f>
        <v>0</v>
      </c>
      <c r="G61" s="412"/>
      <c r="H61" s="412"/>
      <c r="I61" s="412"/>
    </row>
    <row r="62" spans="1:9" s="1" customFormat="1">
      <c r="A62" s="1" t="s">
        <v>854</v>
      </c>
      <c r="B62" s="1886">
        <v>2</v>
      </c>
      <c r="C62" s="1886">
        <v>0</v>
      </c>
      <c r="D62" s="1886">
        <v>35</v>
      </c>
      <c r="E62" s="1886">
        <v>0</v>
      </c>
    </row>
    <row r="63" spans="1:9" s="1" customFormat="1">
      <c r="A63" s="1" t="s">
        <v>855</v>
      </c>
      <c r="B63" s="1886">
        <v>44</v>
      </c>
      <c r="C63" s="1886">
        <v>0</v>
      </c>
      <c r="D63" s="1886">
        <v>59</v>
      </c>
      <c r="E63" s="1886">
        <v>0</v>
      </c>
    </row>
    <row r="64" spans="1:9" s="1" customFormat="1">
      <c r="A64" s="1" t="s">
        <v>856</v>
      </c>
      <c r="B64" s="1886">
        <v>0</v>
      </c>
      <c r="C64" s="1886">
        <v>0</v>
      </c>
      <c r="D64" s="1886">
        <v>22</v>
      </c>
      <c r="E64" s="1886">
        <v>0</v>
      </c>
    </row>
    <row r="65" spans="1:16" s="1" customFormat="1" ht="10.5" customHeight="1">
      <c r="A65" s="1" t="s">
        <v>857</v>
      </c>
      <c r="B65" s="1886">
        <v>0</v>
      </c>
      <c r="C65" s="1886">
        <v>0</v>
      </c>
      <c r="D65" s="1886">
        <v>31</v>
      </c>
      <c r="E65" s="1886">
        <v>0</v>
      </c>
      <c r="N65" s="786"/>
      <c r="O65" s="786"/>
      <c r="P65" s="786"/>
    </row>
    <row r="66" spans="1:16" s="1" customFormat="1">
      <c r="A66" s="1883" t="s">
        <v>276</v>
      </c>
      <c r="B66" s="1885">
        <f>SUM(B67:B70)</f>
        <v>9</v>
      </c>
      <c r="C66" s="1885">
        <f>SUM(C67:C70)</f>
        <v>0</v>
      </c>
      <c r="D66" s="1885">
        <f>SUM(D67:D70)</f>
        <v>105</v>
      </c>
      <c r="E66" s="1885">
        <f>SUM(E67:E70)</f>
        <v>2</v>
      </c>
      <c r="G66" s="412"/>
      <c r="H66" s="412"/>
      <c r="I66" s="412"/>
    </row>
    <row r="67" spans="1:16" s="1" customFormat="1">
      <c r="A67" s="1" t="s">
        <v>854</v>
      </c>
      <c r="B67" s="1886">
        <v>0</v>
      </c>
      <c r="C67" s="1886">
        <v>0</v>
      </c>
      <c r="D67" s="1886">
        <v>16</v>
      </c>
      <c r="E67" s="1886">
        <v>0</v>
      </c>
    </row>
    <row r="68" spans="1:16" s="1" customFormat="1">
      <c r="A68" s="1" t="s">
        <v>855</v>
      </c>
      <c r="B68" s="1886">
        <v>8</v>
      </c>
      <c r="C68" s="1886">
        <v>0</v>
      </c>
      <c r="D68" s="1886">
        <v>34</v>
      </c>
      <c r="E68" s="1886">
        <v>2</v>
      </c>
    </row>
    <row r="69" spans="1:16" s="1" customFormat="1">
      <c r="A69" s="1" t="s">
        <v>856</v>
      </c>
      <c r="B69" s="1886">
        <v>0</v>
      </c>
      <c r="C69" s="1886">
        <v>0</v>
      </c>
      <c r="D69" s="1886">
        <v>51</v>
      </c>
      <c r="E69" s="1886">
        <v>0</v>
      </c>
    </row>
    <row r="70" spans="1:16" s="1" customFormat="1">
      <c r="A70" s="1" t="s">
        <v>857</v>
      </c>
      <c r="B70" s="1886">
        <v>1</v>
      </c>
      <c r="C70" s="1886">
        <v>0</v>
      </c>
      <c r="D70" s="1886">
        <v>4</v>
      </c>
      <c r="E70" s="1886">
        <v>0</v>
      </c>
    </row>
    <row r="71" spans="1:16" s="1" customFormat="1">
      <c r="A71" s="1883" t="s">
        <v>280</v>
      </c>
      <c r="B71" s="1885">
        <f>SUM(B72:B75)</f>
        <v>30</v>
      </c>
      <c r="C71" s="1885">
        <f>SUM(C72:C75)</f>
        <v>4</v>
      </c>
      <c r="D71" s="1885">
        <f>SUM(D72:D75)</f>
        <v>197</v>
      </c>
      <c r="E71" s="1885">
        <f>SUM(E72:E75)</f>
        <v>0</v>
      </c>
      <c r="G71" s="412"/>
      <c r="H71" s="412"/>
      <c r="I71" s="412"/>
    </row>
    <row r="72" spans="1:16" s="1" customFormat="1">
      <c r="A72" s="1" t="s">
        <v>854</v>
      </c>
      <c r="B72" s="1886">
        <v>2</v>
      </c>
      <c r="C72" s="1886">
        <v>0</v>
      </c>
      <c r="D72" s="1886">
        <v>36</v>
      </c>
      <c r="E72" s="1886">
        <v>0</v>
      </c>
    </row>
    <row r="73" spans="1:16" s="1" customFormat="1">
      <c r="A73" s="1" t="s">
        <v>855</v>
      </c>
      <c r="B73" s="1886">
        <v>22</v>
      </c>
      <c r="C73" s="1886">
        <v>4</v>
      </c>
      <c r="D73" s="1886">
        <v>92</v>
      </c>
      <c r="E73" s="1886">
        <v>0</v>
      </c>
    </row>
    <row r="74" spans="1:16" s="1" customFormat="1">
      <c r="A74" s="1" t="s">
        <v>856</v>
      </c>
      <c r="B74" s="1886">
        <v>2</v>
      </c>
      <c r="C74" s="1886">
        <v>0</v>
      </c>
      <c r="D74" s="1886">
        <v>49</v>
      </c>
      <c r="E74" s="1886">
        <v>0</v>
      </c>
    </row>
    <row r="75" spans="1:16" s="1" customFormat="1">
      <c r="A75" s="1" t="s">
        <v>857</v>
      </c>
      <c r="B75" s="1886">
        <v>4</v>
      </c>
      <c r="C75" s="1886">
        <v>0</v>
      </c>
      <c r="D75" s="1886">
        <v>20</v>
      </c>
      <c r="E75" s="1886">
        <v>0</v>
      </c>
    </row>
    <row r="76" spans="1:16" s="1" customFormat="1">
      <c r="A76" s="1883" t="s">
        <v>20</v>
      </c>
      <c r="B76" s="1885">
        <f>SUM(B77:B80)</f>
        <v>3</v>
      </c>
      <c r="C76" s="1885">
        <f>SUM(C77:C80)</f>
        <v>0</v>
      </c>
      <c r="D76" s="1885">
        <f>SUM(D77:D80)</f>
        <v>53</v>
      </c>
      <c r="E76" s="1885">
        <f>SUM(E77:E80)</f>
        <v>0</v>
      </c>
      <c r="G76" s="412"/>
      <c r="H76" s="412"/>
      <c r="I76" s="412"/>
    </row>
    <row r="77" spans="1:16" s="1" customFormat="1">
      <c r="A77" s="1" t="s">
        <v>854</v>
      </c>
      <c r="B77" s="1886">
        <v>0</v>
      </c>
      <c r="C77" s="1886">
        <v>0</v>
      </c>
      <c r="D77" s="1886">
        <v>0</v>
      </c>
      <c r="E77" s="1886">
        <v>0</v>
      </c>
    </row>
    <row r="78" spans="1:16" s="1" customFormat="1">
      <c r="A78" s="1" t="s">
        <v>855</v>
      </c>
      <c r="B78" s="1886">
        <v>3</v>
      </c>
      <c r="C78" s="1886">
        <v>0</v>
      </c>
      <c r="D78" s="1886">
        <v>53</v>
      </c>
      <c r="E78" s="1886">
        <v>0</v>
      </c>
    </row>
    <row r="79" spans="1:16" s="1" customFormat="1">
      <c r="A79" s="1" t="s">
        <v>856</v>
      </c>
      <c r="B79" s="1886">
        <v>0</v>
      </c>
      <c r="C79" s="1886">
        <v>0</v>
      </c>
      <c r="D79" s="1886">
        <v>0</v>
      </c>
      <c r="E79" s="1886">
        <v>0</v>
      </c>
    </row>
    <row r="80" spans="1:16" s="1" customFormat="1">
      <c r="A80" s="1" t="s">
        <v>857</v>
      </c>
      <c r="B80" s="1886">
        <v>0</v>
      </c>
      <c r="C80" s="1886">
        <v>0</v>
      </c>
      <c r="D80" s="1886">
        <v>0</v>
      </c>
      <c r="E80" s="1886">
        <v>0</v>
      </c>
    </row>
    <row r="81" spans="1:9" s="1" customFormat="1">
      <c r="A81" s="1883" t="s">
        <v>21</v>
      </c>
      <c r="B81" s="1885">
        <f>SUM(B82:B85)</f>
        <v>5</v>
      </c>
      <c r="C81" s="1885">
        <f>SUM(C82:C85)</f>
        <v>3</v>
      </c>
      <c r="D81" s="1885">
        <f>SUM(D82:D85)</f>
        <v>47</v>
      </c>
      <c r="E81" s="1885">
        <f>SUM(E82:E85)</f>
        <v>6</v>
      </c>
      <c r="G81" s="412"/>
      <c r="H81" s="412"/>
      <c r="I81" s="412"/>
    </row>
    <row r="82" spans="1:9" s="1" customFormat="1">
      <c r="A82" s="1" t="s">
        <v>854</v>
      </c>
      <c r="B82" s="1886">
        <v>2</v>
      </c>
      <c r="C82" s="1886">
        <v>0</v>
      </c>
      <c r="D82" s="1886">
        <v>5</v>
      </c>
      <c r="E82" s="1886">
        <v>0</v>
      </c>
    </row>
    <row r="83" spans="1:9" s="1" customFormat="1">
      <c r="A83" s="1" t="s">
        <v>855</v>
      </c>
      <c r="B83" s="1886">
        <v>2</v>
      </c>
      <c r="C83" s="1886">
        <v>3</v>
      </c>
      <c r="D83" s="1886">
        <v>29</v>
      </c>
      <c r="E83" s="1886">
        <v>6</v>
      </c>
    </row>
    <row r="84" spans="1:9" s="1" customFormat="1">
      <c r="A84" s="1" t="s">
        <v>856</v>
      </c>
      <c r="B84" s="1886">
        <v>1</v>
      </c>
      <c r="C84" s="1886">
        <v>0</v>
      </c>
      <c r="D84" s="1886">
        <v>6</v>
      </c>
      <c r="E84" s="1886">
        <v>0</v>
      </c>
    </row>
    <row r="85" spans="1:9" s="1" customFormat="1">
      <c r="A85" s="1" t="s">
        <v>857</v>
      </c>
      <c r="B85" s="1886">
        <v>0</v>
      </c>
      <c r="C85" s="1886">
        <v>0</v>
      </c>
      <c r="D85" s="1886">
        <v>7</v>
      </c>
      <c r="E85" s="1886">
        <v>0</v>
      </c>
    </row>
    <row r="86" spans="1:9" s="1" customFormat="1">
      <c r="B86" s="1886"/>
      <c r="C86" s="1886"/>
      <c r="D86" s="1886"/>
      <c r="E86" s="1886"/>
    </row>
    <row r="87" spans="1:9" s="1" customFormat="1">
      <c r="A87" s="2095" t="s">
        <v>4642</v>
      </c>
      <c r="B87" s="2095"/>
      <c r="C87" s="2095"/>
      <c r="D87" s="2095"/>
      <c r="E87" s="2095"/>
    </row>
    <row r="88" spans="1:9" s="1" customFormat="1" ht="24.75" customHeight="1">
      <c r="A88" s="2653" t="s">
        <v>3866</v>
      </c>
      <c r="B88" s="2653"/>
      <c r="C88" s="2653"/>
      <c r="D88" s="2653"/>
      <c r="E88" s="2653"/>
    </row>
    <row r="89" spans="1:9" ht="24" customHeight="1">
      <c r="A89" s="2103" t="s">
        <v>861</v>
      </c>
      <c r="B89" s="2103"/>
      <c r="C89" s="2103"/>
      <c r="D89" s="2103"/>
      <c r="E89" s="2103"/>
    </row>
  </sheetData>
  <mergeCells count="6">
    <mergeCell ref="A4:A5"/>
    <mergeCell ref="A2:E2"/>
    <mergeCell ref="B4:E4"/>
    <mergeCell ref="A88:E88"/>
    <mergeCell ref="A89:E89"/>
    <mergeCell ref="A87:E87"/>
  </mergeCells>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2:F33"/>
  <sheetViews>
    <sheetView zoomScaleNormal="100" workbookViewId="0">
      <selection activeCell="D37" sqref="D37"/>
    </sheetView>
  </sheetViews>
  <sheetFormatPr baseColWidth="10" defaultRowHeight="11.25"/>
  <cols>
    <col min="1" max="1" width="35.28515625" style="2" customWidth="1"/>
    <col min="2" max="5" width="11.42578125" style="2"/>
    <col min="6" max="6" width="3.7109375" style="2" customWidth="1"/>
    <col min="7" max="16384" width="11.42578125" style="2"/>
  </cols>
  <sheetData>
    <row r="2" spans="1:6" ht="28.5" customHeight="1">
      <c r="A2" s="2096" t="s">
        <v>3302</v>
      </c>
      <c r="B2" s="2096"/>
      <c r="C2" s="2096"/>
      <c r="D2" s="2096"/>
      <c r="E2" s="2096"/>
    </row>
    <row r="3" spans="1:6">
      <c r="B3" s="307"/>
    </row>
    <row r="4" spans="1:6" ht="26.25" customHeight="1">
      <c r="A4" s="404" t="s">
        <v>997</v>
      </c>
      <c r="B4" s="40" t="s">
        <v>801</v>
      </c>
      <c r="C4" s="40" t="s">
        <v>802</v>
      </c>
      <c r="D4" s="40" t="s">
        <v>803</v>
      </c>
      <c r="E4" s="40" t="s">
        <v>804</v>
      </c>
    </row>
    <row r="5" spans="1:6" ht="12.75">
      <c r="A5" s="1424" t="s">
        <v>3863</v>
      </c>
      <c r="B5" s="794">
        <f>SUM(B10,B15,B20,B25)</f>
        <v>424</v>
      </c>
      <c r="C5" s="794">
        <f>SUM(C10,C15,C20,C25)</f>
        <v>56</v>
      </c>
      <c r="D5" s="794">
        <f>SUM(D10,D15,D20,D25)</f>
        <v>1364</v>
      </c>
      <c r="E5" s="794">
        <f>SUM(E10,E15,E20,E25)</f>
        <v>269</v>
      </c>
      <c r="F5" s="1879"/>
    </row>
    <row r="6" spans="1:6">
      <c r="A6" s="786" t="s">
        <v>854</v>
      </c>
      <c r="B6" s="794">
        <f>SUM(B11,B16,B21,B26)</f>
        <v>55</v>
      </c>
      <c r="C6" s="794">
        <f t="shared" ref="C6:E9" si="0">SUM(C11,C16,C21,C26)</f>
        <v>22</v>
      </c>
      <c r="D6" s="794">
        <f t="shared" si="0"/>
        <v>182</v>
      </c>
      <c r="E6" s="794">
        <f t="shared" si="0"/>
        <v>39</v>
      </c>
      <c r="F6" s="1879"/>
    </row>
    <row r="7" spans="1:6">
      <c r="A7" s="786" t="s">
        <v>855</v>
      </c>
      <c r="B7" s="794">
        <f>SUM(B12,B17,B22,B27)</f>
        <v>300</v>
      </c>
      <c r="C7" s="794">
        <f t="shared" si="0"/>
        <v>33</v>
      </c>
      <c r="D7" s="794">
        <f t="shared" si="0"/>
        <v>914</v>
      </c>
      <c r="E7" s="794">
        <f t="shared" si="0"/>
        <v>187</v>
      </c>
      <c r="F7" s="1879"/>
    </row>
    <row r="8" spans="1:6">
      <c r="A8" s="786" t="s">
        <v>856</v>
      </c>
      <c r="B8" s="794">
        <f>SUM(B13,B18,B23,B28)</f>
        <v>58</v>
      </c>
      <c r="C8" s="794">
        <f t="shared" si="0"/>
        <v>1</v>
      </c>
      <c r="D8" s="794">
        <f t="shared" si="0"/>
        <v>241</v>
      </c>
      <c r="E8" s="794">
        <f t="shared" si="0"/>
        <v>26</v>
      </c>
      <c r="F8" s="1879"/>
    </row>
    <row r="9" spans="1:6" ht="15" customHeight="1">
      <c r="A9" s="786" t="s">
        <v>857</v>
      </c>
      <c r="B9" s="794">
        <f>SUM(B14,B19,B24,B29)</f>
        <v>11</v>
      </c>
      <c r="C9" s="794">
        <f t="shared" si="0"/>
        <v>0</v>
      </c>
      <c r="D9" s="794">
        <f t="shared" si="0"/>
        <v>27</v>
      </c>
      <c r="E9" s="794">
        <f t="shared" si="0"/>
        <v>17</v>
      </c>
      <c r="F9" s="1879"/>
    </row>
    <row r="10" spans="1:6" ht="22.5">
      <c r="A10" s="1880" t="s">
        <v>808</v>
      </c>
      <c r="B10" s="794">
        <f>SUM(B11:B14)</f>
        <v>88</v>
      </c>
      <c r="C10" s="794">
        <f>SUM(C11:C14)</f>
        <v>6</v>
      </c>
      <c r="D10" s="794">
        <f>SUM(D11:D14)</f>
        <v>241</v>
      </c>
      <c r="E10" s="794">
        <f>SUM(E11:E14)</f>
        <v>77</v>
      </c>
    </row>
    <row r="11" spans="1:6">
      <c r="A11" s="785" t="s">
        <v>854</v>
      </c>
      <c r="B11" s="792">
        <v>11</v>
      </c>
      <c r="C11" s="792">
        <v>1</v>
      </c>
      <c r="D11" s="792">
        <v>19</v>
      </c>
      <c r="E11" s="792">
        <v>4</v>
      </c>
    </row>
    <row r="12" spans="1:6" ht="10.5" customHeight="1">
      <c r="A12" s="785" t="s">
        <v>855</v>
      </c>
      <c r="B12" s="792">
        <v>66</v>
      </c>
      <c r="C12" s="792">
        <v>5</v>
      </c>
      <c r="D12" s="792">
        <v>195</v>
      </c>
      <c r="E12" s="792">
        <v>56</v>
      </c>
    </row>
    <row r="13" spans="1:6">
      <c r="A13" s="785" t="s">
        <v>856</v>
      </c>
      <c r="B13" s="792">
        <v>0</v>
      </c>
      <c r="C13" s="792">
        <v>0</v>
      </c>
      <c r="D13" s="792">
        <v>0</v>
      </c>
      <c r="E13" s="792">
        <v>0</v>
      </c>
    </row>
    <row r="14" spans="1:6">
      <c r="A14" s="785" t="s">
        <v>857</v>
      </c>
      <c r="B14" s="792">
        <v>11</v>
      </c>
      <c r="C14" s="792">
        <v>0</v>
      </c>
      <c r="D14" s="792">
        <v>27</v>
      </c>
      <c r="E14" s="792">
        <v>17</v>
      </c>
    </row>
    <row r="15" spans="1:6">
      <c r="A15" s="1881" t="s">
        <v>858</v>
      </c>
      <c r="B15" s="794">
        <f>SUM(B16:B19)</f>
        <v>73</v>
      </c>
      <c r="C15" s="794">
        <f>SUM(C16:C19)</f>
        <v>14</v>
      </c>
      <c r="D15" s="794">
        <f>SUM(D16:D19)</f>
        <v>364</v>
      </c>
      <c r="E15" s="794">
        <f>SUM(E16:E19)</f>
        <v>44</v>
      </c>
    </row>
    <row r="16" spans="1:6">
      <c r="A16" s="785" t="s">
        <v>854</v>
      </c>
      <c r="B16" s="792">
        <v>4</v>
      </c>
      <c r="C16" s="792">
        <v>2</v>
      </c>
      <c r="D16" s="792">
        <v>35</v>
      </c>
      <c r="E16" s="792">
        <v>4</v>
      </c>
    </row>
    <row r="17" spans="1:5">
      <c r="A17" s="785" t="s">
        <v>855</v>
      </c>
      <c r="B17" s="792">
        <v>69</v>
      </c>
      <c r="C17" s="792">
        <v>12</v>
      </c>
      <c r="D17" s="792">
        <v>329</v>
      </c>
      <c r="E17" s="792">
        <v>40</v>
      </c>
    </row>
    <row r="18" spans="1:5">
      <c r="A18" s="785" t="s">
        <v>856</v>
      </c>
      <c r="B18" s="792">
        <v>0</v>
      </c>
      <c r="C18" s="792">
        <v>0</v>
      </c>
      <c r="D18" s="792">
        <v>0</v>
      </c>
      <c r="E18" s="792">
        <v>0</v>
      </c>
    </row>
    <row r="19" spans="1:5">
      <c r="A19" s="785" t="s">
        <v>857</v>
      </c>
      <c r="B19" s="792">
        <v>0</v>
      </c>
      <c r="C19" s="792">
        <v>0</v>
      </c>
      <c r="D19" s="792">
        <v>0</v>
      </c>
      <c r="E19" s="792">
        <v>0</v>
      </c>
    </row>
    <row r="20" spans="1:5">
      <c r="A20" s="1881" t="s">
        <v>859</v>
      </c>
      <c r="B20" s="794">
        <f>SUM(B21:B24)</f>
        <v>67</v>
      </c>
      <c r="C20" s="794">
        <f>SUM(C21:C24)</f>
        <v>8</v>
      </c>
      <c r="D20" s="794">
        <f>SUM(D21:D24)</f>
        <v>162</v>
      </c>
      <c r="E20" s="794">
        <f>SUM(E21:E24)</f>
        <v>50</v>
      </c>
    </row>
    <row r="21" spans="1:5">
      <c r="A21" s="785" t="s">
        <v>854</v>
      </c>
      <c r="B21" s="792">
        <v>3</v>
      </c>
      <c r="C21" s="792">
        <v>0</v>
      </c>
      <c r="D21" s="792">
        <v>10</v>
      </c>
      <c r="E21" s="792">
        <v>6</v>
      </c>
    </row>
    <row r="22" spans="1:5">
      <c r="A22" s="785" t="s">
        <v>855</v>
      </c>
      <c r="B22" s="792">
        <v>64</v>
      </c>
      <c r="C22" s="792">
        <v>8</v>
      </c>
      <c r="D22" s="792">
        <v>152</v>
      </c>
      <c r="E22" s="792">
        <v>44</v>
      </c>
    </row>
    <row r="23" spans="1:5">
      <c r="A23" s="785" t="s">
        <v>856</v>
      </c>
      <c r="B23" s="792">
        <v>0</v>
      </c>
      <c r="C23" s="792">
        <v>0</v>
      </c>
      <c r="D23" s="792">
        <v>0</v>
      </c>
      <c r="E23" s="792">
        <v>0</v>
      </c>
    </row>
    <row r="24" spans="1:5">
      <c r="A24" s="785" t="s">
        <v>857</v>
      </c>
      <c r="B24" s="792">
        <v>0</v>
      </c>
      <c r="C24" s="792">
        <v>0</v>
      </c>
      <c r="D24" s="792">
        <v>0</v>
      </c>
      <c r="E24" s="792">
        <v>0</v>
      </c>
    </row>
    <row r="25" spans="1:5" ht="22.5">
      <c r="A25" s="1881" t="s">
        <v>819</v>
      </c>
      <c r="B25" s="794">
        <f>SUM(B26:B29)</f>
        <v>196</v>
      </c>
      <c r="C25" s="794">
        <f>SUM(C26:C29)</f>
        <v>28</v>
      </c>
      <c r="D25" s="794">
        <f>SUM(D26:D29)</f>
        <v>597</v>
      </c>
      <c r="E25" s="794">
        <f>SUM(E26:E29)</f>
        <v>98</v>
      </c>
    </row>
    <row r="26" spans="1:5">
      <c r="A26" s="785" t="s">
        <v>854</v>
      </c>
      <c r="B26" s="792">
        <v>37</v>
      </c>
      <c r="C26" s="792">
        <v>19</v>
      </c>
      <c r="D26" s="792">
        <v>118</v>
      </c>
      <c r="E26" s="792">
        <v>25</v>
      </c>
    </row>
    <row r="27" spans="1:5">
      <c r="A27" s="785" t="s">
        <v>855</v>
      </c>
      <c r="B27" s="792">
        <v>101</v>
      </c>
      <c r="C27" s="792">
        <v>8</v>
      </c>
      <c r="D27" s="792">
        <v>238</v>
      </c>
      <c r="E27" s="792">
        <v>47</v>
      </c>
    </row>
    <row r="28" spans="1:5">
      <c r="A28" s="785" t="s">
        <v>856</v>
      </c>
      <c r="B28" s="792">
        <v>58</v>
      </c>
      <c r="C28" s="792">
        <v>1</v>
      </c>
      <c r="D28" s="792">
        <v>241</v>
      </c>
      <c r="E28" s="792">
        <v>26</v>
      </c>
    </row>
    <row r="29" spans="1:5">
      <c r="A29" s="785" t="s">
        <v>857</v>
      </c>
      <c r="B29" s="792">
        <v>0</v>
      </c>
      <c r="C29" s="792">
        <v>0</v>
      </c>
      <c r="D29" s="792">
        <v>0</v>
      </c>
      <c r="E29" s="792">
        <v>0</v>
      </c>
    </row>
    <row r="30" spans="1:5">
      <c r="A30" s="814"/>
    </row>
    <row r="31" spans="1:5">
      <c r="A31" s="2" t="s">
        <v>3864</v>
      </c>
    </row>
    <row r="32" spans="1:5" s="370" customFormat="1" ht="22.5" customHeight="1">
      <c r="A32" s="2653" t="s">
        <v>3865</v>
      </c>
      <c r="B32" s="2653"/>
      <c r="C32" s="2653"/>
      <c r="D32" s="2653"/>
      <c r="E32" s="2653"/>
    </row>
    <row r="33" spans="1:5">
      <c r="A33" s="2103" t="s">
        <v>861</v>
      </c>
      <c r="B33" s="2103"/>
      <c r="C33" s="2103"/>
      <c r="D33" s="2103"/>
      <c r="E33" s="2103"/>
    </row>
  </sheetData>
  <mergeCells count="3">
    <mergeCell ref="A32:E32"/>
    <mergeCell ref="A33:E33"/>
    <mergeCell ref="A2:E2"/>
  </mergeCells>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B12"/>
  <sheetViews>
    <sheetView zoomScaleNormal="100" workbookViewId="0">
      <selection activeCell="A15" sqref="A15"/>
    </sheetView>
  </sheetViews>
  <sheetFormatPr baseColWidth="10" defaultRowHeight="11.25"/>
  <cols>
    <col min="1" max="1" width="51.140625" style="53" customWidth="1"/>
    <col min="2" max="2" width="15" style="53" customWidth="1"/>
    <col min="3" max="16384" width="11.42578125" style="53"/>
  </cols>
  <sheetData>
    <row r="1" spans="1:2">
      <c r="A1" s="61"/>
    </row>
    <row r="2" spans="1:2" s="148" customFormat="1" ht="40.5" customHeight="1">
      <c r="A2" s="2063" t="s">
        <v>3301</v>
      </c>
      <c r="B2" s="2063"/>
    </row>
    <row r="4" spans="1:2">
      <c r="A4" s="1831" t="s">
        <v>167</v>
      </c>
      <c r="B4" s="1831" t="s">
        <v>26</v>
      </c>
    </row>
    <row r="5" spans="1:2" s="150" customFormat="1">
      <c r="A5" s="150" t="s">
        <v>6</v>
      </c>
      <c r="B5" s="150">
        <f>SUM(B6:B8)</f>
        <v>511</v>
      </c>
    </row>
    <row r="6" spans="1:2">
      <c r="A6" s="53" t="s">
        <v>168</v>
      </c>
      <c r="B6" s="53">
        <v>280</v>
      </c>
    </row>
    <row r="7" spans="1:2">
      <c r="A7" s="53" t="s">
        <v>169</v>
      </c>
      <c r="B7" s="53">
        <v>77</v>
      </c>
    </row>
    <row r="8" spans="1:2">
      <c r="A8" s="53" t="s">
        <v>170</v>
      </c>
      <c r="B8" s="53">
        <v>154</v>
      </c>
    </row>
    <row r="10" spans="1:2" ht="26.25" customHeight="1">
      <c r="A10" s="2104" t="s">
        <v>3862</v>
      </c>
      <c r="B10" s="2104"/>
    </row>
    <row r="11" spans="1:2" ht="10.5" customHeight="1">
      <c r="A11" s="2068" t="s">
        <v>23</v>
      </c>
      <c r="B11" s="2068"/>
    </row>
    <row r="12" spans="1:2" ht="10.5" customHeight="1"/>
  </sheetData>
  <mergeCells count="3">
    <mergeCell ref="A2:B2"/>
    <mergeCell ref="A10:B10"/>
    <mergeCell ref="A11:B11"/>
  </mergeCells>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2:B10"/>
  <sheetViews>
    <sheetView zoomScaleNormal="100" workbookViewId="0"/>
  </sheetViews>
  <sheetFormatPr baseColWidth="10" defaultRowHeight="11.25"/>
  <cols>
    <col min="1" max="1" width="51.140625" style="53" customWidth="1"/>
    <col min="2" max="2" width="15" style="53" customWidth="1"/>
    <col min="3" max="16384" width="11.42578125" style="53"/>
  </cols>
  <sheetData>
    <row r="2" spans="1:2" ht="45.75" customHeight="1">
      <c r="A2" s="2063" t="s">
        <v>3300</v>
      </c>
      <c r="B2" s="2063"/>
    </row>
    <row r="4" spans="1:2" ht="15.75" customHeight="1">
      <c r="A4" s="1831" t="s">
        <v>202</v>
      </c>
      <c r="B4" s="1831" t="s">
        <v>26</v>
      </c>
    </row>
    <row r="5" spans="1:2">
      <c r="A5" s="150" t="s">
        <v>6</v>
      </c>
      <c r="B5" s="1878">
        <f>SUM(B6:B7)</f>
        <v>405300</v>
      </c>
    </row>
    <row r="6" spans="1:2">
      <c r="A6" s="53" t="s">
        <v>203</v>
      </c>
      <c r="B6" s="1205">
        <v>250005</v>
      </c>
    </row>
    <row r="7" spans="1:2">
      <c r="A7" s="53" t="s">
        <v>204</v>
      </c>
      <c r="B7" s="1205">
        <v>155295</v>
      </c>
    </row>
    <row r="8" spans="1:2" ht="14.25" customHeight="1"/>
    <row r="9" spans="1:2" ht="27" customHeight="1">
      <c r="A9" s="2105" t="s">
        <v>3862</v>
      </c>
      <c r="B9" s="2105"/>
    </row>
    <row r="10" spans="1:2">
      <c r="A10" s="2056" t="s">
        <v>23</v>
      </c>
      <c r="B10" s="2056"/>
    </row>
  </sheetData>
  <mergeCells count="3">
    <mergeCell ref="A2:B2"/>
    <mergeCell ref="A9:B9"/>
    <mergeCell ref="A10:B10"/>
  </mergeCells>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J26"/>
  <sheetViews>
    <sheetView zoomScaleNormal="100" workbookViewId="0">
      <selection activeCell="A25" sqref="A25:J25"/>
    </sheetView>
  </sheetViews>
  <sheetFormatPr baseColWidth="10" defaultRowHeight="11.25"/>
  <cols>
    <col min="1" max="1" width="20.5703125" style="53" customWidth="1"/>
    <col min="2" max="2" width="11" style="53" customWidth="1"/>
    <col min="3" max="4" width="17.7109375" style="53" customWidth="1"/>
    <col min="5" max="5" width="12" style="53" customWidth="1"/>
    <col min="6" max="7" width="17.7109375" style="53" customWidth="1"/>
    <col min="8" max="8" width="10.85546875" style="53" customWidth="1"/>
    <col min="9" max="9" width="15.28515625" style="53" customWidth="1"/>
    <col min="10" max="10" width="16.42578125" style="53" customWidth="1"/>
    <col min="11" max="16384" width="11.42578125" style="53"/>
  </cols>
  <sheetData>
    <row r="1" spans="1:10">
      <c r="A1" s="61"/>
    </row>
    <row r="2" spans="1:10" ht="25.5" customHeight="1">
      <c r="A2" s="2063" t="s">
        <v>956</v>
      </c>
      <c r="B2" s="2063"/>
      <c r="C2" s="2063"/>
      <c r="D2" s="2063"/>
      <c r="E2" s="2063"/>
      <c r="F2" s="2063"/>
      <c r="G2" s="2063"/>
      <c r="H2" s="2063"/>
      <c r="I2" s="2063"/>
      <c r="J2" s="2063"/>
    </row>
    <row r="4" spans="1:10" ht="15" customHeight="1">
      <c r="A4" s="2066" t="s">
        <v>0</v>
      </c>
      <c r="B4" s="2066">
        <v>2012</v>
      </c>
      <c r="C4" s="2066"/>
      <c r="D4" s="2066"/>
      <c r="E4" s="2066">
        <v>2013</v>
      </c>
      <c r="F4" s="2066"/>
      <c r="G4" s="2066"/>
      <c r="H4" s="2066" t="s">
        <v>3634</v>
      </c>
      <c r="I4" s="2066"/>
      <c r="J4" s="2066"/>
    </row>
    <row r="5" spans="1:10" ht="60" customHeight="1">
      <c r="A5" s="2066"/>
      <c r="B5" s="818" t="s">
        <v>26</v>
      </c>
      <c r="C5" s="818" t="s">
        <v>205</v>
      </c>
      <c r="D5" s="818" t="s">
        <v>206</v>
      </c>
      <c r="E5" s="818" t="s">
        <v>26</v>
      </c>
      <c r="F5" s="818" t="s">
        <v>205</v>
      </c>
      <c r="G5" s="818" t="s">
        <v>206</v>
      </c>
      <c r="H5" s="818" t="s">
        <v>26</v>
      </c>
      <c r="I5" s="818" t="s">
        <v>205</v>
      </c>
      <c r="J5" s="818" t="s">
        <v>206</v>
      </c>
    </row>
    <row r="6" spans="1:10" s="150" customFormat="1">
      <c r="A6" s="150" t="s">
        <v>6</v>
      </c>
      <c r="B6" s="1821">
        <f t="shared" ref="B6:G6" si="0">SUM(B7:B21)</f>
        <v>65462</v>
      </c>
      <c r="C6" s="1821">
        <f t="shared" si="0"/>
        <v>49583</v>
      </c>
      <c r="D6" s="1821">
        <f t="shared" si="0"/>
        <v>15879</v>
      </c>
      <c r="E6" s="1821">
        <f t="shared" si="0"/>
        <v>77241</v>
      </c>
      <c r="F6" s="1821">
        <f t="shared" si="0"/>
        <v>60489</v>
      </c>
      <c r="G6" s="1821">
        <f t="shared" si="0"/>
        <v>16752</v>
      </c>
      <c r="H6" s="1877" t="s">
        <v>55</v>
      </c>
      <c r="I6" s="1877" t="s">
        <v>55</v>
      </c>
      <c r="J6" s="1877" t="s">
        <v>55</v>
      </c>
    </row>
    <row r="7" spans="1:10">
      <c r="A7" s="53" t="s">
        <v>7</v>
      </c>
      <c r="B7" s="1204">
        <v>717</v>
      </c>
      <c r="C7" s="1204">
        <v>587</v>
      </c>
      <c r="D7" s="1204">
        <v>130</v>
      </c>
      <c r="E7" s="1204">
        <v>97</v>
      </c>
      <c r="F7" s="1204">
        <v>44</v>
      </c>
      <c r="G7" s="1204">
        <v>53</v>
      </c>
      <c r="H7" s="1818" t="s">
        <v>55</v>
      </c>
      <c r="I7" s="1818" t="s">
        <v>55</v>
      </c>
      <c r="J7" s="1818" t="s">
        <v>55</v>
      </c>
    </row>
    <row r="8" spans="1:10">
      <c r="A8" s="53" t="s">
        <v>8</v>
      </c>
      <c r="B8" s="1204">
        <f>SUM(C8:D8)</f>
        <v>1033</v>
      </c>
      <c r="C8" s="1204">
        <v>897</v>
      </c>
      <c r="D8" s="1204">
        <v>136</v>
      </c>
      <c r="E8" s="1204">
        <f>SUM(F8:G8)</f>
        <v>410</v>
      </c>
      <c r="F8" s="1204">
        <v>400</v>
      </c>
      <c r="G8" s="1204">
        <v>10</v>
      </c>
      <c r="H8" s="1818" t="s">
        <v>55</v>
      </c>
      <c r="I8" s="1818" t="s">
        <v>55</v>
      </c>
      <c r="J8" s="1818" t="s">
        <v>55</v>
      </c>
    </row>
    <row r="9" spans="1:10">
      <c r="A9" s="53" t="s">
        <v>9</v>
      </c>
      <c r="B9" s="1204">
        <f t="shared" ref="B9:B17" si="1">SUM(C9:D9)</f>
        <v>4620</v>
      </c>
      <c r="C9" s="1204">
        <v>2717</v>
      </c>
      <c r="D9" s="1204">
        <v>1903</v>
      </c>
      <c r="E9" s="1204">
        <f t="shared" ref="E9:E20" si="2">SUM(F9:G9)</f>
        <v>3515</v>
      </c>
      <c r="F9" s="1204">
        <v>2007</v>
      </c>
      <c r="G9" s="1204">
        <v>1508</v>
      </c>
      <c r="H9" s="1818" t="s">
        <v>55</v>
      </c>
      <c r="I9" s="1818" t="s">
        <v>55</v>
      </c>
      <c r="J9" s="1818" t="s">
        <v>55</v>
      </c>
    </row>
    <row r="10" spans="1:10">
      <c r="A10" s="53" t="s">
        <v>10</v>
      </c>
      <c r="B10" s="1204">
        <f t="shared" si="1"/>
        <v>3793</v>
      </c>
      <c r="C10" s="1204">
        <v>3667</v>
      </c>
      <c r="D10" s="1204">
        <v>126</v>
      </c>
      <c r="E10" s="1204">
        <f t="shared" si="2"/>
        <v>755</v>
      </c>
      <c r="F10" s="1204">
        <v>679</v>
      </c>
      <c r="G10" s="1204">
        <v>76</v>
      </c>
      <c r="H10" s="1818" t="s">
        <v>55</v>
      </c>
      <c r="I10" s="1818" t="s">
        <v>55</v>
      </c>
      <c r="J10" s="1818" t="s">
        <v>55</v>
      </c>
    </row>
    <row r="11" spans="1:10">
      <c r="A11" s="53" t="s">
        <v>11</v>
      </c>
      <c r="B11" s="1204">
        <f t="shared" si="1"/>
        <v>5135</v>
      </c>
      <c r="C11" s="1204">
        <v>5124</v>
      </c>
      <c r="D11" s="1204">
        <v>11</v>
      </c>
      <c r="E11" s="1204">
        <f t="shared" si="2"/>
        <v>14159</v>
      </c>
      <c r="F11" s="1204">
        <v>13869</v>
      </c>
      <c r="G11" s="1204">
        <v>290</v>
      </c>
      <c r="H11" s="1818" t="s">
        <v>55</v>
      </c>
      <c r="I11" s="1818" t="s">
        <v>55</v>
      </c>
      <c r="J11" s="1818" t="s">
        <v>55</v>
      </c>
    </row>
    <row r="12" spans="1:10">
      <c r="A12" s="53" t="s">
        <v>12</v>
      </c>
      <c r="B12" s="1204">
        <f t="shared" si="1"/>
        <v>10566</v>
      </c>
      <c r="C12" s="1204">
        <v>5734</v>
      </c>
      <c r="D12" s="1204">
        <v>4832</v>
      </c>
      <c r="E12" s="1204">
        <f t="shared" si="2"/>
        <v>19137</v>
      </c>
      <c r="F12" s="1204">
        <v>13829</v>
      </c>
      <c r="G12" s="1204">
        <v>5308</v>
      </c>
      <c r="H12" s="1818" t="s">
        <v>55</v>
      </c>
      <c r="I12" s="1818" t="s">
        <v>55</v>
      </c>
      <c r="J12" s="1818" t="s">
        <v>55</v>
      </c>
    </row>
    <row r="13" spans="1:10">
      <c r="A13" s="53" t="s">
        <v>13</v>
      </c>
      <c r="B13" s="1204">
        <f t="shared" si="1"/>
        <v>1831</v>
      </c>
      <c r="C13" s="1204">
        <v>1415</v>
      </c>
      <c r="D13" s="1204">
        <v>416</v>
      </c>
      <c r="E13" s="1204">
        <f t="shared" si="2"/>
        <v>1694</v>
      </c>
      <c r="F13" s="1204">
        <v>1263</v>
      </c>
      <c r="G13" s="1204">
        <v>431</v>
      </c>
      <c r="H13" s="1818" t="s">
        <v>55</v>
      </c>
      <c r="I13" s="1818" t="s">
        <v>55</v>
      </c>
      <c r="J13" s="1818" t="s">
        <v>55</v>
      </c>
    </row>
    <row r="14" spans="1:10">
      <c r="A14" s="53" t="s">
        <v>14</v>
      </c>
      <c r="B14" s="1204">
        <f t="shared" si="1"/>
        <v>3075</v>
      </c>
      <c r="C14" s="1204">
        <v>2911</v>
      </c>
      <c r="D14" s="1204">
        <v>164</v>
      </c>
      <c r="E14" s="1204">
        <f t="shared" si="2"/>
        <v>5220</v>
      </c>
      <c r="F14" s="1204">
        <v>4280</v>
      </c>
      <c r="G14" s="1204">
        <v>940</v>
      </c>
      <c r="H14" s="1818" t="s">
        <v>55</v>
      </c>
      <c r="I14" s="1818" t="s">
        <v>55</v>
      </c>
      <c r="J14" s="1818" t="s">
        <v>55</v>
      </c>
    </row>
    <row r="15" spans="1:10">
      <c r="A15" s="53" t="s">
        <v>15</v>
      </c>
      <c r="B15" s="1204">
        <f t="shared" si="1"/>
        <v>6173</v>
      </c>
      <c r="C15" s="1204">
        <v>4095</v>
      </c>
      <c r="D15" s="1204">
        <v>2078</v>
      </c>
      <c r="E15" s="1204">
        <f t="shared" si="2"/>
        <v>8378</v>
      </c>
      <c r="F15" s="1204">
        <v>5273</v>
      </c>
      <c r="G15" s="1204">
        <v>3105</v>
      </c>
      <c r="H15" s="1818" t="s">
        <v>55</v>
      </c>
      <c r="I15" s="1818" t="s">
        <v>55</v>
      </c>
      <c r="J15" s="1818" t="s">
        <v>55</v>
      </c>
    </row>
    <row r="16" spans="1:10">
      <c r="A16" s="53" t="s">
        <v>16</v>
      </c>
      <c r="B16" s="1204">
        <f t="shared" si="1"/>
        <v>4181</v>
      </c>
      <c r="C16" s="1204">
        <v>2867</v>
      </c>
      <c r="D16" s="1204">
        <v>1314</v>
      </c>
      <c r="E16" s="1204">
        <f t="shared" si="2"/>
        <v>1695</v>
      </c>
      <c r="F16" s="1204">
        <v>1372</v>
      </c>
      <c r="G16" s="1204">
        <v>323</v>
      </c>
      <c r="H16" s="1818" t="s">
        <v>55</v>
      </c>
      <c r="I16" s="1818" t="s">
        <v>55</v>
      </c>
      <c r="J16" s="1818" t="s">
        <v>55</v>
      </c>
    </row>
    <row r="17" spans="1:10">
      <c r="A17" s="53" t="s">
        <v>17</v>
      </c>
      <c r="B17" s="1204">
        <f t="shared" si="1"/>
        <v>7807</v>
      </c>
      <c r="C17" s="1204">
        <v>5560</v>
      </c>
      <c r="D17" s="1204">
        <v>2247</v>
      </c>
      <c r="E17" s="1204">
        <f t="shared" si="2"/>
        <v>8322</v>
      </c>
      <c r="F17" s="1204">
        <v>6787</v>
      </c>
      <c r="G17" s="1204">
        <v>1535</v>
      </c>
      <c r="H17" s="1818" t="s">
        <v>55</v>
      </c>
      <c r="I17" s="1818" t="s">
        <v>55</v>
      </c>
      <c r="J17" s="1818" t="s">
        <v>55</v>
      </c>
    </row>
    <row r="18" spans="1:10">
      <c r="A18" s="53" t="s">
        <v>18</v>
      </c>
      <c r="B18" s="1204">
        <v>100</v>
      </c>
      <c r="C18" s="1204">
        <v>78</v>
      </c>
      <c r="D18" s="1204">
        <v>22</v>
      </c>
      <c r="E18" s="1204">
        <v>1003</v>
      </c>
      <c r="F18" s="1204">
        <v>170</v>
      </c>
      <c r="G18" s="1204">
        <v>833</v>
      </c>
      <c r="H18" s="1818" t="s">
        <v>55</v>
      </c>
      <c r="I18" s="1818" t="s">
        <v>55</v>
      </c>
      <c r="J18" s="1818" t="s">
        <v>55</v>
      </c>
    </row>
    <row r="19" spans="1:10">
      <c r="A19" s="53" t="s">
        <v>19</v>
      </c>
      <c r="B19" s="1204">
        <f>SUM(C19:D19)</f>
        <v>10850</v>
      </c>
      <c r="C19" s="1204">
        <v>10850</v>
      </c>
      <c r="D19" s="1204">
        <v>0</v>
      </c>
      <c r="E19" s="1204">
        <f t="shared" si="2"/>
        <v>9114</v>
      </c>
      <c r="F19" s="1204">
        <v>8207</v>
      </c>
      <c r="G19" s="1204">
        <v>907</v>
      </c>
      <c r="H19" s="1818" t="s">
        <v>55</v>
      </c>
      <c r="I19" s="1818" t="s">
        <v>55</v>
      </c>
      <c r="J19" s="1818" t="s">
        <v>55</v>
      </c>
    </row>
    <row r="20" spans="1:10">
      <c r="A20" s="53" t="s">
        <v>20</v>
      </c>
      <c r="B20" s="1204">
        <f>SUM(C20:D20)</f>
        <v>3859</v>
      </c>
      <c r="C20" s="1204">
        <v>2489</v>
      </c>
      <c r="D20" s="1204">
        <v>1370</v>
      </c>
      <c r="E20" s="1204">
        <f t="shared" si="2"/>
        <v>2789</v>
      </c>
      <c r="F20" s="1204">
        <v>1705</v>
      </c>
      <c r="G20" s="1204">
        <v>1084</v>
      </c>
      <c r="H20" s="1818" t="s">
        <v>55</v>
      </c>
      <c r="I20" s="1818" t="s">
        <v>55</v>
      </c>
      <c r="J20" s="1818" t="s">
        <v>55</v>
      </c>
    </row>
    <row r="21" spans="1:10">
      <c r="A21" s="53" t="s">
        <v>21</v>
      </c>
      <c r="B21" s="1204">
        <f>SUM(C21:D21)</f>
        <v>1722</v>
      </c>
      <c r="C21" s="1204">
        <v>592</v>
      </c>
      <c r="D21" s="1204">
        <v>1130</v>
      </c>
      <c r="E21" s="1204">
        <f>SUM(F21:G21)</f>
        <v>953</v>
      </c>
      <c r="F21" s="1204">
        <v>604</v>
      </c>
      <c r="G21" s="1204">
        <v>349</v>
      </c>
      <c r="H21" s="1818" t="s">
        <v>55</v>
      </c>
      <c r="I21" s="1818" t="s">
        <v>55</v>
      </c>
      <c r="J21" s="1818" t="s">
        <v>55</v>
      </c>
    </row>
    <row r="23" spans="1:10">
      <c r="A23" s="1843" t="s">
        <v>22</v>
      </c>
    </row>
    <row r="24" spans="1:10">
      <c r="A24" s="2068" t="s">
        <v>207</v>
      </c>
      <c r="B24" s="2068"/>
      <c r="C24" s="2068"/>
      <c r="D24" s="2068"/>
      <c r="E24" s="2068"/>
    </row>
    <row r="25" spans="1:10" ht="22.5" customHeight="1">
      <c r="A25" s="2067" t="s">
        <v>3861</v>
      </c>
      <c r="B25" s="2067"/>
      <c r="C25" s="2067"/>
      <c r="D25" s="2067"/>
      <c r="E25" s="2067"/>
      <c r="F25" s="2067"/>
      <c r="G25" s="2067"/>
      <c r="H25" s="2067"/>
      <c r="I25" s="2067"/>
      <c r="J25" s="2067"/>
    </row>
    <row r="26" spans="1:10">
      <c r="A26" s="53" t="s">
        <v>208</v>
      </c>
    </row>
  </sheetData>
  <mergeCells count="7">
    <mergeCell ref="A25:J25"/>
    <mergeCell ref="A24:E24"/>
    <mergeCell ref="A2:J2"/>
    <mergeCell ref="A4:A5"/>
    <mergeCell ref="B4:D4"/>
    <mergeCell ref="E4:G4"/>
    <mergeCell ref="H4:J4"/>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2:H27"/>
  <sheetViews>
    <sheetView zoomScaleNormal="100" workbookViewId="0"/>
  </sheetViews>
  <sheetFormatPr baseColWidth="10" defaultColWidth="11.42578125" defaultRowHeight="11.25"/>
  <cols>
    <col min="1" max="1" width="35.42578125" style="117" customWidth="1"/>
    <col min="2" max="16384" width="11.42578125" style="117"/>
  </cols>
  <sheetData>
    <row r="2" spans="1:8" s="152" customFormat="1" ht="32.25" customHeight="1">
      <c r="A2" s="2028" t="s">
        <v>936</v>
      </c>
      <c r="B2" s="2028"/>
      <c r="C2" s="2028"/>
      <c r="D2" s="2028"/>
      <c r="E2" s="2028"/>
      <c r="F2" s="2028"/>
      <c r="G2" s="2028"/>
    </row>
    <row r="3" spans="1:8" ht="10.5" customHeight="1"/>
    <row r="4" spans="1:8" ht="14.25" customHeight="1">
      <c r="A4" s="2026" t="s">
        <v>0</v>
      </c>
      <c r="B4" s="2031" t="s">
        <v>732</v>
      </c>
      <c r="C4" s="2032"/>
      <c r="D4" s="2032"/>
      <c r="E4" s="2032"/>
      <c r="F4" s="2032"/>
      <c r="G4" s="2032"/>
    </row>
    <row r="5" spans="1:8" ht="14.25" customHeight="1">
      <c r="A5" s="2026"/>
      <c r="B5" s="154">
        <v>2009</v>
      </c>
      <c r="C5" s="154">
        <v>2010</v>
      </c>
      <c r="D5" s="154">
        <v>2011</v>
      </c>
      <c r="E5" s="154">
        <v>2012</v>
      </c>
      <c r="F5" s="154">
        <v>2013</v>
      </c>
      <c r="G5" s="154">
        <v>2014</v>
      </c>
    </row>
    <row r="6" spans="1:8" s="115" customFormat="1" ht="12.75" customHeight="1">
      <c r="A6" s="115" t="s">
        <v>679</v>
      </c>
      <c r="B6" s="115">
        <f t="shared" ref="B6:G6" si="0">SUM(B7:B22)</f>
        <v>4</v>
      </c>
      <c r="C6" s="115">
        <f t="shared" si="0"/>
        <v>4</v>
      </c>
      <c r="D6" s="115">
        <f t="shared" si="0"/>
        <v>4</v>
      </c>
      <c r="E6" s="115">
        <f t="shared" si="0"/>
        <v>4</v>
      </c>
      <c r="F6" s="115">
        <f t="shared" si="0"/>
        <v>4</v>
      </c>
      <c r="G6" s="115">
        <f t="shared" si="0"/>
        <v>4</v>
      </c>
    </row>
    <row r="7" spans="1:8" ht="12.75" customHeight="1">
      <c r="A7" s="117" t="s">
        <v>7</v>
      </c>
      <c r="B7" s="1316">
        <v>0</v>
      </c>
      <c r="C7" s="1316">
        <v>0</v>
      </c>
      <c r="D7" s="1316">
        <v>0</v>
      </c>
      <c r="E7" s="1316">
        <v>0</v>
      </c>
      <c r="F7" s="1316">
        <v>0</v>
      </c>
      <c r="G7" s="1277">
        <v>0</v>
      </c>
      <c r="H7" s="115"/>
    </row>
    <row r="8" spans="1:8" ht="12.75" customHeight="1">
      <c r="A8" s="117" t="s">
        <v>8</v>
      </c>
      <c r="B8" s="1316">
        <v>1</v>
      </c>
      <c r="C8" s="1316">
        <v>1</v>
      </c>
      <c r="D8" s="1316">
        <v>1</v>
      </c>
      <c r="E8" s="1316">
        <v>1</v>
      </c>
      <c r="F8" s="1316">
        <v>1</v>
      </c>
      <c r="G8" s="1277">
        <v>1</v>
      </c>
      <c r="H8" s="115"/>
    </row>
    <row r="9" spans="1:8" ht="12.75" customHeight="1">
      <c r="A9" s="117" t="s">
        <v>9</v>
      </c>
      <c r="B9" s="1316">
        <v>0</v>
      </c>
      <c r="C9" s="1316">
        <v>0</v>
      </c>
      <c r="D9" s="1316">
        <v>0</v>
      </c>
      <c r="E9" s="1316">
        <v>0</v>
      </c>
      <c r="F9" s="1316">
        <v>0</v>
      </c>
      <c r="G9" s="1277">
        <v>0</v>
      </c>
      <c r="H9" s="115"/>
    </row>
    <row r="10" spans="1:8" ht="12.75" customHeight="1">
      <c r="A10" s="117" t="s">
        <v>10</v>
      </c>
      <c r="B10" s="1316">
        <v>0</v>
      </c>
      <c r="C10" s="1316">
        <v>0</v>
      </c>
      <c r="D10" s="1316">
        <v>0</v>
      </c>
      <c r="E10" s="1316">
        <v>0</v>
      </c>
      <c r="F10" s="1316">
        <v>0</v>
      </c>
      <c r="G10" s="1277">
        <v>0</v>
      </c>
      <c r="H10" s="115"/>
    </row>
    <row r="11" spans="1:8" ht="12.75" customHeight="1">
      <c r="A11" s="117" t="s">
        <v>11</v>
      </c>
      <c r="B11" s="1316">
        <v>0</v>
      </c>
      <c r="C11" s="1316">
        <v>0</v>
      </c>
      <c r="D11" s="1316">
        <v>0</v>
      </c>
      <c r="E11" s="1316">
        <v>0</v>
      </c>
      <c r="F11" s="1316">
        <v>0</v>
      </c>
      <c r="G11" s="1277">
        <v>0</v>
      </c>
      <c r="H11" s="115"/>
    </row>
    <row r="12" spans="1:8" ht="12.75" customHeight="1">
      <c r="A12" s="117" t="s">
        <v>12</v>
      </c>
      <c r="B12" s="1316">
        <v>0</v>
      </c>
      <c r="C12" s="1316">
        <v>0</v>
      </c>
      <c r="D12" s="1316">
        <v>0</v>
      </c>
      <c r="E12" s="1316">
        <v>0</v>
      </c>
      <c r="F12" s="1316">
        <v>0</v>
      </c>
      <c r="G12" s="1277">
        <v>0</v>
      </c>
      <c r="H12" s="115"/>
    </row>
    <row r="13" spans="1:8" ht="12.75" customHeight="1">
      <c r="A13" s="117" t="s">
        <v>3306</v>
      </c>
      <c r="B13" s="1316">
        <v>1</v>
      </c>
      <c r="C13" s="1316">
        <v>1</v>
      </c>
      <c r="D13" s="1316">
        <v>1</v>
      </c>
      <c r="E13" s="1316">
        <v>1</v>
      </c>
      <c r="F13" s="1316">
        <v>1</v>
      </c>
      <c r="G13" s="1277">
        <v>1</v>
      </c>
      <c r="H13" s="115"/>
    </row>
    <row r="14" spans="1:8" ht="12.75" customHeight="1">
      <c r="A14" s="117" t="s">
        <v>3307</v>
      </c>
      <c r="B14" s="1316">
        <v>1</v>
      </c>
      <c r="C14" s="1316">
        <v>1</v>
      </c>
      <c r="D14" s="1316">
        <v>1</v>
      </c>
      <c r="E14" s="1316">
        <v>1</v>
      </c>
      <c r="F14" s="1316">
        <v>1</v>
      </c>
      <c r="G14" s="1277">
        <v>1</v>
      </c>
      <c r="H14" s="115"/>
    </row>
    <row r="15" spans="1:8">
      <c r="A15" s="117" t="s">
        <v>14</v>
      </c>
      <c r="B15" s="1316">
        <v>0</v>
      </c>
      <c r="C15" s="1316">
        <v>0</v>
      </c>
      <c r="D15" s="1316">
        <v>0</v>
      </c>
      <c r="E15" s="1316">
        <v>0</v>
      </c>
      <c r="F15" s="1316">
        <v>0</v>
      </c>
      <c r="G15" s="1277">
        <v>0</v>
      </c>
      <c r="H15" s="115"/>
    </row>
    <row r="16" spans="1:8" ht="12.75" customHeight="1">
      <c r="A16" s="117" t="s">
        <v>15</v>
      </c>
      <c r="B16" s="1316">
        <v>0</v>
      </c>
      <c r="C16" s="1316">
        <v>0</v>
      </c>
      <c r="D16" s="1316">
        <v>0</v>
      </c>
      <c r="E16" s="1316">
        <v>0</v>
      </c>
      <c r="F16" s="1316">
        <v>0</v>
      </c>
      <c r="G16" s="1277">
        <v>0</v>
      </c>
      <c r="H16" s="115"/>
    </row>
    <row r="17" spans="1:8" ht="12.75" customHeight="1">
      <c r="A17" s="117" t="s">
        <v>16</v>
      </c>
      <c r="B17" s="1316">
        <v>0</v>
      </c>
      <c r="C17" s="1316">
        <v>0</v>
      </c>
      <c r="D17" s="1316">
        <v>0</v>
      </c>
      <c r="E17" s="1316">
        <v>0</v>
      </c>
      <c r="F17" s="1316">
        <v>0</v>
      </c>
      <c r="G17" s="1277">
        <v>0</v>
      </c>
      <c r="H17" s="115"/>
    </row>
    <row r="18" spans="1:8" ht="12.75" customHeight="1">
      <c r="A18" s="117" t="s">
        <v>17</v>
      </c>
      <c r="B18" s="1316">
        <v>1</v>
      </c>
      <c r="C18" s="1316">
        <v>1</v>
      </c>
      <c r="D18" s="1316">
        <v>1</v>
      </c>
      <c r="E18" s="1316">
        <v>1</v>
      </c>
      <c r="F18" s="1316">
        <v>1</v>
      </c>
      <c r="G18" s="1277">
        <v>1</v>
      </c>
      <c r="H18" s="115"/>
    </row>
    <row r="19" spans="1:8" ht="12.75" customHeight="1">
      <c r="A19" s="117" t="s">
        <v>18</v>
      </c>
      <c r="B19" s="1316">
        <v>0</v>
      </c>
      <c r="C19" s="1316">
        <v>0</v>
      </c>
      <c r="D19" s="1316">
        <v>0</v>
      </c>
      <c r="E19" s="1316">
        <v>0</v>
      </c>
      <c r="F19" s="1316">
        <v>0</v>
      </c>
      <c r="G19" s="1277">
        <v>0</v>
      </c>
      <c r="H19" s="115"/>
    </row>
    <row r="20" spans="1:8" ht="12.75" customHeight="1">
      <c r="A20" s="117" t="s">
        <v>19</v>
      </c>
      <c r="B20" s="1316">
        <v>0</v>
      </c>
      <c r="C20" s="1316">
        <v>0</v>
      </c>
      <c r="D20" s="1316">
        <v>0</v>
      </c>
      <c r="E20" s="1316">
        <v>0</v>
      </c>
      <c r="F20" s="1316">
        <v>0</v>
      </c>
      <c r="G20" s="1277">
        <v>0</v>
      </c>
      <c r="H20" s="115"/>
    </row>
    <row r="21" spans="1:8" ht="12.75" customHeight="1">
      <c r="A21" s="117" t="s">
        <v>20</v>
      </c>
      <c r="B21" s="1316">
        <v>0</v>
      </c>
      <c r="C21" s="1316">
        <v>0</v>
      </c>
      <c r="D21" s="1316">
        <v>0</v>
      </c>
      <c r="E21" s="1316">
        <v>0</v>
      </c>
      <c r="F21" s="1316">
        <v>0</v>
      </c>
      <c r="G21" s="1277">
        <v>0</v>
      </c>
      <c r="H21" s="115"/>
    </row>
    <row r="22" spans="1:8" ht="12.75" customHeight="1">
      <c r="A22" s="117" t="s">
        <v>21</v>
      </c>
      <c r="B22" s="1316">
        <v>0</v>
      </c>
      <c r="C22" s="1316">
        <v>0</v>
      </c>
      <c r="D22" s="1316">
        <v>0</v>
      </c>
      <c r="E22" s="1316">
        <v>0</v>
      </c>
      <c r="F22" s="1316">
        <v>0</v>
      </c>
      <c r="G22" s="1277">
        <v>0</v>
      </c>
      <c r="H22" s="115"/>
    </row>
    <row r="23" spans="1:8" ht="7.5" customHeight="1"/>
    <row r="24" spans="1:8" ht="12.75" customHeight="1">
      <c r="A24" s="2027" t="s">
        <v>3945</v>
      </c>
      <c r="B24" s="2027"/>
      <c r="C24" s="2027"/>
      <c r="D24" s="2027"/>
      <c r="E24" s="2027"/>
      <c r="F24" s="2027"/>
    </row>
    <row r="25" spans="1:8">
      <c r="A25" s="2027" t="s">
        <v>3947</v>
      </c>
      <c r="B25" s="2027"/>
      <c r="C25" s="2027"/>
      <c r="D25" s="2027"/>
      <c r="E25" s="2027"/>
      <c r="F25" s="2027"/>
    </row>
    <row r="26" spans="1:8">
      <c r="A26" s="2027" t="s">
        <v>733</v>
      </c>
      <c r="B26" s="2027"/>
      <c r="C26" s="2027"/>
      <c r="D26" s="2027"/>
      <c r="E26" s="2027"/>
      <c r="F26" s="2027"/>
    </row>
    <row r="27" spans="1:8">
      <c r="A27" s="2027" t="s">
        <v>680</v>
      </c>
      <c r="B27" s="2027"/>
      <c r="C27" s="2027"/>
      <c r="D27" s="2027"/>
      <c r="E27" s="2027"/>
      <c r="F27" s="2027"/>
    </row>
  </sheetData>
  <mergeCells count="7">
    <mergeCell ref="A27:F27"/>
    <mergeCell ref="A2:G2"/>
    <mergeCell ref="A4:A5"/>
    <mergeCell ref="B4:G4"/>
    <mergeCell ref="A24:F24"/>
    <mergeCell ref="A25:F25"/>
    <mergeCell ref="A26:F26"/>
  </mergeCells>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A1:B23"/>
  <sheetViews>
    <sheetView zoomScaleNormal="100" workbookViewId="0"/>
  </sheetViews>
  <sheetFormatPr baseColWidth="10" defaultRowHeight="11.25"/>
  <cols>
    <col min="1" max="1" width="35.7109375" style="53" customWidth="1"/>
    <col min="2" max="2" width="21.5703125" style="53" customWidth="1"/>
    <col min="3" max="5" width="11.42578125" style="53"/>
    <col min="6" max="6" width="11.42578125" style="53" customWidth="1"/>
    <col min="7" max="16384" width="11.42578125" style="53"/>
  </cols>
  <sheetData>
    <row r="1" spans="1:2">
      <c r="A1" s="61"/>
    </row>
    <row r="2" spans="1:2" ht="35.25" customHeight="1">
      <c r="A2" s="2063" t="s">
        <v>957</v>
      </c>
      <c r="B2" s="2063"/>
    </row>
    <row r="4" spans="1:2" ht="34.5" customHeight="1">
      <c r="A4" s="818" t="s">
        <v>0</v>
      </c>
      <c r="B4" s="818" t="s">
        <v>4</v>
      </c>
    </row>
    <row r="5" spans="1:2" s="150" customFormat="1">
      <c r="A5" s="150" t="s">
        <v>6</v>
      </c>
      <c r="B5" s="1821">
        <f>SUM(B6:B20)</f>
        <v>43</v>
      </c>
    </row>
    <row r="6" spans="1:2">
      <c r="A6" s="53" t="s">
        <v>7</v>
      </c>
      <c r="B6" s="1204">
        <v>1</v>
      </c>
    </row>
    <row r="7" spans="1:2">
      <c r="A7" s="53" t="s">
        <v>8</v>
      </c>
      <c r="B7" s="1204">
        <v>3</v>
      </c>
    </row>
    <row r="8" spans="1:2">
      <c r="A8" s="53" t="s">
        <v>9</v>
      </c>
      <c r="B8" s="1204">
        <v>1</v>
      </c>
    </row>
    <row r="9" spans="1:2">
      <c r="A9" s="53" t="s">
        <v>10</v>
      </c>
      <c r="B9" s="1204">
        <v>1</v>
      </c>
    </row>
    <row r="10" spans="1:2">
      <c r="A10" s="53" t="s">
        <v>11</v>
      </c>
      <c r="B10" s="1204">
        <v>1</v>
      </c>
    </row>
    <row r="11" spans="1:2">
      <c r="A11" s="53" t="s">
        <v>12</v>
      </c>
      <c r="B11" s="1204">
        <v>12</v>
      </c>
    </row>
    <row r="12" spans="1:2">
      <c r="A12" s="53" t="s">
        <v>13</v>
      </c>
      <c r="B12" s="1204">
        <v>9</v>
      </c>
    </row>
    <row r="13" spans="1:2">
      <c r="A13" s="53" t="s">
        <v>14</v>
      </c>
      <c r="B13" s="1204">
        <v>1</v>
      </c>
    </row>
    <row r="14" spans="1:2">
      <c r="A14" s="53" t="s">
        <v>15</v>
      </c>
      <c r="B14" s="1204">
        <v>5</v>
      </c>
    </row>
    <row r="15" spans="1:2">
      <c r="A15" s="53" t="s">
        <v>16</v>
      </c>
      <c r="B15" s="1204">
        <v>3</v>
      </c>
    </row>
    <row r="16" spans="1:2">
      <c r="A16" s="53" t="s">
        <v>17</v>
      </c>
      <c r="B16" s="1204">
        <v>0</v>
      </c>
    </row>
    <row r="17" spans="1:2">
      <c r="A17" s="53" t="s">
        <v>18</v>
      </c>
      <c r="B17" s="1204">
        <v>1</v>
      </c>
    </row>
    <row r="18" spans="1:2">
      <c r="A18" s="53" t="s">
        <v>19</v>
      </c>
      <c r="B18" s="1204">
        <v>3</v>
      </c>
    </row>
    <row r="19" spans="1:2">
      <c r="A19" s="53" t="s">
        <v>20</v>
      </c>
      <c r="B19" s="1204">
        <v>2</v>
      </c>
    </row>
    <row r="20" spans="1:2">
      <c r="A20" s="53" t="s">
        <v>21</v>
      </c>
      <c r="B20" s="1204">
        <v>0</v>
      </c>
    </row>
    <row r="22" spans="1:2">
      <c r="A22" s="53" t="s">
        <v>161</v>
      </c>
    </row>
    <row r="23" spans="1:2">
      <c r="A23" s="53" t="s">
        <v>23</v>
      </c>
    </row>
  </sheetData>
  <mergeCells count="1">
    <mergeCell ref="A2:B2"/>
  </mergeCells>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E14"/>
  <sheetViews>
    <sheetView zoomScaleNormal="100" workbookViewId="0"/>
  </sheetViews>
  <sheetFormatPr baseColWidth="10" defaultColWidth="22" defaultRowHeight="11.25"/>
  <cols>
    <col min="1" max="1" width="22" style="53"/>
    <col min="2" max="5" width="22" style="298"/>
    <col min="6" max="16384" width="22" style="53"/>
  </cols>
  <sheetData>
    <row r="1" spans="1:5">
      <c r="A1" s="60"/>
    </row>
    <row r="2" spans="1:5" s="150" customFormat="1" ht="12.75">
      <c r="A2" s="2107" t="s">
        <v>3299</v>
      </c>
      <c r="B2" s="2107"/>
      <c r="C2" s="2107"/>
      <c r="D2" s="2107"/>
      <c r="E2" s="2107"/>
    </row>
    <row r="4" spans="1:5" ht="12.75">
      <c r="A4" s="818" t="s">
        <v>0</v>
      </c>
      <c r="B4" s="818" t="s">
        <v>209</v>
      </c>
      <c r="C4" s="818" t="s">
        <v>3854</v>
      </c>
      <c r="D4" s="818" t="s">
        <v>3855</v>
      </c>
      <c r="E4" s="818" t="s">
        <v>3856</v>
      </c>
    </row>
    <row r="5" spans="1:5">
      <c r="A5" s="53" t="s">
        <v>13</v>
      </c>
      <c r="B5" s="298" t="s">
        <v>210</v>
      </c>
      <c r="C5" s="298" t="s">
        <v>55</v>
      </c>
      <c r="D5" s="298" t="s">
        <v>211</v>
      </c>
      <c r="E5" s="298" t="s">
        <v>212</v>
      </c>
    </row>
    <row r="6" spans="1:5">
      <c r="A6" s="53" t="s">
        <v>14</v>
      </c>
      <c r="B6" s="298" t="s">
        <v>213</v>
      </c>
      <c r="C6" s="298" t="s">
        <v>55</v>
      </c>
      <c r="D6" s="298" t="s">
        <v>211</v>
      </c>
      <c r="E6" s="298" t="s">
        <v>212</v>
      </c>
    </row>
    <row r="9" spans="1:5" ht="10.5" customHeight="1">
      <c r="A9" s="2106" t="s">
        <v>3857</v>
      </c>
      <c r="B9" s="2106"/>
      <c r="C9" s="2106"/>
      <c r="D9" s="2106"/>
      <c r="E9" s="2106"/>
    </row>
    <row r="10" spans="1:5" ht="21.75" customHeight="1">
      <c r="A10" s="2108" t="s">
        <v>3858</v>
      </c>
      <c r="B10" s="2108"/>
      <c r="C10" s="2108"/>
      <c r="D10" s="2108"/>
      <c r="E10" s="2108"/>
    </row>
    <row r="11" spans="1:5" ht="15.75" customHeight="1">
      <c r="A11" s="2068" t="s">
        <v>3859</v>
      </c>
      <c r="B11" s="2068"/>
      <c r="C11" s="2068"/>
      <c r="D11" s="2068"/>
      <c r="E11" s="2068"/>
    </row>
    <row r="12" spans="1:5">
      <c r="A12" s="2068" t="s">
        <v>3860</v>
      </c>
      <c r="B12" s="2068"/>
      <c r="C12" s="2068"/>
      <c r="D12" s="2068"/>
      <c r="E12" s="2068"/>
    </row>
    <row r="13" spans="1:5">
      <c r="A13" s="2068" t="s">
        <v>207</v>
      </c>
      <c r="B13" s="2068"/>
      <c r="C13" s="2068"/>
      <c r="D13" s="2068"/>
      <c r="E13" s="2068"/>
    </row>
    <row r="14" spans="1:5">
      <c r="A14" s="2068" t="s">
        <v>23</v>
      </c>
      <c r="B14" s="2068"/>
      <c r="C14" s="2068"/>
      <c r="D14" s="2068"/>
      <c r="E14" s="2068"/>
    </row>
  </sheetData>
  <mergeCells count="7">
    <mergeCell ref="A14:E14"/>
    <mergeCell ref="A2:E2"/>
    <mergeCell ref="A9:E9"/>
    <mergeCell ref="A10:E10"/>
    <mergeCell ref="A11:E11"/>
    <mergeCell ref="A12:E12"/>
    <mergeCell ref="A13:E13"/>
  </mergeCells>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2:H11"/>
  <sheetViews>
    <sheetView zoomScaleNormal="100" workbookViewId="0"/>
  </sheetViews>
  <sheetFormatPr baseColWidth="10" defaultRowHeight="11.25"/>
  <cols>
    <col min="1" max="1" width="25" style="53" customWidth="1"/>
    <col min="2" max="2" width="16.28515625" style="53" customWidth="1"/>
    <col min="3" max="3" width="20" style="53" customWidth="1"/>
    <col min="4" max="4" width="11.42578125" style="53"/>
    <col min="5" max="5" width="19.140625" style="53" bestFit="1" customWidth="1"/>
    <col min="6" max="6" width="17" style="53" customWidth="1"/>
    <col min="7" max="16384" width="11.42578125" style="53"/>
  </cols>
  <sheetData>
    <row r="2" spans="1:8" s="148" customFormat="1" ht="45" customHeight="1">
      <c r="A2" s="2109" t="s">
        <v>958</v>
      </c>
      <c r="B2" s="2109"/>
      <c r="C2" s="2109"/>
    </row>
    <row r="4" spans="1:8">
      <c r="A4" s="818" t="s">
        <v>214</v>
      </c>
      <c r="B4" s="818" t="s">
        <v>215</v>
      </c>
      <c r="C4" s="818" t="s">
        <v>216</v>
      </c>
    </row>
    <row r="5" spans="1:8" s="150" customFormat="1" ht="12">
      <c r="A5" s="60" t="s">
        <v>6</v>
      </c>
      <c r="B5" s="430">
        <f>SUM(B6:B8)</f>
        <v>102</v>
      </c>
      <c r="C5" s="430">
        <f>SUM(C6:C8)</f>
        <v>14715571</v>
      </c>
      <c r="E5" s="1874"/>
      <c r="F5" s="1875"/>
      <c r="G5" s="1876"/>
    </row>
    <row r="6" spans="1:8" ht="12">
      <c r="A6" s="61" t="s">
        <v>217</v>
      </c>
      <c r="B6" s="1207">
        <v>37</v>
      </c>
      <c r="C6" s="1207">
        <v>9252162</v>
      </c>
      <c r="E6" s="1874"/>
      <c r="F6" s="1875"/>
      <c r="G6" s="1876"/>
    </row>
    <row r="7" spans="1:8" ht="12">
      <c r="A7" s="61" t="s">
        <v>218</v>
      </c>
      <c r="B7" s="1207">
        <v>49</v>
      </c>
      <c r="C7" s="1207">
        <v>5428980</v>
      </c>
      <c r="E7" s="1874"/>
      <c r="F7" s="1875"/>
      <c r="G7" s="1876"/>
    </row>
    <row r="8" spans="1:8" ht="12">
      <c r="A8" s="61" t="s">
        <v>219</v>
      </c>
      <c r="B8" s="1207">
        <v>16</v>
      </c>
      <c r="C8" s="1207">
        <v>34429</v>
      </c>
      <c r="E8" s="1874"/>
      <c r="F8" s="1875"/>
      <c r="G8" s="1876"/>
    </row>
    <row r="9" spans="1:8">
      <c r="A9" s="61"/>
      <c r="B9" s="61"/>
      <c r="C9" s="61"/>
      <c r="G9" s="310"/>
    </row>
    <row r="10" spans="1:8" ht="27" customHeight="1">
      <c r="A10" s="2067" t="s">
        <v>220</v>
      </c>
      <c r="B10" s="2067"/>
      <c r="C10" s="2067"/>
    </row>
    <row r="11" spans="1:8">
      <c r="A11" s="61"/>
      <c r="B11" s="61"/>
      <c r="C11" s="61"/>
      <c r="D11" s="61"/>
      <c r="E11" s="61"/>
      <c r="F11" s="61"/>
      <c r="G11" s="61"/>
      <c r="H11" s="61"/>
    </row>
  </sheetData>
  <mergeCells count="2">
    <mergeCell ref="A2:C2"/>
    <mergeCell ref="A10:C10"/>
  </mergeCells>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2:E55"/>
  <sheetViews>
    <sheetView topLeftCell="A28" zoomScaleNormal="100" workbookViewId="0">
      <selection activeCell="A4" sqref="A4"/>
    </sheetView>
  </sheetViews>
  <sheetFormatPr baseColWidth="10" defaultColWidth="11.5703125" defaultRowHeight="11.25"/>
  <cols>
    <col min="1" max="1" width="16.85546875" style="61" customWidth="1"/>
    <col min="2" max="2" width="29.85546875" style="61" customWidth="1"/>
    <col min="3" max="3" width="19.7109375" style="61" customWidth="1"/>
    <col min="4" max="4" width="30.5703125" style="61" customWidth="1"/>
    <col min="5" max="5" width="11.42578125" style="61" bestFit="1" customWidth="1"/>
    <col min="6" max="16384" width="11.5703125" style="61"/>
  </cols>
  <sheetData>
    <row r="2" spans="1:5" s="60" customFormat="1" ht="20.25" customHeight="1">
      <c r="A2" s="2114" t="s">
        <v>959</v>
      </c>
      <c r="B2" s="2114"/>
      <c r="C2" s="2114"/>
      <c r="D2" s="2114"/>
      <c r="E2" s="2114"/>
    </row>
    <row r="4" spans="1:5" ht="30.75" customHeight="1">
      <c r="A4" s="316" t="s">
        <v>221</v>
      </c>
      <c r="B4" s="317" t="s">
        <v>222</v>
      </c>
      <c r="C4" s="317" t="s">
        <v>223</v>
      </c>
      <c r="D4" s="317" t="s">
        <v>224</v>
      </c>
      <c r="E4" s="317" t="s">
        <v>216</v>
      </c>
    </row>
    <row r="5" spans="1:5">
      <c r="A5" s="1538" t="s">
        <v>6</v>
      </c>
      <c r="B5" s="1421"/>
      <c r="C5" s="1421"/>
      <c r="E5" s="1870">
        <f>SUM(E6:E42)</f>
        <v>9252162.3300000001</v>
      </c>
    </row>
    <row r="6" spans="1:5" ht="22.5">
      <c r="A6" s="1593" t="s">
        <v>7</v>
      </c>
      <c r="B6" s="1510" t="s">
        <v>225</v>
      </c>
      <c r="C6" s="1510" t="s">
        <v>226</v>
      </c>
      <c r="D6" s="1510" t="s">
        <v>227</v>
      </c>
      <c r="E6" s="1491">
        <v>137883</v>
      </c>
    </row>
    <row r="7" spans="1:5">
      <c r="A7" s="2111" t="s">
        <v>8</v>
      </c>
      <c r="B7" s="1510" t="s">
        <v>228</v>
      </c>
      <c r="C7" s="1510" t="s">
        <v>229</v>
      </c>
      <c r="D7" s="1510" t="s">
        <v>37</v>
      </c>
      <c r="E7" s="1491">
        <v>174744</v>
      </c>
    </row>
    <row r="8" spans="1:5" ht="22.5">
      <c r="A8" s="2111"/>
      <c r="B8" s="1510" t="s">
        <v>230</v>
      </c>
      <c r="C8" s="1510" t="s">
        <v>229</v>
      </c>
      <c r="D8" s="1510" t="s">
        <v>231</v>
      </c>
      <c r="E8" s="1491">
        <v>110962</v>
      </c>
    </row>
    <row r="9" spans="1:5">
      <c r="A9" s="2111" t="s">
        <v>9</v>
      </c>
      <c r="B9" s="1510" t="s">
        <v>232</v>
      </c>
      <c r="C9" s="1510" t="s">
        <v>9</v>
      </c>
      <c r="D9" s="1510" t="s">
        <v>9</v>
      </c>
      <c r="E9" s="1491">
        <v>268671</v>
      </c>
    </row>
    <row r="10" spans="1:5">
      <c r="A10" s="2111"/>
      <c r="B10" s="1510" t="s">
        <v>233</v>
      </c>
      <c r="C10" s="1510" t="s">
        <v>9</v>
      </c>
      <c r="D10" s="1510" t="s">
        <v>234</v>
      </c>
      <c r="E10" s="1491">
        <v>7314</v>
      </c>
    </row>
    <row r="11" spans="1:5" ht="24">
      <c r="A11" s="2111" t="s">
        <v>10</v>
      </c>
      <c r="B11" s="1593" t="s">
        <v>3846</v>
      </c>
      <c r="C11" s="1510" t="s">
        <v>235</v>
      </c>
      <c r="D11" s="1510" t="s">
        <v>236</v>
      </c>
      <c r="E11" s="1491">
        <v>43754</v>
      </c>
    </row>
    <row r="12" spans="1:5" ht="22.5">
      <c r="A12" s="2111"/>
      <c r="B12" s="1510" t="s">
        <v>237</v>
      </c>
      <c r="C12" s="1510" t="s">
        <v>175</v>
      </c>
      <c r="D12" s="1510" t="s">
        <v>238</v>
      </c>
      <c r="E12" s="1491">
        <v>59082</v>
      </c>
    </row>
    <row r="13" spans="1:5" ht="22.5">
      <c r="A13" s="2111"/>
      <c r="B13" s="1510" t="s">
        <v>239</v>
      </c>
      <c r="C13" s="1510" t="s">
        <v>240</v>
      </c>
      <c r="D13" s="1510" t="s">
        <v>240</v>
      </c>
      <c r="E13" s="1491">
        <v>45708</v>
      </c>
    </row>
    <row r="14" spans="1:5" ht="22.5">
      <c r="A14" s="1593" t="s">
        <v>11</v>
      </c>
      <c r="B14" s="1510" t="s">
        <v>241</v>
      </c>
      <c r="C14" s="1510" t="s">
        <v>242</v>
      </c>
      <c r="D14" s="1510" t="s">
        <v>243</v>
      </c>
      <c r="E14" s="1491">
        <v>9959</v>
      </c>
    </row>
    <row r="15" spans="1:5" ht="22.5">
      <c r="A15" s="2111" t="s">
        <v>244</v>
      </c>
      <c r="B15" s="1510" t="s">
        <v>245</v>
      </c>
      <c r="C15" s="1510" t="s">
        <v>12</v>
      </c>
      <c r="D15" s="1510" t="s">
        <v>246</v>
      </c>
      <c r="E15" s="1491">
        <v>9571</v>
      </c>
    </row>
    <row r="16" spans="1:5">
      <c r="A16" s="2111"/>
      <c r="B16" s="1510" t="s">
        <v>247</v>
      </c>
      <c r="C16" s="1510" t="s">
        <v>248</v>
      </c>
      <c r="D16" s="1510" t="s">
        <v>249</v>
      </c>
      <c r="E16" s="1491">
        <v>8000</v>
      </c>
    </row>
    <row r="17" spans="1:5">
      <c r="A17" s="2111"/>
      <c r="B17" s="1510" t="s">
        <v>250</v>
      </c>
      <c r="C17" s="1510" t="s">
        <v>251</v>
      </c>
      <c r="D17" s="1510" t="s">
        <v>251</v>
      </c>
      <c r="E17" s="1491">
        <v>7130</v>
      </c>
    </row>
    <row r="18" spans="1:5" ht="24">
      <c r="A18" s="1593" t="s">
        <v>252</v>
      </c>
      <c r="B18" s="1510" t="s">
        <v>3847</v>
      </c>
      <c r="C18" s="1510" t="s">
        <v>253</v>
      </c>
      <c r="D18" s="1510" t="s">
        <v>254</v>
      </c>
      <c r="E18" s="1491">
        <v>3709</v>
      </c>
    </row>
    <row r="19" spans="1:5" ht="22.5">
      <c r="A19" s="1593" t="s">
        <v>15</v>
      </c>
      <c r="B19" s="1510" t="s">
        <v>255</v>
      </c>
      <c r="C19" s="1510" t="s">
        <v>256</v>
      </c>
      <c r="D19" s="1510" t="s">
        <v>257</v>
      </c>
      <c r="E19" s="1491">
        <v>4138.24</v>
      </c>
    </row>
    <row r="20" spans="1:5" ht="22.5">
      <c r="A20" s="1593" t="s">
        <v>258</v>
      </c>
      <c r="B20" s="1510" t="s">
        <v>259</v>
      </c>
      <c r="C20" s="1867" t="s">
        <v>260</v>
      </c>
      <c r="D20" s="1510" t="s">
        <v>261</v>
      </c>
      <c r="E20" s="1491">
        <v>11600</v>
      </c>
    </row>
    <row r="21" spans="1:5" ht="22.5">
      <c r="A21" s="2111" t="s">
        <v>17</v>
      </c>
      <c r="B21" s="1510" t="s">
        <v>3848</v>
      </c>
      <c r="C21" s="1510" t="s">
        <v>262</v>
      </c>
      <c r="D21" s="1510" t="s">
        <v>263</v>
      </c>
      <c r="E21" s="1491">
        <v>6832</v>
      </c>
    </row>
    <row r="22" spans="1:5">
      <c r="A22" s="2111"/>
      <c r="B22" s="1510" t="s">
        <v>264</v>
      </c>
      <c r="C22" s="1510" t="s">
        <v>265</v>
      </c>
      <c r="D22" s="1510" t="s">
        <v>266</v>
      </c>
      <c r="E22" s="1491">
        <v>6374</v>
      </c>
    </row>
    <row r="23" spans="1:5" ht="22.5">
      <c r="A23" s="2111"/>
      <c r="B23" s="1510" t="s">
        <v>267</v>
      </c>
      <c r="C23" s="1510" t="s">
        <v>268</v>
      </c>
      <c r="D23" s="1510" t="s">
        <v>269</v>
      </c>
      <c r="E23" s="1491">
        <v>60832</v>
      </c>
    </row>
    <row r="24" spans="1:5">
      <c r="A24" s="2111"/>
      <c r="B24" s="1510" t="s">
        <v>270</v>
      </c>
      <c r="C24" s="1510" t="s">
        <v>271</v>
      </c>
      <c r="D24" s="1510" t="s">
        <v>272</v>
      </c>
      <c r="E24" s="1491">
        <v>12500</v>
      </c>
    </row>
    <row r="25" spans="1:5" ht="22.5">
      <c r="A25" s="2111"/>
      <c r="B25" s="1510" t="s">
        <v>273</v>
      </c>
      <c r="C25" s="1510" t="s">
        <v>274</v>
      </c>
      <c r="D25" s="1510" t="s">
        <v>275</v>
      </c>
      <c r="E25" s="1491">
        <v>53000</v>
      </c>
    </row>
    <row r="26" spans="1:5">
      <c r="A26" s="1593" t="s">
        <v>276</v>
      </c>
      <c r="B26" s="1510" t="s">
        <v>277</v>
      </c>
      <c r="C26" s="1510" t="s">
        <v>278</v>
      </c>
      <c r="D26" s="1510" t="s">
        <v>279</v>
      </c>
      <c r="E26" s="1491">
        <v>13975</v>
      </c>
    </row>
    <row r="27" spans="1:5" ht="22.5" customHeight="1">
      <c r="A27" s="2111" t="s">
        <v>280</v>
      </c>
      <c r="B27" s="1510" t="s">
        <v>281</v>
      </c>
      <c r="C27" s="1510" t="s">
        <v>282</v>
      </c>
      <c r="D27" s="1510" t="s">
        <v>283</v>
      </c>
      <c r="E27" s="1491">
        <v>107000</v>
      </c>
    </row>
    <row r="28" spans="1:5" ht="22.5">
      <c r="A28" s="2111"/>
      <c r="B28" s="1510" t="s">
        <v>284</v>
      </c>
      <c r="C28" s="1510" t="s">
        <v>285</v>
      </c>
      <c r="D28" s="1510" t="s">
        <v>286</v>
      </c>
      <c r="E28" s="1491">
        <v>253780</v>
      </c>
    </row>
    <row r="29" spans="1:5">
      <c r="A29" s="2111"/>
      <c r="B29" s="1510" t="s">
        <v>287</v>
      </c>
      <c r="C29" s="1510" t="s">
        <v>288</v>
      </c>
      <c r="D29" s="1510" t="s">
        <v>289</v>
      </c>
      <c r="E29" s="1491">
        <v>39255</v>
      </c>
    </row>
    <row r="30" spans="1:5">
      <c r="A30" s="2111"/>
      <c r="B30" s="1867" t="s">
        <v>290</v>
      </c>
      <c r="C30" s="1510" t="s">
        <v>291</v>
      </c>
      <c r="D30" s="1510" t="s">
        <v>292</v>
      </c>
      <c r="E30" s="1491">
        <v>48232</v>
      </c>
    </row>
    <row r="31" spans="1:5">
      <c r="A31" s="2111"/>
      <c r="B31" s="1510" t="s">
        <v>293</v>
      </c>
      <c r="C31" s="1510" t="s">
        <v>294</v>
      </c>
      <c r="D31" s="1510" t="s">
        <v>295</v>
      </c>
      <c r="E31" s="1491">
        <v>293986</v>
      </c>
    </row>
    <row r="32" spans="1:5" ht="22.5">
      <c r="A32" s="2111"/>
      <c r="B32" s="1510" t="s">
        <v>296</v>
      </c>
      <c r="C32" s="1510" t="s">
        <v>297</v>
      </c>
      <c r="D32" s="1510" t="s">
        <v>298</v>
      </c>
      <c r="E32" s="1491">
        <v>42567</v>
      </c>
    </row>
    <row r="33" spans="1:5">
      <c r="A33" s="2111" t="s">
        <v>20</v>
      </c>
      <c r="B33" s="1510" t="s">
        <v>299</v>
      </c>
      <c r="C33" s="1510" t="s">
        <v>300</v>
      </c>
      <c r="D33" s="1510" t="s">
        <v>301</v>
      </c>
      <c r="E33" s="1491">
        <v>154093</v>
      </c>
    </row>
    <row r="34" spans="1:5">
      <c r="A34" s="2111"/>
      <c r="B34" s="1510" t="s">
        <v>302</v>
      </c>
      <c r="C34" s="1510" t="s">
        <v>20</v>
      </c>
      <c r="D34" s="1510" t="s">
        <v>303</v>
      </c>
      <c r="E34" s="1491">
        <v>10625</v>
      </c>
    </row>
    <row r="35" spans="1:5" ht="22.5">
      <c r="A35" s="2111"/>
      <c r="B35" s="1510" t="s">
        <v>304</v>
      </c>
      <c r="C35" s="1510" t="s">
        <v>20</v>
      </c>
      <c r="D35" s="1510" t="s">
        <v>303</v>
      </c>
      <c r="E35" s="1491">
        <v>157615.9</v>
      </c>
    </row>
    <row r="36" spans="1:5" ht="33.75">
      <c r="A36" s="2111"/>
      <c r="B36" s="1510" t="s">
        <v>305</v>
      </c>
      <c r="C36" s="1593" t="s">
        <v>306</v>
      </c>
      <c r="D36" s="1510" t="s">
        <v>307</v>
      </c>
      <c r="E36" s="1491">
        <v>1742000</v>
      </c>
    </row>
    <row r="37" spans="1:5" ht="24">
      <c r="A37" s="2111" t="s">
        <v>21</v>
      </c>
      <c r="B37" s="1510" t="s">
        <v>3849</v>
      </c>
      <c r="C37" s="1510" t="s">
        <v>308</v>
      </c>
      <c r="D37" s="1510" t="s">
        <v>309</v>
      </c>
      <c r="E37" s="1871">
        <v>3525901</v>
      </c>
    </row>
    <row r="38" spans="1:5" ht="22.5">
      <c r="A38" s="2111"/>
      <c r="B38" s="1510" t="s">
        <v>310</v>
      </c>
      <c r="C38" s="1510" t="s">
        <v>311</v>
      </c>
      <c r="D38" s="1510" t="s">
        <v>312</v>
      </c>
      <c r="E38" s="1491">
        <v>181414</v>
      </c>
    </row>
    <row r="39" spans="1:5">
      <c r="A39" s="2111"/>
      <c r="B39" s="1510" t="s">
        <v>313</v>
      </c>
      <c r="C39" s="1510" t="s">
        <v>21</v>
      </c>
      <c r="D39" s="1510" t="s">
        <v>314</v>
      </c>
      <c r="E39" s="1491">
        <v>5030</v>
      </c>
    </row>
    <row r="40" spans="1:5" ht="33.75">
      <c r="A40" s="2111"/>
      <c r="B40" s="1510" t="s">
        <v>315</v>
      </c>
      <c r="C40" s="1510" t="s">
        <v>316</v>
      </c>
      <c r="D40" s="1510" t="s">
        <v>317</v>
      </c>
      <c r="E40" s="1491">
        <v>1460000</v>
      </c>
    </row>
    <row r="41" spans="1:5" ht="22.5">
      <c r="A41" s="2111"/>
      <c r="B41" s="1510" t="s">
        <v>318</v>
      </c>
      <c r="C41" s="1510" t="s">
        <v>319</v>
      </c>
      <c r="D41" s="1510" t="s">
        <v>320</v>
      </c>
      <c r="E41" s="1491">
        <v>63093</v>
      </c>
    </row>
    <row r="42" spans="1:5" ht="22.5">
      <c r="A42" s="2111"/>
      <c r="B42" s="1510" t="s">
        <v>321</v>
      </c>
      <c r="C42" s="1510" t="s">
        <v>322</v>
      </c>
      <c r="D42" s="1510" t="s">
        <v>323</v>
      </c>
      <c r="E42" s="1491">
        <v>111832.19</v>
      </c>
    </row>
    <row r="43" spans="1:5">
      <c r="A43" s="1593"/>
      <c r="B43" s="1510"/>
      <c r="C43" s="1510"/>
      <c r="D43" s="1510"/>
      <c r="E43" s="1491"/>
    </row>
    <row r="44" spans="1:5" ht="10.5" customHeight="1">
      <c r="A44" s="2112" t="s">
        <v>3850</v>
      </c>
      <c r="B44" s="2112"/>
      <c r="C44" s="2112"/>
      <c r="D44" s="2112"/>
      <c r="E44" s="2112"/>
    </row>
    <row r="45" spans="1:5">
      <c r="A45" s="2113" t="s">
        <v>3851</v>
      </c>
      <c r="B45" s="2113"/>
      <c r="C45" s="2113"/>
      <c r="D45" s="2113"/>
      <c r="E45" s="2113"/>
    </row>
    <row r="46" spans="1:5">
      <c r="A46" s="2112" t="s">
        <v>3852</v>
      </c>
      <c r="B46" s="2112"/>
      <c r="C46" s="2112"/>
      <c r="D46" s="2112"/>
      <c r="E46" s="2112"/>
    </row>
    <row r="47" spans="1:5">
      <c r="A47" s="1872" t="s">
        <v>3853</v>
      </c>
      <c r="B47" s="1873"/>
      <c r="C47" s="1873"/>
      <c r="D47" s="1873"/>
      <c r="E47" s="1873"/>
    </row>
    <row r="48" spans="1:5">
      <c r="A48" s="2110" t="s">
        <v>208</v>
      </c>
      <c r="B48" s="2110"/>
      <c r="C48" s="2110"/>
      <c r="D48" s="2110"/>
      <c r="E48" s="2110"/>
    </row>
    <row r="55" spans="2:2">
      <c r="B55" s="1408"/>
    </row>
  </sheetData>
  <mergeCells count="13">
    <mergeCell ref="A21:A25"/>
    <mergeCell ref="A2:E2"/>
    <mergeCell ref="A7:A8"/>
    <mergeCell ref="A9:A10"/>
    <mergeCell ref="A11:A13"/>
    <mergeCell ref="A15:A17"/>
    <mergeCell ref="A48:E48"/>
    <mergeCell ref="A27:A32"/>
    <mergeCell ref="A33:A36"/>
    <mergeCell ref="A37:A42"/>
    <mergeCell ref="A44:E44"/>
    <mergeCell ref="A45:E45"/>
    <mergeCell ref="A46:E46"/>
  </mergeCells>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E57"/>
  <sheetViews>
    <sheetView zoomScaleNormal="100" workbookViewId="0">
      <selection activeCell="A4" sqref="A4"/>
    </sheetView>
  </sheetViews>
  <sheetFormatPr baseColWidth="10" defaultRowHeight="11.25"/>
  <cols>
    <col min="1" max="1" width="19.28515625" style="53" customWidth="1"/>
    <col min="2" max="2" width="30.85546875" style="53" customWidth="1"/>
    <col min="3" max="3" width="26.7109375" style="53" customWidth="1"/>
    <col min="4" max="4" width="35.28515625" style="53" customWidth="1"/>
    <col min="5" max="5" width="16.28515625" style="1397" customWidth="1"/>
    <col min="6" max="16384" width="11.42578125" style="53"/>
  </cols>
  <sheetData>
    <row r="1" spans="1:5">
      <c r="A1" s="61"/>
    </row>
    <row r="2" spans="1:5" s="45" customFormat="1" ht="15" customHeight="1">
      <c r="A2" s="45" t="s">
        <v>960</v>
      </c>
      <c r="E2" s="151"/>
    </row>
    <row r="3" spans="1:5" s="45" customFormat="1" ht="15" customHeight="1">
      <c r="E3" s="151"/>
    </row>
    <row r="4" spans="1:5" s="310" customFormat="1" ht="18.75" customHeight="1">
      <c r="A4" s="1831" t="s">
        <v>0</v>
      </c>
      <c r="B4" s="1831" t="s">
        <v>222</v>
      </c>
      <c r="C4" s="1831" t="s">
        <v>223</v>
      </c>
      <c r="D4" s="1831" t="s">
        <v>224</v>
      </c>
      <c r="E4" s="1831" t="s">
        <v>216</v>
      </c>
    </row>
    <row r="5" spans="1:5" s="310" customFormat="1" ht="15" customHeight="1">
      <c r="A5" s="1527" t="s">
        <v>6</v>
      </c>
      <c r="B5" s="1865"/>
      <c r="C5" s="1866"/>
      <c r="E5" s="1861">
        <f>SUM(E6:E54)</f>
        <v>5428980.2999999998</v>
      </c>
    </row>
    <row r="6" spans="1:5" s="62" customFormat="1">
      <c r="A6" s="1863" t="s">
        <v>7</v>
      </c>
      <c r="B6" s="1510" t="s">
        <v>324</v>
      </c>
      <c r="C6" s="1307" t="s">
        <v>226</v>
      </c>
      <c r="D6" s="1307" t="s">
        <v>227</v>
      </c>
      <c r="E6" s="1491">
        <v>209131</v>
      </c>
    </row>
    <row r="7" spans="1:5" s="62" customFormat="1" ht="22.5">
      <c r="A7" s="1863" t="s">
        <v>8</v>
      </c>
      <c r="B7" s="1510" t="s">
        <v>325</v>
      </c>
      <c r="C7" s="1307" t="s">
        <v>229</v>
      </c>
      <c r="D7" s="1307" t="s">
        <v>326</v>
      </c>
      <c r="E7" s="1491">
        <v>127149</v>
      </c>
    </row>
    <row r="8" spans="1:5" s="62" customFormat="1">
      <c r="A8" s="2115" t="s">
        <v>9</v>
      </c>
      <c r="B8" s="1510" t="s">
        <v>327</v>
      </c>
      <c r="C8" s="1307" t="s">
        <v>9</v>
      </c>
      <c r="D8" s="1307" t="s">
        <v>9</v>
      </c>
      <c r="E8" s="1491">
        <v>2583</v>
      </c>
    </row>
    <row r="9" spans="1:5" s="62" customFormat="1">
      <c r="A9" s="2115"/>
      <c r="B9" s="1510" t="s">
        <v>328</v>
      </c>
      <c r="C9" s="1307" t="s">
        <v>329</v>
      </c>
      <c r="D9" s="1307" t="s">
        <v>42</v>
      </c>
      <c r="E9" s="1491">
        <v>73987</v>
      </c>
    </row>
    <row r="10" spans="1:5" s="62" customFormat="1">
      <c r="A10" s="2115" t="s">
        <v>11</v>
      </c>
      <c r="B10" s="1510" t="s">
        <v>330</v>
      </c>
      <c r="C10" s="1307" t="s">
        <v>331</v>
      </c>
      <c r="D10" s="1307" t="s">
        <v>332</v>
      </c>
      <c r="E10" s="1491">
        <v>4229</v>
      </c>
    </row>
    <row r="11" spans="1:5" s="62" customFormat="1" ht="24">
      <c r="A11" s="2115"/>
      <c r="B11" s="1510" t="s">
        <v>3844</v>
      </c>
      <c r="C11" s="1307" t="s">
        <v>333</v>
      </c>
      <c r="D11" s="1307" t="s">
        <v>334</v>
      </c>
      <c r="E11" s="1491">
        <v>859</v>
      </c>
    </row>
    <row r="12" spans="1:5" s="62" customFormat="1">
      <c r="A12" s="2115" t="s">
        <v>244</v>
      </c>
      <c r="B12" s="1867" t="s">
        <v>335</v>
      </c>
      <c r="C12" s="1307" t="s">
        <v>43</v>
      </c>
      <c r="D12" s="1307" t="s">
        <v>43</v>
      </c>
      <c r="E12" s="1491">
        <v>10175</v>
      </c>
    </row>
    <row r="13" spans="1:5" s="62" customFormat="1">
      <c r="A13" s="2115"/>
      <c r="B13" s="1510" t="s">
        <v>336</v>
      </c>
      <c r="C13" s="1868" t="s">
        <v>12</v>
      </c>
      <c r="D13" s="1868" t="s">
        <v>12</v>
      </c>
      <c r="E13" s="1491">
        <v>9094</v>
      </c>
    </row>
    <row r="14" spans="1:5" s="62" customFormat="1">
      <c r="A14" s="2115"/>
      <c r="B14" s="1510" t="s">
        <v>337</v>
      </c>
      <c r="C14" s="1307" t="s">
        <v>338</v>
      </c>
      <c r="D14" s="1307" t="s">
        <v>338</v>
      </c>
      <c r="E14" s="1491">
        <v>520</v>
      </c>
    </row>
    <row r="15" spans="1:5" s="62" customFormat="1">
      <c r="A15" s="1863" t="s">
        <v>13</v>
      </c>
      <c r="B15" s="1510" t="s">
        <v>339</v>
      </c>
      <c r="C15" s="1307" t="s">
        <v>340</v>
      </c>
      <c r="D15" s="1307" t="s">
        <v>341</v>
      </c>
      <c r="E15" s="1491">
        <v>10185</v>
      </c>
    </row>
    <row r="16" spans="1:5" s="62" customFormat="1" ht="22.5">
      <c r="A16" s="2115" t="s">
        <v>14</v>
      </c>
      <c r="B16" s="1510" t="s">
        <v>342</v>
      </c>
      <c r="C16" s="1307" t="s">
        <v>343</v>
      </c>
      <c r="D16" s="1307" t="s">
        <v>344</v>
      </c>
      <c r="E16" s="1491">
        <v>5870</v>
      </c>
    </row>
    <row r="17" spans="1:5" s="62" customFormat="1" ht="22.5">
      <c r="A17" s="2115"/>
      <c r="B17" s="1510" t="s">
        <v>345</v>
      </c>
      <c r="C17" s="1307" t="s">
        <v>253</v>
      </c>
      <c r="D17" s="1307" t="s">
        <v>346</v>
      </c>
      <c r="E17" s="1491">
        <v>36882</v>
      </c>
    </row>
    <row r="18" spans="1:5" s="62" customFormat="1">
      <c r="A18" s="2115" t="s">
        <v>15</v>
      </c>
      <c r="B18" s="1510" t="s">
        <v>347</v>
      </c>
      <c r="C18" s="1307" t="s">
        <v>256</v>
      </c>
      <c r="D18" s="1307" t="s">
        <v>348</v>
      </c>
      <c r="E18" s="1491">
        <v>604</v>
      </c>
    </row>
    <row r="19" spans="1:5" s="62" customFormat="1" ht="22.5">
      <c r="A19" s="2115"/>
      <c r="B19" s="1510" t="s">
        <v>349</v>
      </c>
      <c r="C19" s="1307" t="s">
        <v>256</v>
      </c>
      <c r="D19" s="1307" t="s">
        <v>257</v>
      </c>
      <c r="E19" s="1491">
        <v>1009.34</v>
      </c>
    </row>
    <row r="20" spans="1:5" s="62" customFormat="1">
      <c r="A20" s="2115"/>
      <c r="B20" s="1510" t="s">
        <v>350</v>
      </c>
      <c r="C20" s="1307" t="s">
        <v>178</v>
      </c>
      <c r="D20" s="1307" t="s">
        <v>351</v>
      </c>
      <c r="E20" s="1491">
        <v>12163</v>
      </c>
    </row>
    <row r="21" spans="1:5" s="62" customFormat="1">
      <c r="A21" s="2115"/>
      <c r="B21" s="1510" t="s">
        <v>352</v>
      </c>
      <c r="C21" s="1307" t="s">
        <v>353</v>
      </c>
      <c r="D21" s="1307" t="s">
        <v>354</v>
      </c>
      <c r="E21" s="1491">
        <f>29+16</f>
        <v>45</v>
      </c>
    </row>
    <row r="22" spans="1:5" s="62" customFormat="1" ht="22.5">
      <c r="A22" s="2115"/>
      <c r="B22" s="1510" t="s">
        <v>355</v>
      </c>
      <c r="C22" s="1307" t="s">
        <v>356</v>
      </c>
      <c r="D22" s="1307" t="s">
        <v>357</v>
      </c>
      <c r="E22" s="1491">
        <v>417</v>
      </c>
    </row>
    <row r="23" spans="1:5" s="62" customFormat="1">
      <c r="A23" s="2115"/>
      <c r="B23" s="1510" t="s">
        <v>358</v>
      </c>
      <c r="C23" s="1307" t="s">
        <v>359</v>
      </c>
      <c r="D23" s="1307" t="s">
        <v>360</v>
      </c>
      <c r="E23" s="1491">
        <v>145</v>
      </c>
    </row>
    <row r="24" spans="1:5" s="62" customFormat="1">
      <c r="A24" s="2115"/>
      <c r="B24" s="1510" t="s">
        <v>361</v>
      </c>
      <c r="C24" s="1307" t="s">
        <v>359</v>
      </c>
      <c r="D24" s="1307" t="s">
        <v>362</v>
      </c>
      <c r="E24" s="1491">
        <v>147</v>
      </c>
    </row>
    <row r="25" spans="1:5" s="62" customFormat="1">
      <c r="A25" s="2115" t="s">
        <v>363</v>
      </c>
      <c r="B25" s="1510" t="s">
        <v>364</v>
      </c>
      <c r="C25" s="1307" t="s">
        <v>365</v>
      </c>
      <c r="D25" s="1307" t="s">
        <v>366</v>
      </c>
      <c r="E25" s="1491">
        <v>2181.66</v>
      </c>
    </row>
    <row r="26" spans="1:5" s="62" customFormat="1" ht="22.5">
      <c r="A26" s="2115"/>
      <c r="B26" s="1510" t="s">
        <v>367</v>
      </c>
      <c r="C26" s="1307" t="s">
        <v>368</v>
      </c>
      <c r="D26" s="1307" t="s">
        <v>369</v>
      </c>
      <c r="E26" s="1491">
        <v>2020.8</v>
      </c>
    </row>
    <row r="27" spans="1:5" s="62" customFormat="1">
      <c r="A27" s="2115"/>
      <c r="B27" s="1510" t="s">
        <v>370</v>
      </c>
      <c r="C27" s="1307" t="s">
        <v>371</v>
      </c>
      <c r="D27" s="1307" t="s">
        <v>372</v>
      </c>
      <c r="E27" s="1491">
        <v>55948</v>
      </c>
    </row>
    <row r="28" spans="1:5" s="62" customFormat="1">
      <c r="A28" s="2115"/>
      <c r="B28" s="1510" t="s">
        <v>373</v>
      </c>
      <c r="C28" s="1307" t="s">
        <v>260</v>
      </c>
      <c r="D28" s="1307" t="s">
        <v>374</v>
      </c>
      <c r="E28" s="1491">
        <v>12421</v>
      </c>
    </row>
    <row r="29" spans="1:5" s="62" customFormat="1" ht="22.5">
      <c r="A29" s="2115"/>
      <c r="B29" s="1510" t="s">
        <v>375</v>
      </c>
      <c r="C29" s="1307" t="s">
        <v>258</v>
      </c>
      <c r="D29" s="1307" t="s">
        <v>376</v>
      </c>
      <c r="E29" s="1491">
        <v>18856</v>
      </c>
    </row>
    <row r="30" spans="1:5" s="62" customFormat="1">
      <c r="A30" s="2115"/>
      <c r="B30" s="1593" t="s">
        <v>377</v>
      </c>
      <c r="C30" s="1863" t="s">
        <v>180</v>
      </c>
      <c r="D30" s="1307" t="s">
        <v>378</v>
      </c>
      <c r="E30" s="1491">
        <v>3037</v>
      </c>
    </row>
    <row r="31" spans="1:5" s="62" customFormat="1">
      <c r="A31" s="2115" t="s">
        <v>379</v>
      </c>
      <c r="B31" s="1510" t="s">
        <v>380</v>
      </c>
      <c r="C31" s="1307" t="s">
        <v>265</v>
      </c>
      <c r="D31" s="1307" t="s">
        <v>381</v>
      </c>
      <c r="E31" s="1491">
        <v>16625</v>
      </c>
    </row>
    <row r="32" spans="1:5" s="62" customFormat="1">
      <c r="A32" s="2115"/>
      <c r="B32" s="1510" t="s">
        <v>382</v>
      </c>
      <c r="C32" s="1307" t="s">
        <v>265</v>
      </c>
      <c r="D32" s="1307" t="s">
        <v>383</v>
      </c>
      <c r="E32" s="1491">
        <v>33050</v>
      </c>
    </row>
    <row r="33" spans="1:5" s="62" customFormat="1">
      <c r="A33" s="2115"/>
      <c r="B33" s="1510" t="s">
        <v>384</v>
      </c>
      <c r="C33" s="1307" t="s">
        <v>265</v>
      </c>
      <c r="D33" s="1307" t="s">
        <v>383</v>
      </c>
      <c r="E33" s="1491">
        <v>17530</v>
      </c>
    </row>
    <row r="34" spans="1:5" s="62" customFormat="1">
      <c r="A34" s="2115"/>
      <c r="B34" s="1510" t="s">
        <v>385</v>
      </c>
      <c r="C34" s="1307" t="s">
        <v>265</v>
      </c>
      <c r="D34" s="1307" t="s">
        <v>386</v>
      </c>
      <c r="E34" s="1491">
        <v>12789</v>
      </c>
    </row>
    <row r="35" spans="1:5" s="62" customFormat="1">
      <c r="A35" s="2115"/>
      <c r="B35" s="1510" t="s">
        <v>387</v>
      </c>
      <c r="C35" s="1307" t="s">
        <v>271</v>
      </c>
      <c r="D35" s="1307" t="s">
        <v>388</v>
      </c>
      <c r="E35" s="1491">
        <v>12825</v>
      </c>
    </row>
    <row r="36" spans="1:5" s="62" customFormat="1">
      <c r="A36" s="2115"/>
      <c r="B36" s="1510" t="s">
        <v>389</v>
      </c>
      <c r="C36" s="1868" t="s">
        <v>271</v>
      </c>
      <c r="D36" s="1307" t="s">
        <v>390</v>
      </c>
      <c r="E36" s="1491">
        <v>72462</v>
      </c>
    </row>
    <row r="37" spans="1:5" s="62" customFormat="1" ht="22.5">
      <c r="A37" s="1863" t="s">
        <v>276</v>
      </c>
      <c r="B37" s="1510" t="s">
        <v>391</v>
      </c>
      <c r="C37" s="1307" t="s">
        <v>182</v>
      </c>
      <c r="D37" s="1307" t="s">
        <v>392</v>
      </c>
      <c r="E37" s="1491">
        <v>7537</v>
      </c>
    </row>
    <row r="38" spans="1:5" s="62" customFormat="1">
      <c r="A38" s="2115" t="s">
        <v>280</v>
      </c>
      <c r="B38" s="1510" t="s">
        <v>393</v>
      </c>
      <c r="C38" s="1307" t="s">
        <v>288</v>
      </c>
      <c r="D38" s="1307" t="s">
        <v>394</v>
      </c>
      <c r="E38" s="1491">
        <v>33972</v>
      </c>
    </row>
    <row r="39" spans="1:5" s="62" customFormat="1">
      <c r="A39" s="2115"/>
      <c r="B39" s="1510" t="s">
        <v>395</v>
      </c>
      <c r="C39" s="1307" t="s">
        <v>294</v>
      </c>
      <c r="D39" s="1307" t="s">
        <v>396</v>
      </c>
      <c r="E39" s="1491">
        <v>12065</v>
      </c>
    </row>
    <row r="40" spans="1:5" s="62" customFormat="1">
      <c r="A40" s="2115"/>
      <c r="B40" s="1510" t="s">
        <v>397</v>
      </c>
      <c r="C40" s="1307" t="s">
        <v>398</v>
      </c>
      <c r="D40" s="1307" t="s">
        <v>399</v>
      </c>
      <c r="E40" s="1491">
        <v>49415</v>
      </c>
    </row>
    <row r="41" spans="1:5" s="62" customFormat="1">
      <c r="A41" s="2115" t="s">
        <v>20</v>
      </c>
      <c r="B41" s="1510" t="s">
        <v>400</v>
      </c>
      <c r="C41" s="1307" t="s">
        <v>184</v>
      </c>
      <c r="D41" s="1307" t="s">
        <v>401</v>
      </c>
      <c r="E41" s="1491">
        <v>18060</v>
      </c>
    </row>
    <row r="42" spans="1:5" s="62" customFormat="1" ht="22.5">
      <c r="A42" s="2115"/>
      <c r="B42" s="1510" t="s">
        <v>402</v>
      </c>
      <c r="C42" s="1307" t="s">
        <v>184</v>
      </c>
      <c r="D42" s="1307" t="s">
        <v>403</v>
      </c>
      <c r="E42" s="1491">
        <v>16516</v>
      </c>
    </row>
    <row r="43" spans="1:5" s="62" customFormat="1">
      <c r="A43" s="2115"/>
      <c r="B43" s="1510" t="s">
        <v>404</v>
      </c>
      <c r="C43" s="1307" t="s">
        <v>20</v>
      </c>
      <c r="D43" s="1307" t="s">
        <v>303</v>
      </c>
      <c r="E43" s="1491">
        <v>12725</v>
      </c>
    </row>
    <row r="44" spans="1:5" s="62" customFormat="1">
      <c r="A44" s="2115"/>
      <c r="B44" s="1510" t="s">
        <v>405</v>
      </c>
      <c r="C44" s="1307" t="s">
        <v>20</v>
      </c>
      <c r="D44" s="1307" t="s">
        <v>406</v>
      </c>
      <c r="E44" s="1491">
        <v>1097975</v>
      </c>
    </row>
    <row r="45" spans="1:5" s="62" customFormat="1">
      <c r="A45" s="2115"/>
      <c r="B45" s="1510" t="s">
        <v>407</v>
      </c>
      <c r="C45" s="1307" t="s">
        <v>408</v>
      </c>
      <c r="D45" s="1307" t="s">
        <v>408</v>
      </c>
      <c r="E45" s="1491">
        <v>41620.5</v>
      </c>
    </row>
    <row r="46" spans="1:5" s="62" customFormat="1">
      <c r="A46" s="2115"/>
      <c r="B46" s="1510" t="s">
        <v>409</v>
      </c>
      <c r="C46" s="1307" t="s">
        <v>184</v>
      </c>
      <c r="D46" s="1307" t="s">
        <v>184</v>
      </c>
      <c r="E46" s="1491">
        <v>2150</v>
      </c>
    </row>
    <row r="47" spans="1:5" s="62" customFormat="1">
      <c r="A47" s="2115"/>
      <c r="B47" s="1510" t="s">
        <v>410</v>
      </c>
      <c r="C47" s="1307" t="s">
        <v>184</v>
      </c>
      <c r="D47" s="1307" t="s">
        <v>184</v>
      </c>
      <c r="E47" s="1491">
        <v>2305</v>
      </c>
    </row>
    <row r="48" spans="1:5" s="62" customFormat="1" ht="22.5">
      <c r="A48" s="2115"/>
      <c r="B48" s="1510" t="s">
        <v>411</v>
      </c>
      <c r="C48" s="1510" t="s">
        <v>412</v>
      </c>
      <c r="D48" s="1307" t="s">
        <v>413</v>
      </c>
      <c r="E48" s="1491">
        <v>179550</v>
      </c>
    </row>
    <row r="49" spans="1:5" s="62" customFormat="1" ht="22.5">
      <c r="A49" s="2115"/>
      <c r="B49" s="1510" t="s">
        <v>414</v>
      </c>
      <c r="C49" s="1510" t="s">
        <v>415</v>
      </c>
      <c r="D49" s="1307" t="s">
        <v>416</v>
      </c>
      <c r="E49" s="1491">
        <v>161100</v>
      </c>
    </row>
    <row r="50" spans="1:5" s="62" customFormat="1" ht="22.5">
      <c r="A50" s="2115"/>
      <c r="B50" s="1510" t="s">
        <v>417</v>
      </c>
      <c r="C50" s="1307" t="s">
        <v>418</v>
      </c>
      <c r="D50" s="1307" t="s">
        <v>419</v>
      </c>
      <c r="E50" s="1491">
        <v>8361</v>
      </c>
    </row>
    <row r="51" spans="1:5" s="62" customFormat="1">
      <c r="A51" s="2115"/>
      <c r="B51" s="1510" t="s">
        <v>420</v>
      </c>
      <c r="C51" s="1307" t="s">
        <v>418</v>
      </c>
      <c r="D51" s="1307" t="s">
        <v>421</v>
      </c>
      <c r="E51" s="1491">
        <v>674500</v>
      </c>
    </row>
    <row r="52" spans="1:5" s="62" customFormat="1">
      <c r="A52" s="2115" t="s">
        <v>21</v>
      </c>
      <c r="B52" s="1510" t="s">
        <v>422</v>
      </c>
      <c r="C52" s="1307" t="s">
        <v>423</v>
      </c>
      <c r="D52" s="1307" t="s">
        <v>424</v>
      </c>
      <c r="E52" s="1491">
        <v>2313875</v>
      </c>
    </row>
    <row r="53" spans="1:5" s="62" customFormat="1" ht="22.5">
      <c r="A53" s="2115"/>
      <c r="B53" s="1510" t="s">
        <v>425</v>
      </c>
      <c r="C53" s="1307" t="s">
        <v>21</v>
      </c>
      <c r="D53" s="1307" t="s">
        <v>185</v>
      </c>
      <c r="E53" s="1491">
        <v>18814</v>
      </c>
    </row>
    <row r="54" spans="1:5" s="62" customFormat="1">
      <c r="A54" s="2115"/>
      <c r="B54" s="1510" t="s">
        <v>426</v>
      </c>
      <c r="C54" s="1307" t="s">
        <v>21</v>
      </c>
      <c r="D54" s="1307" t="s">
        <v>185</v>
      </c>
      <c r="E54" s="1491">
        <v>13500</v>
      </c>
    </row>
    <row r="55" spans="1:5" s="61" customFormat="1" ht="15" customHeight="1">
      <c r="A55" s="1869"/>
      <c r="B55" s="1309"/>
      <c r="C55" s="1309"/>
      <c r="D55" s="1309"/>
      <c r="E55" s="1309"/>
    </row>
    <row r="56" spans="1:5" ht="15" customHeight="1">
      <c r="A56" s="2116" t="s">
        <v>3845</v>
      </c>
      <c r="B56" s="2116"/>
      <c r="C56" s="2116"/>
      <c r="D56" s="2116"/>
      <c r="E56" s="2116"/>
    </row>
    <row r="57" spans="1:5" ht="15" customHeight="1">
      <c r="A57" s="61" t="s">
        <v>208</v>
      </c>
    </row>
  </sheetData>
  <mergeCells count="11">
    <mergeCell ref="A25:A30"/>
    <mergeCell ref="A8:A9"/>
    <mergeCell ref="A10:A11"/>
    <mergeCell ref="A12:A14"/>
    <mergeCell ref="A16:A17"/>
    <mergeCell ref="A18:A24"/>
    <mergeCell ref="A31:A36"/>
    <mergeCell ref="A38:A40"/>
    <mergeCell ref="A41:A51"/>
    <mergeCell ref="A52:A54"/>
    <mergeCell ref="A56:E56"/>
  </mergeCells>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E23"/>
  <sheetViews>
    <sheetView zoomScaleNormal="100" workbookViewId="0"/>
  </sheetViews>
  <sheetFormatPr baseColWidth="10" defaultRowHeight="11.25"/>
  <cols>
    <col min="1" max="1" width="16.85546875" style="53" customWidth="1"/>
    <col min="2" max="2" width="34.28515625" style="53" customWidth="1"/>
    <col min="3" max="3" width="15.42578125" style="53" customWidth="1"/>
    <col min="4" max="4" width="18.28515625" style="53" customWidth="1"/>
    <col min="5" max="5" width="10.7109375" style="53" customWidth="1"/>
    <col min="6" max="16384" width="11.42578125" style="53"/>
  </cols>
  <sheetData>
    <row r="1" spans="1:5">
      <c r="A1" s="61"/>
    </row>
    <row r="2" spans="1:5" s="150" customFormat="1" ht="24" customHeight="1">
      <c r="A2" s="2055" t="s">
        <v>961</v>
      </c>
      <c r="B2" s="2055"/>
      <c r="C2" s="2055"/>
      <c r="D2" s="2055"/>
      <c r="E2" s="2055"/>
    </row>
    <row r="4" spans="1:5" ht="23.25" customHeight="1">
      <c r="A4" s="1831" t="s">
        <v>221</v>
      </c>
      <c r="B4" s="818" t="s">
        <v>222</v>
      </c>
      <c r="C4" s="818" t="s">
        <v>223</v>
      </c>
      <c r="D4" s="818" t="s">
        <v>224</v>
      </c>
      <c r="E4" s="818" t="s">
        <v>216</v>
      </c>
    </row>
    <row r="5" spans="1:5" ht="15" customHeight="1">
      <c r="A5" s="1527" t="s">
        <v>6</v>
      </c>
      <c r="B5" s="1859"/>
      <c r="C5" s="1860"/>
      <c r="D5" s="310"/>
      <c r="E5" s="1861">
        <f>SUM(E6:E21)</f>
        <v>34429.14</v>
      </c>
    </row>
    <row r="6" spans="1:5">
      <c r="A6" s="2115" t="s">
        <v>7</v>
      </c>
      <c r="B6" s="1510" t="s">
        <v>427</v>
      </c>
      <c r="C6" s="1307" t="s">
        <v>226</v>
      </c>
      <c r="D6" s="1307" t="s">
        <v>227</v>
      </c>
      <c r="E6" s="1862">
        <v>11298</v>
      </c>
    </row>
    <row r="7" spans="1:5" ht="22.5">
      <c r="A7" s="2115"/>
      <c r="B7" s="1510" t="s">
        <v>428</v>
      </c>
      <c r="C7" s="1307" t="s">
        <v>33</v>
      </c>
      <c r="D7" s="1307" t="s">
        <v>33</v>
      </c>
      <c r="E7" s="1862">
        <v>11326</v>
      </c>
    </row>
    <row r="8" spans="1:5">
      <c r="A8" s="2115" t="s">
        <v>9</v>
      </c>
      <c r="B8" s="1510" t="s">
        <v>429</v>
      </c>
      <c r="C8" s="1307" t="s">
        <v>9</v>
      </c>
      <c r="D8" s="1307" t="s">
        <v>9</v>
      </c>
      <c r="E8" s="1862">
        <v>31</v>
      </c>
    </row>
    <row r="9" spans="1:5">
      <c r="A9" s="2115"/>
      <c r="B9" s="1510" t="s">
        <v>430</v>
      </c>
      <c r="C9" s="1307" t="s">
        <v>9</v>
      </c>
      <c r="D9" s="1307" t="s">
        <v>9</v>
      </c>
      <c r="E9" s="1862">
        <v>7533</v>
      </c>
    </row>
    <row r="10" spans="1:5">
      <c r="A10" s="1863" t="s">
        <v>11</v>
      </c>
      <c r="B10" s="1510" t="s">
        <v>431</v>
      </c>
      <c r="C10" s="1307" t="s">
        <v>242</v>
      </c>
      <c r="D10" s="1307" t="s">
        <v>432</v>
      </c>
      <c r="E10" s="1862">
        <v>128</v>
      </c>
    </row>
    <row r="11" spans="1:5">
      <c r="A11" s="1863" t="s">
        <v>244</v>
      </c>
      <c r="B11" s="1291" t="s">
        <v>433</v>
      </c>
      <c r="C11" s="208" t="s">
        <v>434</v>
      </c>
      <c r="D11" s="208" t="s">
        <v>435</v>
      </c>
      <c r="E11" s="1864">
        <v>4.5</v>
      </c>
    </row>
    <row r="12" spans="1:5">
      <c r="A12" s="1863" t="s">
        <v>13</v>
      </c>
      <c r="B12" s="1291" t="s">
        <v>436</v>
      </c>
      <c r="C12" s="208" t="s">
        <v>340</v>
      </c>
      <c r="D12" s="208" t="s">
        <v>437</v>
      </c>
      <c r="E12" s="1864">
        <v>3009</v>
      </c>
    </row>
    <row r="13" spans="1:5">
      <c r="A13" s="2115" t="s">
        <v>379</v>
      </c>
      <c r="B13" s="1510" t="s">
        <v>438</v>
      </c>
      <c r="C13" s="1307" t="s">
        <v>265</v>
      </c>
      <c r="D13" s="1307" t="s">
        <v>439</v>
      </c>
      <c r="E13" s="1862">
        <v>82</v>
      </c>
    </row>
    <row r="14" spans="1:5">
      <c r="A14" s="2115"/>
      <c r="B14" s="1291" t="s">
        <v>440</v>
      </c>
      <c r="C14" s="208" t="s">
        <v>271</v>
      </c>
      <c r="D14" s="208" t="s">
        <v>181</v>
      </c>
      <c r="E14" s="1864">
        <v>89</v>
      </c>
    </row>
    <row r="15" spans="1:5">
      <c r="A15" s="2115" t="s">
        <v>280</v>
      </c>
      <c r="B15" s="1291" t="s">
        <v>441</v>
      </c>
      <c r="C15" s="208" t="s">
        <v>288</v>
      </c>
      <c r="D15" s="208" t="s">
        <v>183</v>
      </c>
      <c r="E15" s="1864">
        <v>200</v>
      </c>
    </row>
    <row r="16" spans="1:5" ht="22.5">
      <c r="A16" s="2115"/>
      <c r="B16" s="1291" t="s">
        <v>442</v>
      </c>
      <c r="C16" s="208" t="s">
        <v>297</v>
      </c>
      <c r="D16" s="208" t="s">
        <v>443</v>
      </c>
      <c r="E16" s="1864">
        <v>8.64</v>
      </c>
    </row>
    <row r="17" spans="1:5" ht="22.5">
      <c r="A17" s="2115" t="s">
        <v>20</v>
      </c>
      <c r="B17" s="1291" t="s">
        <v>444</v>
      </c>
      <c r="C17" s="208" t="s">
        <v>20</v>
      </c>
      <c r="D17" s="208" t="s">
        <v>20</v>
      </c>
      <c r="E17" s="1864">
        <v>228</v>
      </c>
    </row>
    <row r="18" spans="1:5">
      <c r="A18" s="2115"/>
      <c r="B18" s="1291" t="s">
        <v>445</v>
      </c>
      <c r="C18" s="208" t="s">
        <v>184</v>
      </c>
      <c r="D18" s="208" t="s">
        <v>184</v>
      </c>
      <c r="E18" s="1864">
        <v>181</v>
      </c>
    </row>
    <row r="19" spans="1:5" ht="22.5">
      <c r="A19" s="2115" t="s">
        <v>21</v>
      </c>
      <c r="B19" s="1291" t="s">
        <v>446</v>
      </c>
      <c r="C19" s="208" t="s">
        <v>311</v>
      </c>
      <c r="D19" s="208" t="s">
        <v>447</v>
      </c>
      <c r="E19" s="1864">
        <v>189</v>
      </c>
    </row>
    <row r="20" spans="1:5">
      <c r="A20" s="2115"/>
      <c r="B20" s="1291" t="s">
        <v>448</v>
      </c>
      <c r="C20" s="208" t="s">
        <v>21</v>
      </c>
      <c r="D20" s="208" t="s">
        <v>185</v>
      </c>
      <c r="E20" s="1864">
        <v>97</v>
      </c>
    </row>
    <row r="21" spans="1:5" ht="22.5">
      <c r="A21" s="2115"/>
      <c r="B21" s="1291" t="s">
        <v>449</v>
      </c>
      <c r="C21" s="208" t="s">
        <v>450</v>
      </c>
      <c r="D21" s="208" t="s">
        <v>451</v>
      </c>
      <c r="E21" s="1864">
        <v>25</v>
      </c>
    </row>
    <row r="23" spans="1:5">
      <c r="A23" s="2068" t="s">
        <v>208</v>
      </c>
      <c r="B23" s="2068"/>
      <c r="C23" s="2068"/>
      <c r="D23" s="2068"/>
      <c r="E23" s="2068"/>
    </row>
  </sheetData>
  <mergeCells count="8">
    <mergeCell ref="A19:A21"/>
    <mergeCell ref="A23:E23"/>
    <mergeCell ref="A2:E2"/>
    <mergeCell ref="A6:A7"/>
    <mergeCell ref="A8:A9"/>
    <mergeCell ref="A13:A14"/>
    <mergeCell ref="A15:A16"/>
    <mergeCell ref="A17:A18"/>
  </mergeCells>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G12"/>
  <sheetViews>
    <sheetView zoomScaleNormal="100" workbookViewId="0">
      <selection activeCell="B23" sqref="B23"/>
    </sheetView>
  </sheetViews>
  <sheetFormatPr baseColWidth="10" defaultRowHeight="11.25"/>
  <cols>
    <col min="1" max="1" width="15.7109375" style="53" customWidth="1"/>
    <col min="2" max="2" width="14.42578125" style="53" bestFit="1" customWidth="1"/>
    <col min="3" max="3" width="11.42578125" style="53"/>
    <col min="4" max="4" width="21.28515625" style="53" customWidth="1"/>
    <col min="5" max="5" width="11.42578125" style="53"/>
    <col min="6" max="6" width="13.140625" style="53" bestFit="1" customWidth="1"/>
    <col min="7" max="16384" width="11.42578125" style="53"/>
  </cols>
  <sheetData>
    <row r="1" spans="1:7">
      <c r="A1" s="61"/>
    </row>
    <row r="2" spans="1:7" s="148" customFormat="1" ht="36.75" customHeight="1">
      <c r="A2" s="2063" t="s">
        <v>962</v>
      </c>
      <c r="B2" s="2063"/>
      <c r="C2" s="2063"/>
      <c r="D2" s="2063"/>
      <c r="E2" s="2063"/>
      <c r="F2" s="2063"/>
      <c r="G2" s="2063"/>
    </row>
    <row r="4" spans="1:7">
      <c r="A4" s="2066" t="s">
        <v>3842</v>
      </c>
      <c r="B4" s="2066" t="s">
        <v>26</v>
      </c>
      <c r="C4" s="2066"/>
      <c r="D4" s="2066" t="s">
        <v>452</v>
      </c>
      <c r="E4" s="2066"/>
      <c r="F4" s="2066" t="s">
        <v>453</v>
      </c>
      <c r="G4" s="2066"/>
    </row>
    <row r="5" spans="1:7" ht="15.75" customHeight="1">
      <c r="A5" s="2066"/>
      <c r="B5" s="818" t="s">
        <v>454</v>
      </c>
      <c r="C5" s="818" t="s">
        <v>455</v>
      </c>
      <c r="D5" s="818" t="s">
        <v>454</v>
      </c>
      <c r="E5" s="818" t="s">
        <v>455</v>
      </c>
      <c r="F5" s="818" t="s">
        <v>454</v>
      </c>
      <c r="G5" s="818" t="s">
        <v>455</v>
      </c>
    </row>
    <row r="6" spans="1:7" s="150" customFormat="1">
      <c r="A6" s="60" t="s">
        <v>6</v>
      </c>
      <c r="B6" s="1202">
        <f t="shared" ref="B6:G6" si="0">SUM(B7:B8)</f>
        <v>11429106</v>
      </c>
      <c r="C6" s="1856">
        <f>SUM(C7:C8)</f>
        <v>1</v>
      </c>
      <c r="D6" s="1202">
        <f t="shared" si="0"/>
        <v>4548232</v>
      </c>
      <c r="E6" s="1856">
        <f t="shared" si="0"/>
        <v>1</v>
      </c>
      <c r="F6" s="1202">
        <f t="shared" si="0"/>
        <v>6880874</v>
      </c>
      <c r="G6" s="1856">
        <f t="shared" si="0"/>
        <v>1</v>
      </c>
    </row>
    <row r="7" spans="1:7">
      <c r="A7" s="61" t="s">
        <v>456</v>
      </c>
      <c r="B7" s="320">
        <v>8462070</v>
      </c>
      <c r="C7" s="1857">
        <f>B7/B6</f>
        <v>0.74039649295404208</v>
      </c>
      <c r="D7" s="320">
        <v>4548232</v>
      </c>
      <c r="E7" s="1857">
        <f>D7/D6</f>
        <v>1</v>
      </c>
      <c r="F7" s="320">
        <v>3913838</v>
      </c>
      <c r="G7" s="1857">
        <f>F7/F6</f>
        <v>0.56879954494152918</v>
      </c>
    </row>
    <row r="8" spans="1:7">
      <c r="A8" s="61" t="s">
        <v>457</v>
      </c>
      <c r="B8" s="320">
        <v>2967036</v>
      </c>
      <c r="C8" s="1857">
        <f>B8/B6</f>
        <v>0.25960350704595792</v>
      </c>
      <c r="D8" s="324" t="s">
        <v>55</v>
      </c>
      <c r="E8" s="1858" t="s">
        <v>55</v>
      </c>
      <c r="F8" s="320">
        <v>2967036</v>
      </c>
      <c r="G8" s="1857">
        <f>F8/F6</f>
        <v>0.43120045505847077</v>
      </c>
    </row>
    <row r="10" spans="1:7" ht="36" customHeight="1">
      <c r="A10" s="2067" t="s">
        <v>3843</v>
      </c>
      <c r="B10" s="2067"/>
      <c r="C10" s="2067"/>
      <c r="D10" s="2067"/>
      <c r="E10" s="2067"/>
      <c r="F10" s="2067"/>
      <c r="G10" s="2067"/>
    </row>
    <row r="11" spans="1:7">
      <c r="A11" s="46" t="s">
        <v>160</v>
      </c>
      <c r="B11" s="1217"/>
      <c r="C11" s="1217"/>
      <c r="D11" s="1217"/>
      <c r="E11" s="1217"/>
      <c r="F11" s="1217"/>
      <c r="G11" s="1217"/>
    </row>
    <row r="12" spans="1:7">
      <c r="A12" s="2068" t="s">
        <v>208</v>
      </c>
      <c r="B12" s="2068"/>
      <c r="C12" s="2068"/>
      <c r="D12" s="2068"/>
      <c r="E12" s="2068"/>
      <c r="F12" s="2068"/>
      <c r="G12" s="2068"/>
    </row>
  </sheetData>
  <mergeCells count="7">
    <mergeCell ref="A12:G12"/>
    <mergeCell ref="A2:G2"/>
    <mergeCell ref="A4:A5"/>
    <mergeCell ref="B4:C4"/>
    <mergeCell ref="D4:E4"/>
    <mergeCell ref="F4:G4"/>
    <mergeCell ref="A10:G10"/>
  </mergeCells>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G26"/>
  <sheetViews>
    <sheetView zoomScaleNormal="100" workbookViewId="0">
      <selection activeCell="E23" sqref="E23"/>
    </sheetView>
  </sheetViews>
  <sheetFormatPr baseColWidth="10" defaultRowHeight="11.25"/>
  <cols>
    <col min="1" max="1" width="22" style="53" customWidth="1"/>
    <col min="2" max="2" width="45.85546875" style="53" customWidth="1"/>
    <col min="3" max="3" width="11.42578125" style="53"/>
    <col min="4" max="4" width="12.85546875" style="53" customWidth="1"/>
    <col min="5" max="5" width="15" style="53" customWidth="1"/>
    <col min="6" max="16384" width="11.42578125" style="53"/>
  </cols>
  <sheetData>
    <row r="1" spans="1:7">
      <c r="A1" s="61"/>
    </row>
    <row r="2" spans="1:7" s="148" customFormat="1" ht="29.25" customHeight="1">
      <c r="A2" s="2063" t="s">
        <v>963</v>
      </c>
      <c r="B2" s="2063"/>
      <c r="C2" s="2063"/>
      <c r="D2" s="2063"/>
      <c r="E2" s="2063"/>
    </row>
    <row r="4" spans="1:7" ht="28.5" customHeight="1">
      <c r="A4" s="818" t="s">
        <v>0</v>
      </c>
      <c r="B4" s="818" t="s">
        <v>458</v>
      </c>
      <c r="C4" s="818" t="s">
        <v>459</v>
      </c>
      <c r="D4" s="818" t="s">
        <v>460</v>
      </c>
      <c r="E4" s="818" t="s">
        <v>461</v>
      </c>
    </row>
    <row r="5" spans="1:7" s="61" customFormat="1">
      <c r="A5" s="61" t="s">
        <v>7</v>
      </c>
      <c r="B5" s="61" t="s">
        <v>462</v>
      </c>
      <c r="C5" s="61">
        <v>1981</v>
      </c>
      <c r="D5" s="1855" t="s">
        <v>55</v>
      </c>
      <c r="E5" s="1819">
        <v>358312</v>
      </c>
    </row>
    <row r="6" spans="1:7" s="61" customFormat="1">
      <c r="A6" s="61" t="s">
        <v>11</v>
      </c>
      <c r="B6" s="61" t="s">
        <v>463</v>
      </c>
      <c r="C6" s="61">
        <v>1977</v>
      </c>
      <c r="D6" s="1855">
        <v>2012</v>
      </c>
      <c r="E6" s="1819">
        <v>134311</v>
      </c>
    </row>
    <row r="7" spans="1:7" s="61" customFormat="1">
      <c r="A7" s="2117" t="s">
        <v>12</v>
      </c>
      <c r="B7" s="61" t="s">
        <v>464</v>
      </c>
      <c r="C7" s="61">
        <v>1984</v>
      </c>
      <c r="D7" s="1855">
        <v>2009</v>
      </c>
      <c r="E7" s="1819">
        <v>238216</v>
      </c>
    </row>
    <row r="8" spans="1:7" s="61" customFormat="1">
      <c r="A8" s="2117"/>
      <c r="B8" s="61" t="s">
        <v>465</v>
      </c>
      <c r="C8" s="61">
        <v>1977</v>
      </c>
      <c r="D8" s="1855" t="s">
        <v>55</v>
      </c>
      <c r="E8" s="1819">
        <v>9967</v>
      </c>
      <c r="G8" s="61" t="s">
        <v>466</v>
      </c>
    </row>
    <row r="9" spans="1:7" s="61" customFormat="1">
      <c r="A9" s="61" t="s">
        <v>16</v>
      </c>
      <c r="B9" s="61" t="s">
        <v>467</v>
      </c>
      <c r="C9" s="61">
        <v>2011</v>
      </c>
      <c r="D9" s="1855" t="s">
        <v>55</v>
      </c>
      <c r="E9" s="1819">
        <v>565807</v>
      </c>
    </row>
    <row r="10" spans="1:7" s="61" customFormat="1">
      <c r="A10" s="61" t="s">
        <v>17</v>
      </c>
      <c r="B10" s="61" t="s">
        <v>468</v>
      </c>
      <c r="C10" s="61">
        <v>1983</v>
      </c>
      <c r="D10" s="1855">
        <v>2010</v>
      </c>
      <c r="E10" s="1819">
        <v>1142850</v>
      </c>
    </row>
    <row r="11" spans="1:7" s="61" customFormat="1">
      <c r="A11" s="61" t="s">
        <v>280</v>
      </c>
      <c r="B11" s="61" t="s">
        <v>469</v>
      </c>
      <c r="C11" s="61">
        <v>2007</v>
      </c>
      <c r="D11" s="1855" t="s">
        <v>55</v>
      </c>
      <c r="E11" s="1819">
        <v>2168956</v>
      </c>
    </row>
    <row r="12" spans="1:7" s="61" customFormat="1">
      <c r="A12" s="61" t="s">
        <v>20</v>
      </c>
      <c r="B12" s="61" t="s">
        <v>470</v>
      </c>
      <c r="C12" s="61">
        <v>1979</v>
      </c>
      <c r="D12" s="1855" t="s">
        <v>55</v>
      </c>
      <c r="E12" s="1819">
        <v>1742000</v>
      </c>
    </row>
    <row r="13" spans="1:7" s="61" customFormat="1">
      <c r="A13" s="61" t="s">
        <v>21</v>
      </c>
      <c r="B13" s="61" t="s">
        <v>471</v>
      </c>
      <c r="C13" s="61">
        <v>1978</v>
      </c>
      <c r="D13" s="1855" t="s">
        <v>55</v>
      </c>
      <c r="E13" s="1819">
        <v>184414</v>
      </c>
    </row>
    <row r="14" spans="1:7" s="61" customFormat="1">
      <c r="A14" s="61" t="s">
        <v>21</v>
      </c>
      <c r="B14" s="61" t="s">
        <v>472</v>
      </c>
      <c r="C14" s="61">
        <v>2005</v>
      </c>
      <c r="D14" s="1855" t="s">
        <v>55</v>
      </c>
      <c r="E14" s="1819">
        <v>4884273</v>
      </c>
    </row>
    <row r="15" spans="1:7" s="61" customFormat="1">
      <c r="A15" s="2114" t="s">
        <v>6</v>
      </c>
      <c r="B15" s="2114"/>
      <c r="C15" s="2114"/>
      <c r="D15" s="2114"/>
      <c r="E15" s="1202">
        <f>SUM(E5:E14)</f>
        <v>11429106</v>
      </c>
    </row>
    <row r="16" spans="1:7" s="61" customFormat="1" ht="12.75" customHeight="1">
      <c r="A16" s="2117" t="s">
        <v>473</v>
      </c>
      <c r="B16" s="2117"/>
      <c r="C16" s="2117"/>
      <c r="D16" s="2117"/>
      <c r="E16" s="2117"/>
    </row>
    <row r="17" spans="1:5">
      <c r="A17" s="2068" t="s">
        <v>208</v>
      </c>
      <c r="B17" s="2068"/>
      <c r="C17" s="2068"/>
      <c r="D17" s="2068"/>
      <c r="E17" s="2068"/>
    </row>
    <row r="22" spans="1:5">
      <c r="E22" s="1204"/>
    </row>
    <row r="23" spans="1:5">
      <c r="E23" s="1204"/>
    </row>
    <row r="24" spans="1:5">
      <c r="E24" s="1204"/>
    </row>
    <row r="25" spans="1:5">
      <c r="E25" s="1204"/>
    </row>
    <row r="26" spans="1:5">
      <c r="E26" s="1204"/>
    </row>
  </sheetData>
  <mergeCells count="5">
    <mergeCell ref="A2:E2"/>
    <mergeCell ref="A7:A8"/>
    <mergeCell ref="A15:D15"/>
    <mergeCell ref="A16:E16"/>
    <mergeCell ref="A17:E17"/>
  </mergeCells>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G19"/>
  <sheetViews>
    <sheetView zoomScaleNormal="100" workbookViewId="0"/>
  </sheetViews>
  <sheetFormatPr baseColWidth="10" defaultRowHeight="11.25"/>
  <cols>
    <col min="1" max="1" width="18" style="53" customWidth="1"/>
    <col min="2" max="2" width="42.7109375" style="53" customWidth="1"/>
    <col min="3" max="4" width="17.28515625" style="53" customWidth="1"/>
    <col min="5" max="5" width="26.42578125" style="53" bestFit="1" customWidth="1"/>
    <col min="6" max="6" width="19.85546875" style="53" customWidth="1"/>
    <col min="7" max="7" width="15.28515625" style="53" customWidth="1"/>
    <col min="8" max="16384" width="11.42578125" style="53"/>
  </cols>
  <sheetData>
    <row r="1" spans="1:7">
      <c r="A1" s="61"/>
    </row>
    <row r="2" spans="1:7" s="148" customFormat="1" ht="30" customHeight="1">
      <c r="A2" s="2063" t="s">
        <v>964</v>
      </c>
      <c r="B2" s="2063"/>
      <c r="C2" s="2063"/>
      <c r="D2" s="2063"/>
      <c r="E2" s="2063"/>
      <c r="F2" s="2063"/>
      <c r="G2" s="2063"/>
    </row>
    <row r="4" spans="1:7">
      <c r="A4" s="2058" t="s">
        <v>0</v>
      </c>
      <c r="B4" s="2058" t="s">
        <v>452</v>
      </c>
      <c r="C4" s="2058"/>
      <c r="D4" s="2058"/>
      <c r="E4" s="2058" t="s">
        <v>453</v>
      </c>
      <c r="F4" s="2058"/>
      <c r="G4" s="2058"/>
    </row>
    <row r="5" spans="1:7" ht="12.75">
      <c r="A5" s="2058"/>
      <c r="B5" s="1831" t="s">
        <v>3840</v>
      </c>
      <c r="C5" s="1831" t="s">
        <v>459</v>
      </c>
      <c r="D5" s="1831" t="s">
        <v>503</v>
      </c>
      <c r="E5" s="1831" t="s">
        <v>3840</v>
      </c>
      <c r="F5" s="1831" t="s">
        <v>459</v>
      </c>
      <c r="G5" s="1831" t="s">
        <v>503</v>
      </c>
    </row>
    <row r="6" spans="1:7">
      <c r="A6" s="495" t="s">
        <v>7</v>
      </c>
      <c r="B6" s="1845" t="s">
        <v>504</v>
      </c>
      <c r="C6" s="1846">
        <v>1996</v>
      </c>
      <c r="D6" s="352">
        <v>15858</v>
      </c>
      <c r="E6" s="1845" t="s">
        <v>155</v>
      </c>
      <c r="F6" s="1847" t="s">
        <v>155</v>
      </c>
      <c r="G6" s="1848" t="s">
        <v>155</v>
      </c>
    </row>
    <row r="7" spans="1:7">
      <c r="A7" s="495" t="s">
        <v>8</v>
      </c>
      <c r="B7" s="1845" t="s">
        <v>505</v>
      </c>
      <c r="C7" s="1846">
        <v>1996</v>
      </c>
      <c r="D7" s="352">
        <v>6000</v>
      </c>
      <c r="E7" s="1845" t="s">
        <v>155</v>
      </c>
      <c r="F7" s="1847" t="s">
        <v>155</v>
      </c>
      <c r="G7" s="1848" t="s">
        <v>155</v>
      </c>
    </row>
    <row r="8" spans="1:7">
      <c r="A8" s="495" t="s">
        <v>9</v>
      </c>
      <c r="B8" s="1845" t="s">
        <v>506</v>
      </c>
      <c r="C8" s="1846">
        <v>1996</v>
      </c>
      <c r="D8" s="352">
        <v>96439</v>
      </c>
      <c r="E8" s="1849"/>
      <c r="F8" s="1850"/>
      <c r="G8" s="1850"/>
    </row>
    <row r="9" spans="1:7" ht="22.5">
      <c r="A9" s="495" t="s">
        <v>9</v>
      </c>
      <c r="B9" s="1851" t="s">
        <v>507</v>
      </c>
      <c r="C9" s="1847">
        <v>1996</v>
      </c>
      <c r="D9" s="1848">
        <v>67133</v>
      </c>
      <c r="E9" s="1852"/>
      <c r="F9" s="1853"/>
      <c r="G9" s="1854"/>
    </row>
    <row r="10" spans="1:7">
      <c r="A10" s="495" t="s">
        <v>9</v>
      </c>
      <c r="B10" s="1845" t="s">
        <v>508</v>
      </c>
      <c r="C10" s="1846">
        <v>2009</v>
      </c>
      <c r="D10" s="352">
        <v>17397</v>
      </c>
      <c r="E10" s="1845" t="s">
        <v>509</v>
      </c>
      <c r="F10" s="1847">
        <v>2009</v>
      </c>
      <c r="G10" s="1848">
        <v>15529</v>
      </c>
    </row>
    <row r="11" spans="1:7" ht="22.5">
      <c r="A11" s="495" t="s">
        <v>10</v>
      </c>
      <c r="B11" s="1845" t="s">
        <v>510</v>
      </c>
      <c r="C11" s="1846">
        <v>1996</v>
      </c>
      <c r="D11" s="352">
        <v>62460</v>
      </c>
      <c r="E11" s="1845" t="s">
        <v>155</v>
      </c>
      <c r="F11" s="1847" t="s">
        <v>155</v>
      </c>
      <c r="G11" s="1848" t="s">
        <v>155</v>
      </c>
    </row>
    <row r="12" spans="1:7" ht="22.5">
      <c r="A12" s="495" t="s">
        <v>11</v>
      </c>
      <c r="B12" s="1845" t="s">
        <v>155</v>
      </c>
      <c r="C12" s="1846" t="s">
        <v>155</v>
      </c>
      <c r="D12" s="352" t="s">
        <v>155</v>
      </c>
      <c r="E12" s="1845" t="s">
        <v>511</v>
      </c>
      <c r="F12" s="1847">
        <v>2004</v>
      </c>
      <c r="G12" s="1848">
        <v>34</v>
      </c>
    </row>
    <row r="13" spans="1:7">
      <c r="A13" s="495" t="s">
        <v>12</v>
      </c>
      <c r="B13" s="1845" t="s">
        <v>512</v>
      </c>
      <c r="C13" s="1846">
        <v>1996</v>
      </c>
      <c r="D13" s="352">
        <v>520</v>
      </c>
      <c r="E13" s="1845" t="s">
        <v>513</v>
      </c>
      <c r="F13" s="1847">
        <v>2010</v>
      </c>
      <c r="G13" s="1848">
        <v>13796</v>
      </c>
    </row>
    <row r="14" spans="1:7" ht="22.5">
      <c r="A14" s="495" t="s">
        <v>276</v>
      </c>
      <c r="B14" s="1845" t="s">
        <v>155</v>
      </c>
      <c r="C14" s="1846" t="s">
        <v>155</v>
      </c>
      <c r="D14" s="352" t="s">
        <v>155</v>
      </c>
      <c r="E14" s="1845" t="s">
        <v>514</v>
      </c>
      <c r="F14" s="1847">
        <v>1981</v>
      </c>
      <c r="G14" s="1848">
        <v>4877</v>
      </c>
    </row>
    <row r="15" spans="1:7">
      <c r="A15" s="495" t="s">
        <v>21</v>
      </c>
      <c r="B15" s="1845" t="s">
        <v>155</v>
      </c>
      <c r="C15" s="1846" t="s">
        <v>155</v>
      </c>
      <c r="D15" s="352" t="s">
        <v>155</v>
      </c>
      <c r="E15" s="1845" t="s">
        <v>515</v>
      </c>
      <c r="F15" s="1847">
        <v>2004</v>
      </c>
      <c r="G15" s="1848">
        <v>58956</v>
      </c>
    </row>
    <row r="16" spans="1:7">
      <c r="A16" s="310"/>
      <c r="B16" s="310"/>
      <c r="C16" s="310"/>
      <c r="D16" s="310"/>
      <c r="E16" s="310"/>
      <c r="F16" s="310"/>
      <c r="G16" s="310"/>
    </row>
    <row r="17" spans="1:7" ht="38.25" customHeight="1">
      <c r="A17" s="2118" t="s">
        <v>3841</v>
      </c>
      <c r="B17" s="2118"/>
      <c r="C17" s="2118"/>
      <c r="D17" s="2118"/>
      <c r="E17" s="2118"/>
      <c r="F17" s="2118"/>
      <c r="G17" s="2118"/>
    </row>
    <row r="18" spans="1:7">
      <c r="A18" s="2068" t="s">
        <v>22</v>
      </c>
      <c r="B18" s="2068"/>
      <c r="C18" s="2068"/>
      <c r="D18" s="2068"/>
      <c r="E18" s="2068"/>
      <c r="F18" s="2068"/>
      <c r="G18" s="2068"/>
    </row>
    <row r="19" spans="1:7">
      <c r="A19" s="2068" t="s">
        <v>516</v>
      </c>
      <c r="B19" s="2068"/>
      <c r="C19" s="2068"/>
      <c r="D19" s="2068"/>
      <c r="E19" s="2068"/>
      <c r="F19" s="2068"/>
      <c r="G19" s="2068"/>
    </row>
  </sheetData>
  <mergeCells count="7">
    <mergeCell ref="A19:G19"/>
    <mergeCell ref="A2:G2"/>
    <mergeCell ref="A4:A5"/>
    <mergeCell ref="B4:D4"/>
    <mergeCell ref="E4:G4"/>
    <mergeCell ref="A17:G17"/>
    <mergeCell ref="A18:G18"/>
  </mergeCells>
  <pageMargins left="0.7" right="0.7" top="0.75" bottom="0.75" header="0.3" footer="0.3"/>
</worksheet>
</file>

<file path=xl/worksheets/sheet49.xml><?xml version="1.0" encoding="utf-8"?>
<worksheet xmlns="http://schemas.openxmlformats.org/spreadsheetml/2006/main" xmlns:r="http://schemas.openxmlformats.org/officeDocument/2006/relationships">
  <dimension ref="A1:D21"/>
  <sheetViews>
    <sheetView zoomScaleNormal="100" workbookViewId="0"/>
  </sheetViews>
  <sheetFormatPr baseColWidth="10" defaultRowHeight="11.25"/>
  <cols>
    <col min="1" max="3" width="23.85546875" style="53" customWidth="1"/>
    <col min="4" max="4" width="48.140625" style="53" customWidth="1"/>
    <col min="5" max="16384" width="11.42578125" style="53"/>
  </cols>
  <sheetData>
    <row r="1" spans="1:4">
      <c r="A1" s="61"/>
    </row>
    <row r="2" spans="1:4" s="148" customFormat="1" ht="26.25" customHeight="1">
      <c r="A2" s="2063" t="s">
        <v>3298</v>
      </c>
      <c r="B2" s="2063"/>
      <c r="C2" s="2063"/>
      <c r="D2" s="2063"/>
    </row>
    <row r="4" spans="1:4" ht="22.5">
      <c r="A4" s="818" t="s">
        <v>474</v>
      </c>
      <c r="B4" s="818" t="s">
        <v>475</v>
      </c>
      <c r="C4" s="818" t="s">
        <v>476</v>
      </c>
      <c r="D4" s="818" t="s">
        <v>3833</v>
      </c>
    </row>
    <row r="5" spans="1:4" s="61" customFormat="1">
      <c r="A5" s="147" t="s">
        <v>7</v>
      </c>
      <c r="B5" s="147" t="s">
        <v>477</v>
      </c>
      <c r="C5" s="1814">
        <v>2007</v>
      </c>
      <c r="D5" s="147" t="s">
        <v>478</v>
      </c>
    </row>
    <row r="6" spans="1:4" s="61" customFormat="1">
      <c r="A6" s="147" t="s">
        <v>8</v>
      </c>
      <c r="B6" s="147" t="s">
        <v>479</v>
      </c>
      <c r="C6" s="1814">
        <v>2005</v>
      </c>
      <c r="D6" s="147" t="s">
        <v>480</v>
      </c>
    </row>
    <row r="7" spans="1:4" s="61" customFormat="1">
      <c r="A7" s="147" t="s">
        <v>12</v>
      </c>
      <c r="B7" s="147" t="s">
        <v>481</v>
      </c>
      <c r="C7" s="1814">
        <v>2005</v>
      </c>
      <c r="D7" s="147" t="s">
        <v>482</v>
      </c>
    </row>
    <row r="8" spans="1:4" s="61" customFormat="1">
      <c r="A8" s="147" t="s">
        <v>12</v>
      </c>
      <c r="B8" s="147" t="s">
        <v>483</v>
      </c>
      <c r="C8" s="1814">
        <v>2010</v>
      </c>
      <c r="D8" s="147" t="s">
        <v>484</v>
      </c>
    </row>
    <row r="9" spans="1:4" s="61" customFormat="1" ht="22.5">
      <c r="A9" s="147" t="s">
        <v>485</v>
      </c>
      <c r="B9" s="147" t="s">
        <v>486</v>
      </c>
      <c r="C9" s="1814">
        <v>2011</v>
      </c>
      <c r="D9" s="147" t="s">
        <v>487</v>
      </c>
    </row>
    <row r="10" spans="1:4" s="61" customFormat="1">
      <c r="A10" s="147" t="s">
        <v>488</v>
      </c>
      <c r="B10" s="147" t="s">
        <v>489</v>
      </c>
      <c r="C10" s="1814">
        <v>2008</v>
      </c>
      <c r="D10" s="147" t="s">
        <v>490</v>
      </c>
    </row>
    <row r="11" spans="1:4" s="61" customFormat="1">
      <c r="A11" s="147" t="s">
        <v>15</v>
      </c>
      <c r="B11" s="147" t="s">
        <v>491</v>
      </c>
      <c r="C11" s="1814">
        <v>2003</v>
      </c>
      <c r="D11" s="147" t="s">
        <v>492</v>
      </c>
    </row>
    <row r="12" spans="1:4" s="61" customFormat="1">
      <c r="A12" s="147" t="s">
        <v>15</v>
      </c>
      <c r="B12" s="147" t="s">
        <v>493</v>
      </c>
      <c r="C12" s="1814">
        <v>2006</v>
      </c>
      <c r="D12" s="147" t="s">
        <v>494</v>
      </c>
    </row>
    <row r="13" spans="1:4" s="61" customFormat="1">
      <c r="A13" s="147" t="s">
        <v>15</v>
      </c>
      <c r="B13" s="147" t="s">
        <v>495</v>
      </c>
      <c r="C13" s="1814">
        <v>2011</v>
      </c>
      <c r="D13" s="147" t="s">
        <v>496</v>
      </c>
    </row>
    <row r="14" spans="1:4" s="61" customFormat="1">
      <c r="A14" s="147" t="s">
        <v>16</v>
      </c>
      <c r="B14" s="147" t="s">
        <v>497</v>
      </c>
      <c r="C14" s="1814">
        <v>2004</v>
      </c>
      <c r="D14" s="147" t="s">
        <v>492</v>
      </c>
    </row>
    <row r="15" spans="1:4" s="61" customFormat="1">
      <c r="A15" s="147" t="s">
        <v>379</v>
      </c>
      <c r="B15" s="147" t="s">
        <v>498</v>
      </c>
      <c r="C15" s="1814">
        <v>2006</v>
      </c>
      <c r="D15" s="147" t="s">
        <v>494</v>
      </c>
    </row>
    <row r="16" spans="1:4" s="61" customFormat="1">
      <c r="A16" s="147" t="s">
        <v>379</v>
      </c>
      <c r="B16" s="147" t="s">
        <v>499</v>
      </c>
      <c r="C16" s="1814">
        <v>2007</v>
      </c>
      <c r="D16" s="147" t="s">
        <v>500</v>
      </c>
    </row>
    <row r="17" spans="1:4" s="61" customFormat="1">
      <c r="A17" s="147" t="s">
        <v>276</v>
      </c>
      <c r="B17" s="147" t="s">
        <v>501</v>
      </c>
      <c r="C17" s="1814">
        <v>2009</v>
      </c>
      <c r="D17" s="147" t="s">
        <v>502</v>
      </c>
    </row>
    <row r="18" spans="1:4" s="61" customFormat="1">
      <c r="A18" s="147"/>
      <c r="B18" s="147"/>
      <c r="C18" s="1814"/>
      <c r="D18" s="147"/>
    </row>
    <row r="19" spans="1:4" ht="16.5" customHeight="1">
      <c r="A19" s="61" t="s">
        <v>3836</v>
      </c>
      <c r="B19" s="1844"/>
      <c r="C19" s="1844"/>
      <c r="D19" s="1844"/>
    </row>
    <row r="20" spans="1:4" ht="51" customHeight="1">
      <c r="A20" s="2067" t="s">
        <v>3839</v>
      </c>
      <c r="B20" s="2067"/>
      <c r="C20" s="2067"/>
      <c r="D20" s="2067"/>
    </row>
    <row r="21" spans="1:4">
      <c r="A21" s="2068" t="s">
        <v>208</v>
      </c>
      <c r="B21" s="2068"/>
      <c r="C21" s="2068"/>
      <c r="D21" s="2068"/>
    </row>
  </sheetData>
  <mergeCells count="3">
    <mergeCell ref="A2:D2"/>
    <mergeCell ref="A20:D20"/>
    <mergeCell ref="A21:D2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2:B26"/>
  <sheetViews>
    <sheetView zoomScaleNormal="100" workbookViewId="0"/>
  </sheetViews>
  <sheetFormatPr baseColWidth="10" defaultRowHeight="11.25"/>
  <cols>
    <col min="1" max="1" width="53.42578125" style="117" customWidth="1"/>
    <col min="2" max="2" width="35.5703125" style="117" customWidth="1"/>
    <col min="3" max="16384" width="11.42578125" style="117"/>
  </cols>
  <sheetData>
    <row r="2" spans="1:2" s="115" customFormat="1" ht="42.75" customHeight="1">
      <c r="A2" s="2033" t="s">
        <v>3171</v>
      </c>
      <c r="B2" s="2033"/>
    </row>
    <row r="3" spans="1:2" ht="10.5" customHeight="1"/>
    <row r="4" spans="1:2" s="1927" customFormat="1" ht="42.75" customHeight="1">
      <c r="A4" s="154" t="s">
        <v>0</v>
      </c>
      <c r="B4" s="1806" t="s">
        <v>862</v>
      </c>
    </row>
    <row r="5" spans="1:2" s="115" customFormat="1" ht="24.75" customHeight="1">
      <c r="A5" s="115" t="s">
        <v>679</v>
      </c>
      <c r="B5" s="1314">
        <f>SUM(B6:B21)</f>
        <v>528445</v>
      </c>
    </row>
    <row r="6" spans="1:2">
      <c r="A6" s="117" t="s">
        <v>7</v>
      </c>
      <c r="B6" s="1909" t="s">
        <v>155</v>
      </c>
    </row>
    <row r="7" spans="1:2">
      <c r="A7" s="117" t="s">
        <v>8</v>
      </c>
      <c r="B7" s="1277">
        <v>6124</v>
      </c>
    </row>
    <row r="8" spans="1:2">
      <c r="A8" s="117" t="s">
        <v>9</v>
      </c>
      <c r="B8" s="1909" t="s">
        <v>155</v>
      </c>
    </row>
    <row r="9" spans="1:2">
      <c r="A9" s="117" t="s">
        <v>10</v>
      </c>
      <c r="B9" s="1909" t="s">
        <v>155</v>
      </c>
    </row>
    <row r="10" spans="1:2">
      <c r="A10" s="117" t="s">
        <v>11</v>
      </c>
      <c r="B10" s="1909" t="s">
        <v>155</v>
      </c>
    </row>
    <row r="11" spans="1:2">
      <c r="A11" s="117" t="s">
        <v>12</v>
      </c>
      <c r="B11" s="1909" t="s">
        <v>155</v>
      </c>
    </row>
    <row r="12" spans="1:2" ht="12.75">
      <c r="A12" s="117" t="s">
        <v>3306</v>
      </c>
      <c r="B12" s="1277">
        <v>109326</v>
      </c>
    </row>
    <row r="13" spans="1:2" ht="12.75">
      <c r="A13" s="117" t="s">
        <v>3307</v>
      </c>
      <c r="B13" s="1277">
        <v>400625</v>
      </c>
    </row>
    <row r="14" spans="1:2">
      <c r="A14" s="117" t="s">
        <v>14</v>
      </c>
      <c r="B14" s="1909" t="s">
        <v>155</v>
      </c>
    </row>
    <row r="15" spans="1:2">
      <c r="A15" s="117" t="s">
        <v>15</v>
      </c>
      <c r="B15" s="1909" t="s">
        <v>155</v>
      </c>
    </row>
    <row r="16" spans="1:2">
      <c r="A16" s="117" t="s">
        <v>16</v>
      </c>
      <c r="B16" s="1909" t="s">
        <v>155</v>
      </c>
    </row>
    <row r="17" spans="1:2">
      <c r="A17" s="117" t="s">
        <v>17</v>
      </c>
      <c r="B17" s="1277">
        <v>12370</v>
      </c>
    </row>
    <row r="18" spans="1:2">
      <c r="A18" s="117" t="s">
        <v>18</v>
      </c>
      <c r="B18" s="1909" t="s">
        <v>155</v>
      </c>
    </row>
    <row r="19" spans="1:2">
      <c r="A19" s="117" t="s">
        <v>19</v>
      </c>
      <c r="B19" s="1909" t="s">
        <v>155</v>
      </c>
    </row>
    <row r="20" spans="1:2">
      <c r="A20" s="117" t="s">
        <v>20</v>
      </c>
      <c r="B20" s="1909" t="s">
        <v>155</v>
      </c>
    </row>
    <row r="21" spans="1:2">
      <c r="A21" s="117" t="s">
        <v>21</v>
      </c>
      <c r="B21" s="1909" t="s">
        <v>155</v>
      </c>
    </row>
    <row r="22" spans="1:2" ht="12.75" customHeight="1"/>
    <row r="23" spans="1:2" ht="13.5" customHeight="1">
      <c r="A23" s="117" t="s">
        <v>3945</v>
      </c>
    </row>
    <row r="24" spans="1:2">
      <c r="A24" s="117" t="s">
        <v>3946</v>
      </c>
    </row>
    <row r="25" spans="1:2">
      <c r="A25" s="117" t="s">
        <v>22</v>
      </c>
    </row>
    <row r="26" spans="1:2">
      <c r="A26" s="117" t="s">
        <v>680</v>
      </c>
    </row>
  </sheetData>
  <mergeCells count="1">
    <mergeCell ref="A2:B2"/>
  </mergeCells>
  <pageMargins left="0.7" right="0.7" top="0.75" bottom="0.75" header="0.3" footer="0.3"/>
</worksheet>
</file>

<file path=xl/worksheets/sheet50.xml><?xml version="1.0" encoding="utf-8"?>
<worksheet xmlns="http://schemas.openxmlformats.org/spreadsheetml/2006/main" xmlns:r="http://schemas.openxmlformats.org/officeDocument/2006/relationships">
  <dimension ref="A1:D27"/>
  <sheetViews>
    <sheetView topLeftCell="A16" zoomScaleNormal="100" workbookViewId="0"/>
  </sheetViews>
  <sheetFormatPr baseColWidth="10" defaultRowHeight="11.25"/>
  <cols>
    <col min="1" max="1" width="33.42578125" style="53" customWidth="1"/>
    <col min="2" max="2" width="28.28515625" style="53" customWidth="1"/>
    <col min="3" max="3" width="14.85546875" style="53" customWidth="1"/>
    <col min="4" max="4" width="23" style="53" customWidth="1"/>
    <col min="5" max="16384" width="11.42578125" style="53"/>
  </cols>
  <sheetData>
    <row r="1" spans="1:4">
      <c r="A1" s="61"/>
    </row>
    <row r="2" spans="1:4" s="148" customFormat="1" ht="34.5" customHeight="1">
      <c r="A2" s="2063" t="s">
        <v>3297</v>
      </c>
      <c r="B2" s="2063"/>
      <c r="C2" s="2063"/>
      <c r="D2" s="2063"/>
    </row>
    <row r="4" spans="1:4" ht="34.5" customHeight="1">
      <c r="A4" s="818" t="s">
        <v>474</v>
      </c>
      <c r="B4" s="818" t="s">
        <v>475</v>
      </c>
      <c r="C4" s="818" t="s">
        <v>476</v>
      </c>
      <c r="D4" s="818" t="s">
        <v>3833</v>
      </c>
    </row>
    <row r="5" spans="1:4" s="61" customFormat="1" ht="22.5">
      <c r="A5" s="61" t="s">
        <v>7</v>
      </c>
      <c r="B5" s="61" t="s">
        <v>517</v>
      </c>
      <c r="C5" s="1814">
        <v>2006</v>
      </c>
      <c r="D5" s="147" t="s">
        <v>518</v>
      </c>
    </row>
    <row r="6" spans="1:4" s="61" customFormat="1" ht="45">
      <c r="A6" s="61" t="s">
        <v>7</v>
      </c>
      <c r="B6" s="61" t="s">
        <v>519</v>
      </c>
      <c r="C6" s="1814">
        <v>2003</v>
      </c>
      <c r="D6" s="147" t="s">
        <v>520</v>
      </c>
    </row>
    <row r="7" spans="1:4" s="61" customFormat="1">
      <c r="A7" s="61" t="s">
        <v>7</v>
      </c>
      <c r="B7" s="61" t="s">
        <v>521</v>
      </c>
      <c r="C7" s="1814">
        <v>2006</v>
      </c>
      <c r="D7" s="147" t="s">
        <v>522</v>
      </c>
    </row>
    <row r="8" spans="1:4" s="61" customFormat="1" ht="45">
      <c r="A8" s="61" t="s">
        <v>9</v>
      </c>
      <c r="B8" s="61" t="s">
        <v>523</v>
      </c>
      <c r="C8" s="1814">
        <v>2008</v>
      </c>
      <c r="D8" s="147" t="s">
        <v>520</v>
      </c>
    </row>
    <row r="9" spans="1:4" s="61" customFormat="1" ht="45">
      <c r="A9" s="61" t="s">
        <v>9</v>
      </c>
      <c r="B9" s="61" t="s">
        <v>524</v>
      </c>
      <c r="C9" s="1814">
        <v>2004</v>
      </c>
      <c r="D9" s="147" t="s">
        <v>520</v>
      </c>
    </row>
    <row r="10" spans="1:4" s="61" customFormat="1" ht="45">
      <c r="A10" s="61" t="s">
        <v>10</v>
      </c>
      <c r="B10" s="61" t="s">
        <v>525</v>
      </c>
      <c r="C10" s="1814">
        <v>2004</v>
      </c>
      <c r="D10" s="147" t="s">
        <v>520</v>
      </c>
    </row>
    <row r="11" spans="1:4" s="61" customFormat="1" ht="54" customHeight="1">
      <c r="A11" s="61" t="s">
        <v>10</v>
      </c>
      <c r="B11" s="61" t="s">
        <v>526</v>
      </c>
      <c r="C11" s="1814">
        <v>2010</v>
      </c>
      <c r="D11" s="147" t="s">
        <v>527</v>
      </c>
    </row>
    <row r="12" spans="1:4" s="61" customFormat="1" ht="45">
      <c r="A12" s="61" t="s">
        <v>11</v>
      </c>
      <c r="B12" s="61" t="s">
        <v>528</v>
      </c>
      <c r="C12" s="1814">
        <v>2002</v>
      </c>
      <c r="D12" s="147" t="s">
        <v>529</v>
      </c>
    </row>
    <row r="13" spans="1:4" s="61" customFormat="1">
      <c r="A13" s="61" t="s">
        <v>12</v>
      </c>
      <c r="B13" s="61" t="s">
        <v>530</v>
      </c>
      <c r="C13" s="1814">
        <v>2005</v>
      </c>
      <c r="D13" s="346" t="s">
        <v>531</v>
      </c>
    </row>
    <row r="14" spans="1:4" s="61" customFormat="1">
      <c r="A14" s="61" t="s">
        <v>16</v>
      </c>
      <c r="B14" s="61" t="s">
        <v>532</v>
      </c>
      <c r="C14" s="1814">
        <v>2007</v>
      </c>
      <c r="D14" s="147" t="s">
        <v>533</v>
      </c>
    </row>
    <row r="15" spans="1:4" s="61" customFormat="1" ht="45">
      <c r="A15" s="61" t="s">
        <v>379</v>
      </c>
      <c r="B15" s="61" t="s">
        <v>534</v>
      </c>
      <c r="C15" s="1814">
        <v>2004</v>
      </c>
      <c r="D15" s="147" t="s">
        <v>520</v>
      </c>
    </row>
    <row r="16" spans="1:4" s="61" customFormat="1" ht="45">
      <c r="A16" s="61" t="s">
        <v>276</v>
      </c>
      <c r="B16" s="61" t="s">
        <v>535</v>
      </c>
      <c r="C16" s="1814">
        <v>2005</v>
      </c>
      <c r="D16" s="147" t="s">
        <v>520</v>
      </c>
    </row>
    <row r="17" spans="1:4" s="61" customFormat="1" ht="55.5" customHeight="1">
      <c r="A17" s="61" t="s">
        <v>280</v>
      </c>
      <c r="B17" s="61" t="s">
        <v>536</v>
      </c>
      <c r="C17" s="1814">
        <v>2009</v>
      </c>
      <c r="D17" s="147" t="s">
        <v>537</v>
      </c>
    </row>
    <row r="18" spans="1:4" s="61" customFormat="1">
      <c r="A18" s="61" t="s">
        <v>20</v>
      </c>
      <c r="B18" s="61" t="s">
        <v>538</v>
      </c>
      <c r="C18" s="1814" t="s">
        <v>539</v>
      </c>
      <c r="D18" s="147" t="s">
        <v>522</v>
      </c>
    </row>
    <row r="19" spans="1:4" s="61" customFormat="1" ht="45">
      <c r="A19" s="61" t="s">
        <v>13</v>
      </c>
      <c r="B19" s="61" t="s">
        <v>540</v>
      </c>
      <c r="C19" s="1814">
        <v>2001</v>
      </c>
      <c r="D19" s="147" t="s">
        <v>541</v>
      </c>
    </row>
    <row r="20" spans="1:4" s="61" customFormat="1" ht="12.75">
      <c r="A20" s="61" t="s">
        <v>55</v>
      </c>
      <c r="B20" s="61" t="s">
        <v>3834</v>
      </c>
      <c r="C20" s="1814" t="s">
        <v>55</v>
      </c>
      <c r="D20" s="147" t="s">
        <v>542</v>
      </c>
    </row>
    <row r="21" spans="1:4" s="61" customFormat="1" ht="12.75">
      <c r="A21" s="61" t="s">
        <v>55</v>
      </c>
      <c r="B21" s="61" t="s">
        <v>3835</v>
      </c>
      <c r="C21" s="1814" t="s">
        <v>55</v>
      </c>
      <c r="D21" s="147" t="s">
        <v>543</v>
      </c>
    </row>
    <row r="22" spans="1:4" s="61" customFormat="1"/>
    <row r="23" spans="1:4" s="61" customFormat="1">
      <c r="A23" s="61" t="s">
        <v>3836</v>
      </c>
    </row>
    <row r="24" spans="1:4" ht="43.5" customHeight="1">
      <c r="A24" s="2067" t="s">
        <v>3837</v>
      </c>
      <c r="B24" s="2067"/>
      <c r="C24" s="2067"/>
      <c r="D24" s="2067"/>
    </row>
    <row r="25" spans="1:4">
      <c r="A25" s="2068" t="s">
        <v>3838</v>
      </c>
      <c r="B25" s="2068"/>
      <c r="C25" s="2068"/>
      <c r="D25" s="2068"/>
    </row>
    <row r="26" spans="1:4">
      <c r="A26" s="2068" t="s">
        <v>149</v>
      </c>
      <c r="B26" s="2068"/>
      <c r="C26" s="2068"/>
      <c r="D26" s="2068"/>
    </row>
    <row r="27" spans="1:4">
      <c r="A27" s="2068" t="s">
        <v>208</v>
      </c>
      <c r="B27" s="2068"/>
      <c r="C27" s="2068"/>
      <c r="D27" s="2068"/>
    </row>
  </sheetData>
  <mergeCells count="5">
    <mergeCell ref="A2:D2"/>
    <mergeCell ref="A24:D24"/>
    <mergeCell ref="A25:D25"/>
    <mergeCell ref="A26:D26"/>
    <mergeCell ref="A27:D27"/>
  </mergeCells>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A2:H25"/>
  <sheetViews>
    <sheetView zoomScaleNormal="100" workbookViewId="0">
      <selection activeCell="A32" sqref="A32"/>
    </sheetView>
  </sheetViews>
  <sheetFormatPr baseColWidth="10" defaultRowHeight="11.25"/>
  <cols>
    <col min="1" max="1" width="39.7109375" style="53" customWidth="1"/>
    <col min="2" max="2" width="21" style="53" customWidth="1"/>
    <col min="3" max="3" width="11.42578125" style="53"/>
    <col min="4" max="4" width="15.28515625" style="53" customWidth="1"/>
    <col min="5" max="5" width="11.42578125" style="53"/>
    <col min="6" max="6" width="12.42578125" style="53" customWidth="1"/>
    <col min="7" max="7" width="15.140625" style="53" customWidth="1"/>
    <col min="8" max="16384" width="11.42578125" style="53"/>
  </cols>
  <sheetData>
    <row r="2" spans="1:8" s="150" customFormat="1" ht="12.75">
      <c r="A2" s="2107" t="s">
        <v>3296</v>
      </c>
      <c r="B2" s="2107"/>
      <c r="C2" s="2107"/>
      <c r="D2" s="2107"/>
      <c r="E2" s="2107"/>
      <c r="F2" s="2107"/>
      <c r="G2" s="2107"/>
      <c r="H2" s="2107"/>
    </row>
    <row r="4" spans="1:8" ht="15.75" customHeight="1">
      <c r="A4" s="2066" t="s">
        <v>544</v>
      </c>
      <c r="B4" s="2119" t="s">
        <v>3830</v>
      </c>
      <c r="C4" s="2066" t="s">
        <v>26</v>
      </c>
      <c r="D4" s="2066" t="s">
        <v>545</v>
      </c>
      <c r="E4" s="2066"/>
      <c r="F4" s="2066"/>
      <c r="G4" s="2066"/>
      <c r="H4" s="2066"/>
    </row>
    <row r="5" spans="1:8" ht="29.25" customHeight="1">
      <c r="A5" s="2066"/>
      <c r="B5" s="2119"/>
      <c r="C5" s="2066"/>
      <c r="D5" s="818" t="s">
        <v>546</v>
      </c>
      <c r="E5" s="818" t="s">
        <v>547</v>
      </c>
      <c r="F5" s="818" t="s">
        <v>548</v>
      </c>
      <c r="G5" s="818" t="s">
        <v>549</v>
      </c>
      <c r="H5" s="818" t="s">
        <v>550</v>
      </c>
    </row>
    <row r="6" spans="1:8" s="61" customFormat="1">
      <c r="A6" s="61" t="s">
        <v>225</v>
      </c>
      <c r="B6" s="61" t="s">
        <v>551</v>
      </c>
      <c r="C6" s="1202">
        <f t="shared" ref="C6:C19" si="0">SUM(D6:H6)</f>
        <v>68</v>
      </c>
      <c r="D6" s="1819">
        <v>40</v>
      </c>
      <c r="E6" s="1819">
        <v>22</v>
      </c>
      <c r="F6" s="1819">
        <v>6</v>
      </c>
      <c r="G6" s="1819">
        <v>0</v>
      </c>
      <c r="H6" s="1819">
        <v>0</v>
      </c>
    </row>
    <row r="7" spans="1:8" s="61" customFormat="1">
      <c r="A7" s="61" t="s">
        <v>552</v>
      </c>
      <c r="B7" s="61" t="s">
        <v>551</v>
      </c>
      <c r="C7" s="1202">
        <f t="shared" si="0"/>
        <v>99</v>
      </c>
      <c r="D7" s="1819">
        <v>26</v>
      </c>
      <c r="E7" s="1819">
        <v>59</v>
      </c>
      <c r="F7" s="1819">
        <v>9</v>
      </c>
      <c r="G7" s="1819">
        <v>0</v>
      </c>
      <c r="H7" s="1819">
        <v>5</v>
      </c>
    </row>
    <row r="8" spans="1:8" s="61" customFormat="1">
      <c r="A8" s="61" t="s">
        <v>427</v>
      </c>
      <c r="B8" s="61" t="s">
        <v>553</v>
      </c>
      <c r="C8" s="1202">
        <f t="shared" si="0"/>
        <v>26</v>
      </c>
      <c r="D8" s="1819">
        <v>15</v>
      </c>
      <c r="E8" s="1819">
        <v>1</v>
      </c>
      <c r="F8" s="1819">
        <v>8</v>
      </c>
      <c r="G8" s="1819">
        <v>0</v>
      </c>
      <c r="H8" s="1819">
        <v>2</v>
      </c>
    </row>
    <row r="9" spans="1:8" s="61" customFormat="1">
      <c r="A9" s="61" t="s">
        <v>325</v>
      </c>
      <c r="B9" s="61" t="s">
        <v>553</v>
      </c>
      <c r="C9" s="1202">
        <f t="shared" si="0"/>
        <v>40</v>
      </c>
      <c r="D9" s="1819">
        <v>2</v>
      </c>
      <c r="E9" s="1819">
        <v>38</v>
      </c>
      <c r="F9" s="1819">
        <v>0</v>
      </c>
      <c r="G9" s="1819">
        <v>0</v>
      </c>
      <c r="H9" s="1819">
        <v>0</v>
      </c>
    </row>
    <row r="10" spans="1:8" s="61" customFormat="1">
      <c r="A10" s="61" t="s">
        <v>328</v>
      </c>
      <c r="B10" s="61" t="s">
        <v>553</v>
      </c>
      <c r="C10" s="1202">
        <f t="shared" si="0"/>
        <v>1</v>
      </c>
      <c r="D10" s="1819">
        <v>0</v>
      </c>
      <c r="E10" s="1819">
        <v>0</v>
      </c>
      <c r="F10" s="1819">
        <v>1</v>
      </c>
      <c r="G10" s="1819">
        <v>0</v>
      </c>
      <c r="H10" s="1819">
        <v>0</v>
      </c>
    </row>
    <row r="11" spans="1:8" s="61" customFormat="1">
      <c r="A11" s="61" t="s">
        <v>554</v>
      </c>
      <c r="B11" s="61" t="s">
        <v>551</v>
      </c>
      <c r="C11" s="1202">
        <f t="shared" si="0"/>
        <v>18</v>
      </c>
      <c r="D11" s="1819">
        <v>0</v>
      </c>
      <c r="E11" s="1819">
        <v>14</v>
      </c>
      <c r="F11" s="1819">
        <v>4</v>
      </c>
      <c r="G11" s="1819">
        <v>0</v>
      </c>
      <c r="H11" s="1819">
        <v>0</v>
      </c>
    </row>
    <row r="12" spans="1:8" s="61" customFormat="1">
      <c r="A12" s="61" t="s">
        <v>436</v>
      </c>
      <c r="B12" s="61" t="s">
        <v>553</v>
      </c>
      <c r="C12" s="1202">
        <f t="shared" si="0"/>
        <v>13</v>
      </c>
      <c r="D12" s="1819">
        <v>4</v>
      </c>
      <c r="E12" s="1819">
        <v>0</v>
      </c>
      <c r="F12" s="1819">
        <v>1</v>
      </c>
      <c r="G12" s="1819">
        <v>8</v>
      </c>
      <c r="H12" s="1819">
        <v>0</v>
      </c>
    </row>
    <row r="13" spans="1:8" s="61" customFormat="1">
      <c r="A13" s="61" t="s">
        <v>347</v>
      </c>
      <c r="B13" s="61" t="s">
        <v>551</v>
      </c>
      <c r="C13" s="1202">
        <f t="shared" si="0"/>
        <v>20</v>
      </c>
      <c r="D13" s="1819">
        <v>10</v>
      </c>
      <c r="E13" s="1819">
        <v>9</v>
      </c>
      <c r="F13" s="1819">
        <v>0</v>
      </c>
      <c r="G13" s="1819">
        <v>0</v>
      </c>
      <c r="H13" s="1819">
        <v>1</v>
      </c>
    </row>
    <row r="14" spans="1:8" s="61" customFormat="1">
      <c r="A14" s="61" t="s">
        <v>380</v>
      </c>
      <c r="B14" s="61" t="s">
        <v>551</v>
      </c>
      <c r="C14" s="1202">
        <f t="shared" si="0"/>
        <v>8</v>
      </c>
      <c r="D14" s="1819">
        <v>6</v>
      </c>
      <c r="E14" s="1819">
        <v>1</v>
      </c>
      <c r="F14" s="1819">
        <v>1</v>
      </c>
      <c r="G14" s="1819">
        <v>0</v>
      </c>
      <c r="H14" s="1819">
        <v>0</v>
      </c>
    </row>
    <row r="15" spans="1:8" s="61" customFormat="1">
      <c r="A15" s="61" t="s">
        <v>264</v>
      </c>
      <c r="B15" s="61" t="s">
        <v>551</v>
      </c>
      <c r="C15" s="1202">
        <f t="shared" si="0"/>
        <v>3</v>
      </c>
      <c r="D15" s="1819">
        <v>1</v>
      </c>
      <c r="E15" s="1819">
        <v>1</v>
      </c>
      <c r="F15" s="1819">
        <v>1</v>
      </c>
      <c r="G15" s="1819">
        <v>0</v>
      </c>
      <c r="H15" s="1819">
        <v>0</v>
      </c>
    </row>
    <row r="16" spans="1:8" s="61" customFormat="1">
      <c r="A16" s="61" t="s">
        <v>555</v>
      </c>
      <c r="B16" s="61" t="s">
        <v>553</v>
      </c>
      <c r="C16" s="1202">
        <f t="shared" si="0"/>
        <v>7</v>
      </c>
      <c r="D16" s="1819">
        <v>0</v>
      </c>
      <c r="E16" s="1819">
        <v>6</v>
      </c>
      <c r="F16" s="1819">
        <v>1</v>
      </c>
      <c r="G16" s="1819">
        <v>0</v>
      </c>
      <c r="H16" s="1819">
        <v>0</v>
      </c>
    </row>
    <row r="17" spans="1:8" s="61" customFormat="1">
      <c r="A17" s="61" t="s">
        <v>296</v>
      </c>
      <c r="B17" s="61" t="s">
        <v>551</v>
      </c>
      <c r="C17" s="1202">
        <f t="shared" si="0"/>
        <v>20</v>
      </c>
      <c r="D17" s="1819">
        <v>5</v>
      </c>
      <c r="E17" s="1819">
        <v>9</v>
      </c>
      <c r="F17" s="1819">
        <v>5</v>
      </c>
      <c r="G17" s="1819">
        <v>1</v>
      </c>
      <c r="H17" s="1819">
        <v>0</v>
      </c>
    </row>
    <row r="18" spans="1:8" s="61" customFormat="1">
      <c r="A18" s="61" t="s">
        <v>393</v>
      </c>
      <c r="B18" s="61" t="s">
        <v>553</v>
      </c>
      <c r="C18" s="1202">
        <f t="shared" si="0"/>
        <v>7</v>
      </c>
      <c r="D18" s="1819">
        <v>0</v>
      </c>
      <c r="E18" s="1819">
        <v>0</v>
      </c>
      <c r="F18" s="1819">
        <v>6</v>
      </c>
      <c r="G18" s="1819">
        <v>0</v>
      </c>
      <c r="H18" s="1819">
        <v>1</v>
      </c>
    </row>
    <row r="19" spans="1:8" s="61" customFormat="1">
      <c r="A19" s="61" t="s">
        <v>411</v>
      </c>
      <c r="B19" s="61" t="s">
        <v>553</v>
      </c>
      <c r="C19" s="1202">
        <f t="shared" si="0"/>
        <v>4</v>
      </c>
      <c r="D19" s="1819">
        <v>2</v>
      </c>
      <c r="E19" s="1819">
        <v>1</v>
      </c>
      <c r="F19" s="1819">
        <v>1</v>
      </c>
      <c r="G19" s="1819">
        <v>0</v>
      </c>
      <c r="H19" s="1819">
        <v>0</v>
      </c>
    </row>
    <row r="20" spans="1:8" s="61" customFormat="1">
      <c r="C20" s="1819"/>
      <c r="D20" s="1819"/>
      <c r="E20" s="1819"/>
      <c r="F20" s="1819"/>
      <c r="G20" s="1819"/>
      <c r="H20" s="1819"/>
    </row>
    <row r="21" spans="1:8" s="61" customFormat="1">
      <c r="A21" s="61" t="s">
        <v>3831</v>
      </c>
      <c r="D21" s="1819"/>
      <c r="E21" s="1819"/>
      <c r="F21" s="1819"/>
      <c r="G21" s="1819"/>
      <c r="H21" s="1819"/>
    </row>
    <row r="22" spans="1:8">
      <c r="A22" s="2104" t="s">
        <v>3832</v>
      </c>
      <c r="B22" s="2104"/>
      <c r="C22" s="2104"/>
      <c r="D22" s="2104"/>
      <c r="E22" s="2104"/>
      <c r="F22" s="2104"/>
      <c r="G22" s="2104"/>
      <c r="H22" s="2104"/>
    </row>
    <row r="24" spans="1:8">
      <c r="A24" s="2068" t="s">
        <v>208</v>
      </c>
      <c r="B24" s="2068"/>
      <c r="C24" s="2068"/>
      <c r="D24" s="2068"/>
      <c r="G24" s="1204"/>
    </row>
    <row r="25" spans="1:8">
      <c r="D25" s="1204"/>
      <c r="E25" s="1204"/>
      <c r="F25" s="1204"/>
      <c r="H25" s="1204"/>
    </row>
  </sheetData>
  <mergeCells count="7">
    <mergeCell ref="A24:D24"/>
    <mergeCell ref="A2:H2"/>
    <mergeCell ref="A4:A5"/>
    <mergeCell ref="B4:B5"/>
    <mergeCell ref="C4:C5"/>
    <mergeCell ref="D4:H4"/>
    <mergeCell ref="A22:H22"/>
  </mergeCells>
  <pageMargins left="0.7" right="0.7" top="0.75" bottom="0.75" header="0.3" footer="0.3"/>
</worksheet>
</file>

<file path=xl/worksheets/sheet52.xml><?xml version="1.0" encoding="utf-8"?>
<worksheet xmlns="http://schemas.openxmlformats.org/spreadsheetml/2006/main" xmlns:r="http://schemas.openxmlformats.org/officeDocument/2006/relationships">
  <dimension ref="A1:G128"/>
  <sheetViews>
    <sheetView topLeftCell="A94" zoomScaleNormal="100" workbookViewId="0"/>
  </sheetViews>
  <sheetFormatPr baseColWidth="10" defaultRowHeight="11.25"/>
  <cols>
    <col min="1" max="1" width="48.42578125" style="53" customWidth="1"/>
    <col min="2" max="7" width="13.140625" style="53" bestFit="1" customWidth="1"/>
    <col min="8" max="16384" width="11.42578125" style="53"/>
  </cols>
  <sheetData>
    <row r="1" spans="1:7">
      <c r="A1" s="61"/>
    </row>
    <row r="2" spans="1:7" s="150" customFormat="1" ht="27" customHeight="1">
      <c r="A2" s="2055" t="s">
        <v>965</v>
      </c>
      <c r="B2" s="2055"/>
      <c r="C2" s="2055"/>
      <c r="D2" s="2055"/>
      <c r="E2" s="2055"/>
      <c r="F2" s="2055"/>
      <c r="G2" s="2055"/>
    </row>
    <row r="4" spans="1:7" ht="17.25" customHeight="1">
      <c r="A4" s="1831" t="s">
        <v>3815</v>
      </c>
      <c r="B4" s="1831">
        <v>2009</v>
      </c>
      <c r="C4" s="1831">
        <v>2010</v>
      </c>
      <c r="D4" s="1831">
        <v>2011</v>
      </c>
      <c r="E4" s="1831">
        <v>2012</v>
      </c>
      <c r="F4" s="1831">
        <v>2013</v>
      </c>
      <c r="G4" s="1831">
        <v>2014</v>
      </c>
    </row>
    <row r="5" spans="1:7" s="150" customFormat="1" ht="14.25" customHeight="1">
      <c r="A5" s="150" t="s">
        <v>6</v>
      </c>
      <c r="B5" s="1821">
        <f t="shared" ref="B5:G5" si="0">SUM(B6+B11+B15+B21+B25+B30+B39+B42+B46+B55+B63+B77+B80+B92+B112)</f>
        <v>2056218</v>
      </c>
      <c r="C5" s="1821">
        <f t="shared" si="0"/>
        <v>1816916</v>
      </c>
      <c r="D5" s="1821">
        <f t="shared" si="0"/>
        <v>1794732</v>
      </c>
      <c r="E5" s="1821">
        <f t="shared" si="0"/>
        <v>2061670</v>
      </c>
      <c r="F5" s="1821">
        <f t="shared" si="0"/>
        <v>2408269</v>
      </c>
      <c r="G5" s="1821">
        <f t="shared" si="0"/>
        <v>2510648</v>
      </c>
    </row>
    <row r="6" spans="1:7" s="150" customFormat="1" ht="14.25" customHeight="1">
      <c r="A6" s="150" t="s">
        <v>7</v>
      </c>
      <c r="B6" s="1821">
        <f t="shared" ref="B6:G6" si="1">SUM(B7:B10)</f>
        <v>17526</v>
      </c>
      <c r="C6" s="1821">
        <f t="shared" si="1"/>
        <v>15045</v>
      </c>
      <c r="D6" s="1821">
        <f t="shared" si="1"/>
        <v>13991</v>
      </c>
      <c r="E6" s="1821">
        <f t="shared" si="1"/>
        <v>13002</v>
      </c>
      <c r="F6" s="1821">
        <f t="shared" si="1"/>
        <v>18425</v>
      </c>
      <c r="G6" s="1821">
        <f t="shared" si="1"/>
        <v>18207</v>
      </c>
    </row>
    <row r="7" spans="1:7" ht="10.5" customHeight="1">
      <c r="A7" s="53" t="s">
        <v>556</v>
      </c>
      <c r="B7" s="1204">
        <v>15479</v>
      </c>
      <c r="C7" s="1204">
        <v>13340</v>
      </c>
      <c r="D7" s="1204">
        <v>12081</v>
      </c>
      <c r="E7" s="1204">
        <v>12087</v>
      </c>
      <c r="F7" s="1204">
        <v>17211</v>
      </c>
      <c r="G7" s="1840">
        <v>16829</v>
      </c>
    </row>
    <row r="8" spans="1:7" ht="10.5" customHeight="1">
      <c r="A8" s="53" t="s">
        <v>557</v>
      </c>
      <c r="B8" s="1204">
        <v>987</v>
      </c>
      <c r="C8" s="1204">
        <v>448</v>
      </c>
      <c r="D8" s="1204">
        <v>777</v>
      </c>
      <c r="E8" s="1204">
        <v>208</v>
      </c>
      <c r="F8" s="1204">
        <v>450</v>
      </c>
      <c r="G8" s="1840">
        <v>520</v>
      </c>
    </row>
    <row r="9" spans="1:7" ht="10.5" customHeight="1">
      <c r="A9" s="53" t="s">
        <v>558</v>
      </c>
      <c r="B9" s="1204">
        <v>0</v>
      </c>
      <c r="C9" s="1204">
        <v>0</v>
      </c>
      <c r="D9" s="1204">
        <v>0</v>
      </c>
      <c r="E9" s="1204">
        <v>0</v>
      </c>
      <c r="F9" s="1204">
        <v>0</v>
      </c>
      <c r="G9" s="1204">
        <v>0</v>
      </c>
    </row>
    <row r="10" spans="1:7" ht="10.5" customHeight="1">
      <c r="A10" s="53" t="s">
        <v>559</v>
      </c>
      <c r="B10" s="1204">
        <v>1060</v>
      </c>
      <c r="C10" s="1204">
        <v>1257</v>
      </c>
      <c r="D10" s="1204">
        <v>1133</v>
      </c>
      <c r="E10" s="1204">
        <v>707</v>
      </c>
      <c r="F10" s="1204">
        <v>764</v>
      </c>
      <c r="G10" s="1840">
        <v>858</v>
      </c>
    </row>
    <row r="11" spans="1:7" s="150" customFormat="1">
      <c r="A11" s="150" t="s">
        <v>8</v>
      </c>
      <c r="B11" s="1821">
        <f t="shared" ref="B11:G11" si="2">SUM(B12:B14)</f>
        <v>12213</v>
      </c>
      <c r="C11" s="1821">
        <f t="shared" si="2"/>
        <v>17161</v>
      </c>
      <c r="D11" s="1821">
        <f t="shared" si="2"/>
        <v>9875</v>
      </c>
      <c r="E11" s="1821">
        <f t="shared" si="2"/>
        <v>2271</v>
      </c>
      <c r="F11" s="1821">
        <f t="shared" si="2"/>
        <v>3228</v>
      </c>
      <c r="G11" s="1821">
        <f t="shared" si="2"/>
        <v>4783</v>
      </c>
    </row>
    <row r="12" spans="1:7" ht="10.5" customHeight="1">
      <c r="A12" s="53" t="s">
        <v>560</v>
      </c>
      <c r="B12" s="1204">
        <v>223</v>
      </c>
      <c r="C12" s="1204">
        <v>361</v>
      </c>
      <c r="D12" s="1204">
        <v>185</v>
      </c>
      <c r="E12" s="1204">
        <v>187</v>
      </c>
      <c r="F12" s="1204">
        <v>258</v>
      </c>
      <c r="G12" s="1840">
        <v>224</v>
      </c>
    </row>
    <row r="13" spans="1:7" ht="10.5" customHeight="1">
      <c r="A13" s="53" t="s">
        <v>561</v>
      </c>
      <c r="B13" s="1204">
        <v>0</v>
      </c>
      <c r="C13" s="1204">
        <v>0</v>
      </c>
      <c r="D13" s="1204">
        <v>0</v>
      </c>
      <c r="E13" s="1204">
        <v>0</v>
      </c>
      <c r="F13" s="1204">
        <v>0</v>
      </c>
      <c r="G13" s="1204">
        <v>0</v>
      </c>
    </row>
    <row r="14" spans="1:7" ht="10.5" customHeight="1">
      <c r="A14" s="53" t="s">
        <v>562</v>
      </c>
      <c r="B14" s="1204">
        <v>11990</v>
      </c>
      <c r="C14" s="1204">
        <v>16800</v>
      </c>
      <c r="D14" s="1204">
        <v>9690</v>
      </c>
      <c r="E14" s="1204">
        <v>2084</v>
      </c>
      <c r="F14" s="1204">
        <v>2970</v>
      </c>
      <c r="G14" s="1840">
        <v>4559</v>
      </c>
    </row>
    <row r="15" spans="1:7" s="150" customFormat="1">
      <c r="A15" s="150" t="s">
        <v>9</v>
      </c>
      <c r="B15" s="1821">
        <f t="shared" ref="B15:G15" si="3">SUM(B16:B20)</f>
        <v>279738</v>
      </c>
      <c r="C15" s="1821">
        <f t="shared" si="3"/>
        <v>315888</v>
      </c>
      <c r="D15" s="1821">
        <f t="shared" si="3"/>
        <v>330317</v>
      </c>
      <c r="E15" s="1821">
        <f t="shared" si="3"/>
        <v>338326</v>
      </c>
      <c r="F15" s="1821">
        <f t="shared" si="3"/>
        <v>400503</v>
      </c>
      <c r="G15" s="1821">
        <f t="shared" si="3"/>
        <v>391325</v>
      </c>
    </row>
    <row r="16" spans="1:7" ht="10.5" customHeight="1">
      <c r="A16" s="53" t="s">
        <v>563</v>
      </c>
      <c r="B16" s="1204">
        <v>0</v>
      </c>
      <c r="C16" s="1204">
        <v>0</v>
      </c>
      <c r="D16" s="1204">
        <v>0</v>
      </c>
      <c r="E16" s="1204">
        <v>0</v>
      </c>
      <c r="F16" s="1204">
        <v>0</v>
      </c>
      <c r="G16" s="1204">
        <v>0</v>
      </c>
    </row>
    <row r="17" spans="1:7" ht="10.5" customHeight="1">
      <c r="A17" s="53" t="s">
        <v>564</v>
      </c>
      <c r="B17" s="1204">
        <v>0</v>
      </c>
      <c r="C17" s="1204">
        <v>0</v>
      </c>
      <c r="D17" s="1204">
        <v>0</v>
      </c>
      <c r="E17" s="1204">
        <v>0</v>
      </c>
      <c r="F17" s="1204">
        <v>0</v>
      </c>
      <c r="G17" s="1204">
        <v>0</v>
      </c>
    </row>
    <row r="18" spans="1:7" ht="10.5" customHeight="1">
      <c r="A18" s="53" t="s">
        <v>565</v>
      </c>
      <c r="B18" s="1204">
        <v>168332</v>
      </c>
      <c r="C18" s="1204">
        <v>208569</v>
      </c>
      <c r="D18" s="1204">
        <v>213230</v>
      </c>
      <c r="E18" s="1204">
        <v>218741</v>
      </c>
      <c r="F18" s="1204">
        <v>240118</v>
      </c>
      <c r="G18" s="1840">
        <v>263142</v>
      </c>
    </row>
    <row r="19" spans="1:7" ht="10.5" customHeight="1">
      <c r="A19" s="53" t="s">
        <v>566</v>
      </c>
      <c r="B19" s="1204">
        <v>0</v>
      </c>
      <c r="C19" s="1204">
        <v>0</v>
      </c>
      <c r="D19" s="1204">
        <v>0</v>
      </c>
      <c r="E19" s="1204">
        <v>0</v>
      </c>
      <c r="F19" s="1204">
        <v>0</v>
      </c>
      <c r="G19" s="1204">
        <v>0</v>
      </c>
    </row>
    <row r="20" spans="1:7" ht="10.5" customHeight="1">
      <c r="A20" s="53" t="s">
        <v>567</v>
      </c>
      <c r="B20" s="1204">
        <v>111406</v>
      </c>
      <c r="C20" s="1204">
        <v>107319</v>
      </c>
      <c r="D20" s="1204">
        <v>117087</v>
      </c>
      <c r="E20" s="1204">
        <v>119585</v>
      </c>
      <c r="F20" s="1204">
        <v>160385</v>
      </c>
      <c r="G20" s="1840">
        <v>128183</v>
      </c>
    </row>
    <row r="21" spans="1:7" s="150" customFormat="1">
      <c r="A21" s="150" t="s">
        <v>10</v>
      </c>
      <c r="B21" s="1821">
        <f t="shared" ref="B21:G21" si="4">SUM(B22:B24)</f>
        <v>17647</v>
      </c>
      <c r="C21" s="1821">
        <f t="shared" si="4"/>
        <v>24873</v>
      </c>
      <c r="D21" s="1821">
        <f t="shared" si="4"/>
        <v>16474</v>
      </c>
      <c r="E21" s="1821">
        <f t="shared" si="4"/>
        <v>17725</v>
      </c>
      <c r="F21" s="1821">
        <f t="shared" si="4"/>
        <v>19045</v>
      </c>
      <c r="G21" s="1821">
        <f t="shared" si="4"/>
        <v>22181</v>
      </c>
    </row>
    <row r="22" spans="1:7" ht="10.5" customHeight="1">
      <c r="A22" s="53" t="s">
        <v>568</v>
      </c>
      <c r="B22" s="1204">
        <v>14964</v>
      </c>
      <c r="C22" s="1204">
        <v>22539</v>
      </c>
      <c r="D22" s="1204">
        <v>12788</v>
      </c>
      <c r="E22" s="1204">
        <v>13458</v>
      </c>
      <c r="F22" s="1204">
        <v>13987</v>
      </c>
      <c r="G22" s="1840">
        <v>17631</v>
      </c>
    </row>
    <row r="23" spans="1:7" ht="10.5" customHeight="1">
      <c r="A23" s="53" t="s">
        <v>569</v>
      </c>
      <c r="B23" s="1204">
        <v>2386</v>
      </c>
      <c r="C23" s="1204">
        <v>2010</v>
      </c>
      <c r="D23" s="1204">
        <v>3283</v>
      </c>
      <c r="E23" s="1204">
        <v>3761</v>
      </c>
      <c r="F23" s="1204">
        <v>4471</v>
      </c>
      <c r="G23" s="1840">
        <v>3864</v>
      </c>
    </row>
    <row r="24" spans="1:7" ht="10.5" customHeight="1">
      <c r="A24" s="53" t="s">
        <v>570</v>
      </c>
      <c r="B24" s="1204">
        <v>297</v>
      </c>
      <c r="C24" s="1204">
        <v>324</v>
      </c>
      <c r="D24" s="1204">
        <v>403</v>
      </c>
      <c r="E24" s="1204">
        <v>506</v>
      </c>
      <c r="F24" s="1204">
        <v>587</v>
      </c>
      <c r="G24" s="1840">
        <v>686</v>
      </c>
    </row>
    <row r="25" spans="1:7" s="150" customFormat="1">
      <c r="A25" s="150" t="s">
        <v>11</v>
      </c>
      <c r="B25" s="1821">
        <f t="shared" ref="B25:G25" si="5">SUM(B26:B29)</f>
        <v>51524</v>
      </c>
      <c r="C25" s="1821">
        <f t="shared" si="5"/>
        <v>57234</v>
      </c>
      <c r="D25" s="1821">
        <f t="shared" si="5"/>
        <v>47833</v>
      </c>
      <c r="E25" s="1821">
        <f t="shared" si="5"/>
        <v>70493</v>
      </c>
      <c r="F25" s="1821">
        <f t="shared" si="5"/>
        <v>68487</v>
      </c>
      <c r="G25" s="1821">
        <f t="shared" si="5"/>
        <v>79303</v>
      </c>
    </row>
    <row r="26" spans="1:7" ht="10.5" customHeight="1">
      <c r="A26" s="53" t="s">
        <v>571</v>
      </c>
      <c r="B26" s="1204">
        <v>15361</v>
      </c>
      <c r="C26" s="1204">
        <v>15767</v>
      </c>
      <c r="D26" s="1204">
        <v>16776</v>
      </c>
      <c r="E26" s="1204">
        <v>17372</v>
      </c>
      <c r="F26" s="1204">
        <v>15676</v>
      </c>
      <c r="G26" s="1840">
        <v>20312</v>
      </c>
    </row>
    <row r="27" spans="1:7" ht="10.5" customHeight="1">
      <c r="A27" s="53" t="s">
        <v>572</v>
      </c>
      <c r="B27" s="1204">
        <v>29310</v>
      </c>
      <c r="C27" s="1204">
        <v>33481</v>
      </c>
      <c r="D27" s="1204">
        <v>22993</v>
      </c>
      <c r="E27" s="1204">
        <v>44557</v>
      </c>
      <c r="F27" s="1204">
        <v>45124</v>
      </c>
      <c r="G27" s="1840">
        <v>51050</v>
      </c>
    </row>
    <row r="28" spans="1:7" ht="10.5" customHeight="1">
      <c r="A28" s="53" t="s">
        <v>573</v>
      </c>
      <c r="B28" s="1204">
        <v>3068</v>
      </c>
      <c r="C28" s="1204">
        <v>3540</v>
      </c>
      <c r="D28" s="1204">
        <v>3048</v>
      </c>
      <c r="E28" s="1204">
        <v>3621</v>
      </c>
      <c r="F28" s="1204">
        <v>2850</v>
      </c>
      <c r="G28" s="1840">
        <v>2888</v>
      </c>
    </row>
    <row r="29" spans="1:7" ht="10.5" customHeight="1">
      <c r="A29" s="53" t="s">
        <v>574</v>
      </c>
      <c r="B29" s="1204">
        <v>3785</v>
      </c>
      <c r="C29" s="1204">
        <v>4446</v>
      </c>
      <c r="D29" s="1204">
        <v>5016</v>
      </c>
      <c r="E29" s="1204">
        <v>4943</v>
      </c>
      <c r="F29" s="1204">
        <v>4837</v>
      </c>
      <c r="G29" s="1840">
        <v>5053</v>
      </c>
    </row>
    <row r="30" spans="1:7" s="150" customFormat="1">
      <c r="A30" s="150" t="s">
        <v>12</v>
      </c>
      <c r="B30" s="1821">
        <f t="shared" ref="B30:G30" si="6">SUM(B31:B38)</f>
        <v>141978</v>
      </c>
      <c r="C30" s="1821">
        <f t="shared" si="6"/>
        <v>146161</v>
      </c>
      <c r="D30" s="1821">
        <f t="shared" si="6"/>
        <v>134892</v>
      </c>
      <c r="E30" s="1821">
        <f t="shared" si="6"/>
        <v>158605</v>
      </c>
      <c r="F30" s="1821">
        <f t="shared" si="6"/>
        <v>193118</v>
      </c>
      <c r="G30" s="1821">
        <f t="shared" si="6"/>
        <v>188405</v>
      </c>
    </row>
    <row r="31" spans="1:7" ht="10.5" customHeight="1">
      <c r="A31" s="53" t="s">
        <v>575</v>
      </c>
      <c r="B31" s="1204">
        <v>39764</v>
      </c>
      <c r="C31" s="1204">
        <v>41204</v>
      </c>
      <c r="D31" s="1204">
        <v>44514</v>
      </c>
      <c r="E31" s="1204">
        <v>52389</v>
      </c>
      <c r="F31" s="1204">
        <v>58112</v>
      </c>
      <c r="G31" s="1840">
        <v>54487</v>
      </c>
    </row>
    <row r="32" spans="1:7" ht="10.5" customHeight="1">
      <c r="A32" s="53" t="s">
        <v>576</v>
      </c>
      <c r="B32" s="1204">
        <v>1222</v>
      </c>
      <c r="C32" s="1204">
        <v>1708</v>
      </c>
      <c r="D32" s="1204">
        <v>1048</v>
      </c>
      <c r="E32" s="1204">
        <v>1416</v>
      </c>
      <c r="F32" s="1204">
        <v>1142</v>
      </c>
      <c r="G32" s="1840">
        <v>2759</v>
      </c>
    </row>
    <row r="33" spans="1:7" ht="10.5" customHeight="1">
      <c r="A33" s="53" t="s">
        <v>577</v>
      </c>
      <c r="B33" s="1204">
        <v>0</v>
      </c>
      <c r="C33" s="1204">
        <v>0</v>
      </c>
      <c r="D33" s="1204">
        <v>0</v>
      </c>
      <c r="E33" s="1204">
        <v>0</v>
      </c>
      <c r="F33" s="1204">
        <v>0</v>
      </c>
      <c r="G33" s="1204">
        <v>0</v>
      </c>
    </row>
    <row r="34" spans="1:7" ht="10.5" customHeight="1">
      <c r="A34" s="53" t="s">
        <v>578</v>
      </c>
      <c r="B34" s="1204">
        <v>43315</v>
      </c>
      <c r="C34" s="1204">
        <v>41989</v>
      </c>
      <c r="D34" s="1204">
        <v>20638</v>
      </c>
      <c r="E34" s="1204">
        <v>33212</v>
      </c>
      <c r="F34" s="1204">
        <v>51208</v>
      </c>
      <c r="G34" s="1840">
        <v>37021</v>
      </c>
    </row>
    <row r="35" spans="1:7" ht="10.5" customHeight="1">
      <c r="A35" s="53" t="s">
        <v>579</v>
      </c>
      <c r="B35" s="1204">
        <v>1904</v>
      </c>
      <c r="C35" s="1204">
        <v>1747</v>
      </c>
      <c r="D35" s="1204">
        <v>1569</v>
      </c>
      <c r="E35" s="1204">
        <v>1845</v>
      </c>
      <c r="F35" s="1204">
        <v>1964</v>
      </c>
      <c r="G35" s="1840">
        <v>1534</v>
      </c>
    </row>
    <row r="36" spans="1:7" ht="10.5" customHeight="1">
      <c r="A36" s="53" t="s">
        <v>580</v>
      </c>
      <c r="B36" s="1204">
        <v>0</v>
      </c>
      <c r="C36" s="1204">
        <v>0</v>
      </c>
      <c r="D36" s="1204">
        <v>0</v>
      </c>
      <c r="E36" s="1204">
        <v>0</v>
      </c>
      <c r="F36" s="1204">
        <v>0</v>
      </c>
      <c r="G36" s="1204">
        <v>0</v>
      </c>
    </row>
    <row r="37" spans="1:7" ht="11.25" customHeight="1">
      <c r="A37" s="53" t="s">
        <v>3824</v>
      </c>
      <c r="B37" s="1204">
        <v>11904</v>
      </c>
      <c r="C37" s="1204">
        <v>12627</v>
      </c>
      <c r="D37" s="1204">
        <v>17811</v>
      </c>
      <c r="E37" s="1204">
        <v>17541</v>
      </c>
      <c r="F37" s="1204">
        <v>22233</v>
      </c>
      <c r="G37" s="1840">
        <v>27540</v>
      </c>
    </row>
    <row r="38" spans="1:7" ht="10.5" customHeight="1">
      <c r="A38" s="53" t="s">
        <v>581</v>
      </c>
      <c r="B38" s="1204">
        <v>43869</v>
      </c>
      <c r="C38" s="1204">
        <v>46886</v>
      </c>
      <c r="D38" s="1204">
        <v>49312</v>
      </c>
      <c r="E38" s="1204">
        <v>52202</v>
      </c>
      <c r="F38" s="1204">
        <v>58459</v>
      </c>
      <c r="G38" s="1840">
        <v>65064</v>
      </c>
    </row>
    <row r="39" spans="1:7" s="150" customFormat="1">
      <c r="A39" s="150" t="s">
        <v>13</v>
      </c>
      <c r="B39" s="1821">
        <f t="shared" ref="B39:G39" si="7">SUM(B40:B41)</f>
        <v>82293</v>
      </c>
      <c r="C39" s="1821">
        <f t="shared" si="7"/>
        <v>83459</v>
      </c>
      <c r="D39" s="1821">
        <f t="shared" si="7"/>
        <v>93129</v>
      </c>
      <c r="E39" s="1821">
        <f t="shared" si="7"/>
        <v>96485</v>
      </c>
      <c r="F39" s="1821">
        <f t="shared" si="7"/>
        <v>98529</v>
      </c>
      <c r="G39" s="1821">
        <f t="shared" si="7"/>
        <v>103770</v>
      </c>
    </row>
    <row r="40" spans="1:7" ht="10.5" customHeight="1">
      <c r="A40" s="53" t="s">
        <v>582</v>
      </c>
      <c r="B40" s="1204">
        <v>69135</v>
      </c>
      <c r="C40" s="1204">
        <v>73909</v>
      </c>
      <c r="D40" s="1204">
        <v>80382</v>
      </c>
      <c r="E40" s="1204">
        <v>84460</v>
      </c>
      <c r="F40" s="1204">
        <v>85169</v>
      </c>
      <c r="G40" s="1840">
        <v>89693</v>
      </c>
    </row>
    <row r="41" spans="1:7" ht="10.5" customHeight="1">
      <c r="A41" s="53" t="s">
        <v>583</v>
      </c>
      <c r="B41" s="1204">
        <v>13158</v>
      </c>
      <c r="C41" s="1204">
        <v>9550</v>
      </c>
      <c r="D41" s="1204">
        <v>12747</v>
      </c>
      <c r="E41" s="1204">
        <v>12025</v>
      </c>
      <c r="F41" s="1204">
        <v>13360</v>
      </c>
      <c r="G41" s="1840">
        <v>14077</v>
      </c>
    </row>
    <row r="42" spans="1:7" s="150" customFormat="1" ht="12.75" customHeight="1">
      <c r="A42" s="150" t="s">
        <v>584</v>
      </c>
      <c r="B42" s="1821">
        <f t="shared" ref="B42:G42" si="8">SUM(B43:B45)</f>
        <v>11856</v>
      </c>
      <c r="C42" s="1821">
        <f t="shared" si="8"/>
        <v>11073</v>
      </c>
      <c r="D42" s="1821">
        <f t="shared" si="8"/>
        <v>12824</v>
      </c>
      <c r="E42" s="1821">
        <f t="shared" si="8"/>
        <v>13403</v>
      </c>
      <c r="F42" s="1821">
        <f t="shared" si="8"/>
        <v>20656</v>
      </c>
      <c r="G42" s="1821">
        <f t="shared" si="8"/>
        <v>23187</v>
      </c>
    </row>
    <row r="43" spans="1:7" ht="10.5" customHeight="1">
      <c r="A43" s="53" t="s">
        <v>585</v>
      </c>
      <c r="B43" s="1204">
        <v>0</v>
      </c>
      <c r="C43" s="1204">
        <v>0</v>
      </c>
      <c r="D43" s="1204">
        <v>0</v>
      </c>
      <c r="E43" s="1204">
        <v>0</v>
      </c>
      <c r="F43" s="1204">
        <v>0</v>
      </c>
      <c r="G43" s="1204">
        <v>0</v>
      </c>
    </row>
    <row r="44" spans="1:7" ht="10.5" customHeight="1">
      <c r="A44" s="53" t="s">
        <v>586</v>
      </c>
      <c r="B44" s="1204">
        <v>11223</v>
      </c>
      <c r="C44" s="1204">
        <v>10647</v>
      </c>
      <c r="D44" s="1204">
        <v>12378</v>
      </c>
      <c r="E44" s="1204">
        <v>12889</v>
      </c>
      <c r="F44" s="1204">
        <v>20088</v>
      </c>
      <c r="G44" s="1840">
        <v>22557</v>
      </c>
    </row>
    <row r="45" spans="1:7" ht="10.5" customHeight="1">
      <c r="A45" s="53" t="s">
        <v>587</v>
      </c>
      <c r="B45" s="1204">
        <v>633</v>
      </c>
      <c r="C45" s="1204">
        <v>426</v>
      </c>
      <c r="D45" s="1204">
        <v>446</v>
      </c>
      <c r="E45" s="1204">
        <v>514</v>
      </c>
      <c r="F45" s="1204">
        <v>568</v>
      </c>
      <c r="G45" s="1840">
        <v>630</v>
      </c>
    </row>
    <row r="46" spans="1:7" s="150" customFormat="1">
      <c r="A46" s="150" t="s">
        <v>15</v>
      </c>
      <c r="B46" s="1821">
        <f t="shared" ref="B46:G46" si="9">SUM(B47:B54)</f>
        <v>87509</v>
      </c>
      <c r="C46" s="1821">
        <f t="shared" si="9"/>
        <v>64500</v>
      </c>
      <c r="D46" s="1821">
        <f t="shared" si="9"/>
        <v>61074</v>
      </c>
      <c r="E46" s="1821">
        <f t="shared" si="9"/>
        <v>67325</v>
      </c>
      <c r="F46" s="1821">
        <f t="shared" si="9"/>
        <v>78376</v>
      </c>
      <c r="G46" s="1821">
        <f t="shared" si="9"/>
        <v>81006</v>
      </c>
    </row>
    <row r="47" spans="1:7" ht="10.5" customHeight="1">
      <c r="A47" s="53" t="s">
        <v>588</v>
      </c>
      <c r="B47" s="1204">
        <v>24200</v>
      </c>
      <c r="C47" s="1204">
        <v>9076</v>
      </c>
      <c r="D47" s="1204">
        <v>5873</v>
      </c>
      <c r="E47" s="1204">
        <v>5779</v>
      </c>
      <c r="F47" s="1204">
        <v>7354</v>
      </c>
      <c r="G47" s="1840">
        <v>8572</v>
      </c>
    </row>
    <row r="48" spans="1:7" ht="10.5" customHeight="1">
      <c r="A48" s="53" t="s">
        <v>589</v>
      </c>
      <c r="B48" s="1204">
        <v>11806</v>
      </c>
      <c r="C48" s="1204">
        <v>7723</v>
      </c>
      <c r="D48" s="1204">
        <v>7190</v>
      </c>
      <c r="E48" s="1204">
        <v>10947</v>
      </c>
      <c r="F48" s="1204">
        <v>13291</v>
      </c>
      <c r="G48" s="1840">
        <v>11604</v>
      </c>
    </row>
    <row r="49" spans="1:7" ht="10.5" customHeight="1">
      <c r="A49" s="53" t="s">
        <v>590</v>
      </c>
      <c r="B49" s="1204">
        <v>2821</v>
      </c>
      <c r="C49" s="1204">
        <v>3027</v>
      </c>
      <c r="D49" s="1204">
        <v>2985</v>
      </c>
      <c r="E49" s="1204">
        <v>2945</v>
      </c>
      <c r="F49" s="1204">
        <v>3413</v>
      </c>
      <c r="G49" s="1840">
        <v>3866</v>
      </c>
    </row>
    <row r="50" spans="1:7" ht="10.5" customHeight="1">
      <c r="A50" s="53" t="s">
        <v>591</v>
      </c>
      <c r="B50" s="1204">
        <v>308</v>
      </c>
      <c r="C50" s="1204">
        <v>283</v>
      </c>
      <c r="D50" s="1204">
        <v>285</v>
      </c>
      <c r="E50" s="1204">
        <v>336</v>
      </c>
      <c r="F50" s="1204">
        <v>360</v>
      </c>
      <c r="G50" s="1840">
        <v>1061</v>
      </c>
    </row>
    <row r="51" spans="1:7" ht="10.5" customHeight="1">
      <c r="A51" s="53" t="s">
        <v>592</v>
      </c>
      <c r="B51" s="1204">
        <v>126</v>
      </c>
      <c r="C51" s="1204">
        <v>327</v>
      </c>
      <c r="D51" s="1204">
        <v>442</v>
      </c>
      <c r="E51" s="1204">
        <v>310</v>
      </c>
      <c r="F51" s="1204">
        <v>228</v>
      </c>
      <c r="G51" s="1840">
        <v>241</v>
      </c>
    </row>
    <row r="52" spans="1:7" ht="10.5" customHeight="1">
      <c r="A52" s="53" t="s">
        <v>593</v>
      </c>
      <c r="B52" s="1204">
        <v>12616</v>
      </c>
      <c r="C52" s="1204">
        <v>11576</v>
      </c>
      <c r="D52" s="1204">
        <v>9017</v>
      </c>
      <c r="E52" s="1204">
        <v>10354</v>
      </c>
      <c r="F52" s="1204">
        <v>10954</v>
      </c>
      <c r="G52" s="1840">
        <v>10558</v>
      </c>
    </row>
    <row r="53" spans="1:7" ht="10.5" customHeight="1">
      <c r="A53" s="53" t="s">
        <v>594</v>
      </c>
      <c r="B53" s="1204">
        <v>0</v>
      </c>
      <c r="C53" s="1204">
        <v>0</v>
      </c>
      <c r="D53" s="1204">
        <v>0</v>
      </c>
      <c r="E53" s="1204">
        <v>0</v>
      </c>
      <c r="F53" s="1204">
        <v>0</v>
      </c>
      <c r="G53" s="1204">
        <v>0</v>
      </c>
    </row>
    <row r="54" spans="1:7" ht="10.5" customHeight="1">
      <c r="A54" s="53" t="s">
        <v>595</v>
      </c>
      <c r="B54" s="1204">
        <v>35632</v>
      </c>
      <c r="C54" s="1204">
        <v>32488</v>
      </c>
      <c r="D54" s="1204">
        <v>35282</v>
      </c>
      <c r="E54" s="1204">
        <v>36654</v>
      </c>
      <c r="F54" s="1204">
        <v>42776</v>
      </c>
      <c r="G54" s="320">
        <v>45104</v>
      </c>
    </row>
    <row r="55" spans="1:7" s="150" customFormat="1">
      <c r="A55" s="150" t="s">
        <v>16</v>
      </c>
      <c r="B55" s="1821">
        <f t="shared" ref="B55:G55" si="10">SUM(B56:B62)</f>
        <v>46221</v>
      </c>
      <c r="C55" s="1821">
        <f t="shared" si="10"/>
        <v>49841</v>
      </c>
      <c r="D55" s="1821">
        <f t="shared" si="10"/>
        <v>58769</v>
      </c>
      <c r="E55" s="1821">
        <f t="shared" si="10"/>
        <v>61864</v>
      </c>
      <c r="F55" s="1821">
        <f t="shared" si="10"/>
        <v>86274</v>
      </c>
      <c r="G55" s="1821">
        <f t="shared" si="10"/>
        <v>89078</v>
      </c>
    </row>
    <row r="56" spans="1:7" ht="10.5" customHeight="1">
      <c r="A56" s="53" t="s">
        <v>596</v>
      </c>
      <c r="B56" s="1204">
        <v>42349</v>
      </c>
      <c r="C56" s="1204">
        <v>43713</v>
      </c>
      <c r="D56" s="1204">
        <v>48271</v>
      </c>
      <c r="E56" s="1204">
        <v>48837</v>
      </c>
      <c r="F56" s="1204">
        <v>68480</v>
      </c>
      <c r="G56" s="1840">
        <v>70887</v>
      </c>
    </row>
    <row r="57" spans="1:7" ht="10.5" customHeight="1">
      <c r="A57" s="53" t="s">
        <v>597</v>
      </c>
      <c r="B57" s="1204">
        <v>1245</v>
      </c>
      <c r="C57" s="1204">
        <v>1076</v>
      </c>
      <c r="D57" s="1204">
        <v>1377</v>
      </c>
      <c r="E57" s="1204">
        <v>1722</v>
      </c>
      <c r="F57" s="1204">
        <v>2074</v>
      </c>
      <c r="G57" s="1840">
        <v>3415</v>
      </c>
    </row>
    <row r="58" spans="1:7" ht="10.5" customHeight="1">
      <c r="A58" s="53" t="s">
        <v>598</v>
      </c>
      <c r="B58" s="1204">
        <v>386</v>
      </c>
      <c r="C58" s="1204">
        <v>183</v>
      </c>
      <c r="D58" s="1204">
        <v>558</v>
      </c>
      <c r="E58" s="1204">
        <v>716</v>
      </c>
      <c r="F58" s="1204">
        <v>1364</v>
      </c>
      <c r="G58" s="1840">
        <v>1083</v>
      </c>
    </row>
    <row r="59" spans="1:7" ht="10.5" customHeight="1">
      <c r="A59" s="53" t="s">
        <v>599</v>
      </c>
      <c r="B59" s="1204">
        <v>330</v>
      </c>
      <c r="C59" s="1204">
        <v>290</v>
      </c>
      <c r="D59" s="1204">
        <v>468</v>
      </c>
      <c r="E59" s="1204">
        <v>427</v>
      </c>
      <c r="F59" s="1204">
        <v>472</v>
      </c>
      <c r="G59" s="1840">
        <v>656</v>
      </c>
    </row>
    <row r="60" spans="1:7" ht="10.5" customHeight="1">
      <c r="A60" s="53" t="s">
        <v>600</v>
      </c>
      <c r="B60" s="1204">
        <v>605</v>
      </c>
      <c r="C60" s="1204">
        <v>534</v>
      </c>
      <c r="D60" s="1204">
        <v>643</v>
      </c>
      <c r="E60" s="1204">
        <v>672</v>
      </c>
      <c r="F60" s="1204">
        <v>871</v>
      </c>
      <c r="G60" s="1840">
        <v>827</v>
      </c>
    </row>
    <row r="61" spans="1:7" ht="10.5" customHeight="1">
      <c r="A61" s="53" t="s">
        <v>601</v>
      </c>
      <c r="B61" s="1204">
        <v>1306</v>
      </c>
      <c r="C61" s="1204">
        <v>4045</v>
      </c>
      <c r="D61" s="1204">
        <v>7452</v>
      </c>
      <c r="E61" s="1204">
        <v>9490</v>
      </c>
      <c r="F61" s="1204">
        <v>12839</v>
      </c>
      <c r="G61" s="1840">
        <v>11864</v>
      </c>
    </row>
    <row r="62" spans="1:7" ht="10.5" customHeight="1">
      <c r="A62" s="53" t="s">
        <v>602</v>
      </c>
      <c r="B62" s="1204">
        <v>0</v>
      </c>
      <c r="C62" s="1204">
        <v>0</v>
      </c>
      <c r="D62" s="1204">
        <v>0</v>
      </c>
      <c r="E62" s="1204">
        <v>0</v>
      </c>
      <c r="F62" s="1204">
        <v>174</v>
      </c>
      <c r="G62" s="1840">
        <v>346</v>
      </c>
    </row>
    <row r="63" spans="1:7" s="150" customFormat="1">
      <c r="A63" s="150" t="s">
        <v>379</v>
      </c>
      <c r="B63" s="1821">
        <f t="shared" ref="B63:G63" si="11">SUM(B64:B76)</f>
        <v>197695</v>
      </c>
      <c r="C63" s="1821">
        <f t="shared" si="11"/>
        <v>228921</v>
      </c>
      <c r="D63" s="1821">
        <f t="shared" si="11"/>
        <v>262021</v>
      </c>
      <c r="E63" s="1821">
        <f t="shared" si="11"/>
        <v>371883</v>
      </c>
      <c r="F63" s="1821">
        <f t="shared" si="11"/>
        <v>462349</v>
      </c>
      <c r="G63" s="1821">
        <f t="shared" si="11"/>
        <v>437857</v>
      </c>
    </row>
    <row r="64" spans="1:7" ht="10.5" customHeight="1">
      <c r="A64" s="53" t="s">
        <v>603</v>
      </c>
      <c r="B64" s="1204">
        <v>36194</v>
      </c>
      <c r="C64" s="1204">
        <v>31129</v>
      </c>
      <c r="D64" s="1204">
        <v>37593</v>
      </c>
      <c r="E64" s="1204">
        <v>59823</v>
      </c>
      <c r="F64" s="1204">
        <v>81739</v>
      </c>
      <c r="G64" s="1840">
        <v>71010</v>
      </c>
    </row>
    <row r="65" spans="1:7" ht="10.5" customHeight="1">
      <c r="A65" s="53" t="s">
        <v>604</v>
      </c>
      <c r="B65" s="1204">
        <v>23790</v>
      </c>
      <c r="C65" s="1204">
        <v>22533</v>
      </c>
      <c r="D65" s="1204">
        <v>23614</v>
      </c>
      <c r="E65" s="1204">
        <v>32103</v>
      </c>
      <c r="F65" s="1204">
        <v>35026</v>
      </c>
      <c r="G65" s="1840">
        <v>40829</v>
      </c>
    </row>
    <row r="66" spans="1:7" ht="10.5" customHeight="1">
      <c r="A66" s="53" t="s">
        <v>605</v>
      </c>
      <c r="B66" s="1204">
        <v>7500</v>
      </c>
      <c r="C66" s="1204">
        <v>7626</v>
      </c>
      <c r="D66" s="1204">
        <v>9061</v>
      </c>
      <c r="E66" s="1204">
        <v>11832</v>
      </c>
      <c r="F66" s="1204">
        <v>14669</v>
      </c>
      <c r="G66" s="1840">
        <v>13645</v>
      </c>
    </row>
    <row r="67" spans="1:7" ht="10.5" customHeight="1">
      <c r="A67" s="53" t="s">
        <v>606</v>
      </c>
      <c r="B67" s="1204">
        <v>2021</v>
      </c>
      <c r="C67" s="1204">
        <v>1674</v>
      </c>
      <c r="D67" s="1204">
        <v>4799</v>
      </c>
      <c r="E67" s="1204">
        <v>4594</v>
      </c>
      <c r="F67" s="1204">
        <v>6956</v>
      </c>
      <c r="G67" s="1840">
        <v>8687</v>
      </c>
    </row>
    <row r="68" spans="1:7" ht="10.5" customHeight="1">
      <c r="A68" s="53" t="s">
        <v>607</v>
      </c>
      <c r="B68" s="1204">
        <v>49109</v>
      </c>
      <c r="C68" s="1204">
        <v>80669</v>
      </c>
      <c r="D68" s="1204">
        <v>85602</v>
      </c>
      <c r="E68" s="1204">
        <v>115761</v>
      </c>
      <c r="F68" s="1204">
        <v>136014</v>
      </c>
      <c r="G68" s="1840">
        <v>129373</v>
      </c>
    </row>
    <row r="69" spans="1:7" ht="10.5" customHeight="1">
      <c r="A69" s="53" t="s">
        <v>608</v>
      </c>
      <c r="B69" s="1204">
        <v>6</v>
      </c>
      <c r="C69" s="1204">
        <v>20</v>
      </c>
      <c r="D69" s="1204">
        <v>16</v>
      </c>
      <c r="E69" s="1204">
        <v>50</v>
      </c>
      <c r="F69" s="1204">
        <v>64</v>
      </c>
      <c r="G69" s="1840">
        <v>102</v>
      </c>
    </row>
    <row r="70" spans="1:7" ht="10.5" customHeight="1">
      <c r="A70" s="53" t="s">
        <v>609</v>
      </c>
      <c r="B70" s="1204">
        <v>0</v>
      </c>
      <c r="C70" s="1204">
        <v>0</v>
      </c>
      <c r="D70" s="1204">
        <v>0</v>
      </c>
      <c r="E70" s="1204">
        <v>0</v>
      </c>
      <c r="F70" s="1204">
        <v>0</v>
      </c>
      <c r="G70" s="1204"/>
    </row>
    <row r="71" spans="1:7" ht="10.5" customHeight="1">
      <c r="A71" s="53" t="s">
        <v>610</v>
      </c>
      <c r="B71" s="1204">
        <v>22651</v>
      </c>
      <c r="C71" s="1204">
        <v>24796</v>
      </c>
      <c r="D71" s="1204">
        <v>29447</v>
      </c>
      <c r="E71" s="1204">
        <v>55641</v>
      </c>
      <c r="F71" s="1204">
        <v>84539</v>
      </c>
      <c r="G71" s="1840">
        <v>84924</v>
      </c>
    </row>
    <row r="72" spans="1:7" ht="10.5" customHeight="1">
      <c r="A72" s="53" t="s">
        <v>611</v>
      </c>
      <c r="B72" s="1204">
        <v>23</v>
      </c>
      <c r="C72" s="1204">
        <v>0</v>
      </c>
      <c r="D72" s="1204">
        <v>0</v>
      </c>
      <c r="E72" s="1204">
        <v>341</v>
      </c>
      <c r="F72" s="1204">
        <v>624</v>
      </c>
      <c r="G72" s="1840">
        <v>820</v>
      </c>
    </row>
    <row r="73" spans="1:7" ht="10.5" customHeight="1">
      <c r="A73" s="53" t="s">
        <v>612</v>
      </c>
      <c r="B73" s="1204">
        <v>0</v>
      </c>
      <c r="C73" s="1204">
        <v>0</v>
      </c>
      <c r="D73" s="1204">
        <v>60</v>
      </c>
      <c r="E73" s="1204">
        <v>0</v>
      </c>
      <c r="F73" s="1204">
        <v>0</v>
      </c>
      <c r="G73" s="1204">
        <v>0</v>
      </c>
    </row>
    <row r="74" spans="1:7" ht="10.5" customHeight="1">
      <c r="A74" s="53" t="s">
        <v>613</v>
      </c>
      <c r="B74" s="1204">
        <v>158</v>
      </c>
      <c r="C74" s="1204">
        <v>531</v>
      </c>
      <c r="D74" s="1204">
        <v>31</v>
      </c>
      <c r="E74" s="1204">
        <v>3954</v>
      </c>
      <c r="F74" s="1204">
        <v>11207</v>
      </c>
      <c r="G74" s="1840">
        <v>8751</v>
      </c>
    </row>
    <row r="75" spans="1:7" ht="10.5" customHeight="1">
      <c r="A75" s="53" t="s">
        <v>614</v>
      </c>
      <c r="B75" s="1204">
        <v>1273</v>
      </c>
      <c r="C75" s="1204">
        <v>1339</v>
      </c>
      <c r="D75" s="1204">
        <v>2335</v>
      </c>
      <c r="E75" s="1204">
        <v>2731</v>
      </c>
      <c r="F75" s="1204">
        <v>5656</v>
      </c>
      <c r="G75" s="1840">
        <v>6244</v>
      </c>
    </row>
    <row r="76" spans="1:7" ht="10.5" customHeight="1">
      <c r="A76" s="53" t="s">
        <v>615</v>
      </c>
      <c r="B76" s="1204">
        <v>54970</v>
      </c>
      <c r="C76" s="1204">
        <v>58604</v>
      </c>
      <c r="D76" s="1204">
        <v>69463</v>
      </c>
      <c r="E76" s="1204">
        <v>85053</v>
      </c>
      <c r="F76" s="1204">
        <v>85855</v>
      </c>
      <c r="G76" s="1840">
        <v>73472</v>
      </c>
    </row>
    <row r="77" spans="1:7" s="150" customFormat="1">
      <c r="A77" s="150" t="s">
        <v>18</v>
      </c>
      <c r="B77" s="1821">
        <f t="shared" ref="B77:G77" si="12">SUM(B78:B79)</f>
        <v>345</v>
      </c>
      <c r="C77" s="1821">
        <f t="shared" si="12"/>
        <v>376</v>
      </c>
      <c r="D77" s="1821">
        <f t="shared" si="12"/>
        <v>1159</v>
      </c>
      <c r="E77" s="1821">
        <f t="shared" si="12"/>
        <v>1221</v>
      </c>
      <c r="F77" s="1821">
        <f t="shared" si="12"/>
        <v>2322</v>
      </c>
      <c r="G77" s="1821">
        <f t="shared" si="12"/>
        <v>4521</v>
      </c>
    </row>
    <row r="78" spans="1:7" ht="10.5" customHeight="1">
      <c r="A78" s="53" t="s">
        <v>616</v>
      </c>
      <c r="B78" s="1204">
        <v>0</v>
      </c>
      <c r="C78" s="1204">
        <v>0</v>
      </c>
      <c r="D78" s="1204">
        <v>869</v>
      </c>
      <c r="E78" s="1204">
        <v>528</v>
      </c>
      <c r="F78" s="1204">
        <v>1198</v>
      </c>
      <c r="G78" s="1840">
        <v>1125</v>
      </c>
    </row>
    <row r="79" spans="1:7" ht="10.5" customHeight="1">
      <c r="A79" s="53" t="s">
        <v>617</v>
      </c>
      <c r="B79" s="1204">
        <v>345</v>
      </c>
      <c r="C79" s="1204">
        <v>376</v>
      </c>
      <c r="D79" s="1204">
        <v>290</v>
      </c>
      <c r="E79" s="1204">
        <v>693</v>
      </c>
      <c r="F79" s="1204">
        <v>1124</v>
      </c>
      <c r="G79" s="1840">
        <v>3396</v>
      </c>
    </row>
    <row r="80" spans="1:7" s="150" customFormat="1">
      <c r="A80" s="150" t="s">
        <v>19</v>
      </c>
      <c r="B80" s="1821">
        <f t="shared" ref="B80:G80" si="13">SUM(B81:B91)</f>
        <v>794363</v>
      </c>
      <c r="C80" s="1821">
        <f t="shared" si="13"/>
        <v>486725</v>
      </c>
      <c r="D80" s="1821">
        <f t="shared" si="13"/>
        <v>430663</v>
      </c>
      <c r="E80" s="1821">
        <f t="shared" si="13"/>
        <v>514248</v>
      </c>
      <c r="F80" s="1821">
        <f t="shared" si="13"/>
        <v>568391</v>
      </c>
      <c r="G80" s="1821">
        <f t="shared" si="13"/>
        <v>631151</v>
      </c>
    </row>
    <row r="81" spans="1:7" ht="10.5" customHeight="1">
      <c r="A81" s="53" t="s">
        <v>618</v>
      </c>
      <c r="B81" s="1204">
        <v>17107</v>
      </c>
      <c r="C81" s="1204">
        <v>14761</v>
      </c>
      <c r="D81" s="1204">
        <v>20950</v>
      </c>
      <c r="E81" s="1204">
        <v>27049</v>
      </c>
      <c r="F81" s="1204">
        <v>31142</v>
      </c>
      <c r="G81" s="1840">
        <v>39666</v>
      </c>
    </row>
    <row r="82" spans="1:7" ht="10.5" customHeight="1">
      <c r="A82" s="53" t="s">
        <v>619</v>
      </c>
      <c r="B82" s="1204">
        <v>499129</v>
      </c>
      <c r="C82" s="1204">
        <v>250415</v>
      </c>
      <c r="D82" s="1204">
        <v>95062</v>
      </c>
      <c r="E82" s="1204">
        <v>133037</v>
      </c>
      <c r="F82" s="1204">
        <v>124272</v>
      </c>
      <c r="G82" s="1840">
        <v>137778</v>
      </c>
    </row>
    <row r="83" spans="1:7" ht="10.5" customHeight="1">
      <c r="A83" s="53" t="s">
        <v>620</v>
      </c>
      <c r="B83" s="1204">
        <v>264496</v>
      </c>
      <c r="C83" s="1204">
        <v>203027</v>
      </c>
      <c r="D83" s="1204">
        <v>293266</v>
      </c>
      <c r="E83" s="1204">
        <v>332334</v>
      </c>
      <c r="F83" s="1204">
        <v>386287</v>
      </c>
      <c r="G83" s="1840">
        <v>415625</v>
      </c>
    </row>
    <row r="84" spans="1:7" ht="10.5" customHeight="1">
      <c r="A84" s="53" t="s">
        <v>621</v>
      </c>
      <c r="B84" s="1204">
        <v>10813</v>
      </c>
      <c r="C84" s="1204">
        <v>9250</v>
      </c>
      <c r="D84" s="1204">
        <v>11721</v>
      </c>
      <c r="E84" s="1204">
        <v>12189</v>
      </c>
      <c r="F84" s="1204">
        <v>15728</v>
      </c>
      <c r="G84" s="1840">
        <v>16583</v>
      </c>
    </row>
    <row r="85" spans="1:7" ht="10.5" customHeight="1">
      <c r="A85" s="53" t="s">
        <v>622</v>
      </c>
      <c r="B85" s="1204">
        <v>311</v>
      </c>
      <c r="C85" s="1204">
        <v>479</v>
      </c>
      <c r="D85" s="1204">
        <v>351</v>
      </c>
      <c r="E85" s="1204">
        <v>0</v>
      </c>
      <c r="F85" s="1204">
        <v>621</v>
      </c>
      <c r="G85" s="1840">
        <v>1928</v>
      </c>
    </row>
    <row r="86" spans="1:7" ht="10.5" customHeight="1">
      <c r="A86" s="53" t="s">
        <v>623</v>
      </c>
      <c r="B86" s="1204">
        <v>0</v>
      </c>
      <c r="C86" s="1204">
        <v>0</v>
      </c>
      <c r="D86" s="1204">
        <v>0</v>
      </c>
      <c r="E86" s="1204">
        <v>0</v>
      </c>
      <c r="F86" s="1204">
        <v>0</v>
      </c>
      <c r="G86" s="1204">
        <v>0</v>
      </c>
    </row>
    <row r="87" spans="1:7" ht="10.5" customHeight="1">
      <c r="A87" s="53" t="s">
        <v>624</v>
      </c>
      <c r="B87" s="1204">
        <v>0</v>
      </c>
      <c r="C87" s="1204">
        <v>0</v>
      </c>
      <c r="D87" s="1204">
        <v>0</v>
      </c>
      <c r="E87" s="1204">
        <v>0</v>
      </c>
      <c r="F87" s="1204">
        <v>0</v>
      </c>
      <c r="G87" s="1204">
        <v>0</v>
      </c>
    </row>
    <row r="88" spans="1:7" ht="10.5" customHeight="1">
      <c r="A88" s="53" t="s">
        <v>625</v>
      </c>
      <c r="B88" s="1204">
        <v>2507</v>
      </c>
      <c r="C88" s="1204">
        <v>2521</v>
      </c>
      <c r="D88" s="1204">
        <v>2185</v>
      </c>
      <c r="E88" s="1204">
        <v>2988</v>
      </c>
      <c r="F88" s="1204">
        <v>3241</v>
      </c>
      <c r="G88" s="1840">
        <v>4245</v>
      </c>
    </row>
    <row r="89" spans="1:7" ht="10.5" customHeight="1">
      <c r="A89" s="53" t="s">
        <v>626</v>
      </c>
      <c r="B89" s="1204">
        <v>0</v>
      </c>
      <c r="C89" s="1204">
        <v>0</v>
      </c>
      <c r="D89" s="1204">
        <v>305</v>
      </c>
      <c r="E89" s="1204">
        <v>471</v>
      </c>
      <c r="F89" s="1204">
        <v>560</v>
      </c>
      <c r="G89" s="1840">
        <v>769</v>
      </c>
    </row>
    <row r="90" spans="1:7" ht="10.5" customHeight="1">
      <c r="A90" s="53" t="s">
        <v>627</v>
      </c>
      <c r="B90" s="1204">
        <v>0</v>
      </c>
      <c r="C90" s="1204">
        <v>0</v>
      </c>
      <c r="D90" s="1204">
        <v>2829</v>
      </c>
      <c r="E90" s="1204">
        <v>1907</v>
      </c>
      <c r="F90" s="1204">
        <v>1855</v>
      </c>
      <c r="G90" s="1840">
        <v>7928</v>
      </c>
    </row>
    <row r="91" spans="1:7" ht="10.5" customHeight="1">
      <c r="A91" s="53" t="s">
        <v>628</v>
      </c>
      <c r="B91" s="1204">
        <v>0</v>
      </c>
      <c r="C91" s="1204">
        <v>6272</v>
      </c>
      <c r="D91" s="1204">
        <v>3994</v>
      </c>
      <c r="E91" s="1204">
        <v>4273</v>
      </c>
      <c r="F91" s="1204">
        <v>4685</v>
      </c>
      <c r="G91" s="1840">
        <v>6629</v>
      </c>
    </row>
    <row r="92" spans="1:7" s="150" customFormat="1">
      <c r="A92" s="150" t="s">
        <v>20</v>
      </c>
      <c r="B92" s="1821">
        <f t="shared" ref="B92:G92" si="14">SUM(B93:B111)</f>
        <v>30834</v>
      </c>
      <c r="C92" s="1821">
        <f t="shared" si="14"/>
        <v>32030</v>
      </c>
      <c r="D92" s="1821">
        <f t="shared" si="14"/>
        <v>32341</v>
      </c>
      <c r="E92" s="1821">
        <f t="shared" si="14"/>
        <v>32544</v>
      </c>
      <c r="F92" s="1821">
        <f t="shared" si="14"/>
        <v>50008</v>
      </c>
      <c r="G92" s="1821">
        <f t="shared" si="14"/>
        <v>52931</v>
      </c>
    </row>
    <row r="93" spans="1:7" ht="10.5" customHeight="1">
      <c r="A93" s="53" t="s">
        <v>629</v>
      </c>
      <c r="B93" s="1204">
        <v>0</v>
      </c>
      <c r="C93" s="1204">
        <v>0</v>
      </c>
      <c r="D93" s="1204">
        <v>0</v>
      </c>
      <c r="E93" s="1204">
        <v>0</v>
      </c>
      <c r="F93" s="1204">
        <v>0</v>
      </c>
      <c r="G93" s="1204">
        <v>0</v>
      </c>
    </row>
    <row r="94" spans="1:7" ht="10.5" customHeight="1">
      <c r="A94" s="53" t="s">
        <v>630</v>
      </c>
      <c r="B94" s="1204">
        <v>0</v>
      </c>
      <c r="C94" s="1204">
        <v>0</v>
      </c>
      <c r="D94" s="1204">
        <v>0</v>
      </c>
      <c r="E94" s="1204">
        <v>0</v>
      </c>
      <c r="F94" s="1204">
        <v>0</v>
      </c>
      <c r="G94" s="1204">
        <v>0</v>
      </c>
    </row>
    <row r="95" spans="1:7" ht="10.5" customHeight="1">
      <c r="A95" s="53" t="s">
        <v>631</v>
      </c>
      <c r="B95" s="1204">
        <v>158</v>
      </c>
      <c r="C95" s="1204">
        <v>187</v>
      </c>
      <c r="D95" s="1204">
        <v>328</v>
      </c>
      <c r="E95" s="1204">
        <v>386</v>
      </c>
      <c r="F95" s="1204">
        <v>1022</v>
      </c>
      <c r="G95" s="1840">
        <v>1944</v>
      </c>
    </row>
    <row r="96" spans="1:7" ht="10.5" customHeight="1">
      <c r="A96" s="53" t="s">
        <v>632</v>
      </c>
      <c r="B96" s="1204">
        <v>10145</v>
      </c>
      <c r="C96" s="1204">
        <v>10897</v>
      </c>
      <c r="D96" s="1204">
        <v>12595</v>
      </c>
      <c r="E96" s="1204">
        <v>11405</v>
      </c>
      <c r="F96" s="1204">
        <v>16231</v>
      </c>
      <c r="G96" s="1840">
        <v>18012</v>
      </c>
    </row>
    <row r="97" spans="1:7" ht="10.5" customHeight="1">
      <c r="A97" s="53" t="s">
        <v>633</v>
      </c>
      <c r="B97" s="1204">
        <v>1333</v>
      </c>
      <c r="C97" s="1204">
        <v>1241</v>
      </c>
      <c r="D97" s="1204">
        <v>1923</v>
      </c>
      <c r="E97" s="1204">
        <v>1575</v>
      </c>
      <c r="F97" s="1204">
        <v>2893</v>
      </c>
      <c r="G97" s="1840">
        <v>2123</v>
      </c>
    </row>
    <row r="98" spans="1:7" ht="10.5" customHeight="1">
      <c r="A98" s="53" t="s">
        <v>634</v>
      </c>
      <c r="B98" s="1204">
        <v>6362</v>
      </c>
      <c r="C98" s="1204">
        <v>5827</v>
      </c>
      <c r="D98" s="1204">
        <v>8382</v>
      </c>
      <c r="E98" s="1204">
        <v>8071</v>
      </c>
      <c r="F98" s="1204">
        <v>13966</v>
      </c>
      <c r="G98" s="1840">
        <v>16230</v>
      </c>
    </row>
    <row r="99" spans="1:7" ht="10.5" customHeight="1">
      <c r="A99" s="53" t="s">
        <v>635</v>
      </c>
      <c r="B99" s="1204">
        <v>0</v>
      </c>
      <c r="C99" s="1204">
        <v>0</v>
      </c>
      <c r="D99" s="1204">
        <v>0</v>
      </c>
      <c r="E99" s="1204">
        <v>0</v>
      </c>
      <c r="F99" s="1204">
        <v>0</v>
      </c>
      <c r="G99" s="1204">
        <v>0</v>
      </c>
    </row>
    <row r="100" spans="1:7" ht="10.5" customHeight="1">
      <c r="A100" s="53" t="s">
        <v>636</v>
      </c>
      <c r="B100" s="1204">
        <v>0</v>
      </c>
      <c r="C100" s="1204">
        <v>0</v>
      </c>
      <c r="D100" s="1204">
        <v>0</v>
      </c>
      <c r="E100" s="1204">
        <v>0</v>
      </c>
      <c r="F100" s="1204">
        <v>0</v>
      </c>
      <c r="G100" s="1204">
        <v>0</v>
      </c>
    </row>
    <row r="101" spans="1:7" ht="10.5" customHeight="1">
      <c r="A101" s="53" t="s">
        <v>637</v>
      </c>
      <c r="B101" s="1204">
        <v>1237</v>
      </c>
      <c r="C101" s="1204">
        <v>1788</v>
      </c>
      <c r="D101" s="1204">
        <v>1964</v>
      </c>
      <c r="E101" s="1204">
        <v>1788</v>
      </c>
      <c r="F101" s="1204">
        <v>1251</v>
      </c>
      <c r="G101" s="1840">
        <v>2314</v>
      </c>
    </row>
    <row r="102" spans="1:7" ht="10.5" customHeight="1">
      <c r="A102" s="53" t="s">
        <v>638</v>
      </c>
      <c r="B102" s="1204">
        <v>290</v>
      </c>
      <c r="C102" s="1204">
        <v>256</v>
      </c>
      <c r="D102" s="1204">
        <v>515</v>
      </c>
      <c r="E102" s="1204">
        <v>680</v>
      </c>
      <c r="F102" s="1204">
        <v>1500</v>
      </c>
      <c r="G102" s="1840">
        <v>2430</v>
      </c>
    </row>
    <row r="103" spans="1:7" ht="10.5" customHeight="1">
      <c r="A103" s="53" t="s">
        <v>639</v>
      </c>
      <c r="B103" s="1204">
        <v>0</v>
      </c>
      <c r="C103" s="1204">
        <v>0</v>
      </c>
      <c r="D103" s="1204">
        <v>0</v>
      </c>
      <c r="E103" s="1204">
        <v>0</v>
      </c>
      <c r="F103" s="1204">
        <v>0</v>
      </c>
      <c r="G103" s="1204">
        <v>0</v>
      </c>
    </row>
    <row r="104" spans="1:7" ht="10.5" customHeight="1">
      <c r="A104" s="53" t="s">
        <v>640</v>
      </c>
      <c r="B104" s="1204">
        <v>0</v>
      </c>
      <c r="C104" s="1204">
        <v>0</v>
      </c>
      <c r="D104" s="1204">
        <v>0</v>
      </c>
      <c r="E104" s="1204">
        <v>0</v>
      </c>
      <c r="F104" s="1204">
        <v>0</v>
      </c>
      <c r="G104" s="1204">
        <v>0</v>
      </c>
    </row>
    <row r="105" spans="1:7" ht="10.5" customHeight="1">
      <c r="A105" s="53" t="s">
        <v>641</v>
      </c>
      <c r="B105" s="1204">
        <v>0</v>
      </c>
      <c r="C105" s="1204">
        <v>0</v>
      </c>
      <c r="D105" s="1204">
        <v>0</v>
      </c>
      <c r="E105" s="1204">
        <v>0</v>
      </c>
      <c r="F105" s="1204">
        <v>0</v>
      </c>
      <c r="G105" s="1204">
        <v>0</v>
      </c>
    </row>
    <row r="106" spans="1:7" ht="10.5" customHeight="1">
      <c r="A106" s="53" t="s">
        <v>642</v>
      </c>
      <c r="B106" s="1204">
        <v>0</v>
      </c>
      <c r="C106" s="1204">
        <v>0</v>
      </c>
      <c r="D106" s="1204">
        <v>0</v>
      </c>
      <c r="E106" s="1204">
        <v>0</v>
      </c>
      <c r="F106" s="1204">
        <v>0</v>
      </c>
      <c r="G106" s="1204">
        <v>0</v>
      </c>
    </row>
    <row r="107" spans="1:7" ht="10.5" customHeight="1">
      <c r="A107" s="53" t="s">
        <v>643</v>
      </c>
      <c r="B107" s="1204">
        <v>9124</v>
      </c>
      <c r="C107" s="1204">
        <v>9242</v>
      </c>
      <c r="D107" s="1204">
        <v>4281</v>
      </c>
      <c r="E107" s="1204">
        <v>6706</v>
      </c>
      <c r="F107" s="1204">
        <v>11463</v>
      </c>
      <c r="G107" s="1840">
        <v>8213</v>
      </c>
    </row>
    <row r="108" spans="1:7" ht="11.25" customHeight="1">
      <c r="A108" s="53" t="s">
        <v>3817</v>
      </c>
      <c r="B108" s="1204">
        <v>1175</v>
      </c>
      <c r="C108" s="1204">
        <v>0</v>
      </c>
      <c r="D108" s="1204">
        <v>1043</v>
      </c>
      <c r="E108" s="1204">
        <v>711</v>
      </c>
      <c r="F108" s="1204">
        <v>0</v>
      </c>
      <c r="G108" s="1204">
        <v>0</v>
      </c>
    </row>
    <row r="109" spans="1:7" ht="10.5" customHeight="1">
      <c r="A109" s="53" t="s">
        <v>644</v>
      </c>
      <c r="B109" s="1204">
        <v>722</v>
      </c>
      <c r="C109" s="1204">
        <v>1271</v>
      </c>
      <c r="D109" s="1204">
        <v>1147</v>
      </c>
      <c r="E109" s="1204">
        <v>1079</v>
      </c>
      <c r="F109" s="1204">
        <v>1403</v>
      </c>
      <c r="G109" s="1840">
        <v>1552</v>
      </c>
    </row>
    <row r="110" spans="1:7" ht="10.5" customHeight="1">
      <c r="A110" s="53" t="s">
        <v>645</v>
      </c>
      <c r="B110" s="1204">
        <v>0</v>
      </c>
      <c r="C110" s="1204">
        <v>1019</v>
      </c>
      <c r="D110" s="1204">
        <v>0</v>
      </c>
      <c r="E110" s="1204">
        <v>0</v>
      </c>
      <c r="F110" s="1204">
        <v>0</v>
      </c>
      <c r="G110" s="1204">
        <v>0</v>
      </c>
    </row>
    <row r="111" spans="1:7" ht="11.25" customHeight="1">
      <c r="A111" s="53" t="s">
        <v>3818</v>
      </c>
      <c r="B111" s="1204">
        <v>288</v>
      </c>
      <c r="C111" s="1204">
        <v>302</v>
      </c>
      <c r="D111" s="1204">
        <v>163</v>
      </c>
      <c r="E111" s="1204">
        <v>143</v>
      </c>
      <c r="F111" s="1204">
        <v>279</v>
      </c>
      <c r="G111" s="1840">
        <v>113</v>
      </c>
    </row>
    <row r="112" spans="1:7" s="150" customFormat="1">
      <c r="A112" s="150" t="s">
        <v>21</v>
      </c>
      <c r="B112" s="1821">
        <f t="shared" ref="B112:G112" si="15">SUM(B113:B123)</f>
        <v>284476</v>
      </c>
      <c r="C112" s="1821">
        <f t="shared" si="15"/>
        <v>283629</v>
      </c>
      <c r="D112" s="1821">
        <f t="shared" si="15"/>
        <v>289370</v>
      </c>
      <c r="E112" s="1821">
        <f t="shared" si="15"/>
        <v>302275</v>
      </c>
      <c r="F112" s="1821">
        <f t="shared" si="15"/>
        <v>338558</v>
      </c>
      <c r="G112" s="1821">
        <f t="shared" si="15"/>
        <v>382943</v>
      </c>
    </row>
    <row r="113" spans="1:7" ht="10.5" customHeight="1">
      <c r="A113" s="53" t="s">
        <v>646</v>
      </c>
      <c r="B113" s="1204">
        <v>15682</v>
      </c>
      <c r="C113" s="1204">
        <v>13315</v>
      </c>
      <c r="D113" s="1204">
        <v>15666</v>
      </c>
      <c r="E113" s="1204">
        <v>22264</v>
      </c>
      <c r="F113" s="1204">
        <v>22732</v>
      </c>
      <c r="G113" s="1840">
        <v>28316</v>
      </c>
    </row>
    <row r="114" spans="1:7" ht="10.5" customHeight="1">
      <c r="A114" s="53" t="s">
        <v>647</v>
      </c>
      <c r="B114" s="1204">
        <v>0</v>
      </c>
      <c r="C114" s="1204">
        <v>0</v>
      </c>
      <c r="D114" s="1204">
        <v>0</v>
      </c>
      <c r="E114" s="1204">
        <v>0</v>
      </c>
      <c r="F114" s="1204">
        <v>0</v>
      </c>
      <c r="G114" s="1204">
        <v>0</v>
      </c>
    </row>
    <row r="115" spans="1:7" ht="10.5" customHeight="1">
      <c r="A115" s="53" t="s">
        <v>648</v>
      </c>
      <c r="B115" s="1204">
        <v>11375</v>
      </c>
      <c r="C115" s="1204">
        <v>10327</v>
      </c>
      <c r="D115" s="1204">
        <v>5728</v>
      </c>
      <c r="E115" s="1204">
        <v>6605</v>
      </c>
      <c r="F115" s="1204">
        <v>10159</v>
      </c>
      <c r="G115" s="1840">
        <v>7543</v>
      </c>
    </row>
    <row r="116" spans="1:7" ht="10.5" customHeight="1">
      <c r="A116" s="53" t="s">
        <v>649</v>
      </c>
      <c r="B116" s="1204">
        <v>1499</v>
      </c>
      <c r="C116" s="1204">
        <v>2031</v>
      </c>
      <c r="D116" s="1204">
        <v>1604</v>
      </c>
      <c r="E116" s="1204">
        <v>1495</v>
      </c>
      <c r="F116" s="1204">
        <v>1827</v>
      </c>
      <c r="G116" s="1840">
        <v>1936</v>
      </c>
    </row>
    <row r="117" spans="1:7" ht="10.5" customHeight="1">
      <c r="A117" s="53" t="s">
        <v>650</v>
      </c>
      <c r="B117" s="1204">
        <v>140714</v>
      </c>
      <c r="C117" s="1204">
        <v>144109</v>
      </c>
      <c r="D117" s="1204">
        <v>145148</v>
      </c>
      <c r="E117" s="1204">
        <v>143253</v>
      </c>
      <c r="F117" s="1204">
        <v>170032</v>
      </c>
      <c r="G117" s="1840">
        <v>197503</v>
      </c>
    </row>
    <row r="118" spans="1:7" ht="10.5" customHeight="1">
      <c r="A118" s="53" t="s">
        <v>651</v>
      </c>
      <c r="B118" s="1204">
        <v>1105</v>
      </c>
      <c r="C118" s="1204">
        <v>682</v>
      </c>
      <c r="D118" s="1204">
        <v>636</v>
      </c>
      <c r="E118" s="1204">
        <v>780</v>
      </c>
      <c r="F118" s="1204">
        <v>959</v>
      </c>
      <c r="G118" s="1840">
        <v>1013</v>
      </c>
    </row>
    <row r="119" spans="1:7" ht="10.5" customHeight="1">
      <c r="A119" s="53" t="s">
        <v>652</v>
      </c>
      <c r="B119" s="1204">
        <v>7191</v>
      </c>
      <c r="C119" s="1204">
        <v>7401</v>
      </c>
      <c r="D119" s="1204">
        <v>7841</v>
      </c>
      <c r="E119" s="1204">
        <v>7509</v>
      </c>
      <c r="F119" s="1204">
        <v>7484</v>
      </c>
      <c r="G119" s="1840">
        <v>7540</v>
      </c>
    </row>
    <row r="120" spans="1:7" ht="10.5" customHeight="1">
      <c r="A120" s="53" t="s">
        <v>653</v>
      </c>
      <c r="B120" s="1204">
        <v>11563</v>
      </c>
      <c r="C120" s="1204">
        <v>12402</v>
      </c>
      <c r="D120" s="1204">
        <v>14281</v>
      </c>
      <c r="E120" s="1204">
        <v>13285</v>
      </c>
      <c r="F120" s="1204">
        <v>11065</v>
      </c>
      <c r="G120" s="1840">
        <v>8358</v>
      </c>
    </row>
    <row r="121" spans="1:7" ht="10.5" customHeight="1">
      <c r="A121" s="53" t="s">
        <v>654</v>
      </c>
      <c r="B121" s="1204">
        <v>23608</v>
      </c>
      <c r="C121" s="1204">
        <v>21128</v>
      </c>
      <c r="D121" s="1204">
        <v>20013</v>
      </c>
      <c r="E121" s="1204">
        <v>22203</v>
      </c>
      <c r="F121" s="1204">
        <v>24225</v>
      </c>
      <c r="G121" s="1840">
        <v>28917</v>
      </c>
    </row>
    <row r="122" spans="1:7" ht="10.5" customHeight="1">
      <c r="A122" s="53" t="s">
        <v>655</v>
      </c>
      <c r="B122" s="1204">
        <v>0</v>
      </c>
      <c r="C122" s="1204">
        <v>0</v>
      </c>
      <c r="D122" s="1204">
        <v>0</v>
      </c>
      <c r="E122" s="1204">
        <v>0</v>
      </c>
      <c r="F122" s="1204">
        <v>0</v>
      </c>
      <c r="G122" s="1204">
        <v>0</v>
      </c>
    </row>
    <row r="123" spans="1:7" ht="10.5" customHeight="1">
      <c r="A123" s="53" t="s">
        <v>656</v>
      </c>
      <c r="B123" s="1204">
        <v>71739</v>
      </c>
      <c r="C123" s="1204">
        <v>72234</v>
      </c>
      <c r="D123" s="1204">
        <v>78453</v>
      </c>
      <c r="E123" s="1204">
        <v>84881</v>
      </c>
      <c r="F123" s="1204">
        <v>90075</v>
      </c>
      <c r="G123" s="1840">
        <v>101817</v>
      </c>
    </row>
    <row r="125" spans="1:7" ht="10.5" customHeight="1">
      <c r="A125" s="53" t="s">
        <v>3828</v>
      </c>
    </row>
    <row r="126" spans="1:7" ht="10.5" customHeight="1">
      <c r="A126" s="53" t="s">
        <v>3829</v>
      </c>
    </row>
    <row r="127" spans="1:7" ht="10.5" customHeight="1">
      <c r="A127" s="1843" t="s">
        <v>22</v>
      </c>
    </row>
    <row r="128" spans="1:7" ht="10.5" customHeight="1">
      <c r="A128" s="2068" t="s">
        <v>208</v>
      </c>
      <c r="B128" s="2068"/>
      <c r="C128" s="2068"/>
    </row>
  </sheetData>
  <mergeCells count="2">
    <mergeCell ref="A2:G2"/>
    <mergeCell ref="A128:C128"/>
  </mergeCells>
  <pageMargins left="0.7" right="0.7" top="0.75" bottom="0.75" header="0.3" footer="0.3"/>
</worksheet>
</file>

<file path=xl/worksheets/sheet53.xml><?xml version="1.0" encoding="utf-8"?>
<worksheet xmlns="http://schemas.openxmlformats.org/spreadsheetml/2006/main" xmlns:r="http://schemas.openxmlformats.org/officeDocument/2006/relationships">
  <dimension ref="A1:T129"/>
  <sheetViews>
    <sheetView topLeftCell="A100" zoomScaleNormal="100" workbookViewId="0">
      <selection activeCell="A138" sqref="A138"/>
    </sheetView>
  </sheetViews>
  <sheetFormatPr baseColWidth="10" defaultRowHeight="11.25"/>
  <cols>
    <col min="1" max="1" width="32.85546875" style="53" customWidth="1"/>
    <col min="2" max="3" width="13.140625" style="53" bestFit="1" customWidth="1"/>
    <col min="4" max="4" width="12" style="53" bestFit="1" customWidth="1"/>
    <col min="5" max="6" width="13.140625" style="53" bestFit="1" customWidth="1"/>
    <col min="7" max="7" width="12" style="53" bestFit="1" customWidth="1"/>
    <col min="8" max="9" width="13.140625" style="53" bestFit="1" customWidth="1"/>
    <col min="10" max="10" width="12" style="53" bestFit="1" customWidth="1"/>
    <col min="11" max="12" width="13.140625" style="53" bestFit="1" customWidth="1"/>
    <col min="13" max="13" width="12" style="53" bestFit="1" customWidth="1"/>
    <col min="14" max="15" width="13.140625" style="53" bestFit="1" customWidth="1"/>
    <col min="16" max="16" width="12" style="53" bestFit="1" customWidth="1"/>
    <col min="17" max="18" width="13.140625" style="53" bestFit="1" customWidth="1"/>
    <col min="19" max="19" width="12" style="53" bestFit="1" customWidth="1"/>
    <col min="20" max="16384" width="11.42578125" style="53"/>
  </cols>
  <sheetData>
    <row r="1" spans="1:19">
      <c r="A1" s="61"/>
    </row>
    <row r="2" spans="1:19" s="45" customFormat="1">
      <c r="A2" s="45" t="s">
        <v>966</v>
      </c>
    </row>
    <row r="4" spans="1:19" ht="16.5" customHeight="1">
      <c r="A4" s="2120" t="s">
        <v>3827</v>
      </c>
      <c r="B4" s="2058">
        <v>2009</v>
      </c>
      <c r="C4" s="2058"/>
      <c r="D4" s="2058"/>
      <c r="E4" s="2058">
        <v>2010</v>
      </c>
      <c r="F4" s="2058"/>
      <c r="G4" s="2058"/>
      <c r="H4" s="2058">
        <v>2011</v>
      </c>
      <c r="I4" s="2058"/>
      <c r="J4" s="2058"/>
      <c r="K4" s="2058">
        <v>2012</v>
      </c>
      <c r="L4" s="2058"/>
      <c r="M4" s="2058"/>
      <c r="N4" s="2058">
        <v>2013</v>
      </c>
      <c r="O4" s="2058"/>
      <c r="P4" s="2058"/>
      <c r="Q4" s="2059">
        <v>2014</v>
      </c>
      <c r="R4" s="2060"/>
      <c r="S4" s="2061"/>
    </row>
    <row r="5" spans="1:19" ht="19.5" customHeight="1">
      <c r="A5" s="2121"/>
      <c r="B5" s="1831" t="s">
        <v>26</v>
      </c>
      <c r="C5" s="1831" t="s">
        <v>165</v>
      </c>
      <c r="D5" s="1831" t="s">
        <v>166</v>
      </c>
      <c r="E5" s="1831" t="s">
        <v>26</v>
      </c>
      <c r="F5" s="1831" t="s">
        <v>165</v>
      </c>
      <c r="G5" s="1831" t="s">
        <v>166</v>
      </c>
      <c r="H5" s="1831" t="s">
        <v>26</v>
      </c>
      <c r="I5" s="1831" t="s">
        <v>165</v>
      </c>
      <c r="J5" s="1831" t="s">
        <v>166</v>
      </c>
      <c r="K5" s="1831" t="s">
        <v>26</v>
      </c>
      <c r="L5" s="1831" t="s">
        <v>165</v>
      </c>
      <c r="M5" s="1831" t="s">
        <v>166</v>
      </c>
      <c r="N5" s="1831" t="s">
        <v>26</v>
      </c>
      <c r="O5" s="1831" t="s">
        <v>165</v>
      </c>
      <c r="P5" s="1831" t="s">
        <v>166</v>
      </c>
      <c r="Q5" s="1831" t="s">
        <v>26</v>
      </c>
      <c r="R5" s="1831" t="s">
        <v>165</v>
      </c>
      <c r="S5" s="1831" t="s">
        <v>166</v>
      </c>
    </row>
    <row r="6" spans="1:19" s="150" customFormat="1" ht="14.25" customHeight="1">
      <c r="A6" s="150" t="s">
        <v>6</v>
      </c>
      <c r="B6" s="1821">
        <f>SUM(C6:D6)</f>
        <v>2056218</v>
      </c>
      <c r="C6" s="1821">
        <f>SUM(C7+C12+C16+C22+C26+C31+C40+C43+C47+C56+C64+C78+C81+C93+C113)</f>
        <v>1424914</v>
      </c>
      <c r="D6" s="1821">
        <f>SUM(D7+D12+D16+D22+D26+D31+D40+D43+D47+D56+D64+D78+D81+D93+D113)</f>
        <v>631304</v>
      </c>
      <c r="E6" s="1821">
        <f>SUM(F6:G6)</f>
        <v>1816916</v>
      </c>
      <c r="F6" s="1821">
        <f>SUM(F7+F12+F16+F22+F26+F31+F40+F43+F47+F56+F64+F78+F81+F93+F113)</f>
        <v>1265303</v>
      </c>
      <c r="G6" s="1821">
        <f>SUM(G7+G12+G16+G22+G26+G31+G40+G43+G47+G56+G64+G78+G81+G93+G113)</f>
        <v>551613</v>
      </c>
      <c r="H6" s="1821">
        <f>SUM(I6:J6)</f>
        <v>1791930</v>
      </c>
      <c r="I6" s="1821">
        <f>SUM(I7+I12+I16+I22+I26+I31+I40+I43+I47+I56+I64+I78+I81+I93+I113)</f>
        <v>1315924</v>
      </c>
      <c r="J6" s="1821">
        <f>SUM(J7+J12+J16+J22+J26+J31+J40+J43+J47+J56+J64+J78+J81+J93+J113)</f>
        <v>476006</v>
      </c>
      <c r="K6" s="1821">
        <f>SUM(L6:M6)</f>
        <v>2061670</v>
      </c>
      <c r="L6" s="1821">
        <f>SUM(L7+L12+L16+L22+L26+L31+L40+L43+L47+L56+L64+L78+L81+L93+L113)</f>
        <v>1547482</v>
      </c>
      <c r="M6" s="1821">
        <f>SUM(M7+M12+M16+M22+M26+M31+M40+M43+M47+M56+M64+M78+M81+M93+M113)</f>
        <v>514188</v>
      </c>
      <c r="N6" s="1821">
        <f>SUM(O6:P6)</f>
        <v>2408269</v>
      </c>
      <c r="O6" s="1821">
        <f>SUM(O7+O12+O16+O22+O26+O31+O40+O43+O47+O56+O64+O78+O81+O93+O113)</f>
        <v>1868972</v>
      </c>
      <c r="P6" s="1821">
        <f>SUM(P7+P12+P16+P22+P26+P31+P40+P43+P47+P56+P64+P78+P81+P93+P113)</f>
        <v>539297</v>
      </c>
      <c r="Q6" s="1839">
        <f>SUM(R6:S6)</f>
        <v>2510648</v>
      </c>
      <c r="R6" s="1839">
        <f>SUM(R7+R12+R16+R22+R26+R31+R40+R43+R47+R56+R64+R78+R81+R93+R113)</f>
        <v>1908867</v>
      </c>
      <c r="S6" s="1839">
        <f>SUM(S7+S12+S16+S22+S26+S31+S40+S43+S47+S56+S64+S78+S81+S93+S113)</f>
        <v>601781</v>
      </c>
    </row>
    <row r="7" spans="1:19" s="150" customFormat="1" ht="14.25" customHeight="1">
      <c r="A7" s="150" t="s">
        <v>7</v>
      </c>
      <c r="B7" s="1821">
        <f>SUM(C7:D7)</f>
        <v>17526</v>
      </c>
      <c r="C7" s="1821">
        <f>SUM(C8:C11)</f>
        <v>10094</v>
      </c>
      <c r="D7" s="1821">
        <f>SUM(D8:D11)</f>
        <v>7432</v>
      </c>
      <c r="E7" s="1821">
        <f>SUM(F7:G7)</f>
        <v>15045</v>
      </c>
      <c r="F7" s="1821">
        <f>SUM(F8:F11)</f>
        <v>9023</v>
      </c>
      <c r="G7" s="1821">
        <f>SUM(G8:G11)</f>
        <v>6022</v>
      </c>
      <c r="H7" s="1821">
        <f t="shared" ref="H7:H70" si="0">SUM(I7:J7)</f>
        <v>13991</v>
      </c>
      <c r="I7" s="1821">
        <f>SUM(I8:I11)</f>
        <v>9524</v>
      </c>
      <c r="J7" s="1821">
        <f>SUM(J8:J11)</f>
        <v>4467</v>
      </c>
      <c r="K7" s="1821">
        <f t="shared" ref="K7:K70" si="1">SUM(L7:M7)</f>
        <v>13002</v>
      </c>
      <c r="L7" s="1821">
        <f>SUM(L8:L11)</f>
        <v>9685</v>
      </c>
      <c r="M7" s="1821">
        <f>SUM(M8:M11)</f>
        <v>3317</v>
      </c>
      <c r="N7" s="1821">
        <f t="shared" ref="N7:N70" si="2">SUM(O7:P7)</f>
        <v>18425</v>
      </c>
      <c r="O7" s="1821">
        <f>SUM(O8:O11)</f>
        <v>13452</v>
      </c>
      <c r="P7" s="1821">
        <f>SUM(P8:P11)</f>
        <v>4973</v>
      </c>
      <c r="Q7" s="1839">
        <f t="shared" ref="Q7:Q25" si="3">SUM(R7:S7)</f>
        <v>18207</v>
      </c>
      <c r="R7" s="1839">
        <f>SUM(R8:R11)</f>
        <v>12744</v>
      </c>
      <c r="S7" s="1839">
        <f>SUM(S8:S11)</f>
        <v>5463</v>
      </c>
    </row>
    <row r="8" spans="1:19" ht="10.5" customHeight="1">
      <c r="A8" s="53" t="s">
        <v>556</v>
      </c>
      <c r="B8" s="1204">
        <f t="shared" ref="B8:B71" si="4">SUM(C8:D8)</f>
        <v>15479</v>
      </c>
      <c r="C8" s="1204">
        <v>9753</v>
      </c>
      <c r="D8" s="1204">
        <v>5726</v>
      </c>
      <c r="E8" s="1204">
        <f>SUM(F8:G8)</f>
        <v>13340</v>
      </c>
      <c r="F8" s="1204">
        <v>8769</v>
      </c>
      <c r="G8" s="1204">
        <v>4571</v>
      </c>
      <c r="H8" s="1204">
        <f t="shared" si="0"/>
        <v>12081</v>
      </c>
      <c r="I8" s="1204">
        <v>9001</v>
      </c>
      <c r="J8" s="1204">
        <v>3080</v>
      </c>
      <c r="K8" s="1204">
        <f t="shared" si="1"/>
        <v>12087</v>
      </c>
      <c r="L8" s="1204">
        <v>9449</v>
      </c>
      <c r="M8" s="1204">
        <v>2638</v>
      </c>
      <c r="N8" s="1204">
        <f t="shared" si="2"/>
        <v>17211</v>
      </c>
      <c r="O8" s="1204">
        <v>13110</v>
      </c>
      <c r="P8" s="1204">
        <v>4101</v>
      </c>
      <c r="Q8" s="1840">
        <f t="shared" si="3"/>
        <v>16829</v>
      </c>
      <c r="R8" s="1840">
        <v>12382</v>
      </c>
      <c r="S8" s="1840">
        <v>4447</v>
      </c>
    </row>
    <row r="9" spans="1:19">
      <c r="A9" s="53" t="s">
        <v>557</v>
      </c>
      <c r="B9" s="1204">
        <f t="shared" si="4"/>
        <v>987</v>
      </c>
      <c r="C9" s="1204">
        <v>124</v>
      </c>
      <c r="D9" s="1204">
        <v>863</v>
      </c>
      <c r="E9" s="1204">
        <f t="shared" ref="E9:E72" si="5">SUM(F9:G9)</f>
        <v>448</v>
      </c>
      <c r="F9" s="1204">
        <v>64</v>
      </c>
      <c r="G9" s="1204">
        <v>384</v>
      </c>
      <c r="H9" s="1204">
        <f t="shared" si="0"/>
        <v>777</v>
      </c>
      <c r="I9" s="1204">
        <v>291</v>
      </c>
      <c r="J9" s="1204">
        <v>486</v>
      </c>
      <c r="K9" s="1204">
        <f t="shared" si="1"/>
        <v>208</v>
      </c>
      <c r="L9" s="1204">
        <v>50</v>
      </c>
      <c r="M9" s="1204">
        <v>158</v>
      </c>
      <c r="N9" s="1204">
        <f t="shared" si="2"/>
        <v>450</v>
      </c>
      <c r="O9" s="1204">
        <v>93</v>
      </c>
      <c r="P9" s="1204">
        <v>357</v>
      </c>
      <c r="Q9" s="1840">
        <f t="shared" si="3"/>
        <v>520</v>
      </c>
      <c r="R9" s="1840">
        <v>123</v>
      </c>
      <c r="S9" s="1840">
        <v>397</v>
      </c>
    </row>
    <row r="10" spans="1:19">
      <c r="A10" s="53" t="s">
        <v>558</v>
      </c>
      <c r="B10" s="1204">
        <f t="shared" si="4"/>
        <v>0</v>
      </c>
      <c r="C10" s="1204">
        <v>0</v>
      </c>
      <c r="D10" s="1204">
        <v>0</v>
      </c>
      <c r="E10" s="1204">
        <f t="shared" si="5"/>
        <v>0</v>
      </c>
      <c r="F10" s="1204">
        <v>0</v>
      </c>
      <c r="G10" s="1204">
        <v>0</v>
      </c>
      <c r="H10" s="1204">
        <f t="shared" si="0"/>
        <v>0</v>
      </c>
      <c r="I10" s="1204">
        <v>0</v>
      </c>
      <c r="J10" s="1204">
        <v>0</v>
      </c>
      <c r="K10" s="1204">
        <f t="shared" si="1"/>
        <v>0</v>
      </c>
      <c r="L10" s="1204">
        <v>0</v>
      </c>
      <c r="M10" s="1204">
        <v>0</v>
      </c>
      <c r="N10" s="1204">
        <f t="shared" si="2"/>
        <v>0</v>
      </c>
      <c r="O10" s="1204">
        <v>0</v>
      </c>
      <c r="P10" s="1204">
        <v>0</v>
      </c>
      <c r="Q10" s="1840">
        <f t="shared" si="3"/>
        <v>0</v>
      </c>
      <c r="R10" s="1840"/>
      <c r="S10" s="1840"/>
    </row>
    <row r="11" spans="1:19">
      <c r="A11" s="53" t="s">
        <v>559</v>
      </c>
      <c r="B11" s="1204">
        <f t="shared" si="4"/>
        <v>1060</v>
      </c>
      <c r="C11" s="1204">
        <v>217</v>
      </c>
      <c r="D11" s="1204">
        <v>843</v>
      </c>
      <c r="E11" s="1204">
        <f t="shared" si="5"/>
        <v>1257</v>
      </c>
      <c r="F11" s="1204">
        <v>190</v>
      </c>
      <c r="G11" s="1204">
        <v>1067</v>
      </c>
      <c r="H11" s="1204">
        <f t="shared" si="0"/>
        <v>1133</v>
      </c>
      <c r="I11" s="1204">
        <v>232</v>
      </c>
      <c r="J11" s="1204">
        <v>901</v>
      </c>
      <c r="K11" s="1204">
        <f t="shared" si="1"/>
        <v>707</v>
      </c>
      <c r="L11" s="1204">
        <v>186</v>
      </c>
      <c r="M11" s="1204">
        <v>521</v>
      </c>
      <c r="N11" s="1204">
        <f t="shared" si="2"/>
        <v>764</v>
      </c>
      <c r="O11" s="1204">
        <v>249</v>
      </c>
      <c r="P11" s="1204">
        <v>515</v>
      </c>
      <c r="Q11" s="1840">
        <f t="shared" si="3"/>
        <v>858</v>
      </c>
      <c r="R11" s="1840">
        <v>239</v>
      </c>
      <c r="S11" s="1840">
        <v>619</v>
      </c>
    </row>
    <row r="12" spans="1:19" s="150" customFormat="1" ht="12.75" customHeight="1">
      <c r="A12" s="150" t="s">
        <v>8</v>
      </c>
      <c r="B12" s="1821">
        <f t="shared" si="4"/>
        <v>12213</v>
      </c>
      <c r="C12" s="1821">
        <f>SUM(C13:C15)</f>
        <v>9625</v>
      </c>
      <c r="D12" s="1821">
        <f>SUM(D13:D15)</f>
        <v>2588</v>
      </c>
      <c r="E12" s="1821">
        <f t="shared" si="5"/>
        <v>17161</v>
      </c>
      <c r="F12" s="1821">
        <f>SUM(F13:F15)</f>
        <v>14086</v>
      </c>
      <c r="G12" s="1821">
        <f>SUM(G13:G15)</f>
        <v>3075</v>
      </c>
      <c r="H12" s="1821">
        <f t="shared" si="0"/>
        <v>9875</v>
      </c>
      <c r="I12" s="1821">
        <f>SUM(I13:I15)</f>
        <v>8281</v>
      </c>
      <c r="J12" s="1821">
        <f>SUM(J13:J15)</f>
        <v>1594</v>
      </c>
      <c r="K12" s="1821">
        <f t="shared" si="1"/>
        <v>2271</v>
      </c>
      <c r="L12" s="1821">
        <f>SUM(L13:L15)</f>
        <v>1648</v>
      </c>
      <c r="M12" s="1821">
        <f>SUM(M13:M15)</f>
        <v>623</v>
      </c>
      <c r="N12" s="1821">
        <f t="shared" si="2"/>
        <v>3228</v>
      </c>
      <c r="O12" s="1821">
        <f>SUM(O13:O15)</f>
        <v>2679</v>
      </c>
      <c r="P12" s="1821">
        <f>SUM(P13:P15)</f>
        <v>549</v>
      </c>
      <c r="Q12" s="1839">
        <f t="shared" si="3"/>
        <v>4783</v>
      </c>
      <c r="R12" s="1839">
        <f>SUM(R13:R15)</f>
        <v>3860</v>
      </c>
      <c r="S12" s="1839">
        <f>SUM(S13:S15)</f>
        <v>923</v>
      </c>
    </row>
    <row r="13" spans="1:19">
      <c r="A13" s="53" t="s">
        <v>657</v>
      </c>
      <c r="B13" s="1204">
        <f t="shared" si="4"/>
        <v>223</v>
      </c>
      <c r="C13" s="1204">
        <v>124</v>
      </c>
      <c r="D13" s="1204">
        <v>99</v>
      </c>
      <c r="E13" s="1204">
        <f t="shared" si="5"/>
        <v>361</v>
      </c>
      <c r="F13" s="1204">
        <v>183</v>
      </c>
      <c r="G13" s="1204">
        <v>178</v>
      </c>
      <c r="H13" s="1204">
        <f t="shared" si="0"/>
        <v>185</v>
      </c>
      <c r="I13" s="1204">
        <v>89</v>
      </c>
      <c r="J13" s="1204">
        <v>96</v>
      </c>
      <c r="K13" s="1204">
        <f t="shared" si="1"/>
        <v>187</v>
      </c>
      <c r="L13" s="1204">
        <v>113</v>
      </c>
      <c r="M13" s="1204">
        <v>74</v>
      </c>
      <c r="N13" s="1204">
        <f t="shared" si="2"/>
        <v>258</v>
      </c>
      <c r="O13" s="1204">
        <v>137</v>
      </c>
      <c r="P13" s="1204">
        <v>121</v>
      </c>
      <c r="Q13" s="1840">
        <f t="shared" si="3"/>
        <v>224</v>
      </c>
      <c r="R13" s="1840">
        <v>139</v>
      </c>
      <c r="S13" s="1840">
        <v>85</v>
      </c>
    </row>
    <row r="14" spans="1:19">
      <c r="A14" s="53" t="s">
        <v>561</v>
      </c>
      <c r="B14" s="1204">
        <f t="shared" si="4"/>
        <v>0</v>
      </c>
      <c r="C14" s="1204">
        <v>0</v>
      </c>
      <c r="D14" s="1204">
        <v>0</v>
      </c>
      <c r="E14" s="1204">
        <f t="shared" si="5"/>
        <v>0</v>
      </c>
      <c r="F14" s="1204">
        <v>0</v>
      </c>
      <c r="G14" s="1204">
        <v>0</v>
      </c>
      <c r="H14" s="1204">
        <f t="shared" si="0"/>
        <v>0</v>
      </c>
      <c r="I14" s="1204">
        <v>0</v>
      </c>
      <c r="J14" s="1204">
        <v>0</v>
      </c>
      <c r="K14" s="1204">
        <f t="shared" si="1"/>
        <v>0</v>
      </c>
      <c r="L14" s="1204">
        <v>0</v>
      </c>
      <c r="M14" s="1204">
        <v>0</v>
      </c>
      <c r="N14" s="1204">
        <f t="shared" si="2"/>
        <v>0</v>
      </c>
      <c r="O14" s="1204">
        <v>0</v>
      </c>
      <c r="P14" s="1204">
        <v>0</v>
      </c>
      <c r="Q14" s="1840">
        <f t="shared" si="3"/>
        <v>0</v>
      </c>
      <c r="R14" s="1840">
        <v>0</v>
      </c>
      <c r="S14" s="1840">
        <v>0</v>
      </c>
    </row>
    <row r="15" spans="1:19">
      <c r="A15" s="53" t="s">
        <v>562</v>
      </c>
      <c r="B15" s="1204">
        <f t="shared" si="4"/>
        <v>11990</v>
      </c>
      <c r="C15" s="1204">
        <v>9501</v>
      </c>
      <c r="D15" s="1204">
        <v>2489</v>
      </c>
      <c r="E15" s="1204">
        <f t="shared" si="5"/>
        <v>16800</v>
      </c>
      <c r="F15" s="1204">
        <v>13903</v>
      </c>
      <c r="G15" s="1204">
        <v>2897</v>
      </c>
      <c r="H15" s="1204">
        <f t="shared" si="0"/>
        <v>9690</v>
      </c>
      <c r="I15" s="1204">
        <v>8192</v>
      </c>
      <c r="J15" s="1204">
        <v>1498</v>
      </c>
      <c r="K15" s="1204">
        <f t="shared" si="1"/>
        <v>2084</v>
      </c>
      <c r="L15" s="1204">
        <v>1535</v>
      </c>
      <c r="M15" s="1204">
        <v>549</v>
      </c>
      <c r="N15" s="1204">
        <f t="shared" si="2"/>
        <v>2970</v>
      </c>
      <c r="O15" s="1204">
        <v>2542</v>
      </c>
      <c r="P15" s="1204">
        <v>428</v>
      </c>
      <c r="Q15" s="1840">
        <f t="shared" si="3"/>
        <v>4559</v>
      </c>
      <c r="R15" s="1840">
        <v>3721</v>
      </c>
      <c r="S15" s="1840">
        <v>838</v>
      </c>
    </row>
    <row r="16" spans="1:19" s="150" customFormat="1" ht="12.75" customHeight="1">
      <c r="A16" s="150" t="s">
        <v>9</v>
      </c>
      <c r="B16" s="1821">
        <f t="shared" si="4"/>
        <v>279738</v>
      </c>
      <c r="C16" s="1821">
        <f>SUM(C17:C21)</f>
        <v>162211</v>
      </c>
      <c r="D16" s="1821">
        <f>SUM(D17:D21)</f>
        <v>117527</v>
      </c>
      <c r="E16" s="1821">
        <f t="shared" si="5"/>
        <v>315888</v>
      </c>
      <c r="F16" s="1821">
        <f>SUM(F17:F21)</f>
        <v>168873</v>
      </c>
      <c r="G16" s="1821">
        <f>SUM(G17:G21)</f>
        <v>147015</v>
      </c>
      <c r="H16" s="1821">
        <f t="shared" si="0"/>
        <v>330317</v>
      </c>
      <c r="I16" s="1821">
        <f>SUM(I17:I21)</f>
        <v>192958</v>
      </c>
      <c r="J16" s="1821">
        <f>SUM(J17:J21)</f>
        <v>137359</v>
      </c>
      <c r="K16" s="1821">
        <f t="shared" si="1"/>
        <v>338326</v>
      </c>
      <c r="L16" s="1821">
        <f>SUM(L17:L21)</f>
        <v>194106</v>
      </c>
      <c r="M16" s="1821">
        <f>SUM(M17:M21)</f>
        <v>144220</v>
      </c>
      <c r="N16" s="1821">
        <f t="shared" si="2"/>
        <v>400503</v>
      </c>
      <c r="O16" s="1821">
        <f>SUM(O17:O21)</f>
        <v>255128</v>
      </c>
      <c r="P16" s="1821">
        <f>SUM(P17:P21)</f>
        <v>145375</v>
      </c>
      <c r="Q16" s="1839">
        <f t="shared" si="3"/>
        <v>391325</v>
      </c>
      <c r="R16" s="1839">
        <f>SUM(R17:R21)</f>
        <v>233015</v>
      </c>
      <c r="S16" s="1839">
        <f>SUM(S17:S21)</f>
        <v>158310</v>
      </c>
    </row>
    <row r="17" spans="1:19">
      <c r="A17" s="53" t="s">
        <v>563</v>
      </c>
      <c r="B17" s="1204">
        <f t="shared" si="4"/>
        <v>0</v>
      </c>
      <c r="C17" s="1204">
        <v>0</v>
      </c>
      <c r="D17" s="1204">
        <v>0</v>
      </c>
      <c r="E17" s="1204">
        <f t="shared" si="5"/>
        <v>0</v>
      </c>
      <c r="F17" s="1204">
        <v>0</v>
      </c>
      <c r="G17" s="1204">
        <v>0</v>
      </c>
      <c r="H17" s="1204">
        <f t="shared" si="0"/>
        <v>0</v>
      </c>
      <c r="I17" s="1204">
        <v>0</v>
      </c>
      <c r="J17" s="1204">
        <v>0</v>
      </c>
      <c r="K17" s="1204">
        <f t="shared" si="1"/>
        <v>0</v>
      </c>
      <c r="L17" s="1204">
        <v>0</v>
      </c>
      <c r="M17" s="1204">
        <v>0</v>
      </c>
      <c r="N17" s="1204">
        <f t="shared" si="2"/>
        <v>0</v>
      </c>
      <c r="O17" s="1204">
        <v>0</v>
      </c>
      <c r="P17" s="1204">
        <v>0</v>
      </c>
      <c r="Q17" s="1840">
        <f t="shared" si="3"/>
        <v>0</v>
      </c>
      <c r="R17" s="1840">
        <v>0</v>
      </c>
      <c r="S17" s="1840">
        <v>0</v>
      </c>
    </row>
    <row r="18" spans="1:19">
      <c r="A18" s="53" t="s">
        <v>564</v>
      </c>
      <c r="B18" s="1204">
        <f t="shared" si="4"/>
        <v>0</v>
      </c>
      <c r="C18" s="1204">
        <v>0</v>
      </c>
      <c r="D18" s="1204">
        <v>0</v>
      </c>
      <c r="E18" s="1204">
        <f t="shared" si="5"/>
        <v>0</v>
      </c>
      <c r="F18" s="1204">
        <v>0</v>
      </c>
      <c r="G18" s="1204">
        <v>0</v>
      </c>
      <c r="H18" s="1204">
        <f t="shared" si="0"/>
        <v>0</v>
      </c>
      <c r="I18" s="1204">
        <v>0</v>
      </c>
      <c r="J18" s="1204">
        <v>0</v>
      </c>
      <c r="K18" s="1204">
        <f t="shared" si="1"/>
        <v>0</v>
      </c>
      <c r="L18" s="1204">
        <v>0</v>
      </c>
      <c r="M18" s="1204">
        <v>0</v>
      </c>
      <c r="N18" s="1204">
        <f t="shared" si="2"/>
        <v>0</v>
      </c>
      <c r="O18" s="1204">
        <v>0</v>
      </c>
      <c r="P18" s="1204">
        <v>0</v>
      </c>
      <c r="Q18" s="1840">
        <f t="shared" si="3"/>
        <v>0</v>
      </c>
      <c r="R18" s="1840">
        <v>0</v>
      </c>
      <c r="S18" s="1840">
        <v>0</v>
      </c>
    </row>
    <row r="19" spans="1:19">
      <c r="A19" s="53" t="s">
        <v>565</v>
      </c>
      <c r="B19" s="1204">
        <f t="shared" si="4"/>
        <v>168332</v>
      </c>
      <c r="C19" s="1204">
        <v>54727</v>
      </c>
      <c r="D19" s="1204">
        <v>113605</v>
      </c>
      <c r="E19" s="1204">
        <f t="shared" si="5"/>
        <v>208569</v>
      </c>
      <c r="F19" s="1204">
        <v>67520</v>
      </c>
      <c r="G19" s="1204">
        <v>141049</v>
      </c>
      <c r="H19" s="1204">
        <f t="shared" si="0"/>
        <v>213230</v>
      </c>
      <c r="I19" s="1204">
        <v>78270</v>
      </c>
      <c r="J19" s="1204">
        <v>134960</v>
      </c>
      <c r="K19" s="1204">
        <f t="shared" si="1"/>
        <v>218741</v>
      </c>
      <c r="L19" s="1204">
        <v>78340</v>
      </c>
      <c r="M19" s="1204">
        <v>140401</v>
      </c>
      <c r="N19" s="1204">
        <f t="shared" si="2"/>
        <v>240118</v>
      </c>
      <c r="O19" s="1204">
        <v>98145</v>
      </c>
      <c r="P19" s="1204">
        <v>141973</v>
      </c>
      <c r="Q19" s="1840">
        <f t="shared" si="3"/>
        <v>263142</v>
      </c>
      <c r="R19" s="1840">
        <v>107983</v>
      </c>
      <c r="S19" s="1840">
        <v>155159</v>
      </c>
    </row>
    <row r="20" spans="1:19">
      <c r="A20" s="53" t="s">
        <v>658</v>
      </c>
      <c r="B20" s="1204">
        <f t="shared" si="4"/>
        <v>0</v>
      </c>
      <c r="C20" s="1204">
        <v>0</v>
      </c>
      <c r="D20" s="1204">
        <v>0</v>
      </c>
      <c r="E20" s="1204">
        <f t="shared" si="5"/>
        <v>0</v>
      </c>
      <c r="F20" s="1204">
        <v>0</v>
      </c>
      <c r="G20" s="1204">
        <v>0</v>
      </c>
      <c r="H20" s="1204">
        <f t="shared" si="0"/>
        <v>0</v>
      </c>
      <c r="I20" s="1204">
        <v>0</v>
      </c>
      <c r="J20" s="1204">
        <v>0</v>
      </c>
      <c r="K20" s="1204">
        <f t="shared" si="1"/>
        <v>0</v>
      </c>
      <c r="L20" s="1204">
        <v>0</v>
      </c>
      <c r="M20" s="1204">
        <v>0</v>
      </c>
      <c r="N20" s="1204">
        <f t="shared" si="2"/>
        <v>0</v>
      </c>
      <c r="O20" s="1204">
        <v>0</v>
      </c>
      <c r="P20" s="1204">
        <v>0</v>
      </c>
      <c r="Q20" s="1840">
        <f t="shared" si="3"/>
        <v>0</v>
      </c>
      <c r="R20" s="1840">
        <v>0</v>
      </c>
      <c r="S20" s="1840">
        <v>0</v>
      </c>
    </row>
    <row r="21" spans="1:19">
      <c r="A21" s="53" t="s">
        <v>567</v>
      </c>
      <c r="B21" s="1204">
        <f t="shared" si="4"/>
        <v>111406</v>
      </c>
      <c r="C21" s="1204">
        <v>107484</v>
      </c>
      <c r="D21" s="1204">
        <v>3922</v>
      </c>
      <c r="E21" s="1204">
        <f t="shared" si="5"/>
        <v>107319</v>
      </c>
      <c r="F21" s="1204">
        <v>101353</v>
      </c>
      <c r="G21" s="1204">
        <v>5966</v>
      </c>
      <c r="H21" s="1204">
        <f t="shared" si="0"/>
        <v>117087</v>
      </c>
      <c r="I21" s="1204">
        <v>114688</v>
      </c>
      <c r="J21" s="1204">
        <v>2399</v>
      </c>
      <c r="K21" s="1204">
        <f t="shared" si="1"/>
        <v>119585</v>
      </c>
      <c r="L21" s="1204">
        <v>115766</v>
      </c>
      <c r="M21" s="1204">
        <v>3819</v>
      </c>
      <c r="N21" s="1204">
        <f t="shared" si="2"/>
        <v>160385</v>
      </c>
      <c r="O21" s="1204">
        <v>156983</v>
      </c>
      <c r="P21" s="1204">
        <v>3402</v>
      </c>
      <c r="Q21" s="1840">
        <f t="shared" si="3"/>
        <v>128183</v>
      </c>
      <c r="R21" s="1840">
        <v>125032</v>
      </c>
      <c r="S21" s="1840">
        <v>3151</v>
      </c>
    </row>
    <row r="22" spans="1:19" s="150" customFormat="1" ht="12.75" customHeight="1">
      <c r="A22" s="150" t="s">
        <v>10</v>
      </c>
      <c r="B22" s="1821">
        <f t="shared" si="4"/>
        <v>17647</v>
      </c>
      <c r="C22" s="1821">
        <f>SUM(C23:C25)</f>
        <v>16584</v>
      </c>
      <c r="D22" s="1821">
        <f>SUM(D23:D25)</f>
        <v>1063</v>
      </c>
      <c r="E22" s="1821">
        <f t="shared" si="5"/>
        <v>24873</v>
      </c>
      <c r="F22" s="1821">
        <f>SUM(F23:F25)</f>
        <v>23841</v>
      </c>
      <c r="G22" s="1821">
        <f>SUM(G23:G25)</f>
        <v>1032</v>
      </c>
      <c r="H22" s="1821">
        <f t="shared" si="0"/>
        <v>16474</v>
      </c>
      <c r="I22" s="1821">
        <f>SUM(I23:I25)</f>
        <v>15429</v>
      </c>
      <c r="J22" s="1821">
        <f>SUM(J23:J25)</f>
        <v>1045</v>
      </c>
      <c r="K22" s="1821">
        <f t="shared" si="1"/>
        <v>17725</v>
      </c>
      <c r="L22" s="1821">
        <f>SUM(L23:L25)</f>
        <v>16307</v>
      </c>
      <c r="M22" s="1821">
        <f>SUM(M23:M25)</f>
        <v>1418</v>
      </c>
      <c r="N22" s="1821">
        <f t="shared" si="2"/>
        <v>19045</v>
      </c>
      <c r="O22" s="1821">
        <f>SUM(O23:O25)</f>
        <v>17883</v>
      </c>
      <c r="P22" s="1821">
        <f>SUM(P23:P25)</f>
        <v>1162</v>
      </c>
      <c r="Q22" s="1839">
        <f t="shared" si="3"/>
        <v>22181</v>
      </c>
      <c r="R22" s="1839">
        <f>SUM(R23:R25)</f>
        <v>20604</v>
      </c>
      <c r="S22" s="1839">
        <f>SUM(S23:S25)</f>
        <v>1577</v>
      </c>
    </row>
    <row r="23" spans="1:19">
      <c r="A23" s="53" t="s">
        <v>568</v>
      </c>
      <c r="B23" s="1204">
        <f t="shared" si="4"/>
        <v>14964</v>
      </c>
      <c r="C23" s="1204">
        <v>14105</v>
      </c>
      <c r="D23" s="1204">
        <v>859</v>
      </c>
      <c r="E23" s="1204">
        <f t="shared" si="5"/>
        <v>22539</v>
      </c>
      <c r="F23" s="1204">
        <v>21666</v>
      </c>
      <c r="G23" s="1204">
        <v>873</v>
      </c>
      <c r="H23" s="1204">
        <f t="shared" si="0"/>
        <v>12788</v>
      </c>
      <c r="I23" s="1204">
        <v>11971</v>
      </c>
      <c r="J23" s="1204">
        <v>817</v>
      </c>
      <c r="K23" s="1204">
        <f t="shared" si="1"/>
        <v>13458</v>
      </c>
      <c r="L23" s="1204">
        <v>12361</v>
      </c>
      <c r="M23" s="1204">
        <v>1097</v>
      </c>
      <c r="N23" s="1204">
        <f t="shared" si="2"/>
        <v>13987</v>
      </c>
      <c r="O23" s="1204">
        <v>13162</v>
      </c>
      <c r="P23" s="1204">
        <v>825</v>
      </c>
      <c r="Q23" s="1840">
        <f t="shared" si="3"/>
        <v>17631</v>
      </c>
      <c r="R23" s="1840">
        <v>16377</v>
      </c>
      <c r="S23" s="1840">
        <v>1254</v>
      </c>
    </row>
    <row r="24" spans="1:19">
      <c r="A24" s="53" t="s">
        <v>569</v>
      </c>
      <c r="B24" s="1204">
        <f t="shared" si="4"/>
        <v>2386</v>
      </c>
      <c r="C24" s="1204">
        <v>2313</v>
      </c>
      <c r="D24" s="1204">
        <v>73</v>
      </c>
      <c r="E24" s="1204">
        <f t="shared" si="5"/>
        <v>2010</v>
      </c>
      <c r="F24" s="1204">
        <v>1971</v>
      </c>
      <c r="G24" s="1204">
        <v>39</v>
      </c>
      <c r="H24" s="1204">
        <f t="shared" si="0"/>
        <v>3283</v>
      </c>
      <c r="I24" s="1204">
        <v>3201</v>
      </c>
      <c r="J24" s="1204">
        <v>82</v>
      </c>
      <c r="K24" s="1204">
        <f t="shared" si="1"/>
        <v>3761</v>
      </c>
      <c r="L24" s="1204">
        <v>3666</v>
      </c>
      <c r="M24" s="1204">
        <v>95</v>
      </c>
      <c r="N24" s="1204">
        <f t="shared" si="2"/>
        <v>4471</v>
      </c>
      <c r="O24" s="1204">
        <v>4389</v>
      </c>
      <c r="P24" s="1204">
        <v>82</v>
      </c>
      <c r="Q24" s="1840">
        <f t="shared" si="3"/>
        <v>3864</v>
      </c>
      <c r="R24" s="1840">
        <v>3795</v>
      </c>
      <c r="S24" s="1840">
        <v>69</v>
      </c>
    </row>
    <row r="25" spans="1:19">
      <c r="A25" s="53" t="s">
        <v>570</v>
      </c>
      <c r="B25" s="1204">
        <f t="shared" si="4"/>
        <v>297</v>
      </c>
      <c r="C25" s="1204">
        <v>166</v>
      </c>
      <c r="D25" s="1204">
        <v>131</v>
      </c>
      <c r="E25" s="1204">
        <f t="shared" si="5"/>
        <v>324</v>
      </c>
      <c r="F25" s="1204">
        <v>204</v>
      </c>
      <c r="G25" s="1204">
        <v>120</v>
      </c>
      <c r="H25" s="1204">
        <f t="shared" si="0"/>
        <v>403</v>
      </c>
      <c r="I25" s="1204">
        <v>257</v>
      </c>
      <c r="J25" s="1204">
        <v>146</v>
      </c>
      <c r="K25" s="1204">
        <f t="shared" si="1"/>
        <v>506</v>
      </c>
      <c r="L25" s="1204">
        <v>280</v>
      </c>
      <c r="M25" s="1204">
        <v>226</v>
      </c>
      <c r="N25" s="1204">
        <f t="shared" si="2"/>
        <v>587</v>
      </c>
      <c r="O25" s="1204">
        <v>332</v>
      </c>
      <c r="P25" s="1204">
        <v>255</v>
      </c>
      <c r="Q25" s="1840">
        <f t="shared" si="3"/>
        <v>686</v>
      </c>
      <c r="R25" s="1840">
        <v>432</v>
      </c>
      <c r="S25" s="1840">
        <v>254</v>
      </c>
    </row>
    <row r="26" spans="1:19" s="150" customFormat="1" ht="12.75" customHeight="1">
      <c r="A26" s="150" t="s">
        <v>11</v>
      </c>
      <c r="B26" s="1821">
        <f t="shared" si="4"/>
        <v>51524</v>
      </c>
      <c r="C26" s="1821">
        <f>SUM(C27:C30)</f>
        <v>43595</v>
      </c>
      <c r="D26" s="1821">
        <f t="shared" ref="D26:Q26" si="6">SUM(D27:D30)</f>
        <v>7929</v>
      </c>
      <c r="E26" s="1821">
        <f t="shared" si="6"/>
        <v>57234</v>
      </c>
      <c r="F26" s="1821">
        <f t="shared" si="6"/>
        <v>50083</v>
      </c>
      <c r="G26" s="1821">
        <f t="shared" si="6"/>
        <v>7151</v>
      </c>
      <c r="H26" s="1821">
        <f t="shared" si="6"/>
        <v>47833</v>
      </c>
      <c r="I26" s="1821">
        <f t="shared" si="6"/>
        <v>41874</v>
      </c>
      <c r="J26" s="1821">
        <f t="shared" si="6"/>
        <v>5959</v>
      </c>
      <c r="K26" s="1821">
        <f t="shared" si="6"/>
        <v>70493</v>
      </c>
      <c r="L26" s="1821">
        <f t="shared" si="6"/>
        <v>63900</v>
      </c>
      <c r="M26" s="1821">
        <f t="shared" si="6"/>
        <v>6593</v>
      </c>
      <c r="N26" s="1821">
        <f t="shared" si="6"/>
        <v>68487</v>
      </c>
      <c r="O26" s="1821">
        <f>SUM(O27:O30)</f>
        <v>61591</v>
      </c>
      <c r="P26" s="1821">
        <f t="shared" si="6"/>
        <v>6896</v>
      </c>
      <c r="Q26" s="1839">
        <f t="shared" si="6"/>
        <v>79303</v>
      </c>
      <c r="R26" s="1839">
        <f>SUM(R27:R30)</f>
        <v>71749</v>
      </c>
      <c r="S26" s="1839">
        <f>SUM(S27:S30)</f>
        <v>7554</v>
      </c>
    </row>
    <row r="27" spans="1:19">
      <c r="A27" s="53" t="s">
        <v>571</v>
      </c>
      <c r="B27" s="1204">
        <f t="shared" si="4"/>
        <v>15361</v>
      </c>
      <c r="C27" s="1204">
        <v>13362</v>
      </c>
      <c r="D27" s="1204">
        <v>1999</v>
      </c>
      <c r="E27" s="1204">
        <f t="shared" si="5"/>
        <v>15767</v>
      </c>
      <c r="F27" s="1204">
        <v>14052</v>
      </c>
      <c r="G27" s="1204">
        <v>1715</v>
      </c>
      <c r="H27" s="1204">
        <f t="shared" si="0"/>
        <v>16776</v>
      </c>
      <c r="I27" s="1204">
        <v>15293</v>
      </c>
      <c r="J27" s="1204">
        <v>1483</v>
      </c>
      <c r="K27" s="1204">
        <f t="shared" si="1"/>
        <v>17372</v>
      </c>
      <c r="L27" s="1204">
        <v>16145</v>
      </c>
      <c r="M27" s="1204">
        <v>1227</v>
      </c>
      <c r="N27" s="1204">
        <f t="shared" si="2"/>
        <v>15676</v>
      </c>
      <c r="O27" s="1204">
        <v>14756</v>
      </c>
      <c r="P27" s="1204">
        <v>920</v>
      </c>
      <c r="Q27" s="1840">
        <f t="shared" ref="Q27:Q90" si="7">SUM(R27:S27)</f>
        <v>20312</v>
      </c>
      <c r="R27" s="1840">
        <v>19124</v>
      </c>
      <c r="S27" s="1840">
        <v>1188</v>
      </c>
    </row>
    <row r="28" spans="1:19">
      <c r="A28" s="53" t="s">
        <v>572</v>
      </c>
      <c r="B28" s="1204">
        <f t="shared" si="4"/>
        <v>29310</v>
      </c>
      <c r="C28" s="1204">
        <v>23889</v>
      </c>
      <c r="D28" s="1204">
        <v>5421</v>
      </c>
      <c r="E28" s="1204">
        <f t="shared" si="5"/>
        <v>33481</v>
      </c>
      <c r="F28" s="1204">
        <v>28533</v>
      </c>
      <c r="G28" s="1204">
        <v>4948</v>
      </c>
      <c r="H28" s="1204">
        <f t="shared" si="0"/>
        <v>22993</v>
      </c>
      <c r="I28" s="1204">
        <v>19023</v>
      </c>
      <c r="J28" s="1204">
        <v>3970</v>
      </c>
      <c r="K28" s="1204">
        <f t="shared" si="1"/>
        <v>44557</v>
      </c>
      <c r="L28" s="1204">
        <v>39781</v>
      </c>
      <c r="M28" s="1204">
        <v>4776</v>
      </c>
      <c r="N28" s="1204">
        <f t="shared" si="2"/>
        <v>45124</v>
      </c>
      <c r="O28" s="1204">
        <v>39683</v>
      </c>
      <c r="P28" s="1204">
        <v>5441</v>
      </c>
      <c r="Q28" s="1840">
        <f t="shared" si="7"/>
        <v>51050</v>
      </c>
      <c r="R28" s="1840">
        <v>45285</v>
      </c>
      <c r="S28" s="1840">
        <v>5765</v>
      </c>
    </row>
    <row r="29" spans="1:19">
      <c r="A29" s="53" t="s">
        <v>573</v>
      </c>
      <c r="B29" s="1204">
        <f t="shared" si="4"/>
        <v>3068</v>
      </c>
      <c r="C29" s="1204">
        <v>2819</v>
      </c>
      <c r="D29" s="1204">
        <v>249</v>
      </c>
      <c r="E29" s="1204">
        <f t="shared" si="5"/>
        <v>3540</v>
      </c>
      <c r="F29" s="1204">
        <v>3346</v>
      </c>
      <c r="G29" s="1204">
        <v>194</v>
      </c>
      <c r="H29" s="1204">
        <f t="shared" si="0"/>
        <v>3048</v>
      </c>
      <c r="I29" s="1204">
        <v>2831</v>
      </c>
      <c r="J29" s="1204">
        <v>217</v>
      </c>
      <c r="K29" s="1204">
        <f t="shared" si="1"/>
        <v>3621</v>
      </c>
      <c r="L29" s="1204">
        <v>3310</v>
      </c>
      <c r="M29" s="1204">
        <v>311</v>
      </c>
      <c r="N29" s="1204">
        <f t="shared" si="2"/>
        <v>2850</v>
      </c>
      <c r="O29" s="1204">
        <v>2632</v>
      </c>
      <c r="P29" s="1204">
        <v>218</v>
      </c>
      <c r="Q29" s="1840">
        <f t="shared" si="7"/>
        <v>2888</v>
      </c>
      <c r="R29" s="1840">
        <v>2618</v>
      </c>
      <c r="S29" s="1840">
        <v>270</v>
      </c>
    </row>
    <row r="30" spans="1:19">
      <c r="A30" s="53" t="s">
        <v>574</v>
      </c>
      <c r="B30" s="1204">
        <f t="shared" si="4"/>
        <v>3785</v>
      </c>
      <c r="C30" s="1204">
        <v>3525</v>
      </c>
      <c r="D30" s="1204">
        <v>260</v>
      </c>
      <c r="E30" s="1204">
        <f t="shared" si="5"/>
        <v>4446</v>
      </c>
      <c r="F30" s="1204">
        <v>4152</v>
      </c>
      <c r="G30" s="1204">
        <v>294</v>
      </c>
      <c r="H30" s="1204">
        <f t="shared" si="0"/>
        <v>5016</v>
      </c>
      <c r="I30" s="1204">
        <v>4727</v>
      </c>
      <c r="J30" s="1204">
        <v>289</v>
      </c>
      <c r="K30" s="1204">
        <f t="shared" si="1"/>
        <v>4943</v>
      </c>
      <c r="L30" s="1204">
        <v>4664</v>
      </c>
      <c r="M30" s="1204">
        <v>279</v>
      </c>
      <c r="N30" s="1204">
        <f t="shared" si="2"/>
        <v>4837</v>
      </c>
      <c r="O30" s="1204">
        <v>4520</v>
      </c>
      <c r="P30" s="1204">
        <v>317</v>
      </c>
      <c r="Q30" s="1840">
        <f t="shared" si="7"/>
        <v>5053</v>
      </c>
      <c r="R30" s="1840">
        <v>4722</v>
      </c>
      <c r="S30" s="1840">
        <v>331</v>
      </c>
    </row>
    <row r="31" spans="1:19" s="150" customFormat="1" ht="12.75" customHeight="1">
      <c r="A31" s="150" t="s">
        <v>12</v>
      </c>
      <c r="B31" s="1821">
        <f t="shared" si="4"/>
        <v>141978</v>
      </c>
      <c r="C31" s="1821">
        <f>SUM(C32:C39)</f>
        <v>113617</v>
      </c>
      <c r="D31" s="1821">
        <f>SUM(D32:D39)</f>
        <v>28361</v>
      </c>
      <c r="E31" s="1821">
        <f t="shared" si="5"/>
        <v>146161</v>
      </c>
      <c r="F31" s="1821">
        <f>SUM(F32:F39)</f>
        <v>120378</v>
      </c>
      <c r="G31" s="1821">
        <f>SUM(G32:G39)</f>
        <v>25783</v>
      </c>
      <c r="H31" s="1821">
        <f t="shared" si="0"/>
        <v>132090</v>
      </c>
      <c r="I31" s="1821">
        <f>SUM(I32:I39)</f>
        <v>105970</v>
      </c>
      <c r="J31" s="1821">
        <f>SUM(J32:J39)</f>
        <v>26120</v>
      </c>
      <c r="K31" s="1821">
        <f t="shared" si="1"/>
        <v>158605</v>
      </c>
      <c r="L31" s="1821">
        <f>SUM(L32:L39)</f>
        <v>128596</v>
      </c>
      <c r="M31" s="1821">
        <f>SUM(M32:M39)</f>
        <v>30009</v>
      </c>
      <c r="N31" s="1821">
        <f t="shared" si="2"/>
        <v>193118</v>
      </c>
      <c r="O31" s="1821">
        <f>SUM(O32:O39)</f>
        <v>160695</v>
      </c>
      <c r="P31" s="1821">
        <f>SUM(P32:P39)</f>
        <v>32423</v>
      </c>
      <c r="Q31" s="1839">
        <f t="shared" si="7"/>
        <v>188405</v>
      </c>
      <c r="R31" s="1839">
        <f>SUM(R32:R39)</f>
        <v>149383</v>
      </c>
      <c r="S31" s="1839">
        <f>SUM(S32:S39)</f>
        <v>39022</v>
      </c>
    </row>
    <row r="32" spans="1:19">
      <c r="A32" s="53" t="s">
        <v>575</v>
      </c>
      <c r="B32" s="1204">
        <f t="shared" si="4"/>
        <v>39764</v>
      </c>
      <c r="C32" s="1204">
        <v>36926</v>
      </c>
      <c r="D32" s="1204">
        <v>2838</v>
      </c>
      <c r="E32" s="1204">
        <f t="shared" si="5"/>
        <v>41204</v>
      </c>
      <c r="F32" s="1204">
        <v>38780</v>
      </c>
      <c r="G32" s="1204">
        <v>2424</v>
      </c>
      <c r="H32" s="1204">
        <f t="shared" si="0"/>
        <v>41712</v>
      </c>
      <c r="I32" s="1204">
        <v>41712</v>
      </c>
      <c r="J32" s="1204"/>
      <c r="K32" s="1204">
        <f t="shared" si="1"/>
        <v>52389</v>
      </c>
      <c r="L32" s="1204">
        <v>49703</v>
      </c>
      <c r="M32" s="1204">
        <v>2686</v>
      </c>
      <c r="N32" s="1204">
        <f t="shared" si="2"/>
        <v>58112</v>
      </c>
      <c r="O32" s="1204">
        <v>55559</v>
      </c>
      <c r="P32" s="1204">
        <v>2553</v>
      </c>
      <c r="Q32" s="1840">
        <f t="shared" si="7"/>
        <v>54487</v>
      </c>
      <c r="R32" s="1840">
        <v>51867</v>
      </c>
      <c r="S32" s="1840">
        <v>2620</v>
      </c>
    </row>
    <row r="33" spans="1:19">
      <c r="A33" s="53" t="s">
        <v>659</v>
      </c>
      <c r="B33" s="1204">
        <f t="shared" si="4"/>
        <v>1222</v>
      </c>
      <c r="C33" s="1204">
        <v>805</v>
      </c>
      <c r="D33" s="1204">
        <v>417</v>
      </c>
      <c r="E33" s="1204">
        <f t="shared" si="5"/>
        <v>1708</v>
      </c>
      <c r="F33" s="1204">
        <v>1549</v>
      </c>
      <c r="G33" s="1204">
        <v>159</v>
      </c>
      <c r="H33" s="1204">
        <f t="shared" si="0"/>
        <v>1048</v>
      </c>
      <c r="I33" s="1204">
        <v>990</v>
      </c>
      <c r="J33" s="1204">
        <v>58</v>
      </c>
      <c r="K33" s="1204">
        <f t="shared" si="1"/>
        <v>1416</v>
      </c>
      <c r="L33" s="1204">
        <v>1259</v>
      </c>
      <c r="M33" s="1204">
        <v>157</v>
      </c>
      <c r="N33" s="1204">
        <f t="shared" si="2"/>
        <v>1142</v>
      </c>
      <c r="O33" s="1204">
        <v>980</v>
      </c>
      <c r="P33" s="1204">
        <v>162</v>
      </c>
      <c r="Q33" s="1840">
        <f t="shared" si="7"/>
        <v>2759</v>
      </c>
      <c r="R33" s="1840">
        <v>2504</v>
      </c>
      <c r="S33" s="1840">
        <v>255</v>
      </c>
    </row>
    <row r="34" spans="1:19">
      <c r="A34" s="53" t="s">
        <v>577</v>
      </c>
      <c r="B34" s="1204">
        <f t="shared" si="4"/>
        <v>0</v>
      </c>
      <c r="C34" s="1204">
        <v>0</v>
      </c>
      <c r="D34" s="1204">
        <v>0</v>
      </c>
      <c r="E34" s="1204">
        <f t="shared" si="5"/>
        <v>0</v>
      </c>
      <c r="F34" s="1204">
        <v>0</v>
      </c>
      <c r="G34" s="1204">
        <v>0</v>
      </c>
      <c r="H34" s="1204">
        <f t="shared" si="0"/>
        <v>0</v>
      </c>
      <c r="I34" s="1204">
        <v>0</v>
      </c>
      <c r="J34" s="1204">
        <v>0</v>
      </c>
      <c r="K34" s="1204">
        <f t="shared" si="1"/>
        <v>0</v>
      </c>
      <c r="L34" s="1204">
        <v>0</v>
      </c>
      <c r="M34" s="1204">
        <v>0</v>
      </c>
      <c r="N34" s="1204">
        <f t="shared" si="2"/>
        <v>0</v>
      </c>
      <c r="O34" s="1204">
        <v>0</v>
      </c>
      <c r="P34" s="1204">
        <v>0</v>
      </c>
      <c r="Q34" s="1840">
        <f t="shared" si="7"/>
        <v>0</v>
      </c>
      <c r="R34" s="1840">
        <v>0</v>
      </c>
      <c r="S34" s="1840">
        <v>0</v>
      </c>
    </row>
    <row r="35" spans="1:19">
      <c r="A35" s="53" t="s">
        <v>578</v>
      </c>
      <c r="B35" s="1204">
        <f t="shared" si="4"/>
        <v>43315</v>
      </c>
      <c r="C35" s="1204">
        <v>42790</v>
      </c>
      <c r="D35" s="1204">
        <v>525</v>
      </c>
      <c r="E35" s="1204">
        <f t="shared" si="5"/>
        <v>41989</v>
      </c>
      <c r="F35" s="1204">
        <v>41279</v>
      </c>
      <c r="G35" s="1204">
        <v>710</v>
      </c>
      <c r="H35" s="1204">
        <f t="shared" si="0"/>
        <v>20638</v>
      </c>
      <c r="I35" s="1204">
        <v>19870</v>
      </c>
      <c r="J35" s="1204">
        <v>768</v>
      </c>
      <c r="K35" s="1204">
        <f t="shared" si="1"/>
        <v>33212</v>
      </c>
      <c r="L35" s="1204">
        <v>31828</v>
      </c>
      <c r="M35" s="1204">
        <v>1384</v>
      </c>
      <c r="N35" s="1204">
        <f t="shared" si="2"/>
        <v>51208</v>
      </c>
      <c r="O35" s="1204">
        <v>49861</v>
      </c>
      <c r="P35" s="1204">
        <v>1347</v>
      </c>
      <c r="Q35" s="1840">
        <f t="shared" si="7"/>
        <v>37021</v>
      </c>
      <c r="R35" s="1840">
        <v>36433</v>
      </c>
      <c r="S35" s="1840">
        <v>588</v>
      </c>
    </row>
    <row r="36" spans="1:19">
      <c r="A36" s="53" t="s">
        <v>579</v>
      </c>
      <c r="B36" s="1204">
        <f t="shared" si="4"/>
        <v>1904</v>
      </c>
      <c r="C36" s="1204">
        <v>1856</v>
      </c>
      <c r="D36" s="1204">
        <v>48</v>
      </c>
      <c r="E36" s="1204">
        <f t="shared" si="5"/>
        <v>1747</v>
      </c>
      <c r="F36" s="1204">
        <v>1703</v>
      </c>
      <c r="G36" s="1204">
        <v>44</v>
      </c>
      <c r="H36" s="1204">
        <f t="shared" si="0"/>
        <v>1569</v>
      </c>
      <c r="I36" s="1204">
        <v>1550</v>
      </c>
      <c r="J36" s="1204">
        <v>19</v>
      </c>
      <c r="K36" s="1204">
        <f t="shared" si="1"/>
        <v>1845</v>
      </c>
      <c r="L36" s="1204">
        <v>1805</v>
      </c>
      <c r="M36" s="1204">
        <v>40</v>
      </c>
      <c r="N36" s="1204">
        <f t="shared" si="2"/>
        <v>1964</v>
      </c>
      <c r="O36" s="1204">
        <v>1933</v>
      </c>
      <c r="P36" s="1204">
        <v>31</v>
      </c>
      <c r="Q36" s="1840">
        <f t="shared" si="7"/>
        <v>1534</v>
      </c>
      <c r="R36" s="1840">
        <v>1508</v>
      </c>
      <c r="S36" s="1840">
        <v>26</v>
      </c>
    </row>
    <row r="37" spans="1:19">
      <c r="A37" s="53" t="s">
        <v>580</v>
      </c>
      <c r="B37" s="1204">
        <f t="shared" si="4"/>
        <v>0</v>
      </c>
      <c r="C37" s="1204">
        <v>0</v>
      </c>
      <c r="D37" s="1204">
        <v>0</v>
      </c>
      <c r="E37" s="1204">
        <f t="shared" si="5"/>
        <v>0</v>
      </c>
      <c r="F37" s="1204">
        <v>0</v>
      </c>
      <c r="G37" s="1204">
        <v>0</v>
      </c>
      <c r="H37" s="1204">
        <f t="shared" si="0"/>
        <v>0</v>
      </c>
      <c r="I37" s="1204">
        <v>0</v>
      </c>
      <c r="J37" s="1204">
        <v>0</v>
      </c>
      <c r="K37" s="1204">
        <f t="shared" si="1"/>
        <v>0</v>
      </c>
      <c r="L37" s="1204">
        <v>0</v>
      </c>
      <c r="M37" s="1204">
        <v>0</v>
      </c>
      <c r="N37" s="1204">
        <f t="shared" si="2"/>
        <v>0</v>
      </c>
      <c r="O37" s="1204">
        <v>0</v>
      </c>
      <c r="P37" s="1204">
        <v>0</v>
      </c>
      <c r="Q37" s="1840">
        <f t="shared" si="7"/>
        <v>0</v>
      </c>
      <c r="R37" s="1840">
        <v>0</v>
      </c>
      <c r="S37" s="1840">
        <v>0</v>
      </c>
    </row>
    <row r="38" spans="1:19" ht="12.75">
      <c r="A38" s="53" t="s">
        <v>3816</v>
      </c>
      <c r="B38" s="1204">
        <f t="shared" si="4"/>
        <v>11904</v>
      </c>
      <c r="C38" s="1204">
        <v>11621</v>
      </c>
      <c r="D38" s="1204">
        <v>283</v>
      </c>
      <c r="E38" s="1204">
        <f t="shared" si="5"/>
        <v>12627</v>
      </c>
      <c r="F38" s="1204">
        <v>12375</v>
      </c>
      <c r="G38" s="1204">
        <v>252</v>
      </c>
      <c r="H38" s="1204">
        <f t="shared" si="0"/>
        <v>17811</v>
      </c>
      <c r="I38" s="1204">
        <v>17538</v>
      </c>
      <c r="J38" s="1204">
        <v>273</v>
      </c>
      <c r="K38" s="1204">
        <f t="shared" si="1"/>
        <v>17541</v>
      </c>
      <c r="L38" s="1204">
        <v>17157</v>
      </c>
      <c r="M38" s="1204">
        <v>384</v>
      </c>
      <c r="N38" s="1204">
        <f t="shared" si="2"/>
        <v>22233</v>
      </c>
      <c r="O38" s="1204">
        <v>21997</v>
      </c>
      <c r="P38" s="1204">
        <v>236</v>
      </c>
      <c r="Q38" s="1840">
        <f t="shared" si="7"/>
        <v>27540</v>
      </c>
      <c r="R38" s="1840">
        <v>27337</v>
      </c>
      <c r="S38" s="1840">
        <v>203</v>
      </c>
    </row>
    <row r="39" spans="1:19">
      <c r="A39" s="53" t="s">
        <v>581</v>
      </c>
      <c r="B39" s="1204">
        <f t="shared" si="4"/>
        <v>43869</v>
      </c>
      <c r="C39" s="1204">
        <v>19619</v>
      </c>
      <c r="D39" s="1204">
        <v>24250</v>
      </c>
      <c r="E39" s="1204">
        <f t="shared" si="5"/>
        <v>46886</v>
      </c>
      <c r="F39" s="1204">
        <v>24692</v>
      </c>
      <c r="G39" s="1204">
        <v>22194</v>
      </c>
      <c r="H39" s="1204">
        <f t="shared" si="0"/>
        <v>49312</v>
      </c>
      <c r="I39" s="1204">
        <v>24310</v>
      </c>
      <c r="J39" s="1204">
        <v>25002</v>
      </c>
      <c r="K39" s="1204">
        <f t="shared" si="1"/>
        <v>52202</v>
      </c>
      <c r="L39" s="1204">
        <v>26844</v>
      </c>
      <c r="M39" s="1204">
        <v>25358</v>
      </c>
      <c r="N39" s="1204">
        <f t="shared" si="2"/>
        <v>58459</v>
      </c>
      <c r="O39" s="1204">
        <v>30365</v>
      </c>
      <c r="P39" s="1204">
        <v>28094</v>
      </c>
      <c r="Q39" s="1840">
        <f t="shared" si="7"/>
        <v>65064</v>
      </c>
      <c r="R39" s="1840">
        <v>29734</v>
      </c>
      <c r="S39" s="1840">
        <v>35330</v>
      </c>
    </row>
    <row r="40" spans="1:19" s="150" customFormat="1" ht="12.75" customHeight="1">
      <c r="A40" s="150" t="s">
        <v>13</v>
      </c>
      <c r="B40" s="1821">
        <f t="shared" si="4"/>
        <v>82293</v>
      </c>
      <c r="C40" s="1821">
        <f>SUM(C41:C42)</f>
        <v>78733</v>
      </c>
      <c r="D40" s="1821">
        <f>SUM(D41:D42)</f>
        <v>3560</v>
      </c>
      <c r="E40" s="1821">
        <f t="shared" si="5"/>
        <v>83459</v>
      </c>
      <c r="F40" s="1821">
        <f>SUM(F41:F42)</f>
        <v>80993</v>
      </c>
      <c r="G40" s="1821">
        <f>SUM(G41:G42)</f>
        <v>2466</v>
      </c>
      <c r="H40" s="1821">
        <f t="shared" si="0"/>
        <v>93129</v>
      </c>
      <c r="I40" s="1821">
        <f>SUM(I41:I42)</f>
        <v>89897</v>
      </c>
      <c r="J40" s="1821">
        <f>SUM(J41:J42)</f>
        <v>3232</v>
      </c>
      <c r="K40" s="1821">
        <f t="shared" si="1"/>
        <v>96485</v>
      </c>
      <c r="L40" s="1821">
        <f>SUM(L41:L42)</f>
        <v>93300</v>
      </c>
      <c r="M40" s="1821">
        <f>SUM(M41:M42)</f>
        <v>3185</v>
      </c>
      <c r="N40" s="1821">
        <f t="shared" si="2"/>
        <v>98529</v>
      </c>
      <c r="O40" s="1821">
        <f>SUM(O41:O42)</f>
        <v>94985</v>
      </c>
      <c r="P40" s="1821">
        <f>SUM(P41:P42)</f>
        <v>3544</v>
      </c>
      <c r="Q40" s="1839">
        <f t="shared" si="7"/>
        <v>103770</v>
      </c>
      <c r="R40" s="1839">
        <f>SUM(R41:R42)</f>
        <v>99499</v>
      </c>
      <c r="S40" s="1839">
        <f>SUM(S41:S42)</f>
        <v>4271</v>
      </c>
    </row>
    <row r="41" spans="1:19" ht="10.5" customHeight="1">
      <c r="A41" s="53" t="s">
        <v>582</v>
      </c>
      <c r="B41" s="1204">
        <f t="shared" si="4"/>
        <v>69135</v>
      </c>
      <c r="C41" s="1204">
        <v>68973</v>
      </c>
      <c r="D41" s="1204">
        <v>162</v>
      </c>
      <c r="E41" s="1204">
        <f t="shared" si="5"/>
        <v>73909</v>
      </c>
      <c r="F41" s="1204">
        <v>73511</v>
      </c>
      <c r="G41" s="1204">
        <v>398</v>
      </c>
      <c r="H41" s="1204">
        <f t="shared" si="0"/>
        <v>80382</v>
      </c>
      <c r="I41" s="1204">
        <v>79665</v>
      </c>
      <c r="J41" s="1204">
        <v>717</v>
      </c>
      <c r="K41" s="1204">
        <f t="shared" si="1"/>
        <v>84460</v>
      </c>
      <c r="L41" s="1204">
        <v>83947</v>
      </c>
      <c r="M41" s="1204">
        <v>513</v>
      </c>
      <c r="N41" s="1204">
        <f t="shared" si="2"/>
        <v>85169</v>
      </c>
      <c r="O41" s="1204">
        <v>84767</v>
      </c>
      <c r="P41" s="1204">
        <v>402</v>
      </c>
      <c r="Q41" s="1840">
        <f t="shared" si="7"/>
        <v>89693</v>
      </c>
      <c r="R41" s="1840">
        <v>89152</v>
      </c>
      <c r="S41" s="1840">
        <v>541</v>
      </c>
    </row>
    <row r="42" spans="1:19">
      <c r="A42" s="53" t="s">
        <v>583</v>
      </c>
      <c r="B42" s="1204">
        <f t="shared" si="4"/>
        <v>13158</v>
      </c>
      <c r="C42" s="1204">
        <v>9760</v>
      </c>
      <c r="D42" s="1204">
        <v>3398</v>
      </c>
      <c r="E42" s="1204">
        <f t="shared" si="5"/>
        <v>9550</v>
      </c>
      <c r="F42" s="1204">
        <v>7482</v>
      </c>
      <c r="G42" s="1204">
        <v>2068</v>
      </c>
      <c r="H42" s="1204">
        <f t="shared" si="0"/>
        <v>12747</v>
      </c>
      <c r="I42" s="1204">
        <v>10232</v>
      </c>
      <c r="J42" s="1204">
        <v>2515</v>
      </c>
      <c r="K42" s="1204">
        <f t="shared" si="1"/>
        <v>12025</v>
      </c>
      <c r="L42" s="1204">
        <v>9353</v>
      </c>
      <c r="M42" s="1204">
        <v>2672</v>
      </c>
      <c r="N42" s="1204">
        <f t="shared" si="2"/>
        <v>13360</v>
      </c>
      <c r="O42" s="1204">
        <v>10218</v>
      </c>
      <c r="P42" s="1204">
        <v>3142</v>
      </c>
      <c r="Q42" s="1840">
        <f t="shared" si="7"/>
        <v>14077</v>
      </c>
      <c r="R42" s="1840">
        <v>10347</v>
      </c>
      <c r="S42" s="1840">
        <v>3730</v>
      </c>
    </row>
    <row r="43" spans="1:19" s="150" customFormat="1" ht="12.75" customHeight="1">
      <c r="A43" s="150" t="s">
        <v>14</v>
      </c>
      <c r="B43" s="1821">
        <f t="shared" si="4"/>
        <v>11856</v>
      </c>
      <c r="C43" s="1821">
        <f>SUM(C44:C46)</f>
        <v>11441</v>
      </c>
      <c r="D43" s="1821">
        <f>SUM(D44:D46)</f>
        <v>415</v>
      </c>
      <c r="E43" s="1821">
        <f t="shared" si="5"/>
        <v>11073</v>
      </c>
      <c r="F43" s="1821">
        <f>SUM(F44:F46)</f>
        <v>10703</v>
      </c>
      <c r="G43" s="1821">
        <f>SUM(G44:G46)</f>
        <v>370</v>
      </c>
      <c r="H43" s="1821">
        <f t="shared" si="0"/>
        <v>12824</v>
      </c>
      <c r="I43" s="1821">
        <f>SUM(I44:I46)</f>
        <v>12463</v>
      </c>
      <c r="J43" s="1821">
        <f>SUM(J44:J46)</f>
        <v>361</v>
      </c>
      <c r="K43" s="1821">
        <f t="shared" si="1"/>
        <v>13403</v>
      </c>
      <c r="L43" s="1821">
        <f>SUM(L44:L46)</f>
        <v>13054</v>
      </c>
      <c r="M43" s="1821">
        <f>SUM(M44:M46)</f>
        <v>349</v>
      </c>
      <c r="N43" s="1821">
        <f t="shared" si="2"/>
        <v>20656</v>
      </c>
      <c r="O43" s="1821">
        <f>SUM(O44:O46)</f>
        <v>20186</v>
      </c>
      <c r="P43" s="1821">
        <f>SUM(P44:P46)</f>
        <v>470</v>
      </c>
      <c r="Q43" s="1839">
        <f t="shared" si="7"/>
        <v>23187</v>
      </c>
      <c r="R43" s="1839">
        <f>SUM(R44:R46)</f>
        <v>22792</v>
      </c>
      <c r="S43" s="1839">
        <f>SUM(S44:S46)</f>
        <v>395</v>
      </c>
    </row>
    <row r="44" spans="1:19">
      <c r="A44" s="53" t="s">
        <v>585</v>
      </c>
      <c r="B44" s="1204">
        <f t="shared" si="4"/>
        <v>0</v>
      </c>
      <c r="C44" s="1204">
        <v>0</v>
      </c>
      <c r="D44" s="1204">
        <v>0</v>
      </c>
      <c r="E44" s="1204">
        <f t="shared" si="5"/>
        <v>0</v>
      </c>
      <c r="F44" s="1204">
        <v>0</v>
      </c>
      <c r="G44" s="1204">
        <v>0</v>
      </c>
      <c r="H44" s="1204">
        <f t="shared" si="0"/>
        <v>0</v>
      </c>
      <c r="I44" s="1204">
        <v>0</v>
      </c>
      <c r="J44" s="1204">
        <v>0</v>
      </c>
      <c r="K44" s="1204">
        <f t="shared" si="1"/>
        <v>0</v>
      </c>
      <c r="L44" s="1204">
        <v>0</v>
      </c>
      <c r="M44" s="1204">
        <v>0</v>
      </c>
      <c r="N44" s="1204">
        <f t="shared" si="2"/>
        <v>0</v>
      </c>
      <c r="O44" s="1204">
        <v>0</v>
      </c>
      <c r="P44" s="1204">
        <v>0</v>
      </c>
      <c r="Q44" s="1840">
        <f t="shared" si="7"/>
        <v>0</v>
      </c>
      <c r="R44" s="1840">
        <v>0</v>
      </c>
      <c r="S44" s="1840">
        <v>0</v>
      </c>
    </row>
    <row r="45" spans="1:19">
      <c r="A45" s="53" t="s">
        <v>660</v>
      </c>
      <c r="B45" s="1204">
        <f t="shared" si="4"/>
        <v>11223</v>
      </c>
      <c r="C45" s="1204">
        <v>10808</v>
      </c>
      <c r="D45" s="1204">
        <v>415</v>
      </c>
      <c r="E45" s="1204">
        <f t="shared" si="5"/>
        <v>10647</v>
      </c>
      <c r="F45" s="1204">
        <v>10283</v>
      </c>
      <c r="G45" s="1204">
        <v>364</v>
      </c>
      <c r="H45" s="1204">
        <f t="shared" si="0"/>
        <v>12378</v>
      </c>
      <c r="I45" s="1204">
        <v>12017</v>
      </c>
      <c r="J45" s="1204">
        <v>361</v>
      </c>
      <c r="K45" s="1204">
        <f t="shared" si="1"/>
        <v>12889</v>
      </c>
      <c r="L45" s="1204">
        <v>12540</v>
      </c>
      <c r="M45" s="1204">
        <v>349</v>
      </c>
      <c r="N45" s="1204">
        <f t="shared" si="2"/>
        <v>20088</v>
      </c>
      <c r="O45" s="1204">
        <v>19618</v>
      </c>
      <c r="P45" s="1204">
        <v>470</v>
      </c>
      <c r="Q45" s="1840">
        <f t="shared" si="7"/>
        <v>22557</v>
      </c>
      <c r="R45" s="1840">
        <v>22162</v>
      </c>
      <c r="S45" s="1840">
        <v>395</v>
      </c>
    </row>
    <row r="46" spans="1:19">
      <c r="A46" s="53" t="s">
        <v>587</v>
      </c>
      <c r="B46" s="1204">
        <f t="shared" si="4"/>
        <v>633</v>
      </c>
      <c r="C46" s="1204">
        <v>633</v>
      </c>
      <c r="D46" s="1204">
        <v>0</v>
      </c>
      <c r="E46" s="1204">
        <f t="shared" si="5"/>
        <v>426</v>
      </c>
      <c r="F46" s="1204">
        <v>420</v>
      </c>
      <c r="G46" s="1204">
        <v>6</v>
      </c>
      <c r="H46" s="1204">
        <f t="shared" si="0"/>
        <v>446</v>
      </c>
      <c r="I46" s="1204">
        <v>446</v>
      </c>
      <c r="J46" s="1204">
        <v>0</v>
      </c>
      <c r="K46" s="1204">
        <f t="shared" si="1"/>
        <v>514</v>
      </c>
      <c r="L46" s="1204">
        <v>514</v>
      </c>
      <c r="M46" s="1204">
        <v>0</v>
      </c>
      <c r="N46" s="1204">
        <f t="shared" si="2"/>
        <v>568</v>
      </c>
      <c r="O46" s="1204">
        <v>568</v>
      </c>
      <c r="P46" s="1204">
        <v>0</v>
      </c>
      <c r="Q46" s="1840">
        <f t="shared" si="7"/>
        <v>630</v>
      </c>
      <c r="R46" s="1840">
        <v>630</v>
      </c>
      <c r="S46" s="1840">
        <v>0</v>
      </c>
    </row>
    <row r="47" spans="1:19" s="150" customFormat="1" ht="12.75" customHeight="1">
      <c r="A47" s="150" t="s">
        <v>15</v>
      </c>
      <c r="B47" s="1821">
        <f t="shared" si="4"/>
        <v>87509</v>
      </c>
      <c r="C47" s="1821">
        <f>SUM(C48:C55)</f>
        <v>84913</v>
      </c>
      <c r="D47" s="1821">
        <f>SUM(D48:D55)</f>
        <v>2596</v>
      </c>
      <c r="E47" s="1821">
        <f t="shared" si="5"/>
        <v>64500</v>
      </c>
      <c r="F47" s="1821">
        <f>SUM(F48:F55)</f>
        <v>62569</v>
      </c>
      <c r="G47" s="1821">
        <f>SUM(G48:G55)</f>
        <v>1931</v>
      </c>
      <c r="H47" s="1821">
        <f t="shared" si="0"/>
        <v>61074</v>
      </c>
      <c r="I47" s="1821">
        <f>SUM(I48:I55)</f>
        <v>58900</v>
      </c>
      <c r="J47" s="1821">
        <f>SUM(J48:J55)</f>
        <v>2174</v>
      </c>
      <c r="K47" s="1821">
        <f t="shared" si="1"/>
        <v>67325</v>
      </c>
      <c r="L47" s="1821">
        <f>SUM(L48:L55)</f>
        <v>64930</v>
      </c>
      <c r="M47" s="1821">
        <f>SUM(M48:M55)</f>
        <v>2395</v>
      </c>
      <c r="N47" s="1821">
        <f t="shared" si="2"/>
        <v>78376</v>
      </c>
      <c r="O47" s="1821">
        <f>SUM(O48:O55)</f>
        <v>76454</v>
      </c>
      <c r="P47" s="1821">
        <f>SUM(P48:P55)</f>
        <v>1922</v>
      </c>
      <c r="Q47" s="1839">
        <f t="shared" si="7"/>
        <v>81006</v>
      </c>
      <c r="R47" s="1839">
        <f>SUM(R48:R55)</f>
        <v>78946</v>
      </c>
      <c r="S47" s="1839">
        <f>SUM(S48:S55)</f>
        <v>2060</v>
      </c>
    </row>
    <row r="48" spans="1:19">
      <c r="A48" s="53" t="s">
        <v>588</v>
      </c>
      <c r="B48" s="1204">
        <f t="shared" si="4"/>
        <v>24200</v>
      </c>
      <c r="C48" s="1204">
        <v>24166</v>
      </c>
      <c r="D48" s="1204">
        <v>34</v>
      </c>
      <c r="E48" s="1204">
        <f t="shared" si="5"/>
        <v>9076</v>
      </c>
      <c r="F48" s="1204">
        <v>9057</v>
      </c>
      <c r="G48" s="1204">
        <v>19</v>
      </c>
      <c r="H48" s="1204">
        <f t="shared" si="0"/>
        <v>5873</v>
      </c>
      <c r="I48" s="1204">
        <v>5851</v>
      </c>
      <c r="J48" s="1204">
        <v>22</v>
      </c>
      <c r="K48" s="1204">
        <f t="shared" si="1"/>
        <v>5779</v>
      </c>
      <c r="L48" s="1204">
        <v>5762</v>
      </c>
      <c r="M48" s="1204">
        <v>17</v>
      </c>
      <c r="N48" s="1204">
        <f t="shared" si="2"/>
        <v>7354</v>
      </c>
      <c r="O48" s="1204">
        <v>7296</v>
      </c>
      <c r="P48" s="1204">
        <v>58</v>
      </c>
      <c r="Q48" s="1840">
        <f t="shared" si="7"/>
        <v>8572</v>
      </c>
      <c r="R48" s="1840">
        <v>8547</v>
      </c>
      <c r="S48" s="1840">
        <v>25</v>
      </c>
    </row>
    <row r="49" spans="1:19">
      <c r="A49" s="53" t="s">
        <v>589</v>
      </c>
      <c r="B49" s="1204">
        <f t="shared" si="4"/>
        <v>11806</v>
      </c>
      <c r="C49" s="1204">
        <v>11723</v>
      </c>
      <c r="D49" s="1204">
        <v>83</v>
      </c>
      <c r="E49" s="1204">
        <f t="shared" si="5"/>
        <v>7723</v>
      </c>
      <c r="F49" s="1204">
        <v>7630</v>
      </c>
      <c r="G49" s="1204">
        <v>93</v>
      </c>
      <c r="H49" s="1204">
        <f t="shared" si="0"/>
        <v>7190</v>
      </c>
      <c r="I49" s="1204">
        <v>7088</v>
      </c>
      <c r="J49" s="1204">
        <v>102</v>
      </c>
      <c r="K49" s="1204">
        <f t="shared" si="1"/>
        <v>10947</v>
      </c>
      <c r="L49" s="1204">
        <v>10847</v>
      </c>
      <c r="M49" s="1204">
        <v>100</v>
      </c>
      <c r="N49" s="1204">
        <f t="shared" si="2"/>
        <v>13291</v>
      </c>
      <c r="O49" s="1204">
        <v>13213</v>
      </c>
      <c r="P49" s="1204">
        <v>78</v>
      </c>
      <c r="Q49" s="1840">
        <f t="shared" si="7"/>
        <v>11604</v>
      </c>
      <c r="R49" s="1840">
        <v>11418</v>
      </c>
      <c r="S49" s="1840">
        <v>186</v>
      </c>
    </row>
    <row r="50" spans="1:19">
      <c r="A50" s="53" t="s">
        <v>590</v>
      </c>
      <c r="B50" s="1204">
        <f t="shared" si="4"/>
        <v>2821</v>
      </c>
      <c r="C50" s="1204">
        <v>2787</v>
      </c>
      <c r="D50" s="1204">
        <v>34</v>
      </c>
      <c r="E50" s="1204">
        <f t="shared" si="5"/>
        <v>3027</v>
      </c>
      <c r="F50" s="1204">
        <v>2975</v>
      </c>
      <c r="G50" s="1204">
        <v>52</v>
      </c>
      <c r="H50" s="1204">
        <f t="shared" si="0"/>
        <v>2985</v>
      </c>
      <c r="I50" s="1204">
        <v>2915</v>
      </c>
      <c r="J50" s="1204">
        <v>70</v>
      </c>
      <c r="K50" s="1204">
        <f t="shared" si="1"/>
        <v>2945</v>
      </c>
      <c r="L50" s="1204">
        <v>2923</v>
      </c>
      <c r="M50" s="1204">
        <v>22</v>
      </c>
      <c r="N50" s="1204">
        <f t="shared" si="2"/>
        <v>3413</v>
      </c>
      <c r="O50" s="1204">
        <v>3408</v>
      </c>
      <c r="P50" s="1204">
        <v>5</v>
      </c>
      <c r="Q50" s="1840">
        <f t="shared" si="7"/>
        <v>3866</v>
      </c>
      <c r="R50" s="1840">
        <v>3852</v>
      </c>
      <c r="S50" s="1840">
        <v>14</v>
      </c>
    </row>
    <row r="51" spans="1:19">
      <c r="A51" s="53" t="s">
        <v>591</v>
      </c>
      <c r="B51" s="1204">
        <f t="shared" si="4"/>
        <v>308</v>
      </c>
      <c r="C51" s="1204">
        <v>308</v>
      </c>
      <c r="D51" s="1204">
        <v>0</v>
      </c>
      <c r="E51" s="1204">
        <f t="shared" si="5"/>
        <v>283</v>
      </c>
      <c r="F51" s="1204">
        <v>283</v>
      </c>
      <c r="G51" s="1204">
        <v>0</v>
      </c>
      <c r="H51" s="1204">
        <f t="shared" si="0"/>
        <v>285</v>
      </c>
      <c r="I51" s="1204">
        <v>285</v>
      </c>
      <c r="J51" s="1204">
        <v>0</v>
      </c>
      <c r="K51" s="1204">
        <f t="shared" si="1"/>
        <v>336</v>
      </c>
      <c r="L51" s="1204">
        <v>336</v>
      </c>
      <c r="M51" s="1204">
        <v>0</v>
      </c>
      <c r="N51" s="1204">
        <f t="shared" si="2"/>
        <v>360</v>
      </c>
      <c r="O51" s="1204">
        <v>360</v>
      </c>
      <c r="P51" s="1204">
        <v>0</v>
      </c>
      <c r="Q51" s="1840">
        <f t="shared" si="7"/>
        <v>1061</v>
      </c>
      <c r="R51" s="1840">
        <v>1053</v>
      </c>
      <c r="S51" s="1840">
        <v>8</v>
      </c>
    </row>
    <row r="52" spans="1:19">
      <c r="A52" s="53" t="s">
        <v>592</v>
      </c>
      <c r="B52" s="1204">
        <f t="shared" si="4"/>
        <v>126</v>
      </c>
      <c r="C52" s="1204">
        <v>115</v>
      </c>
      <c r="D52" s="1204">
        <v>11</v>
      </c>
      <c r="E52" s="1204">
        <f t="shared" si="5"/>
        <v>327</v>
      </c>
      <c r="F52" s="1204">
        <v>315</v>
      </c>
      <c r="G52" s="1204">
        <v>12</v>
      </c>
      <c r="H52" s="1204">
        <f t="shared" si="0"/>
        <v>442</v>
      </c>
      <c r="I52" s="1204">
        <v>430</v>
      </c>
      <c r="J52" s="1204">
        <v>12</v>
      </c>
      <c r="K52" s="1204">
        <f t="shared" si="1"/>
        <v>310</v>
      </c>
      <c r="L52" s="1204">
        <v>304</v>
      </c>
      <c r="M52" s="1204">
        <v>6</v>
      </c>
      <c r="N52" s="1204">
        <f t="shared" si="2"/>
        <v>228</v>
      </c>
      <c r="O52" s="1204">
        <v>213</v>
      </c>
      <c r="P52" s="1204">
        <v>15</v>
      </c>
      <c r="Q52" s="1840">
        <f t="shared" si="7"/>
        <v>241</v>
      </c>
      <c r="R52" s="1840">
        <v>239</v>
      </c>
      <c r="S52" s="1840">
        <v>2</v>
      </c>
    </row>
    <row r="53" spans="1:19">
      <c r="A53" s="53" t="s">
        <v>593</v>
      </c>
      <c r="B53" s="1204">
        <f t="shared" si="4"/>
        <v>12616</v>
      </c>
      <c r="C53" s="1204">
        <v>11408</v>
      </c>
      <c r="D53" s="1204">
        <v>1208</v>
      </c>
      <c r="E53" s="1204">
        <f t="shared" si="5"/>
        <v>11576</v>
      </c>
      <c r="F53" s="1204">
        <v>10693</v>
      </c>
      <c r="G53" s="1204">
        <v>883</v>
      </c>
      <c r="H53" s="1204">
        <f t="shared" si="0"/>
        <v>9017</v>
      </c>
      <c r="I53" s="1204">
        <v>7940</v>
      </c>
      <c r="J53" s="1204">
        <v>1077</v>
      </c>
      <c r="K53" s="1204">
        <f t="shared" si="1"/>
        <v>10354</v>
      </c>
      <c r="L53" s="1204">
        <v>9008</v>
      </c>
      <c r="M53" s="1204">
        <v>1346</v>
      </c>
      <c r="N53" s="1204">
        <f t="shared" si="2"/>
        <v>10954</v>
      </c>
      <c r="O53" s="1204">
        <v>10005</v>
      </c>
      <c r="P53" s="1204">
        <v>949</v>
      </c>
      <c r="Q53" s="1840">
        <f t="shared" si="7"/>
        <v>10558</v>
      </c>
      <c r="R53" s="1840">
        <v>9588</v>
      </c>
      <c r="S53" s="1840">
        <v>970</v>
      </c>
    </row>
    <row r="54" spans="1:19">
      <c r="A54" s="53" t="s">
        <v>594</v>
      </c>
      <c r="B54" s="1204">
        <f t="shared" si="4"/>
        <v>0</v>
      </c>
      <c r="C54" s="1204">
        <v>0</v>
      </c>
      <c r="D54" s="1204">
        <v>0</v>
      </c>
      <c r="E54" s="1204">
        <f t="shared" si="5"/>
        <v>0</v>
      </c>
      <c r="F54" s="1204">
        <v>0</v>
      </c>
      <c r="G54" s="1204">
        <v>0</v>
      </c>
      <c r="H54" s="1204">
        <f t="shared" si="0"/>
        <v>0</v>
      </c>
      <c r="I54" s="1204">
        <v>0</v>
      </c>
      <c r="J54" s="1204">
        <v>0</v>
      </c>
      <c r="K54" s="1204">
        <f t="shared" si="1"/>
        <v>0</v>
      </c>
      <c r="L54" s="1204">
        <v>0</v>
      </c>
      <c r="M54" s="1204">
        <v>0</v>
      </c>
      <c r="N54" s="1204">
        <f t="shared" si="2"/>
        <v>0</v>
      </c>
      <c r="O54" s="1204">
        <v>0</v>
      </c>
      <c r="P54" s="1204">
        <v>0</v>
      </c>
      <c r="Q54" s="1840">
        <f t="shared" si="7"/>
        <v>0</v>
      </c>
      <c r="R54" s="1840">
        <v>0</v>
      </c>
      <c r="S54" s="1840">
        <v>0</v>
      </c>
    </row>
    <row r="55" spans="1:19">
      <c r="A55" s="53" t="s">
        <v>661</v>
      </c>
      <c r="B55" s="1204">
        <f t="shared" si="4"/>
        <v>35632</v>
      </c>
      <c r="C55" s="1204">
        <v>34406</v>
      </c>
      <c r="D55" s="1204">
        <v>1226</v>
      </c>
      <c r="E55" s="1204">
        <f t="shared" si="5"/>
        <v>32488</v>
      </c>
      <c r="F55" s="1204">
        <v>31616</v>
      </c>
      <c r="G55" s="1204">
        <v>872</v>
      </c>
      <c r="H55" s="1204">
        <f t="shared" si="0"/>
        <v>35282</v>
      </c>
      <c r="I55" s="1204">
        <v>34391</v>
      </c>
      <c r="J55" s="1204">
        <v>891</v>
      </c>
      <c r="K55" s="1204">
        <f t="shared" si="1"/>
        <v>36654</v>
      </c>
      <c r="L55" s="1204">
        <v>35750</v>
      </c>
      <c r="M55" s="1204">
        <v>904</v>
      </c>
      <c r="N55" s="1204">
        <f t="shared" si="2"/>
        <v>42776</v>
      </c>
      <c r="O55" s="1204">
        <v>41959</v>
      </c>
      <c r="P55" s="1204">
        <v>817</v>
      </c>
      <c r="Q55" s="1840">
        <f t="shared" si="7"/>
        <v>45104</v>
      </c>
      <c r="R55" s="1840">
        <v>44249</v>
      </c>
      <c r="S55" s="1840">
        <v>855</v>
      </c>
    </row>
    <row r="56" spans="1:19" s="150" customFormat="1" ht="12.75" customHeight="1">
      <c r="A56" s="150" t="s">
        <v>16</v>
      </c>
      <c r="B56" s="1821">
        <f t="shared" si="4"/>
        <v>46221</v>
      </c>
      <c r="C56" s="1821">
        <f>SUM(C57:C63)</f>
        <v>45507</v>
      </c>
      <c r="D56" s="1821">
        <f>SUM(D57:D63)</f>
        <v>714</v>
      </c>
      <c r="E56" s="1821">
        <f t="shared" si="5"/>
        <v>49841</v>
      </c>
      <c r="F56" s="1821">
        <f>SUM(F57:F63)</f>
        <v>49058</v>
      </c>
      <c r="G56" s="1821">
        <f>SUM(G57:G63)</f>
        <v>783</v>
      </c>
      <c r="H56" s="1821">
        <f t="shared" si="0"/>
        <v>58769</v>
      </c>
      <c r="I56" s="1821">
        <f>SUM(I57:I63)</f>
        <v>57859</v>
      </c>
      <c r="J56" s="1821">
        <f>SUM(J57:J63)</f>
        <v>910</v>
      </c>
      <c r="K56" s="1821">
        <f t="shared" si="1"/>
        <v>61864</v>
      </c>
      <c r="L56" s="1821">
        <f>SUM(L57:L63)</f>
        <v>61076</v>
      </c>
      <c r="M56" s="1821">
        <f>SUM(M57:M63)</f>
        <v>788</v>
      </c>
      <c r="N56" s="1821">
        <f t="shared" si="2"/>
        <v>86274</v>
      </c>
      <c r="O56" s="1821">
        <f>SUM(O57:O63)</f>
        <v>85404</v>
      </c>
      <c r="P56" s="1821">
        <f>SUM(P57:P63)</f>
        <v>870</v>
      </c>
      <c r="Q56" s="1839">
        <f t="shared" si="7"/>
        <v>89078</v>
      </c>
      <c r="R56" s="1839">
        <f>SUM(R57:R63)</f>
        <v>88129</v>
      </c>
      <c r="S56" s="1839">
        <f>SUM(S57:S63)</f>
        <v>949</v>
      </c>
    </row>
    <row r="57" spans="1:19">
      <c r="A57" s="53" t="s">
        <v>596</v>
      </c>
      <c r="B57" s="1204">
        <f t="shared" si="4"/>
        <v>42349</v>
      </c>
      <c r="C57" s="1204">
        <v>41706</v>
      </c>
      <c r="D57" s="1204">
        <v>643</v>
      </c>
      <c r="E57" s="1204">
        <f t="shared" si="5"/>
        <v>43713</v>
      </c>
      <c r="F57" s="1204">
        <v>43001</v>
      </c>
      <c r="G57" s="1204">
        <v>712</v>
      </c>
      <c r="H57" s="1204">
        <f t="shared" si="0"/>
        <v>48271</v>
      </c>
      <c r="I57" s="1204">
        <v>47497</v>
      </c>
      <c r="J57" s="1204">
        <v>774</v>
      </c>
      <c r="K57" s="1204">
        <f t="shared" si="1"/>
        <v>48837</v>
      </c>
      <c r="L57" s="1204">
        <v>48229</v>
      </c>
      <c r="M57" s="1204">
        <v>608</v>
      </c>
      <c r="N57" s="1204">
        <f t="shared" si="2"/>
        <v>68480</v>
      </c>
      <c r="O57" s="1204">
        <v>67776</v>
      </c>
      <c r="P57" s="1204">
        <v>704</v>
      </c>
      <c r="Q57" s="1840">
        <f t="shared" si="7"/>
        <v>70887</v>
      </c>
      <c r="R57" s="1840">
        <v>70100</v>
      </c>
      <c r="S57" s="1840">
        <v>787</v>
      </c>
    </row>
    <row r="58" spans="1:19">
      <c r="A58" s="53" t="s">
        <v>597</v>
      </c>
      <c r="B58" s="1204">
        <f t="shared" si="4"/>
        <v>1245</v>
      </c>
      <c r="C58" s="1204">
        <v>1223</v>
      </c>
      <c r="D58" s="1204">
        <v>22</v>
      </c>
      <c r="E58" s="1204">
        <f t="shared" si="5"/>
        <v>1076</v>
      </c>
      <c r="F58" s="1204">
        <v>1061</v>
      </c>
      <c r="G58" s="1204">
        <v>15</v>
      </c>
      <c r="H58" s="1204">
        <f t="shared" si="0"/>
        <v>1377</v>
      </c>
      <c r="I58" s="1204">
        <v>1339</v>
      </c>
      <c r="J58" s="1204">
        <v>38</v>
      </c>
      <c r="K58" s="1204">
        <f t="shared" si="1"/>
        <v>1722</v>
      </c>
      <c r="L58" s="1204">
        <v>1686</v>
      </c>
      <c r="M58" s="1204">
        <v>36</v>
      </c>
      <c r="N58" s="1204">
        <f t="shared" si="2"/>
        <v>2074</v>
      </c>
      <c r="O58" s="1204">
        <v>2052</v>
      </c>
      <c r="P58" s="1204">
        <v>22</v>
      </c>
      <c r="Q58" s="1840">
        <f t="shared" si="7"/>
        <v>3415</v>
      </c>
      <c r="R58" s="1840">
        <v>3377</v>
      </c>
      <c r="S58" s="1840">
        <v>38</v>
      </c>
    </row>
    <row r="59" spans="1:19">
      <c r="A59" s="53" t="s">
        <v>662</v>
      </c>
      <c r="B59" s="1204">
        <f t="shared" si="4"/>
        <v>386</v>
      </c>
      <c r="C59" s="1204">
        <v>365</v>
      </c>
      <c r="D59" s="1204">
        <v>21</v>
      </c>
      <c r="E59" s="1204">
        <f t="shared" si="5"/>
        <v>183</v>
      </c>
      <c r="F59" s="1204">
        <v>162</v>
      </c>
      <c r="G59" s="1204">
        <v>21</v>
      </c>
      <c r="H59" s="1204">
        <f t="shared" si="0"/>
        <v>558</v>
      </c>
      <c r="I59" s="1204">
        <v>534</v>
      </c>
      <c r="J59" s="1204">
        <v>24</v>
      </c>
      <c r="K59" s="1204">
        <f t="shared" si="1"/>
        <v>716</v>
      </c>
      <c r="L59" s="1204">
        <v>622</v>
      </c>
      <c r="M59" s="1204">
        <v>94</v>
      </c>
      <c r="N59" s="1204">
        <f t="shared" si="2"/>
        <v>1364</v>
      </c>
      <c r="O59" s="1204">
        <v>1288</v>
      </c>
      <c r="P59" s="1204">
        <v>76</v>
      </c>
      <c r="Q59" s="1840">
        <f t="shared" si="7"/>
        <v>1083</v>
      </c>
      <c r="R59" s="1840">
        <v>1031</v>
      </c>
      <c r="S59" s="1840">
        <v>52</v>
      </c>
    </row>
    <row r="60" spans="1:19">
      <c r="A60" s="53" t="s">
        <v>599</v>
      </c>
      <c r="B60" s="1204">
        <f t="shared" si="4"/>
        <v>330</v>
      </c>
      <c r="C60" s="1204">
        <v>326</v>
      </c>
      <c r="D60" s="1204">
        <v>4</v>
      </c>
      <c r="E60" s="1204">
        <f t="shared" si="5"/>
        <v>290</v>
      </c>
      <c r="F60" s="1204">
        <v>290</v>
      </c>
      <c r="G60" s="1204">
        <v>0</v>
      </c>
      <c r="H60" s="1204">
        <f t="shared" si="0"/>
        <v>468</v>
      </c>
      <c r="I60" s="1204">
        <v>465</v>
      </c>
      <c r="J60" s="1204">
        <v>3</v>
      </c>
      <c r="K60" s="1204">
        <f t="shared" si="1"/>
        <v>427</v>
      </c>
      <c r="L60" s="1204">
        <v>425</v>
      </c>
      <c r="M60" s="1204">
        <v>2</v>
      </c>
      <c r="N60" s="1204">
        <f t="shared" si="2"/>
        <v>472</v>
      </c>
      <c r="O60" s="1204">
        <v>470</v>
      </c>
      <c r="P60" s="1204">
        <v>2</v>
      </c>
      <c r="Q60" s="1840">
        <f t="shared" si="7"/>
        <v>656</v>
      </c>
      <c r="R60" s="1840">
        <v>651</v>
      </c>
      <c r="S60" s="1840">
        <v>5</v>
      </c>
    </row>
    <row r="61" spans="1:19">
      <c r="A61" s="53" t="s">
        <v>600</v>
      </c>
      <c r="B61" s="1204">
        <f t="shared" si="4"/>
        <v>605</v>
      </c>
      <c r="C61" s="1204">
        <v>585</v>
      </c>
      <c r="D61" s="1204">
        <v>20</v>
      </c>
      <c r="E61" s="1204">
        <f t="shared" si="5"/>
        <v>534</v>
      </c>
      <c r="F61" s="1204">
        <v>516</v>
      </c>
      <c r="G61" s="1204">
        <v>18</v>
      </c>
      <c r="H61" s="1204">
        <f t="shared" si="0"/>
        <v>643</v>
      </c>
      <c r="I61" s="1204">
        <v>630</v>
      </c>
      <c r="J61" s="1204">
        <v>13</v>
      </c>
      <c r="K61" s="1204">
        <f t="shared" si="1"/>
        <v>672</v>
      </c>
      <c r="L61" s="1204">
        <v>658</v>
      </c>
      <c r="M61" s="1204">
        <v>14</v>
      </c>
      <c r="N61" s="1204">
        <f t="shared" si="2"/>
        <v>871</v>
      </c>
      <c r="O61" s="1204">
        <v>870</v>
      </c>
      <c r="P61" s="1204">
        <v>1</v>
      </c>
      <c r="Q61" s="1840">
        <f t="shared" si="7"/>
        <v>827</v>
      </c>
      <c r="R61" s="1840">
        <v>815</v>
      </c>
      <c r="S61" s="1840">
        <v>12</v>
      </c>
    </row>
    <row r="62" spans="1:19">
      <c r="A62" s="53" t="s">
        <v>601</v>
      </c>
      <c r="B62" s="1204">
        <f t="shared" si="4"/>
        <v>1306</v>
      </c>
      <c r="C62" s="1204">
        <v>1302</v>
      </c>
      <c r="D62" s="1204">
        <v>4</v>
      </c>
      <c r="E62" s="1204">
        <f t="shared" si="5"/>
        <v>4045</v>
      </c>
      <c r="F62" s="1204">
        <v>4028</v>
      </c>
      <c r="G62" s="1204">
        <v>17</v>
      </c>
      <c r="H62" s="1204">
        <f t="shared" si="0"/>
        <v>7452</v>
      </c>
      <c r="I62" s="1204">
        <v>7394</v>
      </c>
      <c r="J62" s="1204">
        <v>58</v>
      </c>
      <c r="K62" s="1204">
        <f t="shared" si="1"/>
        <v>9490</v>
      </c>
      <c r="L62" s="1204">
        <v>9456</v>
      </c>
      <c r="M62" s="1204">
        <v>34</v>
      </c>
      <c r="N62" s="1204">
        <f t="shared" si="2"/>
        <v>12839</v>
      </c>
      <c r="O62" s="1204">
        <v>12774</v>
      </c>
      <c r="P62" s="1204">
        <v>65</v>
      </c>
      <c r="Q62" s="1840">
        <f t="shared" si="7"/>
        <v>11864</v>
      </c>
      <c r="R62" s="1840">
        <v>11815</v>
      </c>
      <c r="S62" s="1840">
        <v>49</v>
      </c>
    </row>
    <row r="63" spans="1:19">
      <c r="A63" s="53" t="s">
        <v>602</v>
      </c>
      <c r="B63" s="1204">
        <f t="shared" si="4"/>
        <v>0</v>
      </c>
      <c r="C63" s="1204">
        <v>0</v>
      </c>
      <c r="D63" s="1204">
        <v>0</v>
      </c>
      <c r="E63" s="1204">
        <f t="shared" si="5"/>
        <v>0</v>
      </c>
      <c r="F63" s="1204">
        <v>0</v>
      </c>
      <c r="G63" s="1204">
        <v>0</v>
      </c>
      <c r="H63" s="1204">
        <f t="shared" si="0"/>
        <v>0</v>
      </c>
      <c r="I63" s="1204">
        <v>0</v>
      </c>
      <c r="J63" s="1204">
        <v>0</v>
      </c>
      <c r="K63" s="1204">
        <f t="shared" si="1"/>
        <v>0</v>
      </c>
      <c r="L63" s="1204">
        <v>0</v>
      </c>
      <c r="M63" s="1204">
        <v>0</v>
      </c>
      <c r="N63" s="1204">
        <f t="shared" si="2"/>
        <v>174</v>
      </c>
      <c r="O63" s="1204">
        <v>174</v>
      </c>
      <c r="P63" s="1204">
        <v>0</v>
      </c>
      <c r="Q63" s="1840">
        <f t="shared" si="7"/>
        <v>346</v>
      </c>
      <c r="R63" s="1840">
        <v>340</v>
      </c>
      <c r="S63" s="1840">
        <v>6</v>
      </c>
    </row>
    <row r="64" spans="1:19" s="150" customFormat="1" ht="12.75" customHeight="1">
      <c r="A64" s="150" t="s">
        <v>379</v>
      </c>
      <c r="B64" s="1821">
        <f t="shared" si="4"/>
        <v>197695</v>
      </c>
      <c r="C64" s="1821">
        <f>SUM(C65:C77)</f>
        <v>164308</v>
      </c>
      <c r="D64" s="1821">
        <f>SUM(D65:D77)</f>
        <v>33387</v>
      </c>
      <c r="E64" s="1821">
        <f t="shared" si="5"/>
        <v>228921</v>
      </c>
      <c r="F64" s="1821">
        <f>SUM(F65:F77)</f>
        <v>194891</v>
      </c>
      <c r="G64" s="1821">
        <f>SUM(G65:G77)</f>
        <v>34030</v>
      </c>
      <c r="H64" s="1821">
        <f t="shared" si="0"/>
        <v>262021</v>
      </c>
      <c r="I64" s="1821">
        <f>SUM(I65:I77)</f>
        <v>222795</v>
      </c>
      <c r="J64" s="1821">
        <f>SUM(J65:J77)</f>
        <v>39226</v>
      </c>
      <c r="K64" s="1821">
        <f t="shared" si="1"/>
        <v>371883</v>
      </c>
      <c r="L64" s="1821">
        <f>SUM(L65:L77)</f>
        <v>322661</v>
      </c>
      <c r="M64" s="1821">
        <f>SUM(M65:M77)</f>
        <v>49222</v>
      </c>
      <c r="N64" s="1821">
        <f t="shared" si="2"/>
        <v>462349</v>
      </c>
      <c r="O64" s="1821">
        <f>SUM(O65:O77)</f>
        <v>414277</v>
      </c>
      <c r="P64" s="1821">
        <f>SUM(P65:P77)</f>
        <v>48072</v>
      </c>
      <c r="Q64" s="1839">
        <f t="shared" si="7"/>
        <v>437857</v>
      </c>
      <c r="R64" s="1839">
        <f>SUM(R65:R77)</f>
        <v>386474</v>
      </c>
      <c r="S64" s="1839">
        <f>SUM(S65:S77)</f>
        <v>51383</v>
      </c>
    </row>
    <row r="65" spans="1:20">
      <c r="A65" s="53" t="s">
        <v>603</v>
      </c>
      <c r="B65" s="1204">
        <f t="shared" si="4"/>
        <v>36194</v>
      </c>
      <c r="C65" s="1204">
        <v>33412</v>
      </c>
      <c r="D65" s="1204">
        <v>2782</v>
      </c>
      <c r="E65" s="1204">
        <f t="shared" si="5"/>
        <v>31129</v>
      </c>
      <c r="F65" s="1204">
        <v>28612</v>
      </c>
      <c r="G65" s="1204">
        <v>2517</v>
      </c>
      <c r="H65" s="1204">
        <f t="shared" si="0"/>
        <v>37593</v>
      </c>
      <c r="I65" s="1204">
        <v>34742</v>
      </c>
      <c r="J65" s="1204">
        <v>2851</v>
      </c>
      <c r="K65" s="1204">
        <f t="shared" si="1"/>
        <v>59823</v>
      </c>
      <c r="L65" s="1204">
        <v>55318</v>
      </c>
      <c r="M65" s="1204">
        <v>4505</v>
      </c>
      <c r="N65" s="1204">
        <f t="shared" si="2"/>
        <v>81739</v>
      </c>
      <c r="O65" s="1204">
        <v>78150</v>
      </c>
      <c r="P65" s="1204">
        <v>3589</v>
      </c>
      <c r="Q65" s="1840">
        <f t="shared" si="7"/>
        <v>71010</v>
      </c>
      <c r="R65" s="1840">
        <v>67674</v>
      </c>
      <c r="S65" s="1840">
        <v>3336</v>
      </c>
    </row>
    <row r="66" spans="1:20">
      <c r="A66" s="53" t="s">
        <v>604</v>
      </c>
      <c r="B66" s="1204">
        <f t="shared" si="4"/>
        <v>23790</v>
      </c>
      <c r="C66" s="1204">
        <v>14715</v>
      </c>
      <c r="D66" s="1204">
        <v>9075</v>
      </c>
      <c r="E66" s="1204">
        <f t="shared" si="5"/>
        <v>22533</v>
      </c>
      <c r="F66" s="1204">
        <v>14060</v>
      </c>
      <c r="G66" s="1204">
        <v>8473</v>
      </c>
      <c r="H66" s="1204">
        <f t="shared" si="0"/>
        <v>23614</v>
      </c>
      <c r="I66" s="1204">
        <v>15360</v>
      </c>
      <c r="J66" s="1204">
        <v>8254</v>
      </c>
      <c r="K66" s="1204">
        <f t="shared" si="1"/>
        <v>32103</v>
      </c>
      <c r="L66" s="1204">
        <v>21606</v>
      </c>
      <c r="M66" s="1204">
        <v>10497</v>
      </c>
      <c r="N66" s="1204">
        <f t="shared" si="2"/>
        <v>35026</v>
      </c>
      <c r="O66" s="1204">
        <v>25156</v>
      </c>
      <c r="P66" s="1204">
        <v>9870</v>
      </c>
      <c r="Q66" s="1840">
        <f t="shared" si="7"/>
        <v>40829</v>
      </c>
      <c r="R66" s="1840">
        <v>29927</v>
      </c>
      <c r="S66" s="1840">
        <v>10902</v>
      </c>
    </row>
    <row r="67" spans="1:20">
      <c r="A67" s="53" t="s">
        <v>605</v>
      </c>
      <c r="B67" s="1204">
        <f t="shared" si="4"/>
        <v>7500</v>
      </c>
      <c r="C67" s="1204">
        <v>7245</v>
      </c>
      <c r="D67" s="1204">
        <v>255</v>
      </c>
      <c r="E67" s="1204">
        <f t="shared" si="5"/>
        <v>7626</v>
      </c>
      <c r="F67" s="1204">
        <v>7288</v>
      </c>
      <c r="G67" s="1204">
        <v>338</v>
      </c>
      <c r="H67" s="1204">
        <f t="shared" si="0"/>
        <v>9061</v>
      </c>
      <c r="I67" s="1204">
        <v>8887</v>
      </c>
      <c r="J67" s="1204">
        <v>174</v>
      </c>
      <c r="K67" s="1204">
        <f t="shared" si="1"/>
        <v>11832</v>
      </c>
      <c r="L67" s="1204">
        <v>11613</v>
      </c>
      <c r="M67" s="1204">
        <v>219</v>
      </c>
      <c r="N67" s="1204">
        <f t="shared" si="2"/>
        <v>14669</v>
      </c>
      <c r="O67" s="1204">
        <v>14336</v>
      </c>
      <c r="P67" s="1204">
        <v>333</v>
      </c>
      <c r="Q67" s="1840">
        <f t="shared" si="7"/>
        <v>13645</v>
      </c>
      <c r="R67" s="1840">
        <v>13457</v>
      </c>
      <c r="S67" s="1840">
        <v>188</v>
      </c>
    </row>
    <row r="68" spans="1:20">
      <c r="A68" s="53" t="s">
        <v>606</v>
      </c>
      <c r="B68" s="1204">
        <f t="shared" si="4"/>
        <v>2021</v>
      </c>
      <c r="C68" s="1204">
        <v>1940</v>
      </c>
      <c r="D68" s="1204">
        <v>81</v>
      </c>
      <c r="E68" s="1204">
        <f t="shared" si="5"/>
        <v>1674</v>
      </c>
      <c r="F68" s="1204">
        <v>1621</v>
      </c>
      <c r="G68" s="1204">
        <v>53</v>
      </c>
      <c r="H68" s="1204">
        <f t="shared" si="0"/>
        <v>4799</v>
      </c>
      <c r="I68" s="1204">
        <v>4672</v>
      </c>
      <c r="J68" s="1204">
        <v>127</v>
      </c>
      <c r="K68" s="1204">
        <f t="shared" si="1"/>
        <v>4594</v>
      </c>
      <c r="L68" s="1204">
        <v>4349</v>
      </c>
      <c r="M68" s="1204">
        <v>245</v>
      </c>
      <c r="N68" s="1204">
        <f t="shared" si="2"/>
        <v>6956</v>
      </c>
      <c r="O68" s="1204">
        <v>6583</v>
      </c>
      <c r="P68" s="1204">
        <v>373</v>
      </c>
      <c r="Q68" s="1840">
        <f t="shared" si="7"/>
        <v>8687</v>
      </c>
      <c r="R68" s="1840">
        <v>8381</v>
      </c>
      <c r="S68" s="1840">
        <v>306</v>
      </c>
    </row>
    <row r="69" spans="1:20">
      <c r="A69" s="53" t="s">
        <v>607</v>
      </c>
      <c r="B69" s="1204">
        <f t="shared" si="4"/>
        <v>49109</v>
      </c>
      <c r="C69" s="1204">
        <v>30018</v>
      </c>
      <c r="D69" s="1204">
        <v>19091</v>
      </c>
      <c r="E69" s="1204">
        <f t="shared" si="5"/>
        <v>80669</v>
      </c>
      <c r="F69" s="1204">
        <v>60349</v>
      </c>
      <c r="G69" s="1204">
        <v>20320</v>
      </c>
      <c r="H69" s="1204">
        <f t="shared" si="0"/>
        <v>85602</v>
      </c>
      <c r="I69" s="1204">
        <v>61965</v>
      </c>
      <c r="J69" s="1204">
        <v>23637</v>
      </c>
      <c r="K69" s="1204">
        <f t="shared" si="1"/>
        <v>115761</v>
      </c>
      <c r="L69" s="1204">
        <v>86183</v>
      </c>
      <c r="M69" s="1204">
        <v>29578</v>
      </c>
      <c r="N69" s="1204">
        <f t="shared" si="2"/>
        <v>136014</v>
      </c>
      <c r="O69" s="1204">
        <v>108888</v>
      </c>
      <c r="P69" s="1204">
        <v>27126</v>
      </c>
      <c r="Q69" s="1840">
        <f t="shared" si="7"/>
        <v>129373</v>
      </c>
      <c r="R69" s="1840">
        <v>99231</v>
      </c>
      <c r="S69" s="1840">
        <v>30142</v>
      </c>
    </row>
    <row r="70" spans="1:20">
      <c r="A70" s="53" t="s">
        <v>608</v>
      </c>
      <c r="B70" s="1204">
        <f t="shared" si="4"/>
        <v>6</v>
      </c>
      <c r="C70" s="1204">
        <v>6</v>
      </c>
      <c r="D70" s="1204">
        <v>0</v>
      </c>
      <c r="E70" s="1204">
        <f t="shared" si="5"/>
        <v>20</v>
      </c>
      <c r="F70" s="1204">
        <v>20</v>
      </c>
      <c r="G70" s="1204">
        <v>0</v>
      </c>
      <c r="H70" s="1204">
        <f t="shared" si="0"/>
        <v>16</v>
      </c>
      <c r="I70" s="1204">
        <v>16</v>
      </c>
      <c r="J70" s="1204">
        <v>0</v>
      </c>
      <c r="K70" s="1204">
        <f t="shared" si="1"/>
        <v>50</v>
      </c>
      <c r="L70" s="1204">
        <v>50</v>
      </c>
      <c r="M70" s="1204">
        <v>0</v>
      </c>
      <c r="N70" s="1204">
        <f t="shared" si="2"/>
        <v>64</v>
      </c>
      <c r="O70" s="1204">
        <v>64</v>
      </c>
      <c r="P70" s="1204">
        <v>0</v>
      </c>
      <c r="Q70" s="1840">
        <f t="shared" si="7"/>
        <v>102</v>
      </c>
      <c r="R70" s="1840">
        <v>102</v>
      </c>
      <c r="S70" s="1840">
        <v>0</v>
      </c>
    </row>
    <row r="71" spans="1:20">
      <c r="A71" s="53" t="s">
        <v>609</v>
      </c>
      <c r="B71" s="1204">
        <f t="shared" si="4"/>
        <v>0</v>
      </c>
      <c r="C71" s="1204">
        <v>0</v>
      </c>
      <c r="D71" s="1204">
        <v>0</v>
      </c>
      <c r="E71" s="1204">
        <f t="shared" si="5"/>
        <v>0</v>
      </c>
      <c r="F71" s="1204">
        <v>0</v>
      </c>
      <c r="G71" s="1204">
        <v>0</v>
      </c>
      <c r="H71" s="1204">
        <f t="shared" ref="H71:H124" si="8">SUM(I71:J71)</f>
        <v>0</v>
      </c>
      <c r="I71" s="1204">
        <v>0</v>
      </c>
      <c r="J71" s="1204">
        <v>0</v>
      </c>
      <c r="K71" s="1204">
        <f t="shared" ref="K71:K124" si="9">SUM(L71:M71)</f>
        <v>0</v>
      </c>
      <c r="L71" s="1204">
        <v>0</v>
      </c>
      <c r="M71" s="1204">
        <v>0</v>
      </c>
      <c r="N71" s="1204">
        <f t="shared" ref="N71:N123" si="10">SUM(O71:P71)</f>
        <v>0</v>
      </c>
      <c r="O71" s="1204">
        <v>0</v>
      </c>
      <c r="P71" s="1204">
        <v>0</v>
      </c>
      <c r="Q71" s="1840">
        <f t="shared" si="7"/>
        <v>0</v>
      </c>
      <c r="R71" s="1840">
        <v>0</v>
      </c>
      <c r="S71" s="1840">
        <v>0</v>
      </c>
    </row>
    <row r="72" spans="1:20">
      <c r="A72" s="53" t="s">
        <v>610</v>
      </c>
      <c r="B72" s="1204">
        <f t="shared" ref="B72:B124" si="11">SUM(C72:D72)</f>
        <v>22651</v>
      </c>
      <c r="C72" s="1204">
        <v>22028</v>
      </c>
      <c r="D72" s="1204">
        <v>623</v>
      </c>
      <c r="E72" s="1204">
        <f t="shared" si="5"/>
        <v>24796</v>
      </c>
      <c r="F72" s="1204">
        <v>23836</v>
      </c>
      <c r="G72" s="1204">
        <v>960</v>
      </c>
      <c r="H72" s="1204">
        <f t="shared" si="8"/>
        <v>29447</v>
      </c>
      <c r="I72" s="1204">
        <v>28111</v>
      </c>
      <c r="J72" s="1204">
        <v>1336</v>
      </c>
      <c r="K72" s="1204">
        <f t="shared" si="9"/>
        <v>55641</v>
      </c>
      <c r="L72" s="1204">
        <v>54124</v>
      </c>
      <c r="M72" s="1204">
        <v>1517</v>
      </c>
      <c r="N72" s="1204">
        <f t="shared" si="10"/>
        <v>84539</v>
      </c>
      <c r="O72" s="1204">
        <v>82576</v>
      </c>
      <c r="P72" s="1204">
        <v>1963</v>
      </c>
      <c r="Q72" s="1840">
        <f t="shared" si="7"/>
        <v>84924</v>
      </c>
      <c r="R72" s="1840">
        <v>82164</v>
      </c>
      <c r="S72" s="1840">
        <v>2760</v>
      </c>
    </row>
    <row r="73" spans="1:20">
      <c r="A73" s="53" t="s">
        <v>611</v>
      </c>
      <c r="B73" s="1204">
        <f t="shared" si="11"/>
        <v>23</v>
      </c>
      <c r="C73" s="1204">
        <v>23</v>
      </c>
      <c r="D73" s="1204">
        <v>0</v>
      </c>
      <c r="E73" s="1204">
        <f t="shared" ref="E73:E124" si="12">SUM(F73:G73)</f>
        <v>0</v>
      </c>
      <c r="F73" s="1204">
        <v>0</v>
      </c>
      <c r="G73" s="1204">
        <v>0</v>
      </c>
      <c r="H73" s="1204">
        <f t="shared" si="8"/>
        <v>0</v>
      </c>
      <c r="I73" s="1204">
        <v>0</v>
      </c>
      <c r="J73" s="1204">
        <v>0</v>
      </c>
      <c r="K73" s="1204">
        <f t="shared" si="9"/>
        <v>341</v>
      </c>
      <c r="L73" s="1204">
        <v>340</v>
      </c>
      <c r="M73" s="1204">
        <v>1</v>
      </c>
      <c r="N73" s="1204">
        <f t="shared" si="10"/>
        <v>624</v>
      </c>
      <c r="O73" s="1204">
        <v>624</v>
      </c>
      <c r="P73" s="1204">
        <v>0</v>
      </c>
      <c r="Q73" s="1840">
        <f t="shared" si="7"/>
        <v>820</v>
      </c>
      <c r="R73" s="1840">
        <v>820</v>
      </c>
      <c r="S73" s="1842">
        <v>0</v>
      </c>
    </row>
    <row r="74" spans="1:20">
      <c r="A74" s="53" t="s">
        <v>612</v>
      </c>
      <c r="B74" s="1204">
        <f t="shared" si="11"/>
        <v>0</v>
      </c>
      <c r="C74" s="1204">
        <v>0</v>
      </c>
      <c r="D74" s="1204">
        <v>0</v>
      </c>
      <c r="E74" s="1204">
        <f t="shared" si="12"/>
        <v>0</v>
      </c>
      <c r="F74" s="1204">
        <v>0</v>
      </c>
      <c r="G74" s="1204">
        <v>0</v>
      </c>
      <c r="H74" s="1204">
        <f t="shared" si="8"/>
        <v>60</v>
      </c>
      <c r="I74" s="1204">
        <v>56</v>
      </c>
      <c r="J74" s="1204">
        <v>4</v>
      </c>
      <c r="K74" s="1204">
        <f t="shared" si="9"/>
        <v>0</v>
      </c>
      <c r="L74" s="1204">
        <v>0</v>
      </c>
      <c r="M74" s="1204">
        <v>0</v>
      </c>
      <c r="N74" s="1204">
        <f t="shared" si="10"/>
        <v>0</v>
      </c>
      <c r="O74" s="1204">
        <v>0</v>
      </c>
      <c r="P74" s="1204">
        <v>0</v>
      </c>
      <c r="Q74" s="1840">
        <f t="shared" si="7"/>
        <v>0</v>
      </c>
      <c r="R74" s="1840">
        <v>0</v>
      </c>
      <c r="S74" s="1840">
        <v>0</v>
      </c>
    </row>
    <row r="75" spans="1:20">
      <c r="A75" s="53" t="s">
        <v>613</v>
      </c>
      <c r="B75" s="1204">
        <f t="shared" si="11"/>
        <v>158</v>
      </c>
      <c r="C75" s="1204">
        <v>158</v>
      </c>
      <c r="D75" s="1204">
        <v>0</v>
      </c>
      <c r="E75" s="1204">
        <f t="shared" si="12"/>
        <v>531</v>
      </c>
      <c r="F75" s="1204">
        <v>510</v>
      </c>
      <c r="G75" s="1204">
        <v>21</v>
      </c>
      <c r="H75" s="1204">
        <f t="shared" si="8"/>
        <v>31</v>
      </c>
      <c r="I75" s="1204">
        <v>31</v>
      </c>
      <c r="J75" s="1204">
        <v>0</v>
      </c>
      <c r="K75" s="1204">
        <f t="shared" si="9"/>
        <v>3954</v>
      </c>
      <c r="L75" s="1204">
        <v>3145</v>
      </c>
      <c r="M75" s="1204">
        <v>809</v>
      </c>
      <c r="N75" s="1204">
        <f t="shared" si="10"/>
        <v>11207</v>
      </c>
      <c r="O75" s="1204">
        <v>8315</v>
      </c>
      <c r="P75" s="1204">
        <v>2892</v>
      </c>
      <c r="Q75" s="1840">
        <f t="shared" si="7"/>
        <v>8751</v>
      </c>
      <c r="R75" s="1840">
        <v>6744</v>
      </c>
      <c r="S75" s="1840">
        <v>2007</v>
      </c>
    </row>
    <row r="76" spans="1:20">
      <c r="A76" s="53" t="s">
        <v>614</v>
      </c>
      <c r="B76" s="1204">
        <f t="shared" si="11"/>
        <v>1273</v>
      </c>
      <c r="C76" s="1204">
        <v>1255</v>
      </c>
      <c r="D76" s="1204">
        <v>18</v>
      </c>
      <c r="E76" s="1204">
        <f t="shared" si="12"/>
        <v>1339</v>
      </c>
      <c r="F76" s="1204">
        <v>1285</v>
      </c>
      <c r="G76" s="1204">
        <v>54</v>
      </c>
      <c r="H76" s="1204">
        <f t="shared" si="8"/>
        <v>2335</v>
      </c>
      <c r="I76" s="1204">
        <v>2297</v>
      </c>
      <c r="J76" s="1204">
        <v>38</v>
      </c>
      <c r="K76" s="1204">
        <f t="shared" si="9"/>
        <v>2731</v>
      </c>
      <c r="L76" s="1204">
        <v>2656</v>
      </c>
      <c r="M76" s="1204">
        <v>75</v>
      </c>
      <c r="N76" s="1204">
        <f t="shared" si="10"/>
        <v>5656</v>
      </c>
      <c r="O76" s="1204">
        <v>5505</v>
      </c>
      <c r="P76" s="1204">
        <v>151</v>
      </c>
      <c r="Q76" s="1840">
        <f t="shared" si="7"/>
        <v>6244</v>
      </c>
      <c r="R76" s="1840">
        <v>6094</v>
      </c>
      <c r="S76" s="1840">
        <v>150</v>
      </c>
    </row>
    <row r="77" spans="1:20">
      <c r="A77" s="53" t="s">
        <v>615</v>
      </c>
      <c r="B77" s="1204">
        <f t="shared" si="11"/>
        <v>54970</v>
      </c>
      <c r="C77" s="1204">
        <v>53508</v>
      </c>
      <c r="D77" s="1204">
        <v>1462</v>
      </c>
      <c r="E77" s="1204">
        <f t="shared" si="12"/>
        <v>58604</v>
      </c>
      <c r="F77" s="1204">
        <v>57310</v>
      </c>
      <c r="G77" s="1204">
        <v>1294</v>
      </c>
      <c r="H77" s="1204">
        <f t="shared" si="8"/>
        <v>69463</v>
      </c>
      <c r="I77" s="1204">
        <v>66658</v>
      </c>
      <c r="J77" s="1204">
        <v>2805</v>
      </c>
      <c r="K77" s="1204">
        <f t="shared" si="9"/>
        <v>85053</v>
      </c>
      <c r="L77" s="1204">
        <v>83277</v>
      </c>
      <c r="M77" s="1204">
        <v>1776</v>
      </c>
      <c r="N77" s="1204">
        <f t="shared" si="10"/>
        <v>85855</v>
      </c>
      <c r="O77" s="1204">
        <v>84080</v>
      </c>
      <c r="P77" s="1204">
        <v>1775</v>
      </c>
      <c r="Q77" s="1840">
        <f t="shared" si="7"/>
        <v>73472</v>
      </c>
      <c r="R77" s="1840">
        <v>71880</v>
      </c>
      <c r="S77" s="1840">
        <v>1592</v>
      </c>
    </row>
    <row r="78" spans="1:20" s="150" customFormat="1" ht="12.75" customHeight="1">
      <c r="A78" s="150" t="s">
        <v>18</v>
      </c>
      <c r="B78" s="1821">
        <f t="shared" si="11"/>
        <v>345</v>
      </c>
      <c r="C78" s="1821">
        <f>SUM(C79:C80)</f>
        <v>331</v>
      </c>
      <c r="D78" s="1821">
        <f>SUM(D79:D80)</f>
        <v>14</v>
      </c>
      <c r="E78" s="1821">
        <f t="shared" si="12"/>
        <v>376</v>
      </c>
      <c r="F78" s="1821">
        <f>SUM(F79:F80)</f>
        <v>361</v>
      </c>
      <c r="G78" s="1821">
        <f>SUM(G79:G80)</f>
        <v>15</v>
      </c>
      <c r="H78" s="1821">
        <f t="shared" si="8"/>
        <v>1159</v>
      </c>
      <c r="I78" s="1821">
        <f>SUM(I79:I80)</f>
        <v>1095</v>
      </c>
      <c r="J78" s="1821">
        <f>SUM(J79:J80)</f>
        <v>64</v>
      </c>
      <c r="K78" s="1821">
        <f t="shared" si="9"/>
        <v>1221</v>
      </c>
      <c r="L78" s="1821">
        <f>SUM(L79:L80)</f>
        <v>1183</v>
      </c>
      <c r="M78" s="1821">
        <f>SUM(M79:M80)</f>
        <v>38</v>
      </c>
      <c r="N78" s="1821">
        <f t="shared" si="10"/>
        <v>2322</v>
      </c>
      <c r="O78" s="1821">
        <f>SUM(O79:O80)</f>
        <v>2198</v>
      </c>
      <c r="P78" s="1821">
        <f>SUM(P79:P80)</f>
        <v>124</v>
      </c>
      <c r="Q78" s="1839">
        <f t="shared" si="7"/>
        <v>4521</v>
      </c>
      <c r="R78" s="1839">
        <f>SUM(R79:R80)</f>
        <v>4394</v>
      </c>
      <c r="S78" s="1839">
        <f>SUM(S79:S80)</f>
        <v>127</v>
      </c>
      <c r="T78" s="1821"/>
    </row>
    <row r="79" spans="1:20">
      <c r="A79" s="53" t="s">
        <v>616</v>
      </c>
      <c r="B79" s="1204">
        <f t="shared" si="11"/>
        <v>0</v>
      </c>
      <c r="C79" s="1204">
        <v>0</v>
      </c>
      <c r="D79" s="1204">
        <v>0</v>
      </c>
      <c r="E79" s="1204">
        <f t="shared" si="12"/>
        <v>0</v>
      </c>
      <c r="F79" s="1204">
        <v>0</v>
      </c>
      <c r="G79" s="1204">
        <v>0</v>
      </c>
      <c r="H79" s="1204">
        <f t="shared" si="8"/>
        <v>869</v>
      </c>
      <c r="I79" s="1204">
        <v>813</v>
      </c>
      <c r="J79" s="1204">
        <v>56</v>
      </c>
      <c r="K79" s="1204">
        <f t="shared" si="9"/>
        <v>528</v>
      </c>
      <c r="L79" s="1204">
        <v>509</v>
      </c>
      <c r="M79" s="1204">
        <v>19</v>
      </c>
      <c r="N79" s="1204">
        <f t="shared" si="10"/>
        <v>1198</v>
      </c>
      <c r="O79" s="1204">
        <v>1125</v>
      </c>
      <c r="P79" s="1204">
        <v>73</v>
      </c>
      <c r="Q79" s="1840">
        <f t="shared" si="7"/>
        <v>1125</v>
      </c>
      <c r="R79" s="1840">
        <v>1088</v>
      </c>
      <c r="S79" s="1840">
        <v>37</v>
      </c>
    </row>
    <row r="80" spans="1:20">
      <c r="A80" s="53" t="s">
        <v>617</v>
      </c>
      <c r="B80" s="1204">
        <f t="shared" si="11"/>
        <v>345</v>
      </c>
      <c r="C80" s="1204">
        <v>331</v>
      </c>
      <c r="D80" s="1204">
        <v>14</v>
      </c>
      <c r="E80" s="1204">
        <f t="shared" si="12"/>
        <v>376</v>
      </c>
      <c r="F80" s="1204">
        <v>361</v>
      </c>
      <c r="G80" s="1204">
        <v>15</v>
      </c>
      <c r="H80" s="1204">
        <f t="shared" si="8"/>
        <v>290</v>
      </c>
      <c r="I80" s="1204">
        <v>282</v>
      </c>
      <c r="J80" s="1204">
        <v>8</v>
      </c>
      <c r="K80" s="1204">
        <f t="shared" si="9"/>
        <v>693</v>
      </c>
      <c r="L80" s="1204">
        <v>674</v>
      </c>
      <c r="M80" s="1204">
        <v>19</v>
      </c>
      <c r="N80" s="1204">
        <f t="shared" si="10"/>
        <v>1124</v>
      </c>
      <c r="O80" s="1204">
        <v>1073</v>
      </c>
      <c r="P80" s="1204">
        <v>51</v>
      </c>
      <c r="Q80" s="1840">
        <f t="shared" si="7"/>
        <v>3396</v>
      </c>
      <c r="R80" s="1840">
        <v>3306</v>
      </c>
      <c r="S80" s="1840">
        <v>90</v>
      </c>
    </row>
    <row r="81" spans="1:19" s="150" customFormat="1" ht="12.75" customHeight="1">
      <c r="A81" s="150" t="s">
        <v>19</v>
      </c>
      <c r="B81" s="1821">
        <f t="shared" si="11"/>
        <v>794363</v>
      </c>
      <c r="C81" s="1821">
        <f>SUM(C82:C92)</f>
        <v>544260</v>
      </c>
      <c r="D81" s="1821">
        <f>SUM(D82:D92)</f>
        <v>250103</v>
      </c>
      <c r="E81" s="1821">
        <f t="shared" si="12"/>
        <v>486725</v>
      </c>
      <c r="F81" s="1821">
        <f>SUM(F82:F92)</f>
        <v>336215</v>
      </c>
      <c r="G81" s="1821">
        <f>SUM(G82:G92)</f>
        <v>150510</v>
      </c>
      <c r="H81" s="1821">
        <f t="shared" si="8"/>
        <v>430663</v>
      </c>
      <c r="I81" s="1821">
        <f>SUM(I82:I92)</f>
        <v>337700</v>
      </c>
      <c r="J81" s="1821">
        <f>SUM(J82:J92)</f>
        <v>92963</v>
      </c>
      <c r="K81" s="1821">
        <f t="shared" si="9"/>
        <v>514248</v>
      </c>
      <c r="L81" s="1821">
        <f>SUM(L82:L92)</f>
        <v>408930</v>
      </c>
      <c r="M81" s="1821">
        <f>SUM(M82:M92)</f>
        <v>105318</v>
      </c>
      <c r="N81" s="1821">
        <f t="shared" si="10"/>
        <v>568391</v>
      </c>
      <c r="O81" s="1821">
        <f>SUM(O82:O92)</f>
        <v>454425</v>
      </c>
      <c r="P81" s="1821">
        <f>SUM(P82:P92)</f>
        <v>113966</v>
      </c>
      <c r="Q81" s="1839">
        <f t="shared" si="7"/>
        <v>631151</v>
      </c>
      <c r="R81" s="1839">
        <f>SUM(R82:R92)</f>
        <v>498693</v>
      </c>
      <c r="S81" s="1839">
        <f>SUM(S82:S92)</f>
        <v>132458</v>
      </c>
    </row>
    <row r="82" spans="1:19">
      <c r="A82" s="53" t="s">
        <v>618</v>
      </c>
      <c r="B82" s="1204">
        <f t="shared" si="11"/>
        <v>17107</v>
      </c>
      <c r="C82" s="1204">
        <v>12112</v>
      </c>
      <c r="D82" s="1204">
        <v>4995</v>
      </c>
      <c r="E82" s="1204">
        <f t="shared" si="12"/>
        <v>14761</v>
      </c>
      <c r="F82" s="1204">
        <v>10814</v>
      </c>
      <c r="G82" s="1204">
        <v>3947</v>
      </c>
      <c r="H82" s="1204">
        <f t="shared" si="8"/>
        <v>20950</v>
      </c>
      <c r="I82" s="1204">
        <v>15876</v>
      </c>
      <c r="J82" s="1204">
        <v>5074</v>
      </c>
      <c r="K82" s="1204">
        <f t="shared" si="9"/>
        <v>27049</v>
      </c>
      <c r="L82" s="1204">
        <v>21580</v>
      </c>
      <c r="M82" s="1204">
        <v>5469</v>
      </c>
      <c r="N82" s="1204">
        <f t="shared" si="10"/>
        <v>31142</v>
      </c>
      <c r="O82" s="1204">
        <v>25057</v>
      </c>
      <c r="P82" s="1204">
        <v>6085</v>
      </c>
      <c r="Q82" s="1840">
        <f t="shared" si="7"/>
        <v>39666</v>
      </c>
      <c r="R82" s="1840">
        <v>31864</v>
      </c>
      <c r="S82" s="1840">
        <v>7802</v>
      </c>
    </row>
    <row r="83" spans="1:19">
      <c r="A83" s="53" t="s">
        <v>619</v>
      </c>
      <c r="B83" s="1204">
        <f t="shared" si="11"/>
        <v>499129</v>
      </c>
      <c r="C83" s="1204">
        <v>325991</v>
      </c>
      <c r="D83" s="1204">
        <v>173138</v>
      </c>
      <c r="E83" s="1204">
        <f t="shared" si="12"/>
        <v>250415</v>
      </c>
      <c r="F83" s="1204">
        <v>185130</v>
      </c>
      <c r="G83" s="1204">
        <v>65285</v>
      </c>
      <c r="H83" s="1204">
        <f t="shared" si="8"/>
        <v>95062</v>
      </c>
      <c r="I83" s="1204">
        <v>82870</v>
      </c>
      <c r="J83" s="1204">
        <v>12192</v>
      </c>
      <c r="K83" s="1204">
        <f t="shared" si="9"/>
        <v>133037</v>
      </c>
      <c r="L83" s="1204">
        <v>116590</v>
      </c>
      <c r="M83" s="1204">
        <v>16447</v>
      </c>
      <c r="N83" s="1204">
        <f t="shared" si="10"/>
        <v>124272</v>
      </c>
      <c r="O83" s="1204">
        <v>108885</v>
      </c>
      <c r="P83" s="1204">
        <v>15387</v>
      </c>
      <c r="Q83" s="1840">
        <f t="shared" si="7"/>
        <v>137778</v>
      </c>
      <c r="R83" s="1840">
        <v>120227</v>
      </c>
      <c r="S83" s="1840">
        <v>17551</v>
      </c>
    </row>
    <row r="84" spans="1:19">
      <c r="A84" s="53" t="s">
        <v>620</v>
      </c>
      <c r="B84" s="1204">
        <f t="shared" si="11"/>
        <v>264496</v>
      </c>
      <c r="C84" s="1204">
        <v>194804</v>
      </c>
      <c r="D84" s="1204">
        <v>69692</v>
      </c>
      <c r="E84" s="1204">
        <f t="shared" si="12"/>
        <v>203027</v>
      </c>
      <c r="F84" s="1204">
        <v>124868</v>
      </c>
      <c r="G84" s="1204">
        <v>78159</v>
      </c>
      <c r="H84" s="1204">
        <f t="shared" si="8"/>
        <v>293266</v>
      </c>
      <c r="I84" s="1204">
        <v>220767</v>
      </c>
      <c r="J84" s="1204">
        <v>72499</v>
      </c>
      <c r="K84" s="1204">
        <f t="shared" si="9"/>
        <v>332334</v>
      </c>
      <c r="L84" s="1204">
        <v>252983</v>
      </c>
      <c r="M84" s="1204">
        <v>79351</v>
      </c>
      <c r="N84" s="1204">
        <f t="shared" si="10"/>
        <v>386287</v>
      </c>
      <c r="O84" s="1204">
        <v>298254</v>
      </c>
      <c r="P84" s="1204">
        <v>88033</v>
      </c>
      <c r="Q84" s="1840">
        <f t="shared" si="7"/>
        <v>415625</v>
      </c>
      <c r="R84" s="1840">
        <v>314420</v>
      </c>
      <c r="S84" s="1840">
        <v>101205</v>
      </c>
    </row>
    <row r="85" spans="1:19">
      <c r="A85" s="53" t="s">
        <v>621</v>
      </c>
      <c r="B85" s="1204">
        <f t="shared" si="11"/>
        <v>10813</v>
      </c>
      <c r="C85" s="1204">
        <v>9311</v>
      </c>
      <c r="D85" s="1204">
        <v>1502</v>
      </c>
      <c r="E85" s="1204">
        <f t="shared" si="12"/>
        <v>9250</v>
      </c>
      <c r="F85" s="1204">
        <v>7861</v>
      </c>
      <c r="G85" s="1204">
        <v>1389</v>
      </c>
      <c r="H85" s="1204">
        <f t="shared" si="8"/>
        <v>11721</v>
      </c>
      <c r="I85" s="1204">
        <v>10179</v>
      </c>
      <c r="J85" s="1204">
        <v>1542</v>
      </c>
      <c r="K85" s="1204">
        <f t="shared" si="9"/>
        <v>12189</v>
      </c>
      <c r="L85" s="1204">
        <v>10369</v>
      </c>
      <c r="M85" s="1204">
        <v>1820</v>
      </c>
      <c r="N85" s="1204">
        <f t="shared" si="10"/>
        <v>15728</v>
      </c>
      <c r="O85" s="1204">
        <v>13436</v>
      </c>
      <c r="P85" s="1204">
        <v>2292</v>
      </c>
      <c r="Q85" s="1840">
        <f t="shared" si="7"/>
        <v>16583</v>
      </c>
      <c r="R85" s="1840">
        <v>14208</v>
      </c>
      <c r="S85" s="1840">
        <v>2375</v>
      </c>
    </row>
    <row r="86" spans="1:19">
      <c r="A86" s="53" t="s">
        <v>622</v>
      </c>
      <c r="B86" s="1204">
        <f t="shared" si="11"/>
        <v>311</v>
      </c>
      <c r="C86" s="1204">
        <v>287</v>
      </c>
      <c r="D86" s="1204">
        <v>24</v>
      </c>
      <c r="E86" s="1204">
        <f t="shared" si="12"/>
        <v>479</v>
      </c>
      <c r="F86" s="1204">
        <v>428</v>
      </c>
      <c r="G86" s="1204">
        <v>51</v>
      </c>
      <c r="H86" s="1204">
        <f t="shared" si="8"/>
        <v>351</v>
      </c>
      <c r="I86" s="1204">
        <v>316</v>
      </c>
      <c r="J86" s="1204">
        <v>35</v>
      </c>
      <c r="K86" s="1204">
        <f t="shared" si="9"/>
        <v>0</v>
      </c>
      <c r="L86" s="1204">
        <v>0</v>
      </c>
      <c r="M86" s="1204">
        <v>0</v>
      </c>
      <c r="N86" s="1204">
        <f t="shared" si="10"/>
        <v>621</v>
      </c>
      <c r="O86" s="1204">
        <v>589</v>
      </c>
      <c r="P86" s="1204">
        <v>32</v>
      </c>
      <c r="Q86" s="1840">
        <f t="shared" si="7"/>
        <v>1928</v>
      </c>
      <c r="R86" s="1840">
        <v>1812</v>
      </c>
      <c r="S86" s="1840">
        <v>116</v>
      </c>
    </row>
    <row r="87" spans="1:19">
      <c r="A87" s="53" t="s">
        <v>623</v>
      </c>
      <c r="B87" s="1204">
        <f t="shared" si="11"/>
        <v>0</v>
      </c>
      <c r="C87" s="1204">
        <v>0</v>
      </c>
      <c r="D87" s="1204">
        <v>0</v>
      </c>
      <c r="E87" s="1204">
        <f t="shared" si="12"/>
        <v>0</v>
      </c>
      <c r="F87" s="1204">
        <v>0</v>
      </c>
      <c r="G87" s="1204">
        <v>0</v>
      </c>
      <c r="H87" s="1204">
        <f t="shared" si="8"/>
        <v>0</v>
      </c>
      <c r="I87" s="1204">
        <v>0</v>
      </c>
      <c r="J87" s="1204">
        <v>0</v>
      </c>
      <c r="K87" s="1204">
        <f t="shared" si="9"/>
        <v>0</v>
      </c>
      <c r="L87" s="1204">
        <v>0</v>
      </c>
      <c r="M87" s="1204">
        <v>0</v>
      </c>
      <c r="N87" s="1204">
        <f t="shared" si="10"/>
        <v>0</v>
      </c>
      <c r="O87" s="1204">
        <v>0</v>
      </c>
      <c r="P87" s="1204">
        <v>0</v>
      </c>
      <c r="Q87" s="1840">
        <f t="shared" si="7"/>
        <v>0</v>
      </c>
      <c r="R87" s="1840">
        <v>0</v>
      </c>
      <c r="S87" s="1840">
        <v>0</v>
      </c>
    </row>
    <row r="88" spans="1:19">
      <c r="A88" s="53" t="s">
        <v>624</v>
      </c>
      <c r="B88" s="1204">
        <f t="shared" si="11"/>
        <v>0</v>
      </c>
      <c r="C88" s="1204">
        <v>0</v>
      </c>
      <c r="D88" s="1204">
        <v>0</v>
      </c>
      <c r="E88" s="1204">
        <f t="shared" si="12"/>
        <v>0</v>
      </c>
      <c r="F88" s="1204">
        <v>0</v>
      </c>
      <c r="G88" s="1204">
        <v>0</v>
      </c>
      <c r="H88" s="1204">
        <f t="shared" si="8"/>
        <v>0</v>
      </c>
      <c r="I88" s="1204">
        <v>0</v>
      </c>
      <c r="J88" s="1204">
        <v>0</v>
      </c>
      <c r="K88" s="1204">
        <f t="shared" si="9"/>
        <v>0</v>
      </c>
      <c r="L88" s="1204">
        <v>0</v>
      </c>
      <c r="M88" s="1204">
        <v>0</v>
      </c>
      <c r="N88" s="1204">
        <f t="shared" si="10"/>
        <v>0</v>
      </c>
      <c r="O88" s="1204">
        <v>0</v>
      </c>
      <c r="P88" s="1204">
        <v>0</v>
      </c>
      <c r="Q88" s="1840">
        <f t="shared" si="7"/>
        <v>0</v>
      </c>
      <c r="R88" s="1840">
        <v>0</v>
      </c>
      <c r="S88" s="1840">
        <v>0</v>
      </c>
    </row>
    <row r="89" spans="1:19">
      <c r="A89" s="53" t="s">
        <v>625</v>
      </c>
      <c r="B89" s="1204">
        <f t="shared" si="11"/>
        <v>2507</v>
      </c>
      <c r="C89" s="1204">
        <v>1755</v>
      </c>
      <c r="D89" s="1204">
        <v>752</v>
      </c>
      <c r="E89" s="1204">
        <f t="shared" si="12"/>
        <v>2521</v>
      </c>
      <c r="F89" s="1204">
        <v>2020</v>
      </c>
      <c r="G89" s="1204">
        <v>501</v>
      </c>
      <c r="H89" s="1204">
        <f t="shared" si="8"/>
        <v>2185</v>
      </c>
      <c r="I89" s="1204">
        <v>1705</v>
      </c>
      <c r="J89" s="1204">
        <v>480</v>
      </c>
      <c r="K89" s="1204">
        <f t="shared" si="9"/>
        <v>2988</v>
      </c>
      <c r="L89" s="1204">
        <v>2504</v>
      </c>
      <c r="M89" s="1204">
        <v>484</v>
      </c>
      <c r="N89" s="1204">
        <f t="shared" si="10"/>
        <v>3241</v>
      </c>
      <c r="O89" s="1204">
        <v>2647</v>
      </c>
      <c r="P89" s="1204">
        <v>594</v>
      </c>
      <c r="Q89" s="1840">
        <f t="shared" si="7"/>
        <v>4245</v>
      </c>
      <c r="R89" s="1840">
        <v>3517</v>
      </c>
      <c r="S89" s="1840">
        <v>728</v>
      </c>
    </row>
    <row r="90" spans="1:19">
      <c r="A90" s="53" t="s">
        <v>626</v>
      </c>
      <c r="B90" s="1204">
        <f t="shared" si="11"/>
        <v>0</v>
      </c>
      <c r="C90" s="1204">
        <v>0</v>
      </c>
      <c r="D90" s="1204">
        <v>0</v>
      </c>
      <c r="E90" s="1204">
        <f t="shared" si="12"/>
        <v>0</v>
      </c>
      <c r="F90" s="1204">
        <v>0</v>
      </c>
      <c r="G90" s="1204">
        <v>0</v>
      </c>
      <c r="H90" s="1204">
        <f t="shared" si="8"/>
        <v>305</v>
      </c>
      <c r="I90" s="1204">
        <v>270</v>
      </c>
      <c r="J90" s="1204">
        <v>35</v>
      </c>
      <c r="K90" s="1204">
        <f t="shared" si="9"/>
        <v>471</v>
      </c>
      <c r="L90" s="1204">
        <v>394</v>
      </c>
      <c r="M90" s="1204">
        <v>77</v>
      </c>
      <c r="N90" s="1204">
        <f t="shared" si="10"/>
        <v>560</v>
      </c>
      <c r="O90" s="1204">
        <v>461</v>
      </c>
      <c r="P90" s="1204">
        <v>99</v>
      </c>
      <c r="Q90" s="1840">
        <f t="shared" si="7"/>
        <v>769</v>
      </c>
      <c r="R90" s="1840">
        <v>572</v>
      </c>
      <c r="S90" s="1840">
        <v>197</v>
      </c>
    </row>
    <row r="91" spans="1:19">
      <c r="A91" s="53" t="s">
        <v>627</v>
      </c>
      <c r="B91" s="1204">
        <f t="shared" si="11"/>
        <v>0</v>
      </c>
      <c r="C91" s="1204">
        <v>0</v>
      </c>
      <c r="D91" s="1204">
        <v>0</v>
      </c>
      <c r="E91" s="1204">
        <f t="shared" si="12"/>
        <v>0</v>
      </c>
      <c r="F91" s="1204">
        <v>0</v>
      </c>
      <c r="G91" s="1204">
        <v>0</v>
      </c>
      <c r="H91" s="1204">
        <f t="shared" si="8"/>
        <v>2829</v>
      </c>
      <c r="I91" s="1204">
        <v>2172</v>
      </c>
      <c r="J91" s="1204">
        <v>657</v>
      </c>
      <c r="K91" s="1204">
        <f t="shared" si="9"/>
        <v>1907</v>
      </c>
      <c r="L91" s="1204">
        <v>1456</v>
      </c>
      <c r="M91" s="1204">
        <v>451</v>
      </c>
      <c r="N91" s="1204">
        <f t="shared" si="10"/>
        <v>1855</v>
      </c>
      <c r="O91" s="1204">
        <v>1416</v>
      </c>
      <c r="P91" s="1204">
        <v>439</v>
      </c>
      <c r="Q91" s="1840">
        <f t="shared" ref="Q91:Q123" si="13">SUM(R91:S91)</f>
        <v>7928</v>
      </c>
      <c r="R91" s="1840">
        <v>6515</v>
      </c>
      <c r="S91" s="1840">
        <v>1413</v>
      </c>
    </row>
    <row r="92" spans="1:19">
      <c r="A92" s="53" t="s">
        <v>628</v>
      </c>
      <c r="B92" s="1204">
        <f t="shared" si="11"/>
        <v>0</v>
      </c>
      <c r="C92" s="1204">
        <v>0</v>
      </c>
      <c r="D92" s="1204">
        <v>0</v>
      </c>
      <c r="E92" s="1204">
        <f t="shared" si="12"/>
        <v>6272</v>
      </c>
      <c r="F92" s="1204">
        <v>5094</v>
      </c>
      <c r="G92" s="1204">
        <v>1178</v>
      </c>
      <c r="H92" s="1204">
        <f t="shared" si="8"/>
        <v>3994</v>
      </c>
      <c r="I92" s="1204">
        <v>3545</v>
      </c>
      <c r="J92" s="1204">
        <v>449</v>
      </c>
      <c r="K92" s="1204">
        <f t="shared" si="9"/>
        <v>4273</v>
      </c>
      <c r="L92" s="1204">
        <v>3054</v>
      </c>
      <c r="M92" s="1204">
        <v>1219</v>
      </c>
      <c r="N92" s="1204">
        <f t="shared" si="10"/>
        <v>4685</v>
      </c>
      <c r="O92" s="1204">
        <v>3680</v>
      </c>
      <c r="P92" s="1204">
        <v>1005</v>
      </c>
      <c r="Q92" s="1840">
        <f t="shared" si="13"/>
        <v>6629</v>
      </c>
      <c r="R92" s="1840">
        <v>5558</v>
      </c>
      <c r="S92" s="1840">
        <v>1071</v>
      </c>
    </row>
    <row r="93" spans="1:19" s="150" customFormat="1" ht="12.75" customHeight="1">
      <c r="A93" s="150" t="s">
        <v>20</v>
      </c>
      <c r="B93" s="1821">
        <f t="shared" si="11"/>
        <v>30834</v>
      </c>
      <c r="C93" s="1821">
        <f>SUM(C94:C112)</f>
        <v>16658</v>
      </c>
      <c r="D93" s="1821">
        <f>SUM(D94:D112)</f>
        <v>14176</v>
      </c>
      <c r="E93" s="1821">
        <f t="shared" si="12"/>
        <v>32030</v>
      </c>
      <c r="F93" s="1821">
        <f>SUM(F94:F112)</f>
        <v>17169</v>
      </c>
      <c r="G93" s="1821">
        <f>SUM(G94:G112)</f>
        <v>14861</v>
      </c>
      <c r="H93" s="1821">
        <f t="shared" si="8"/>
        <v>32341</v>
      </c>
      <c r="I93" s="1821">
        <f>SUM(I94:I112)</f>
        <v>22091</v>
      </c>
      <c r="J93" s="1821">
        <f>SUM(J94:J112)</f>
        <v>10250</v>
      </c>
      <c r="K93" s="1821">
        <f t="shared" si="9"/>
        <v>32544</v>
      </c>
      <c r="L93" s="1821">
        <f>SUM(L94:L112)</f>
        <v>21762</v>
      </c>
      <c r="M93" s="1821">
        <f>SUM(M94:M112)</f>
        <v>10782</v>
      </c>
      <c r="N93" s="1821">
        <f t="shared" si="10"/>
        <v>50008</v>
      </c>
      <c r="O93" s="1821">
        <f>SUM(O94:O112)</f>
        <v>35508</v>
      </c>
      <c r="P93" s="1821">
        <f>SUM(P94:P112)</f>
        <v>14500</v>
      </c>
      <c r="Q93" s="1839">
        <f t="shared" si="13"/>
        <v>52931</v>
      </c>
      <c r="R93" s="1839">
        <f>SUM(R94:R112)</f>
        <v>39154</v>
      </c>
      <c r="S93" s="1839">
        <f>SUM(S94:S112)</f>
        <v>13777</v>
      </c>
    </row>
    <row r="94" spans="1:19">
      <c r="A94" s="53" t="s">
        <v>663</v>
      </c>
      <c r="B94" s="1204">
        <f t="shared" si="11"/>
        <v>0</v>
      </c>
      <c r="C94" s="1204">
        <v>0</v>
      </c>
      <c r="D94" s="1204">
        <v>0</v>
      </c>
      <c r="E94" s="1204">
        <f t="shared" si="12"/>
        <v>0</v>
      </c>
      <c r="F94" s="1204">
        <v>0</v>
      </c>
      <c r="G94" s="1204">
        <v>0</v>
      </c>
      <c r="H94" s="1204">
        <f t="shared" si="8"/>
        <v>0</v>
      </c>
      <c r="I94" s="1204">
        <v>0</v>
      </c>
      <c r="J94" s="1204">
        <v>0</v>
      </c>
      <c r="K94" s="1204">
        <f t="shared" si="9"/>
        <v>0</v>
      </c>
      <c r="L94" s="1204">
        <v>0</v>
      </c>
      <c r="M94" s="1204">
        <v>0</v>
      </c>
      <c r="N94" s="1204">
        <f t="shared" si="10"/>
        <v>0</v>
      </c>
      <c r="O94" s="1204">
        <v>0</v>
      </c>
      <c r="P94" s="1204">
        <v>0</v>
      </c>
      <c r="Q94" s="1840">
        <f t="shared" si="13"/>
        <v>0</v>
      </c>
      <c r="R94" s="1840">
        <v>0</v>
      </c>
      <c r="S94" s="1840">
        <v>0</v>
      </c>
    </row>
    <row r="95" spans="1:19">
      <c r="A95" s="53" t="s">
        <v>664</v>
      </c>
      <c r="B95" s="1204">
        <f t="shared" si="11"/>
        <v>0</v>
      </c>
      <c r="C95" s="1204">
        <v>0</v>
      </c>
      <c r="D95" s="1204">
        <v>0</v>
      </c>
      <c r="E95" s="1204">
        <f t="shared" si="12"/>
        <v>0</v>
      </c>
      <c r="F95" s="1204">
        <v>0</v>
      </c>
      <c r="G95" s="1204">
        <v>0</v>
      </c>
      <c r="H95" s="1204">
        <f t="shared" si="8"/>
        <v>0</v>
      </c>
      <c r="I95" s="1204">
        <v>0</v>
      </c>
      <c r="J95" s="1204">
        <v>0</v>
      </c>
      <c r="K95" s="1204">
        <f t="shared" si="9"/>
        <v>0</v>
      </c>
      <c r="L95" s="1204">
        <v>0</v>
      </c>
      <c r="M95" s="1204">
        <v>0</v>
      </c>
      <c r="N95" s="1204">
        <f t="shared" si="10"/>
        <v>0</v>
      </c>
      <c r="O95" s="1204">
        <v>0</v>
      </c>
      <c r="P95" s="1204">
        <v>0</v>
      </c>
      <c r="Q95" s="1840">
        <f t="shared" si="13"/>
        <v>0</v>
      </c>
      <c r="R95" s="1840">
        <v>0</v>
      </c>
      <c r="S95" s="1840">
        <v>0</v>
      </c>
    </row>
    <row r="96" spans="1:19">
      <c r="A96" s="53" t="s">
        <v>631</v>
      </c>
      <c r="B96" s="1204">
        <f t="shared" si="11"/>
        <v>158</v>
      </c>
      <c r="C96" s="1204">
        <v>82</v>
      </c>
      <c r="D96" s="1204">
        <v>76</v>
      </c>
      <c r="E96" s="1204">
        <f t="shared" si="12"/>
        <v>187</v>
      </c>
      <c r="F96" s="1204">
        <v>77</v>
      </c>
      <c r="G96" s="1204">
        <v>110</v>
      </c>
      <c r="H96" s="1204">
        <f t="shared" si="8"/>
        <v>328</v>
      </c>
      <c r="I96" s="1204">
        <v>182</v>
      </c>
      <c r="J96" s="1204">
        <v>146</v>
      </c>
      <c r="K96" s="1204">
        <f t="shared" si="9"/>
        <v>386</v>
      </c>
      <c r="L96" s="1204">
        <v>252</v>
      </c>
      <c r="M96" s="1204">
        <v>134</v>
      </c>
      <c r="N96" s="1204">
        <f t="shared" si="10"/>
        <v>1022</v>
      </c>
      <c r="O96" s="1204">
        <v>686</v>
      </c>
      <c r="P96" s="1204">
        <v>336</v>
      </c>
      <c r="Q96" s="1840">
        <f t="shared" si="13"/>
        <v>1944</v>
      </c>
      <c r="R96" s="1840">
        <v>1285</v>
      </c>
      <c r="S96" s="1840">
        <v>659</v>
      </c>
    </row>
    <row r="97" spans="1:19">
      <c r="A97" s="53" t="s">
        <v>632</v>
      </c>
      <c r="B97" s="1204">
        <f t="shared" si="11"/>
        <v>10145</v>
      </c>
      <c r="C97" s="1204">
        <v>5109</v>
      </c>
      <c r="D97" s="1204">
        <v>5036</v>
      </c>
      <c r="E97" s="1204">
        <f t="shared" si="12"/>
        <v>10897</v>
      </c>
      <c r="F97" s="1204">
        <v>5393</v>
      </c>
      <c r="G97" s="1204">
        <v>5504</v>
      </c>
      <c r="H97" s="1204">
        <f t="shared" si="8"/>
        <v>12595</v>
      </c>
      <c r="I97" s="1204">
        <v>7576</v>
      </c>
      <c r="J97" s="1204">
        <v>5019</v>
      </c>
      <c r="K97" s="1204">
        <f t="shared" si="9"/>
        <v>11405</v>
      </c>
      <c r="L97" s="1204">
        <v>7565</v>
      </c>
      <c r="M97" s="1204">
        <v>3840</v>
      </c>
      <c r="N97" s="1204">
        <f t="shared" si="10"/>
        <v>16231</v>
      </c>
      <c r="O97" s="1204">
        <v>11393</v>
      </c>
      <c r="P97" s="1204">
        <v>4838</v>
      </c>
      <c r="Q97" s="1840">
        <f t="shared" si="13"/>
        <v>18012</v>
      </c>
      <c r="R97" s="1840">
        <v>12534</v>
      </c>
      <c r="S97" s="1840">
        <v>5478</v>
      </c>
    </row>
    <row r="98" spans="1:19">
      <c r="A98" s="53" t="s">
        <v>633</v>
      </c>
      <c r="B98" s="1204">
        <f t="shared" si="11"/>
        <v>1333</v>
      </c>
      <c r="C98" s="1204">
        <v>781</v>
      </c>
      <c r="D98" s="1204">
        <v>552</v>
      </c>
      <c r="E98" s="1204">
        <f t="shared" si="12"/>
        <v>1241</v>
      </c>
      <c r="F98" s="1204">
        <v>960</v>
      </c>
      <c r="G98" s="1204">
        <v>281</v>
      </c>
      <c r="H98" s="1204">
        <f t="shared" si="8"/>
        <v>1923</v>
      </c>
      <c r="I98" s="1204">
        <v>1487</v>
      </c>
      <c r="J98" s="1204">
        <v>436</v>
      </c>
      <c r="K98" s="1204">
        <f t="shared" si="9"/>
        <v>1575</v>
      </c>
      <c r="L98" s="1204">
        <v>1017</v>
      </c>
      <c r="M98" s="1204">
        <v>558</v>
      </c>
      <c r="N98" s="1204">
        <f t="shared" si="10"/>
        <v>2893</v>
      </c>
      <c r="O98" s="1204">
        <v>2358</v>
      </c>
      <c r="P98" s="1204">
        <v>535</v>
      </c>
      <c r="Q98" s="1840">
        <f t="shared" si="13"/>
        <v>2123</v>
      </c>
      <c r="R98" s="1840">
        <v>1644</v>
      </c>
      <c r="S98" s="1840">
        <v>479</v>
      </c>
    </row>
    <row r="99" spans="1:19">
      <c r="A99" s="53" t="s">
        <v>634</v>
      </c>
      <c r="B99" s="1204">
        <f t="shared" si="11"/>
        <v>6362</v>
      </c>
      <c r="C99" s="1204">
        <v>5525</v>
      </c>
      <c r="D99" s="1204">
        <v>837</v>
      </c>
      <c r="E99" s="1204">
        <f t="shared" si="12"/>
        <v>5827</v>
      </c>
      <c r="F99" s="1204">
        <v>4821</v>
      </c>
      <c r="G99" s="1204">
        <v>1006</v>
      </c>
      <c r="H99" s="1204">
        <f t="shared" si="8"/>
        <v>8382</v>
      </c>
      <c r="I99" s="1204">
        <v>7588</v>
      </c>
      <c r="J99" s="1204">
        <v>794</v>
      </c>
      <c r="K99" s="1204">
        <f t="shared" si="9"/>
        <v>8071</v>
      </c>
      <c r="L99" s="1204">
        <v>7235</v>
      </c>
      <c r="M99" s="1204">
        <v>836</v>
      </c>
      <c r="N99" s="1204">
        <f t="shared" si="10"/>
        <v>13966</v>
      </c>
      <c r="O99" s="1204">
        <v>12792</v>
      </c>
      <c r="P99" s="1204">
        <v>1174</v>
      </c>
      <c r="Q99" s="1840">
        <f t="shared" si="13"/>
        <v>16230</v>
      </c>
      <c r="R99" s="1840">
        <v>15234</v>
      </c>
      <c r="S99" s="1840">
        <v>996</v>
      </c>
    </row>
    <row r="100" spans="1:19">
      <c r="A100" s="53" t="s">
        <v>635</v>
      </c>
      <c r="B100" s="1204">
        <f t="shared" si="11"/>
        <v>0</v>
      </c>
      <c r="C100" s="1204">
        <v>0</v>
      </c>
      <c r="D100" s="1204">
        <v>0</v>
      </c>
      <c r="E100" s="1204">
        <f t="shared" si="12"/>
        <v>0</v>
      </c>
      <c r="F100" s="1204">
        <v>0</v>
      </c>
      <c r="G100" s="1204">
        <v>0</v>
      </c>
      <c r="H100" s="1204">
        <f t="shared" si="8"/>
        <v>0</v>
      </c>
      <c r="I100" s="1204">
        <v>0</v>
      </c>
      <c r="J100" s="1204">
        <v>0</v>
      </c>
      <c r="K100" s="1204">
        <f t="shared" si="9"/>
        <v>0</v>
      </c>
      <c r="L100" s="1204">
        <v>0</v>
      </c>
      <c r="M100" s="1204">
        <v>0</v>
      </c>
      <c r="N100" s="1204">
        <f t="shared" si="10"/>
        <v>0</v>
      </c>
      <c r="O100" s="1204">
        <v>0</v>
      </c>
      <c r="P100" s="1204">
        <v>0</v>
      </c>
      <c r="Q100" s="1840">
        <f t="shared" si="13"/>
        <v>0</v>
      </c>
      <c r="R100" s="1840"/>
      <c r="S100" s="1840"/>
    </row>
    <row r="101" spans="1:19">
      <c r="A101" s="53" t="s">
        <v>636</v>
      </c>
      <c r="B101" s="1204">
        <f t="shared" si="11"/>
        <v>0</v>
      </c>
      <c r="C101" s="1204">
        <v>0</v>
      </c>
      <c r="D101" s="1204">
        <v>0</v>
      </c>
      <c r="E101" s="1204">
        <f t="shared" si="12"/>
        <v>0</v>
      </c>
      <c r="F101" s="1204">
        <v>0</v>
      </c>
      <c r="G101" s="1204">
        <v>0</v>
      </c>
      <c r="H101" s="1204">
        <f t="shared" si="8"/>
        <v>0</v>
      </c>
      <c r="I101" s="1204">
        <v>0</v>
      </c>
      <c r="J101" s="1204">
        <v>0</v>
      </c>
      <c r="K101" s="1204">
        <f t="shared" si="9"/>
        <v>0</v>
      </c>
      <c r="L101" s="1204">
        <v>0</v>
      </c>
      <c r="M101" s="1204">
        <v>0</v>
      </c>
      <c r="N101" s="1204">
        <f t="shared" si="10"/>
        <v>0</v>
      </c>
      <c r="O101" s="1204">
        <v>0</v>
      </c>
      <c r="P101" s="1204">
        <v>0</v>
      </c>
      <c r="Q101" s="1840">
        <f t="shared" si="13"/>
        <v>0</v>
      </c>
      <c r="R101" s="1840"/>
      <c r="S101" s="1840"/>
    </row>
    <row r="102" spans="1:19">
      <c r="A102" s="53" t="s">
        <v>637</v>
      </c>
      <c r="B102" s="1204">
        <f t="shared" si="11"/>
        <v>1237</v>
      </c>
      <c r="C102" s="1204">
        <v>864</v>
      </c>
      <c r="D102" s="1204">
        <v>373</v>
      </c>
      <c r="E102" s="1204">
        <f t="shared" si="12"/>
        <v>1788</v>
      </c>
      <c r="F102" s="1204">
        <v>1416</v>
      </c>
      <c r="G102" s="1204">
        <v>372</v>
      </c>
      <c r="H102" s="1204">
        <f t="shared" si="8"/>
        <v>1964</v>
      </c>
      <c r="I102" s="1204">
        <v>1623</v>
      </c>
      <c r="J102" s="1204">
        <v>341</v>
      </c>
      <c r="K102" s="1204">
        <f t="shared" si="9"/>
        <v>1788</v>
      </c>
      <c r="L102" s="1204">
        <v>1382</v>
      </c>
      <c r="M102" s="1204">
        <v>406</v>
      </c>
      <c r="N102" s="1204">
        <f t="shared" si="10"/>
        <v>1251</v>
      </c>
      <c r="O102" s="1204">
        <v>1037</v>
      </c>
      <c r="P102" s="1204">
        <v>214</v>
      </c>
      <c r="Q102" s="1840">
        <f t="shared" si="13"/>
        <v>2314</v>
      </c>
      <c r="R102" s="1840">
        <v>1915</v>
      </c>
      <c r="S102" s="1840">
        <v>399</v>
      </c>
    </row>
    <row r="103" spans="1:19">
      <c r="A103" s="53" t="s">
        <v>638</v>
      </c>
      <c r="B103" s="1204">
        <f t="shared" si="11"/>
        <v>290</v>
      </c>
      <c r="C103" s="1204">
        <v>194</v>
      </c>
      <c r="D103" s="1204">
        <v>96</v>
      </c>
      <c r="E103" s="1204">
        <f t="shared" si="12"/>
        <v>256</v>
      </c>
      <c r="F103" s="1204">
        <v>168</v>
      </c>
      <c r="G103" s="1204">
        <v>88</v>
      </c>
      <c r="H103" s="1204">
        <f t="shared" si="8"/>
        <v>515</v>
      </c>
      <c r="I103" s="1204">
        <v>343</v>
      </c>
      <c r="J103" s="1204">
        <v>172</v>
      </c>
      <c r="K103" s="1204">
        <f t="shared" si="9"/>
        <v>680</v>
      </c>
      <c r="L103" s="1204">
        <v>514</v>
      </c>
      <c r="M103" s="1204">
        <v>166</v>
      </c>
      <c r="N103" s="1204">
        <f t="shared" si="10"/>
        <v>1500</v>
      </c>
      <c r="O103" s="1204">
        <v>1280</v>
      </c>
      <c r="P103" s="1204">
        <v>220</v>
      </c>
      <c r="Q103" s="1840">
        <f t="shared" si="13"/>
        <v>2430</v>
      </c>
      <c r="R103" s="1840">
        <v>2075</v>
      </c>
      <c r="S103" s="1840">
        <v>355</v>
      </c>
    </row>
    <row r="104" spans="1:19">
      <c r="A104" s="53" t="s">
        <v>639</v>
      </c>
      <c r="B104" s="1204">
        <f t="shared" si="11"/>
        <v>0</v>
      </c>
      <c r="C104" s="1204">
        <v>0</v>
      </c>
      <c r="D104" s="1204">
        <v>0</v>
      </c>
      <c r="E104" s="1204">
        <f t="shared" si="12"/>
        <v>0</v>
      </c>
      <c r="F104" s="1204">
        <v>0</v>
      </c>
      <c r="G104" s="1204">
        <v>0</v>
      </c>
      <c r="H104" s="1204">
        <f t="shared" si="8"/>
        <v>0</v>
      </c>
      <c r="I104" s="1204">
        <v>0</v>
      </c>
      <c r="J104" s="1204">
        <v>0</v>
      </c>
      <c r="K104" s="1204">
        <f t="shared" si="9"/>
        <v>0</v>
      </c>
      <c r="L104" s="1204">
        <v>0</v>
      </c>
      <c r="M104" s="1204">
        <v>0</v>
      </c>
      <c r="N104" s="1204">
        <f t="shared" si="10"/>
        <v>0</v>
      </c>
      <c r="O104" s="1204">
        <v>0</v>
      </c>
      <c r="P104" s="1204">
        <v>0</v>
      </c>
      <c r="Q104" s="1840">
        <f t="shared" si="13"/>
        <v>0</v>
      </c>
      <c r="R104" s="1840">
        <v>0</v>
      </c>
      <c r="S104" s="1840">
        <v>0</v>
      </c>
    </row>
    <row r="105" spans="1:19">
      <c r="A105" s="53" t="s">
        <v>640</v>
      </c>
      <c r="B105" s="1204">
        <f t="shared" si="11"/>
        <v>0</v>
      </c>
      <c r="C105" s="1204">
        <v>0</v>
      </c>
      <c r="D105" s="1204">
        <v>0</v>
      </c>
      <c r="E105" s="1204">
        <f t="shared" si="12"/>
        <v>0</v>
      </c>
      <c r="F105" s="1204">
        <v>0</v>
      </c>
      <c r="G105" s="1204">
        <v>0</v>
      </c>
      <c r="H105" s="1204">
        <f t="shared" si="8"/>
        <v>0</v>
      </c>
      <c r="I105" s="1204">
        <v>0</v>
      </c>
      <c r="J105" s="1204">
        <v>0</v>
      </c>
      <c r="K105" s="1204">
        <f t="shared" si="9"/>
        <v>0</v>
      </c>
      <c r="L105" s="1204">
        <v>0</v>
      </c>
      <c r="M105" s="1204">
        <v>0</v>
      </c>
      <c r="N105" s="1204">
        <f t="shared" si="10"/>
        <v>0</v>
      </c>
      <c r="O105" s="1204">
        <v>0</v>
      </c>
      <c r="P105" s="1204">
        <v>0</v>
      </c>
      <c r="Q105" s="1840">
        <f t="shared" si="13"/>
        <v>0</v>
      </c>
      <c r="R105" s="1840">
        <v>0</v>
      </c>
      <c r="S105" s="1840">
        <v>0</v>
      </c>
    </row>
    <row r="106" spans="1:19">
      <c r="A106" s="53" t="s">
        <v>641</v>
      </c>
      <c r="B106" s="1204">
        <f t="shared" si="11"/>
        <v>0</v>
      </c>
      <c r="C106" s="1204">
        <v>0</v>
      </c>
      <c r="D106" s="1204">
        <v>0</v>
      </c>
      <c r="E106" s="1204">
        <f t="shared" si="12"/>
        <v>0</v>
      </c>
      <c r="F106" s="1204">
        <v>0</v>
      </c>
      <c r="G106" s="1204">
        <v>0</v>
      </c>
      <c r="H106" s="1204">
        <f t="shared" si="8"/>
        <v>0</v>
      </c>
      <c r="I106" s="1204">
        <v>0</v>
      </c>
      <c r="J106" s="1204">
        <v>0</v>
      </c>
      <c r="K106" s="1204">
        <f t="shared" si="9"/>
        <v>0</v>
      </c>
      <c r="L106" s="1204">
        <v>0</v>
      </c>
      <c r="M106" s="1204">
        <v>0</v>
      </c>
      <c r="N106" s="1204">
        <f t="shared" si="10"/>
        <v>0</v>
      </c>
      <c r="O106" s="1204">
        <v>0</v>
      </c>
      <c r="P106" s="1204">
        <v>0</v>
      </c>
      <c r="Q106" s="1840">
        <f t="shared" si="13"/>
        <v>0</v>
      </c>
      <c r="R106" s="1840">
        <v>0</v>
      </c>
      <c r="S106" s="1840">
        <v>0</v>
      </c>
    </row>
    <row r="107" spans="1:19">
      <c r="A107" s="53" t="s">
        <v>642</v>
      </c>
      <c r="B107" s="1204">
        <f t="shared" si="11"/>
        <v>0</v>
      </c>
      <c r="C107" s="1204">
        <v>0</v>
      </c>
      <c r="D107" s="1204">
        <v>0</v>
      </c>
      <c r="E107" s="1204">
        <f t="shared" si="12"/>
        <v>0</v>
      </c>
      <c r="F107" s="1204">
        <v>0</v>
      </c>
      <c r="G107" s="1204">
        <v>0</v>
      </c>
      <c r="H107" s="1204">
        <f t="shared" si="8"/>
        <v>0</v>
      </c>
      <c r="I107" s="1204">
        <v>0</v>
      </c>
      <c r="J107" s="1204">
        <v>0</v>
      </c>
      <c r="K107" s="1204">
        <f t="shared" si="9"/>
        <v>0</v>
      </c>
      <c r="L107" s="1204">
        <v>0</v>
      </c>
      <c r="M107" s="1204">
        <v>0</v>
      </c>
      <c r="N107" s="1204">
        <f t="shared" si="10"/>
        <v>0</v>
      </c>
      <c r="O107" s="1204">
        <v>0</v>
      </c>
      <c r="P107" s="1204">
        <v>0</v>
      </c>
      <c r="Q107" s="1840">
        <f t="shared" si="13"/>
        <v>0</v>
      </c>
      <c r="R107" s="1840">
        <v>0</v>
      </c>
      <c r="S107" s="1840">
        <v>0</v>
      </c>
    </row>
    <row r="108" spans="1:19">
      <c r="A108" s="53" t="s">
        <v>643</v>
      </c>
      <c r="B108" s="1204">
        <f t="shared" si="11"/>
        <v>9124</v>
      </c>
      <c r="C108" s="1204">
        <v>1994</v>
      </c>
      <c r="D108" s="1204">
        <v>7130</v>
      </c>
      <c r="E108" s="1204">
        <f t="shared" si="12"/>
        <v>9242</v>
      </c>
      <c r="F108" s="1204">
        <v>1867</v>
      </c>
      <c r="G108" s="1204">
        <v>7375</v>
      </c>
      <c r="H108" s="1204">
        <f t="shared" si="8"/>
        <v>4281</v>
      </c>
      <c r="I108" s="1204">
        <v>986</v>
      </c>
      <c r="J108" s="1204">
        <v>3295</v>
      </c>
      <c r="K108" s="1204">
        <f t="shared" si="9"/>
        <v>6706</v>
      </c>
      <c r="L108" s="1204">
        <v>1922</v>
      </c>
      <c r="M108" s="1204">
        <v>4784</v>
      </c>
      <c r="N108" s="1204">
        <f t="shared" si="10"/>
        <v>11463</v>
      </c>
      <c r="O108" s="1204">
        <v>4352</v>
      </c>
      <c r="P108" s="1204">
        <v>7111</v>
      </c>
      <c r="Q108" s="1840">
        <f t="shared" si="13"/>
        <v>8213</v>
      </c>
      <c r="R108" s="1840">
        <v>2848</v>
      </c>
      <c r="S108" s="1840">
        <v>5365</v>
      </c>
    </row>
    <row r="109" spans="1:19" ht="12.75">
      <c r="A109" s="53" t="s">
        <v>3817</v>
      </c>
      <c r="B109" s="1204">
        <f t="shared" si="11"/>
        <v>1175</v>
      </c>
      <c r="C109" s="1204">
        <v>1125</v>
      </c>
      <c r="D109" s="1204">
        <v>50</v>
      </c>
      <c r="E109" s="1204">
        <f t="shared" si="12"/>
        <v>0</v>
      </c>
      <c r="F109" s="1204">
        <v>0</v>
      </c>
      <c r="G109" s="1204">
        <v>0</v>
      </c>
      <c r="H109" s="1204">
        <f t="shared" si="8"/>
        <v>1043</v>
      </c>
      <c r="I109" s="1204">
        <v>1007</v>
      </c>
      <c r="J109" s="1204">
        <v>36</v>
      </c>
      <c r="K109" s="1204">
        <f t="shared" si="9"/>
        <v>711</v>
      </c>
      <c r="L109" s="1204">
        <v>677</v>
      </c>
      <c r="M109" s="1204">
        <v>34</v>
      </c>
      <c r="N109" s="1204">
        <f t="shared" si="10"/>
        <v>0</v>
      </c>
      <c r="O109" s="1204">
        <v>0</v>
      </c>
      <c r="P109" s="1204">
        <v>0</v>
      </c>
      <c r="Q109" s="1840">
        <f t="shared" si="13"/>
        <v>0</v>
      </c>
      <c r="R109" s="1840">
        <v>0</v>
      </c>
      <c r="S109" s="1840">
        <v>0</v>
      </c>
    </row>
    <row r="110" spans="1:19">
      <c r="A110" s="53" t="s">
        <v>644</v>
      </c>
      <c r="B110" s="1204">
        <f t="shared" si="11"/>
        <v>722</v>
      </c>
      <c r="C110" s="1204">
        <v>702</v>
      </c>
      <c r="D110" s="1204">
        <v>20</v>
      </c>
      <c r="E110" s="1204">
        <f t="shared" si="12"/>
        <v>1271</v>
      </c>
      <c r="F110" s="1204">
        <v>1186</v>
      </c>
      <c r="G110" s="1204">
        <v>85</v>
      </c>
      <c r="H110" s="1204">
        <f t="shared" si="8"/>
        <v>1147</v>
      </c>
      <c r="I110" s="1204">
        <v>1143</v>
      </c>
      <c r="J110" s="1204">
        <v>4</v>
      </c>
      <c r="K110" s="1204">
        <f t="shared" si="9"/>
        <v>1079</v>
      </c>
      <c r="L110" s="1204">
        <v>1072</v>
      </c>
      <c r="M110" s="1204">
        <v>7</v>
      </c>
      <c r="N110" s="1204">
        <f t="shared" si="10"/>
        <v>1403</v>
      </c>
      <c r="O110" s="1204">
        <v>1367</v>
      </c>
      <c r="P110" s="1204">
        <v>36</v>
      </c>
      <c r="Q110" s="1840">
        <f t="shared" si="13"/>
        <v>1552</v>
      </c>
      <c r="R110" s="1840">
        <v>1515</v>
      </c>
      <c r="S110" s="1840">
        <v>37</v>
      </c>
    </row>
    <row r="111" spans="1:19">
      <c r="A111" s="53" t="s">
        <v>645</v>
      </c>
      <c r="B111" s="1204">
        <f t="shared" si="11"/>
        <v>0</v>
      </c>
      <c r="C111" s="1204">
        <v>0</v>
      </c>
      <c r="D111" s="1204">
        <v>0</v>
      </c>
      <c r="E111" s="1204">
        <f t="shared" si="12"/>
        <v>1019</v>
      </c>
      <c r="F111" s="1204">
        <v>996</v>
      </c>
      <c r="G111" s="1204">
        <v>23</v>
      </c>
      <c r="H111" s="1204">
        <f t="shared" si="8"/>
        <v>0</v>
      </c>
      <c r="I111" s="1204">
        <v>0</v>
      </c>
      <c r="J111" s="1204">
        <v>0</v>
      </c>
      <c r="K111" s="1204">
        <f t="shared" si="9"/>
        <v>0</v>
      </c>
      <c r="L111" s="1204">
        <v>0</v>
      </c>
      <c r="M111" s="1204">
        <v>0</v>
      </c>
      <c r="N111" s="1204">
        <f t="shared" si="10"/>
        <v>0</v>
      </c>
      <c r="O111" s="1204">
        <v>0</v>
      </c>
      <c r="P111" s="1204">
        <v>0</v>
      </c>
      <c r="Q111" s="1840">
        <f t="shared" si="13"/>
        <v>0</v>
      </c>
      <c r="R111" s="1840">
        <v>0</v>
      </c>
      <c r="S111" s="1840">
        <v>0</v>
      </c>
    </row>
    <row r="112" spans="1:19" ht="12.75">
      <c r="A112" s="53" t="s">
        <v>3818</v>
      </c>
      <c r="B112" s="1204">
        <f t="shared" si="11"/>
        <v>288</v>
      </c>
      <c r="C112" s="1204">
        <v>282</v>
      </c>
      <c r="D112" s="1204">
        <v>6</v>
      </c>
      <c r="E112" s="1204">
        <f t="shared" si="12"/>
        <v>302</v>
      </c>
      <c r="F112" s="1204">
        <v>285</v>
      </c>
      <c r="G112" s="1204">
        <v>17</v>
      </c>
      <c r="H112" s="1204">
        <f t="shared" si="8"/>
        <v>163</v>
      </c>
      <c r="I112" s="1204">
        <v>156</v>
      </c>
      <c r="J112" s="1204">
        <v>7</v>
      </c>
      <c r="K112" s="1204">
        <f t="shared" si="9"/>
        <v>143</v>
      </c>
      <c r="L112" s="1204">
        <v>126</v>
      </c>
      <c r="M112" s="1204">
        <v>17</v>
      </c>
      <c r="N112" s="1204">
        <f t="shared" si="10"/>
        <v>279</v>
      </c>
      <c r="O112" s="1204">
        <v>243</v>
      </c>
      <c r="P112" s="1204">
        <v>36</v>
      </c>
      <c r="Q112" s="1840">
        <f t="shared" si="13"/>
        <v>113</v>
      </c>
      <c r="R112" s="1840">
        <v>104</v>
      </c>
      <c r="S112" s="1840">
        <v>9</v>
      </c>
    </row>
    <row r="113" spans="1:19" s="150" customFormat="1" ht="12.75" customHeight="1">
      <c r="A113" s="150" t="s">
        <v>21</v>
      </c>
      <c r="B113" s="1821">
        <f t="shared" si="11"/>
        <v>284476</v>
      </c>
      <c r="C113" s="1821">
        <f>SUM(C114:C124)</f>
        <v>123037</v>
      </c>
      <c r="D113" s="1821">
        <f>SUM(D114:D124)</f>
        <v>161439</v>
      </c>
      <c r="E113" s="1821">
        <f t="shared" si="12"/>
        <v>283629</v>
      </c>
      <c r="F113" s="1821">
        <f>SUM(F114:F124)</f>
        <v>127060</v>
      </c>
      <c r="G113" s="1821">
        <f>SUM(G114:G124)</f>
        <v>156569</v>
      </c>
      <c r="H113" s="1821">
        <f t="shared" si="8"/>
        <v>289370</v>
      </c>
      <c r="I113" s="1821">
        <f>SUM(I114:I124)</f>
        <v>139088</v>
      </c>
      <c r="J113" s="1821">
        <f>SUM(J114:J124)</f>
        <v>150282</v>
      </c>
      <c r="K113" s="1821">
        <f t="shared" si="9"/>
        <v>302275</v>
      </c>
      <c r="L113" s="1821">
        <f>SUM(L114:L124)</f>
        <v>146344</v>
      </c>
      <c r="M113" s="1821">
        <f>SUM(M114:M124)</f>
        <v>155931</v>
      </c>
      <c r="N113" s="1821">
        <f t="shared" si="10"/>
        <v>338558</v>
      </c>
      <c r="O113" s="1821">
        <f>SUM(O114:O124)</f>
        <v>174107</v>
      </c>
      <c r="P113" s="1821">
        <f>SUM(P114:P124)</f>
        <v>164451</v>
      </c>
      <c r="Q113" s="1839">
        <f t="shared" si="13"/>
        <v>382943</v>
      </c>
      <c r="R113" s="1839">
        <f>SUM(R114:R124)</f>
        <v>199431</v>
      </c>
      <c r="S113" s="1839">
        <f>SUM(S114:S124)</f>
        <v>183512</v>
      </c>
    </row>
    <row r="114" spans="1:19">
      <c r="A114" s="53" t="s">
        <v>646</v>
      </c>
      <c r="B114" s="1204">
        <f t="shared" si="11"/>
        <v>15682</v>
      </c>
      <c r="C114" s="1204">
        <v>4178</v>
      </c>
      <c r="D114" s="1204">
        <v>11504</v>
      </c>
      <c r="E114" s="1204">
        <f t="shared" si="12"/>
        <v>13315</v>
      </c>
      <c r="F114" s="1204">
        <v>3799</v>
      </c>
      <c r="G114" s="1204">
        <v>9516</v>
      </c>
      <c r="H114" s="1204">
        <f t="shared" si="8"/>
        <v>15666</v>
      </c>
      <c r="I114" s="1204">
        <v>5339</v>
      </c>
      <c r="J114" s="1204">
        <v>10327</v>
      </c>
      <c r="K114" s="1204">
        <f t="shared" si="9"/>
        <v>22264</v>
      </c>
      <c r="L114" s="1204">
        <v>9601</v>
      </c>
      <c r="M114" s="1204">
        <v>12663</v>
      </c>
      <c r="N114" s="1204">
        <f t="shared" si="10"/>
        <v>22732</v>
      </c>
      <c r="O114" s="1204">
        <v>12238</v>
      </c>
      <c r="P114" s="1204">
        <v>10494</v>
      </c>
      <c r="Q114" s="1840">
        <f t="shared" si="13"/>
        <v>28316</v>
      </c>
      <c r="R114" s="1840">
        <v>15704</v>
      </c>
      <c r="S114" s="1840">
        <v>12612</v>
      </c>
    </row>
    <row r="115" spans="1:19">
      <c r="A115" s="53" t="s">
        <v>647</v>
      </c>
      <c r="B115" s="1204">
        <f t="shared" si="11"/>
        <v>0</v>
      </c>
      <c r="C115" s="1204">
        <v>0</v>
      </c>
      <c r="D115" s="1204">
        <v>0</v>
      </c>
      <c r="E115" s="1204">
        <f t="shared" si="12"/>
        <v>0</v>
      </c>
      <c r="F115" s="1204">
        <v>0</v>
      </c>
      <c r="G115" s="1204">
        <v>0</v>
      </c>
      <c r="H115" s="1204">
        <f t="shared" si="8"/>
        <v>0</v>
      </c>
      <c r="I115" s="1204">
        <v>0</v>
      </c>
      <c r="J115" s="1204">
        <v>0</v>
      </c>
      <c r="K115" s="1204">
        <f t="shared" si="9"/>
        <v>0</v>
      </c>
      <c r="L115" s="1204">
        <v>0</v>
      </c>
      <c r="M115" s="1204">
        <v>0</v>
      </c>
      <c r="N115" s="1204">
        <f t="shared" si="10"/>
        <v>0</v>
      </c>
      <c r="O115" s="1204">
        <v>0</v>
      </c>
      <c r="P115" s="1204">
        <v>0</v>
      </c>
      <c r="Q115" s="1840">
        <f t="shared" si="13"/>
        <v>0</v>
      </c>
      <c r="R115" s="1840">
        <v>0</v>
      </c>
      <c r="S115" s="1840">
        <v>0</v>
      </c>
    </row>
    <row r="116" spans="1:19">
      <c r="A116" s="53" t="s">
        <v>648</v>
      </c>
      <c r="B116" s="1204">
        <f t="shared" si="11"/>
        <v>11375</v>
      </c>
      <c r="C116" s="1204">
        <v>972</v>
      </c>
      <c r="D116" s="1204">
        <v>10403</v>
      </c>
      <c r="E116" s="1204">
        <f t="shared" si="12"/>
        <v>10327</v>
      </c>
      <c r="F116" s="1204">
        <v>836</v>
      </c>
      <c r="G116" s="1204">
        <v>9491</v>
      </c>
      <c r="H116" s="1204">
        <f t="shared" si="8"/>
        <v>5728</v>
      </c>
      <c r="I116" s="1204">
        <v>466</v>
      </c>
      <c r="J116" s="1204">
        <v>5262</v>
      </c>
      <c r="K116" s="1204">
        <f t="shared" si="9"/>
        <v>6605</v>
      </c>
      <c r="L116" s="1204">
        <v>548</v>
      </c>
      <c r="M116" s="1204">
        <v>6057</v>
      </c>
      <c r="N116" s="1204">
        <f t="shared" si="10"/>
        <v>10159</v>
      </c>
      <c r="O116" s="1204">
        <v>939</v>
      </c>
      <c r="P116" s="1204">
        <v>9220</v>
      </c>
      <c r="Q116" s="1840">
        <f t="shared" si="13"/>
        <v>7543</v>
      </c>
      <c r="R116" s="1840">
        <v>1011</v>
      </c>
      <c r="S116" s="1840">
        <v>6532</v>
      </c>
    </row>
    <row r="117" spans="1:19">
      <c r="A117" s="53" t="s">
        <v>649</v>
      </c>
      <c r="B117" s="1204">
        <f t="shared" si="11"/>
        <v>1499</v>
      </c>
      <c r="C117" s="1204">
        <v>951</v>
      </c>
      <c r="D117" s="1204">
        <v>548</v>
      </c>
      <c r="E117" s="1204">
        <f t="shared" si="12"/>
        <v>2031</v>
      </c>
      <c r="F117" s="1204">
        <v>1376</v>
      </c>
      <c r="G117" s="1204">
        <v>655</v>
      </c>
      <c r="H117" s="1204">
        <f t="shared" si="8"/>
        <v>1604</v>
      </c>
      <c r="I117" s="1204">
        <v>1023</v>
      </c>
      <c r="J117" s="1204">
        <v>581</v>
      </c>
      <c r="K117" s="1204">
        <f t="shared" si="9"/>
        <v>1495</v>
      </c>
      <c r="L117" s="1204">
        <v>934</v>
      </c>
      <c r="M117" s="1204">
        <v>561</v>
      </c>
      <c r="N117" s="1204">
        <f t="shared" si="10"/>
        <v>1827</v>
      </c>
      <c r="O117" s="1204">
        <v>1168</v>
      </c>
      <c r="P117" s="1204">
        <v>659</v>
      </c>
      <c r="Q117" s="1840">
        <f t="shared" si="13"/>
        <v>1936</v>
      </c>
      <c r="R117" s="1840">
        <v>1154</v>
      </c>
      <c r="S117" s="1840">
        <v>782</v>
      </c>
    </row>
    <row r="118" spans="1:19">
      <c r="A118" s="53" t="s">
        <v>650</v>
      </c>
      <c r="B118" s="1204">
        <f t="shared" si="11"/>
        <v>140714</v>
      </c>
      <c r="C118" s="1204">
        <v>50684</v>
      </c>
      <c r="D118" s="1204">
        <v>90030</v>
      </c>
      <c r="E118" s="1204">
        <f t="shared" si="12"/>
        <v>144109</v>
      </c>
      <c r="F118" s="1204">
        <v>53182</v>
      </c>
      <c r="G118" s="1204">
        <v>90927</v>
      </c>
      <c r="H118" s="1204">
        <f t="shared" si="8"/>
        <v>145148</v>
      </c>
      <c r="I118" s="1204">
        <v>56314</v>
      </c>
      <c r="J118" s="1204">
        <v>88834</v>
      </c>
      <c r="K118" s="1204">
        <f t="shared" si="9"/>
        <v>143253</v>
      </c>
      <c r="L118" s="1204">
        <v>56134</v>
      </c>
      <c r="M118" s="1204">
        <v>87119</v>
      </c>
      <c r="N118" s="1204">
        <f t="shared" si="10"/>
        <v>170032</v>
      </c>
      <c r="O118" s="1204">
        <v>73680</v>
      </c>
      <c r="P118" s="1204">
        <v>96352</v>
      </c>
      <c r="Q118" s="1840">
        <f t="shared" si="13"/>
        <v>197503</v>
      </c>
      <c r="R118" s="1840">
        <v>87328</v>
      </c>
      <c r="S118" s="1840">
        <v>110175</v>
      </c>
    </row>
    <row r="119" spans="1:19">
      <c r="A119" s="53" t="s">
        <v>651</v>
      </c>
      <c r="B119" s="1204">
        <f t="shared" si="11"/>
        <v>1105</v>
      </c>
      <c r="C119" s="1204">
        <v>288</v>
      </c>
      <c r="D119" s="1204">
        <v>817</v>
      </c>
      <c r="E119" s="1204">
        <f t="shared" si="12"/>
        <v>682</v>
      </c>
      <c r="F119" s="1204">
        <v>313</v>
      </c>
      <c r="G119" s="1204">
        <v>369</v>
      </c>
      <c r="H119" s="1204">
        <f t="shared" si="8"/>
        <v>636</v>
      </c>
      <c r="I119" s="1204">
        <v>214</v>
      </c>
      <c r="J119" s="1204">
        <v>422</v>
      </c>
      <c r="K119" s="1204">
        <f t="shared" si="9"/>
        <v>780</v>
      </c>
      <c r="L119" s="1204">
        <v>338</v>
      </c>
      <c r="M119" s="1204">
        <v>442</v>
      </c>
      <c r="N119" s="1204">
        <f t="shared" si="10"/>
        <v>959</v>
      </c>
      <c r="O119" s="1204">
        <v>322</v>
      </c>
      <c r="P119" s="1204">
        <v>637</v>
      </c>
      <c r="Q119" s="1840">
        <f t="shared" si="13"/>
        <v>1013</v>
      </c>
      <c r="R119" s="1840">
        <v>324</v>
      </c>
      <c r="S119" s="1840">
        <v>689</v>
      </c>
    </row>
    <row r="120" spans="1:19">
      <c r="A120" s="53" t="s">
        <v>652</v>
      </c>
      <c r="B120" s="1204">
        <f t="shared" si="11"/>
        <v>7191</v>
      </c>
      <c r="C120" s="1204">
        <v>6763</v>
      </c>
      <c r="D120" s="1204">
        <v>428</v>
      </c>
      <c r="E120" s="1204">
        <f t="shared" si="12"/>
        <v>7401</v>
      </c>
      <c r="F120" s="1204">
        <v>6983</v>
      </c>
      <c r="G120" s="1204">
        <v>418</v>
      </c>
      <c r="H120" s="1204">
        <f t="shared" si="8"/>
        <v>7841</v>
      </c>
      <c r="I120" s="1204">
        <v>7603</v>
      </c>
      <c r="J120" s="1204">
        <v>238</v>
      </c>
      <c r="K120" s="1204">
        <f t="shared" si="9"/>
        <v>7509</v>
      </c>
      <c r="L120" s="1204">
        <v>7130</v>
      </c>
      <c r="M120" s="1204">
        <v>379</v>
      </c>
      <c r="N120" s="1204">
        <f t="shared" si="10"/>
        <v>7484</v>
      </c>
      <c r="O120" s="1204">
        <v>7139</v>
      </c>
      <c r="P120" s="1204">
        <v>345</v>
      </c>
      <c r="Q120" s="1840">
        <f t="shared" si="13"/>
        <v>7540</v>
      </c>
      <c r="R120" s="1840">
        <v>7227</v>
      </c>
      <c r="S120" s="1840">
        <v>313</v>
      </c>
    </row>
    <row r="121" spans="1:19">
      <c r="A121" s="53" t="s">
        <v>653</v>
      </c>
      <c r="B121" s="1204">
        <f t="shared" si="11"/>
        <v>11563</v>
      </c>
      <c r="C121" s="1204">
        <v>9787</v>
      </c>
      <c r="D121" s="1204">
        <v>1776</v>
      </c>
      <c r="E121" s="1204">
        <f t="shared" si="12"/>
        <v>12402</v>
      </c>
      <c r="F121" s="1204">
        <v>10952</v>
      </c>
      <c r="G121" s="1204">
        <v>1450</v>
      </c>
      <c r="H121" s="1204">
        <f t="shared" si="8"/>
        <v>14281</v>
      </c>
      <c r="I121" s="1204">
        <v>12632</v>
      </c>
      <c r="J121" s="1204">
        <v>1649</v>
      </c>
      <c r="K121" s="1204">
        <f t="shared" si="9"/>
        <v>13285</v>
      </c>
      <c r="L121" s="1204">
        <v>11319</v>
      </c>
      <c r="M121" s="1204">
        <v>1966</v>
      </c>
      <c r="N121" s="1204">
        <f t="shared" si="10"/>
        <v>11065</v>
      </c>
      <c r="O121" s="1204">
        <v>9329</v>
      </c>
      <c r="P121" s="1204">
        <v>1736</v>
      </c>
      <c r="Q121" s="1840">
        <f t="shared" si="13"/>
        <v>8358</v>
      </c>
      <c r="R121" s="1840">
        <v>7328</v>
      </c>
      <c r="S121" s="1840">
        <v>1030</v>
      </c>
    </row>
    <row r="122" spans="1:19">
      <c r="A122" s="53" t="s">
        <v>654</v>
      </c>
      <c r="B122" s="1204">
        <f t="shared" si="11"/>
        <v>23608</v>
      </c>
      <c r="C122" s="1204">
        <v>4671</v>
      </c>
      <c r="D122" s="1204">
        <v>18937</v>
      </c>
      <c r="E122" s="1204">
        <f t="shared" si="12"/>
        <v>21128</v>
      </c>
      <c r="F122" s="1204">
        <v>3337</v>
      </c>
      <c r="G122" s="1204">
        <v>17791</v>
      </c>
      <c r="H122" s="1204">
        <f t="shared" si="8"/>
        <v>20013</v>
      </c>
      <c r="I122" s="1204">
        <v>3254</v>
      </c>
      <c r="J122" s="1204">
        <v>16759</v>
      </c>
      <c r="K122" s="1204">
        <f t="shared" si="9"/>
        <v>22203</v>
      </c>
      <c r="L122" s="1204">
        <v>4356</v>
      </c>
      <c r="M122" s="1204">
        <v>17847</v>
      </c>
      <c r="N122" s="1204">
        <f t="shared" si="10"/>
        <v>24225</v>
      </c>
      <c r="O122" s="1204">
        <v>5761</v>
      </c>
      <c r="P122" s="1204">
        <v>18464</v>
      </c>
      <c r="Q122" s="1840">
        <f t="shared" si="13"/>
        <v>28917</v>
      </c>
      <c r="R122" s="1840">
        <v>6947</v>
      </c>
      <c r="S122" s="1840">
        <v>21970</v>
      </c>
    </row>
    <row r="123" spans="1:19">
      <c r="A123" s="53" t="s">
        <v>655</v>
      </c>
      <c r="B123" s="1204">
        <f t="shared" si="11"/>
        <v>0</v>
      </c>
      <c r="C123" s="1204">
        <v>0</v>
      </c>
      <c r="D123" s="1204">
        <v>0</v>
      </c>
      <c r="E123" s="1204">
        <f t="shared" si="12"/>
        <v>0</v>
      </c>
      <c r="F123" s="1204">
        <v>0</v>
      </c>
      <c r="G123" s="1204">
        <v>0</v>
      </c>
      <c r="H123" s="1204">
        <f t="shared" si="8"/>
        <v>0</v>
      </c>
      <c r="I123" s="1204">
        <v>0</v>
      </c>
      <c r="J123" s="1204">
        <v>0</v>
      </c>
      <c r="K123" s="1204">
        <f t="shared" si="9"/>
        <v>0</v>
      </c>
      <c r="L123" s="1204">
        <v>0</v>
      </c>
      <c r="M123" s="1204">
        <v>0</v>
      </c>
      <c r="N123" s="1204">
        <f t="shared" si="10"/>
        <v>0</v>
      </c>
      <c r="O123" s="1204">
        <v>0</v>
      </c>
      <c r="P123" s="1204">
        <v>0</v>
      </c>
      <c r="Q123" s="1840">
        <f t="shared" si="13"/>
        <v>0</v>
      </c>
      <c r="R123" s="1840">
        <v>0</v>
      </c>
      <c r="S123" s="1840">
        <v>0</v>
      </c>
    </row>
    <row r="124" spans="1:19">
      <c r="A124" s="53" t="s">
        <v>665</v>
      </c>
      <c r="B124" s="1204">
        <f t="shared" si="11"/>
        <v>71739</v>
      </c>
      <c r="C124" s="1204">
        <v>44743</v>
      </c>
      <c r="D124" s="1204">
        <v>26996</v>
      </c>
      <c r="E124" s="1204">
        <f t="shared" si="12"/>
        <v>72234</v>
      </c>
      <c r="F124" s="1204">
        <v>46282</v>
      </c>
      <c r="G124" s="1204">
        <v>25952</v>
      </c>
      <c r="H124" s="1204">
        <f t="shared" si="8"/>
        <v>78453</v>
      </c>
      <c r="I124" s="1204">
        <v>52243</v>
      </c>
      <c r="J124" s="1204">
        <v>26210</v>
      </c>
      <c r="K124" s="1204">
        <f t="shared" si="9"/>
        <v>84881</v>
      </c>
      <c r="L124" s="1204">
        <v>55984</v>
      </c>
      <c r="M124" s="1204">
        <v>28897</v>
      </c>
      <c r="N124" s="1204">
        <f>SUM(O124:P124)</f>
        <v>90075</v>
      </c>
      <c r="O124" s="1204">
        <v>63531</v>
      </c>
      <c r="P124" s="1204">
        <v>26544</v>
      </c>
      <c r="Q124" s="1840">
        <f>SUM(R124:S124)</f>
        <v>101817</v>
      </c>
      <c r="R124" s="1840">
        <v>72408</v>
      </c>
      <c r="S124" s="1840">
        <v>29409</v>
      </c>
    </row>
    <row r="126" spans="1:19">
      <c r="A126" s="53" t="s">
        <v>3828</v>
      </c>
    </row>
    <row r="127" spans="1:19">
      <c r="A127" s="53" t="s">
        <v>3820</v>
      </c>
    </row>
    <row r="128" spans="1:19">
      <c r="A128" s="1843" t="s">
        <v>22</v>
      </c>
    </row>
    <row r="129" spans="1:1">
      <c r="A129" s="1997" t="s">
        <v>208</v>
      </c>
    </row>
  </sheetData>
  <mergeCells count="7">
    <mergeCell ref="Q4:S4"/>
    <mergeCell ref="A4:A5"/>
    <mergeCell ref="B4:D4"/>
    <mergeCell ref="E4:G4"/>
    <mergeCell ref="H4:J4"/>
    <mergeCell ref="K4:M4"/>
    <mergeCell ref="N4:P4"/>
  </mergeCells>
  <pageMargins left="0.7" right="0.7" top="0.75" bottom="0.75" header="0.3" footer="0.3"/>
</worksheet>
</file>

<file path=xl/worksheets/sheet54.xml><?xml version="1.0" encoding="utf-8"?>
<worksheet xmlns="http://schemas.openxmlformats.org/spreadsheetml/2006/main" xmlns:r="http://schemas.openxmlformats.org/officeDocument/2006/relationships">
  <dimension ref="A1:U129"/>
  <sheetViews>
    <sheetView topLeftCell="A103" zoomScaleNormal="100" workbookViewId="0">
      <selection activeCell="A129" sqref="A129"/>
    </sheetView>
  </sheetViews>
  <sheetFormatPr baseColWidth="10" defaultRowHeight="11.25"/>
  <cols>
    <col min="1" max="1" width="33.140625" style="53" customWidth="1"/>
    <col min="2" max="5" width="13.140625" style="53" bestFit="1" customWidth="1"/>
    <col min="6" max="7" width="11.28515625" style="53" bestFit="1" customWidth="1"/>
    <col min="8" max="8" width="13.140625" style="53" bestFit="1" customWidth="1"/>
    <col min="9" max="10" width="11.28515625" style="53" bestFit="1" customWidth="1"/>
    <col min="11" max="19" width="13.140625" style="53" bestFit="1" customWidth="1"/>
    <col min="20" max="16384" width="11.42578125" style="53"/>
  </cols>
  <sheetData>
    <row r="1" spans="1:19">
      <c r="A1" s="61"/>
    </row>
    <row r="2" spans="1:19" s="150" customFormat="1">
      <c r="A2" s="150" t="s">
        <v>967</v>
      </c>
    </row>
    <row r="4" spans="1:19" ht="15.75" customHeight="1">
      <c r="A4" s="2122" t="s">
        <v>3815</v>
      </c>
      <c r="B4" s="2058">
        <v>2009</v>
      </c>
      <c r="C4" s="2058"/>
      <c r="D4" s="2058"/>
      <c r="E4" s="2058">
        <v>2010</v>
      </c>
      <c r="F4" s="2058"/>
      <c r="G4" s="2058"/>
      <c r="H4" s="2058">
        <v>2011</v>
      </c>
      <c r="I4" s="2058"/>
      <c r="J4" s="2058"/>
      <c r="K4" s="2058">
        <v>2012</v>
      </c>
      <c r="L4" s="2058"/>
      <c r="M4" s="2058"/>
      <c r="N4" s="2058">
        <v>2013</v>
      </c>
      <c r="O4" s="2058"/>
      <c r="P4" s="2058"/>
      <c r="Q4" s="2058">
        <v>2014</v>
      </c>
      <c r="R4" s="2058"/>
      <c r="S4" s="2058"/>
    </row>
    <row r="5" spans="1:19" ht="15.75" customHeight="1">
      <c r="A5" s="2123"/>
      <c r="B5" s="1831" t="s">
        <v>26</v>
      </c>
      <c r="C5" s="1831" t="s">
        <v>163</v>
      </c>
      <c r="D5" s="1831" t="s">
        <v>164</v>
      </c>
      <c r="E5" s="1831" t="s">
        <v>26</v>
      </c>
      <c r="F5" s="1831" t="s">
        <v>163</v>
      </c>
      <c r="G5" s="1831" t="s">
        <v>164</v>
      </c>
      <c r="H5" s="1831" t="s">
        <v>26</v>
      </c>
      <c r="I5" s="1831" t="s">
        <v>163</v>
      </c>
      <c r="J5" s="1831" t="s">
        <v>164</v>
      </c>
      <c r="K5" s="1831" t="s">
        <v>26</v>
      </c>
      <c r="L5" s="1831" t="s">
        <v>163</v>
      </c>
      <c r="M5" s="1831" t="s">
        <v>164</v>
      </c>
      <c r="N5" s="1831" t="s">
        <v>26</v>
      </c>
      <c r="O5" s="1831" t="s">
        <v>163</v>
      </c>
      <c r="P5" s="1831" t="s">
        <v>164</v>
      </c>
      <c r="Q5" s="1831" t="s">
        <v>26</v>
      </c>
      <c r="R5" s="1831" t="s">
        <v>163</v>
      </c>
      <c r="S5" s="1831" t="s">
        <v>164</v>
      </c>
    </row>
    <row r="6" spans="1:19" s="150" customFormat="1" ht="12.75" customHeight="1">
      <c r="A6" s="150" t="s">
        <v>6</v>
      </c>
      <c r="B6" s="1821">
        <f>SUM(C6:D6)</f>
        <v>2056218</v>
      </c>
      <c r="C6" s="1821">
        <f>SUM(C7+C12+C16+C22+C26+C31+C40+C43+C47+C56+C64+C78+C81+C93+C113)</f>
        <v>1018484</v>
      </c>
      <c r="D6" s="1821">
        <f>SUM(D7+D12+D16+D22+D26+D31+D40+D43+D47+D56+D64+D78+D81+D93+D113)</f>
        <v>1037734</v>
      </c>
      <c r="E6" s="1821">
        <f>SUM(F6:G6)</f>
        <v>1816916</v>
      </c>
      <c r="F6" s="1821">
        <f>SUM(F7+F12+F16+F22+F26+F31+F40+F43+F47+F56+F64+F78+F81+F93+F113)</f>
        <v>937920</v>
      </c>
      <c r="G6" s="1821">
        <f>SUM(G7+G12+G16+G22+G26+G31+G40+G43+G47+G56+G64+G78+G81+G93+G113)</f>
        <v>878996</v>
      </c>
      <c r="H6" s="1821">
        <f>SUM(I6:J6)</f>
        <v>1774764</v>
      </c>
      <c r="I6" s="1821">
        <f>SUM(I7+I12+I16+I22+I26+I31+I40+I43+I47+I56+I64+I78+I81+I93+I113)</f>
        <v>920723</v>
      </c>
      <c r="J6" s="1821">
        <f>SUM(J7+J12+J16+J22+J26+J31+J40+J43+J47+J56+J64+J78+J81+J93+J113)</f>
        <v>854041</v>
      </c>
      <c r="K6" s="1821">
        <f>SUM(L6:M6)</f>
        <v>2061670</v>
      </c>
      <c r="L6" s="1821">
        <f>SUM(L7+L12+L16+L22+L26+L31+L40+L43+L47+L56+L64+L78+L81+L93+L113)</f>
        <v>1053291</v>
      </c>
      <c r="M6" s="1821">
        <f>SUM(M7+M12+M16+M22+M26+M31+M40+M43+M47+M56+M64+M78+M81+M93+M113)</f>
        <v>1008379</v>
      </c>
      <c r="N6" s="1821">
        <f>SUM(O6:P6)</f>
        <v>2408269</v>
      </c>
      <c r="O6" s="1821">
        <f>SUM(O7+O12+O16+O22+O26+O31+O40+O43+O47+O56+O64+O78+O81+O93+O113)</f>
        <v>1227212</v>
      </c>
      <c r="P6" s="1821">
        <f>SUM(P7+P12+P16+P22+P26+P31+P40+P43+P47+P56+P64+P78+P81+P93+P113)</f>
        <v>1181057</v>
      </c>
      <c r="Q6" s="1839">
        <f>SUM(R6:S6)</f>
        <v>2510648</v>
      </c>
      <c r="R6" s="1839">
        <f>SUM(R7+R12+R16+R22+R26+R31+R40+R43+R47+R56+R64+R78+R81+R93+R113)</f>
        <v>1269064</v>
      </c>
      <c r="S6" s="1839">
        <f>SUM(S7+S12+S16+S22+S26+S31+S40+S43+S47+S56+S64+S78+S81+S93+S113)</f>
        <v>1241584</v>
      </c>
    </row>
    <row r="7" spans="1:19" s="150" customFormat="1">
      <c r="A7" s="150" t="s">
        <v>7</v>
      </c>
      <c r="B7" s="1821">
        <f>SUM(C7:D7)</f>
        <v>17526</v>
      </c>
      <c r="C7" s="1821">
        <f>SUM(C8:C11)</f>
        <v>9133</v>
      </c>
      <c r="D7" s="1821">
        <f>SUM(D8:D11)</f>
        <v>8393</v>
      </c>
      <c r="E7" s="1821">
        <f>SUM(F7:G7)</f>
        <v>15045</v>
      </c>
      <c r="F7" s="1821">
        <f>SUM(F8:F11)</f>
        <v>7813</v>
      </c>
      <c r="G7" s="1821">
        <f>SUM(G8:G11)</f>
        <v>7232</v>
      </c>
      <c r="H7" s="1821">
        <f>SUM(I7:J7)</f>
        <v>13991</v>
      </c>
      <c r="I7" s="1821">
        <f>SUM(I8:I11)</f>
        <v>7344</v>
      </c>
      <c r="J7" s="1821">
        <f>SUM(J8:J11)</f>
        <v>6647</v>
      </c>
      <c r="K7" s="1821">
        <f>SUM(L7:M7)</f>
        <v>13002</v>
      </c>
      <c r="L7" s="1821">
        <f>SUM(L8:L11)</f>
        <v>6683</v>
      </c>
      <c r="M7" s="1821">
        <f>SUM(M8:M11)</f>
        <v>6319</v>
      </c>
      <c r="N7" s="1821">
        <f>SUM(O7:P7)</f>
        <v>18425</v>
      </c>
      <c r="O7" s="1821">
        <f>SUM(O8:O11)</f>
        <v>9046</v>
      </c>
      <c r="P7" s="1821">
        <f>SUM(P8:P11)</f>
        <v>9379</v>
      </c>
      <c r="Q7" s="1839">
        <f t="shared" ref="Q7:Q47" si="0">SUM(R7:S7)</f>
        <v>18207</v>
      </c>
      <c r="R7" s="1839">
        <f>SUM(R8:R11)</f>
        <v>9260</v>
      </c>
      <c r="S7" s="1839">
        <f>SUM(S8:S11)</f>
        <v>8947</v>
      </c>
    </row>
    <row r="8" spans="1:19">
      <c r="A8" s="53" t="s">
        <v>556</v>
      </c>
      <c r="B8" s="1204">
        <f>SUM(C8:D8)</f>
        <v>15479</v>
      </c>
      <c r="C8" s="1204">
        <v>8021</v>
      </c>
      <c r="D8" s="1204">
        <v>7458</v>
      </c>
      <c r="E8" s="1204">
        <f>SUM(F8:G8)</f>
        <v>13340</v>
      </c>
      <c r="F8" s="1204">
        <v>6910</v>
      </c>
      <c r="G8" s="1204">
        <v>6430</v>
      </c>
      <c r="H8" s="1204">
        <f>SUM(I8:J8)</f>
        <v>12081</v>
      </c>
      <c r="I8" s="1204">
        <v>6330</v>
      </c>
      <c r="J8" s="1204">
        <v>5751</v>
      </c>
      <c r="K8" s="1204">
        <f>SUM(L8:M8)</f>
        <v>12087</v>
      </c>
      <c r="L8" s="1204">
        <v>6178</v>
      </c>
      <c r="M8" s="1204">
        <v>5909</v>
      </c>
      <c r="N8" s="1204">
        <f>SUM(O8:P8)</f>
        <v>17211</v>
      </c>
      <c r="O8" s="1204">
        <v>8396</v>
      </c>
      <c r="P8" s="1204">
        <v>8815</v>
      </c>
      <c r="Q8" s="1840">
        <f t="shared" si="0"/>
        <v>16829</v>
      </c>
      <c r="R8" s="1840">
        <v>8500</v>
      </c>
      <c r="S8" s="1840">
        <v>8329</v>
      </c>
    </row>
    <row r="9" spans="1:19">
      <c r="A9" s="53" t="s">
        <v>557</v>
      </c>
      <c r="B9" s="1204">
        <f t="shared" ref="B9:B75" si="1">SUM(C9:D9)</f>
        <v>987</v>
      </c>
      <c r="C9" s="1204">
        <v>509</v>
      </c>
      <c r="D9" s="1204">
        <v>478</v>
      </c>
      <c r="E9" s="1204">
        <f t="shared" ref="E9:E75" si="2">SUM(F9:G9)</f>
        <v>448</v>
      </c>
      <c r="F9" s="1204">
        <v>227</v>
      </c>
      <c r="G9" s="1204">
        <v>221</v>
      </c>
      <c r="H9" s="1204">
        <f>SUM(I9:J9)</f>
        <v>777</v>
      </c>
      <c r="I9" s="1204">
        <v>405</v>
      </c>
      <c r="J9" s="1204">
        <v>372</v>
      </c>
      <c r="K9" s="1204">
        <f t="shared" ref="K9:K75" si="3">SUM(L9:M9)</f>
        <v>208</v>
      </c>
      <c r="L9" s="1204">
        <v>111</v>
      </c>
      <c r="M9" s="1204">
        <v>97</v>
      </c>
      <c r="N9" s="1204">
        <f t="shared" ref="N9:N75" si="4">SUM(O9:P9)</f>
        <v>450</v>
      </c>
      <c r="O9" s="1204">
        <v>245</v>
      </c>
      <c r="P9" s="1204">
        <v>205</v>
      </c>
      <c r="Q9" s="1840">
        <f t="shared" si="0"/>
        <v>520</v>
      </c>
      <c r="R9" s="1840">
        <v>267</v>
      </c>
      <c r="S9" s="1840">
        <v>253</v>
      </c>
    </row>
    <row r="10" spans="1:19">
      <c r="A10" s="53" t="s">
        <v>558</v>
      </c>
      <c r="B10" s="1204">
        <f>SUM(C10:D10)</f>
        <v>0</v>
      </c>
      <c r="C10" s="1204">
        <v>0</v>
      </c>
      <c r="D10" s="1204">
        <v>0</v>
      </c>
      <c r="E10" s="1204">
        <f t="shared" si="2"/>
        <v>0</v>
      </c>
      <c r="F10" s="1204">
        <v>0</v>
      </c>
      <c r="G10" s="1204">
        <v>0</v>
      </c>
      <c r="H10" s="1204">
        <f t="shared" ref="H10:H76" si="5">SUM(I10:J10)</f>
        <v>0</v>
      </c>
      <c r="I10" s="1204">
        <v>0</v>
      </c>
      <c r="J10" s="1204">
        <v>0</v>
      </c>
      <c r="K10" s="1204">
        <f t="shared" si="3"/>
        <v>0</v>
      </c>
      <c r="L10" s="1204">
        <v>0</v>
      </c>
      <c r="M10" s="1204">
        <v>0</v>
      </c>
      <c r="N10" s="1204">
        <f t="shared" si="4"/>
        <v>0</v>
      </c>
      <c r="O10" s="1204">
        <v>0</v>
      </c>
      <c r="P10" s="1204">
        <v>0</v>
      </c>
      <c r="Q10" s="1840">
        <f t="shared" si="0"/>
        <v>0</v>
      </c>
      <c r="R10" s="1840">
        <v>0</v>
      </c>
      <c r="S10" s="1840">
        <v>0</v>
      </c>
    </row>
    <row r="11" spans="1:19">
      <c r="A11" s="53" t="s">
        <v>559</v>
      </c>
      <c r="B11" s="1204">
        <f t="shared" si="1"/>
        <v>1060</v>
      </c>
      <c r="C11" s="1204">
        <v>603</v>
      </c>
      <c r="D11" s="1204">
        <v>457</v>
      </c>
      <c r="E11" s="1204">
        <f>SUM(F11:G11)</f>
        <v>1257</v>
      </c>
      <c r="F11" s="1204">
        <v>676</v>
      </c>
      <c r="G11" s="1204">
        <v>581</v>
      </c>
      <c r="H11" s="1204">
        <f t="shared" si="5"/>
        <v>1133</v>
      </c>
      <c r="I11" s="1204">
        <v>609</v>
      </c>
      <c r="J11" s="1204">
        <v>524</v>
      </c>
      <c r="K11" s="1204">
        <f t="shared" si="3"/>
        <v>707</v>
      </c>
      <c r="L11" s="1204">
        <v>394</v>
      </c>
      <c r="M11" s="1204">
        <v>313</v>
      </c>
      <c r="N11" s="1204">
        <f t="shared" si="4"/>
        <v>764</v>
      </c>
      <c r="O11" s="1204">
        <v>405</v>
      </c>
      <c r="P11" s="1204">
        <v>359</v>
      </c>
      <c r="Q11" s="1840">
        <f t="shared" si="0"/>
        <v>858</v>
      </c>
      <c r="R11" s="1840">
        <v>493</v>
      </c>
      <c r="S11" s="1840">
        <v>365</v>
      </c>
    </row>
    <row r="12" spans="1:19" s="150" customFormat="1">
      <c r="A12" s="150" t="s">
        <v>8</v>
      </c>
      <c r="B12" s="1821">
        <f>SUM(C12:D12)</f>
        <v>12213</v>
      </c>
      <c r="C12" s="1821">
        <f>SUM(C13:C15)</f>
        <v>6308</v>
      </c>
      <c r="D12" s="1821">
        <f>SUM(D13:D15)</f>
        <v>5905</v>
      </c>
      <c r="E12" s="1821">
        <f>SUM(F12:G12)</f>
        <v>17161</v>
      </c>
      <c r="F12" s="1821">
        <f>SUM(F13:F15)</f>
        <v>8977</v>
      </c>
      <c r="G12" s="1821">
        <f>SUM(G13:G15)</f>
        <v>8184</v>
      </c>
      <c r="H12" s="1821">
        <f>SUM(I12:J12)</f>
        <v>9875</v>
      </c>
      <c r="I12" s="1821">
        <f>SUM(I13:I15)</f>
        <v>5130</v>
      </c>
      <c r="J12" s="1821">
        <f>SUM(J13:J15)</f>
        <v>4745</v>
      </c>
      <c r="K12" s="1821">
        <f>SUM(L12:M12)</f>
        <v>2271</v>
      </c>
      <c r="L12" s="1821">
        <f>SUM(L13:L15)</f>
        <v>1171</v>
      </c>
      <c r="M12" s="1821">
        <f>SUM(M13:M15)</f>
        <v>1100</v>
      </c>
      <c r="N12" s="1821">
        <f>SUM(O12:P12)</f>
        <v>3228</v>
      </c>
      <c r="O12" s="1821">
        <f>SUM(O13:O15)</f>
        <v>1616</v>
      </c>
      <c r="P12" s="1821">
        <f>SUM(P13:P15)</f>
        <v>1612</v>
      </c>
      <c r="Q12" s="1839">
        <f t="shared" si="0"/>
        <v>4783</v>
      </c>
      <c r="R12" s="1839">
        <f>SUM(R13:R15)</f>
        <v>2431</v>
      </c>
      <c r="S12" s="1841">
        <f>SUM(S13:S15)</f>
        <v>2352</v>
      </c>
    </row>
    <row r="13" spans="1:19">
      <c r="A13" s="53" t="s">
        <v>560</v>
      </c>
      <c r="B13" s="1204">
        <f t="shared" si="1"/>
        <v>223</v>
      </c>
      <c r="C13" s="1204">
        <v>130</v>
      </c>
      <c r="D13" s="1204">
        <v>93</v>
      </c>
      <c r="E13" s="1204">
        <f t="shared" si="2"/>
        <v>361</v>
      </c>
      <c r="F13" s="1204">
        <v>212</v>
      </c>
      <c r="G13" s="1204">
        <v>149</v>
      </c>
      <c r="H13" s="1204">
        <f t="shared" si="5"/>
        <v>185</v>
      </c>
      <c r="I13" s="1204">
        <v>90</v>
      </c>
      <c r="J13" s="1204">
        <v>95</v>
      </c>
      <c r="K13" s="1204">
        <f t="shared" si="3"/>
        <v>187</v>
      </c>
      <c r="L13" s="1204">
        <v>122</v>
      </c>
      <c r="M13" s="1204">
        <v>65</v>
      </c>
      <c r="N13" s="1204">
        <f t="shared" si="4"/>
        <v>258</v>
      </c>
      <c r="O13" s="1204">
        <v>169</v>
      </c>
      <c r="P13" s="1204">
        <v>89</v>
      </c>
      <c r="Q13" s="1840">
        <f t="shared" si="0"/>
        <v>224</v>
      </c>
      <c r="R13" s="1840">
        <v>106</v>
      </c>
      <c r="S13" s="1840">
        <v>118</v>
      </c>
    </row>
    <row r="14" spans="1:19">
      <c r="A14" s="53" t="s">
        <v>561</v>
      </c>
      <c r="B14" s="1204">
        <f t="shared" si="1"/>
        <v>0</v>
      </c>
      <c r="C14" s="1204">
        <v>0</v>
      </c>
      <c r="D14" s="1204">
        <v>0</v>
      </c>
      <c r="E14" s="1204">
        <f t="shared" si="2"/>
        <v>0</v>
      </c>
      <c r="F14" s="1204">
        <v>0</v>
      </c>
      <c r="G14" s="1204">
        <v>0</v>
      </c>
      <c r="H14" s="1204">
        <f t="shared" si="5"/>
        <v>0</v>
      </c>
      <c r="I14" s="1204">
        <v>0</v>
      </c>
      <c r="J14" s="1204">
        <v>0</v>
      </c>
      <c r="K14" s="1204">
        <f t="shared" si="3"/>
        <v>0</v>
      </c>
      <c r="L14" s="1204">
        <v>0</v>
      </c>
      <c r="M14" s="1204">
        <v>0</v>
      </c>
      <c r="N14" s="1204">
        <f t="shared" si="4"/>
        <v>0</v>
      </c>
      <c r="O14" s="1204">
        <v>0</v>
      </c>
      <c r="P14" s="1204">
        <v>0</v>
      </c>
      <c r="Q14" s="1840">
        <f t="shared" si="0"/>
        <v>0</v>
      </c>
      <c r="R14" s="1840">
        <v>0</v>
      </c>
      <c r="S14" s="1840">
        <v>0</v>
      </c>
    </row>
    <row r="15" spans="1:19">
      <c r="A15" s="53" t="s">
        <v>562</v>
      </c>
      <c r="B15" s="1204">
        <f>SUM(C15:D15)</f>
        <v>11990</v>
      </c>
      <c r="C15" s="1204">
        <v>6178</v>
      </c>
      <c r="D15" s="1204">
        <v>5812</v>
      </c>
      <c r="E15" s="1204">
        <f t="shared" si="2"/>
        <v>16800</v>
      </c>
      <c r="F15" s="1204">
        <v>8765</v>
      </c>
      <c r="G15" s="1204">
        <v>8035</v>
      </c>
      <c r="H15" s="1204">
        <f t="shared" si="5"/>
        <v>9690</v>
      </c>
      <c r="I15" s="1204">
        <v>5040</v>
      </c>
      <c r="J15" s="1204">
        <v>4650</v>
      </c>
      <c r="K15" s="1204">
        <f t="shared" si="3"/>
        <v>2084</v>
      </c>
      <c r="L15" s="1204">
        <v>1049</v>
      </c>
      <c r="M15" s="1204">
        <v>1035</v>
      </c>
      <c r="N15" s="1204">
        <f t="shared" si="4"/>
        <v>2970</v>
      </c>
      <c r="O15" s="1204">
        <v>1447</v>
      </c>
      <c r="P15" s="1204">
        <v>1523</v>
      </c>
      <c r="Q15" s="1840">
        <f t="shared" si="0"/>
        <v>4559</v>
      </c>
      <c r="R15" s="1840">
        <v>2325</v>
      </c>
      <c r="S15" s="1840">
        <v>2234</v>
      </c>
    </row>
    <row r="16" spans="1:19" s="150" customFormat="1">
      <c r="A16" s="150" t="s">
        <v>9</v>
      </c>
      <c r="B16" s="1821">
        <f>SUM(C16:D16)</f>
        <v>279738</v>
      </c>
      <c r="C16" s="1821">
        <f>SUM(C17:C21)</f>
        <v>136661</v>
      </c>
      <c r="D16" s="1821">
        <f>SUM(D17:D21)</f>
        <v>143077</v>
      </c>
      <c r="E16" s="1821">
        <f>SUM(F16:G16)</f>
        <v>315888</v>
      </c>
      <c r="F16" s="1821">
        <f>SUM(F17:F21)</f>
        <v>162610</v>
      </c>
      <c r="G16" s="1821">
        <f>SUM(G17:G21)</f>
        <v>153278</v>
      </c>
      <c r="H16" s="1821">
        <f>SUM(I16:J16)</f>
        <v>330317</v>
      </c>
      <c r="I16" s="1821">
        <f>SUM(I17:I21)</f>
        <v>165399</v>
      </c>
      <c r="J16" s="1821">
        <f>SUM(J17:J21)</f>
        <v>164918</v>
      </c>
      <c r="K16" s="1821">
        <f>SUM(L16:M16)</f>
        <v>338326</v>
      </c>
      <c r="L16" s="1821">
        <f>SUM(L17:L21)</f>
        <v>172213</v>
      </c>
      <c r="M16" s="1821">
        <f>SUM(M17:M21)</f>
        <v>166113</v>
      </c>
      <c r="N16" s="1821">
        <f>SUM(O16:P16)</f>
        <v>400503</v>
      </c>
      <c r="O16" s="1821">
        <f>SUM(O17:O21)</f>
        <v>202336</v>
      </c>
      <c r="P16" s="1821">
        <f>SUM(P17:P21)</f>
        <v>198167</v>
      </c>
      <c r="Q16" s="1839">
        <f t="shared" si="0"/>
        <v>391325</v>
      </c>
      <c r="R16" s="1839">
        <f>SUM(R17:R21)</f>
        <v>193330</v>
      </c>
      <c r="S16" s="1839">
        <f>SUM(S17:S21)</f>
        <v>197995</v>
      </c>
    </row>
    <row r="17" spans="1:19">
      <c r="A17" s="53" t="s">
        <v>563</v>
      </c>
      <c r="B17" s="1204">
        <f t="shared" si="1"/>
        <v>0</v>
      </c>
      <c r="C17" s="1204">
        <v>0</v>
      </c>
      <c r="D17" s="1204">
        <v>0</v>
      </c>
      <c r="E17" s="1204">
        <f t="shared" si="2"/>
        <v>0</v>
      </c>
      <c r="F17" s="1204">
        <v>0</v>
      </c>
      <c r="G17" s="1204">
        <v>0</v>
      </c>
      <c r="H17" s="1204">
        <f t="shared" si="5"/>
        <v>0</v>
      </c>
      <c r="I17" s="1204">
        <v>0</v>
      </c>
      <c r="J17" s="1204">
        <v>0</v>
      </c>
      <c r="K17" s="1204">
        <f t="shared" si="3"/>
        <v>0</v>
      </c>
      <c r="L17" s="1204">
        <v>0</v>
      </c>
      <c r="M17" s="1204">
        <v>0</v>
      </c>
      <c r="N17" s="1204">
        <f t="shared" si="4"/>
        <v>0</v>
      </c>
      <c r="O17" s="1204">
        <v>0</v>
      </c>
      <c r="P17" s="1204">
        <v>0</v>
      </c>
      <c r="Q17" s="1840">
        <f t="shared" si="0"/>
        <v>0</v>
      </c>
      <c r="R17" s="1840"/>
      <c r="S17" s="1840"/>
    </row>
    <row r="18" spans="1:19">
      <c r="A18" s="53" t="s">
        <v>564</v>
      </c>
      <c r="B18" s="1204">
        <f t="shared" si="1"/>
        <v>0</v>
      </c>
      <c r="C18" s="1204">
        <v>0</v>
      </c>
      <c r="D18" s="1204">
        <v>0</v>
      </c>
      <c r="E18" s="1204">
        <f t="shared" si="2"/>
        <v>0</v>
      </c>
      <c r="F18" s="1204">
        <v>0</v>
      </c>
      <c r="G18" s="1204">
        <v>0</v>
      </c>
      <c r="H18" s="1204">
        <f t="shared" si="5"/>
        <v>0</v>
      </c>
      <c r="I18" s="1204">
        <v>0</v>
      </c>
      <c r="J18" s="1204">
        <v>0</v>
      </c>
      <c r="K18" s="1204">
        <f t="shared" si="3"/>
        <v>0</v>
      </c>
      <c r="L18" s="1204">
        <v>0</v>
      </c>
      <c r="M18" s="1204">
        <v>0</v>
      </c>
      <c r="N18" s="1204">
        <f t="shared" si="4"/>
        <v>0</v>
      </c>
      <c r="O18" s="1204">
        <v>0</v>
      </c>
      <c r="P18" s="1204">
        <v>0</v>
      </c>
      <c r="Q18" s="1840">
        <f t="shared" si="0"/>
        <v>0</v>
      </c>
      <c r="R18" s="1840"/>
      <c r="S18" s="1840"/>
    </row>
    <row r="19" spans="1:19">
      <c r="A19" s="53" t="s">
        <v>565</v>
      </c>
      <c r="B19" s="1204">
        <f t="shared" si="1"/>
        <v>168332</v>
      </c>
      <c r="C19" s="1204">
        <v>83890</v>
      </c>
      <c r="D19" s="1204">
        <v>84442</v>
      </c>
      <c r="E19" s="1204">
        <f t="shared" si="2"/>
        <v>208569</v>
      </c>
      <c r="F19" s="1204">
        <v>103702</v>
      </c>
      <c r="G19" s="1204">
        <v>104867</v>
      </c>
      <c r="H19" s="1204">
        <f t="shared" si="5"/>
        <v>213230</v>
      </c>
      <c r="I19" s="1204">
        <v>103780</v>
      </c>
      <c r="J19" s="1204">
        <v>109450</v>
      </c>
      <c r="K19" s="1204">
        <f t="shared" si="3"/>
        <v>218741</v>
      </c>
      <c r="L19" s="1204">
        <v>108109</v>
      </c>
      <c r="M19" s="1204">
        <v>110632</v>
      </c>
      <c r="N19" s="1204">
        <f t="shared" si="4"/>
        <v>240118</v>
      </c>
      <c r="O19" s="1204">
        <v>118479</v>
      </c>
      <c r="P19" s="1204">
        <v>121639</v>
      </c>
      <c r="Q19" s="1840">
        <f t="shared" si="0"/>
        <v>263142</v>
      </c>
      <c r="R19" s="1840">
        <v>127107</v>
      </c>
      <c r="S19" s="1840">
        <v>136035</v>
      </c>
    </row>
    <row r="20" spans="1:19">
      <c r="A20" s="53" t="s">
        <v>658</v>
      </c>
      <c r="B20" s="1204">
        <f t="shared" si="1"/>
        <v>0</v>
      </c>
      <c r="C20" s="1204">
        <v>0</v>
      </c>
      <c r="D20" s="1204">
        <v>0</v>
      </c>
      <c r="E20" s="1204">
        <f t="shared" si="2"/>
        <v>0</v>
      </c>
      <c r="F20" s="1204">
        <v>0</v>
      </c>
      <c r="G20" s="1204">
        <v>0</v>
      </c>
      <c r="H20" s="1204">
        <f t="shared" si="5"/>
        <v>0</v>
      </c>
      <c r="I20" s="1204">
        <v>0</v>
      </c>
      <c r="J20" s="1204">
        <v>0</v>
      </c>
      <c r="K20" s="1204">
        <f t="shared" si="3"/>
        <v>0</v>
      </c>
      <c r="L20" s="1204">
        <v>0</v>
      </c>
      <c r="M20" s="1204">
        <v>0</v>
      </c>
      <c r="N20" s="1204">
        <f t="shared" si="4"/>
        <v>0</v>
      </c>
      <c r="O20" s="1204">
        <v>0</v>
      </c>
      <c r="P20" s="1204">
        <v>0</v>
      </c>
      <c r="Q20" s="1840">
        <f t="shared" si="0"/>
        <v>0</v>
      </c>
      <c r="R20" s="1840"/>
      <c r="S20" s="1840"/>
    </row>
    <row r="21" spans="1:19">
      <c r="A21" s="53" t="s">
        <v>666</v>
      </c>
      <c r="B21" s="1204">
        <f t="shared" si="1"/>
        <v>111406</v>
      </c>
      <c r="C21" s="1204">
        <v>52771</v>
      </c>
      <c r="D21" s="1204">
        <v>58635</v>
      </c>
      <c r="E21" s="1204">
        <f t="shared" si="2"/>
        <v>107319</v>
      </c>
      <c r="F21" s="1204">
        <v>58908</v>
      </c>
      <c r="G21" s="1204">
        <v>48411</v>
      </c>
      <c r="H21" s="1204">
        <f t="shared" si="5"/>
        <v>117087</v>
      </c>
      <c r="I21" s="1204">
        <v>61619</v>
      </c>
      <c r="J21" s="1204">
        <v>55468</v>
      </c>
      <c r="K21" s="1204">
        <f t="shared" si="3"/>
        <v>119585</v>
      </c>
      <c r="L21" s="1204">
        <v>64104</v>
      </c>
      <c r="M21" s="1204">
        <v>55481</v>
      </c>
      <c r="N21" s="1204">
        <f t="shared" si="4"/>
        <v>160385</v>
      </c>
      <c r="O21" s="1204">
        <v>83857</v>
      </c>
      <c r="P21" s="1204">
        <v>76528</v>
      </c>
      <c r="Q21" s="1840">
        <f t="shared" si="0"/>
        <v>128183</v>
      </c>
      <c r="R21" s="1840">
        <v>66223</v>
      </c>
      <c r="S21" s="1840">
        <v>61960</v>
      </c>
    </row>
    <row r="22" spans="1:19" s="150" customFormat="1">
      <c r="A22" s="150" t="s">
        <v>10</v>
      </c>
      <c r="B22" s="1821">
        <f>SUM(C22:D22)</f>
        <v>17647</v>
      </c>
      <c r="C22" s="1821">
        <f>SUM(C23:C25)</f>
        <v>9283</v>
      </c>
      <c r="D22" s="1821">
        <f>SUM(D23:D25)</f>
        <v>8364</v>
      </c>
      <c r="E22" s="1821">
        <f>SUM(F22:G22)</f>
        <v>24873</v>
      </c>
      <c r="F22" s="1821">
        <f>SUM(F23:F25)</f>
        <v>13794</v>
      </c>
      <c r="G22" s="1821">
        <f>SUM(G23:G25)</f>
        <v>11079</v>
      </c>
      <c r="H22" s="1821">
        <f>SUM(I22:J22)</f>
        <v>16474</v>
      </c>
      <c r="I22" s="1821">
        <f>SUM(I23:I25)</f>
        <v>8578</v>
      </c>
      <c r="J22" s="1821">
        <f>SUM(J23:J25)</f>
        <v>7896</v>
      </c>
      <c r="K22" s="1821">
        <f>SUM(L22:M22)</f>
        <v>17725</v>
      </c>
      <c r="L22" s="1821">
        <f>SUM(L23:L25)</f>
        <v>8917</v>
      </c>
      <c r="M22" s="1821">
        <f>SUM(M23:M25)</f>
        <v>8808</v>
      </c>
      <c r="N22" s="1821">
        <f>SUM(O22:P22)</f>
        <v>19045</v>
      </c>
      <c r="O22" s="1821">
        <f>SUM(O23:O25)</f>
        <v>9838</v>
      </c>
      <c r="P22" s="1821">
        <f>SUM(P23:P25)</f>
        <v>9207</v>
      </c>
      <c r="Q22" s="1839">
        <f t="shared" si="0"/>
        <v>22181</v>
      </c>
      <c r="R22" s="1839">
        <f>SUM(R23:R25)</f>
        <v>11725</v>
      </c>
      <c r="S22" s="1839">
        <f>SUM(S23:S25)</f>
        <v>10456</v>
      </c>
    </row>
    <row r="23" spans="1:19">
      <c r="A23" s="53" t="s">
        <v>568</v>
      </c>
      <c r="B23" s="1204">
        <f t="shared" si="1"/>
        <v>14964</v>
      </c>
      <c r="C23" s="1204">
        <v>7945</v>
      </c>
      <c r="D23" s="1204">
        <v>7019</v>
      </c>
      <c r="E23" s="1204">
        <f t="shared" si="2"/>
        <v>22539</v>
      </c>
      <c r="F23" s="1204">
        <v>12563</v>
      </c>
      <c r="G23" s="1204">
        <v>9976</v>
      </c>
      <c r="H23" s="1204">
        <f t="shared" si="5"/>
        <v>12788</v>
      </c>
      <c r="I23" s="1204">
        <v>6679</v>
      </c>
      <c r="J23" s="1204">
        <v>6109</v>
      </c>
      <c r="K23" s="1204">
        <f t="shared" si="3"/>
        <v>13458</v>
      </c>
      <c r="L23" s="1204">
        <v>6678</v>
      </c>
      <c r="M23" s="1204">
        <v>6780</v>
      </c>
      <c r="N23" s="1204">
        <f>SUM(O23:P23)</f>
        <v>13987</v>
      </c>
      <c r="O23" s="1204">
        <v>7258</v>
      </c>
      <c r="P23" s="1204">
        <v>6729</v>
      </c>
      <c r="Q23" s="1840">
        <f t="shared" si="0"/>
        <v>17631</v>
      </c>
      <c r="R23" s="1840">
        <v>9365</v>
      </c>
      <c r="S23" s="1840">
        <v>8266</v>
      </c>
    </row>
    <row r="24" spans="1:19">
      <c r="A24" s="53" t="s">
        <v>569</v>
      </c>
      <c r="B24" s="1204">
        <f t="shared" si="1"/>
        <v>2386</v>
      </c>
      <c r="C24" s="1204">
        <v>1137</v>
      </c>
      <c r="D24" s="1204">
        <v>1249</v>
      </c>
      <c r="E24" s="1204">
        <f t="shared" si="2"/>
        <v>2010</v>
      </c>
      <c r="F24" s="1204">
        <v>1000</v>
      </c>
      <c r="G24" s="1204">
        <v>1010</v>
      </c>
      <c r="H24" s="1204">
        <f t="shared" si="5"/>
        <v>3283</v>
      </c>
      <c r="I24" s="1204">
        <v>1665</v>
      </c>
      <c r="J24" s="1204">
        <v>1618</v>
      </c>
      <c r="K24" s="1204">
        <f t="shared" si="3"/>
        <v>3761</v>
      </c>
      <c r="L24" s="1204">
        <v>1930</v>
      </c>
      <c r="M24" s="1204">
        <v>1831</v>
      </c>
      <c r="N24" s="1204">
        <f t="shared" si="4"/>
        <v>4471</v>
      </c>
      <c r="O24" s="1204">
        <v>2223</v>
      </c>
      <c r="P24" s="1204">
        <v>2248</v>
      </c>
      <c r="Q24" s="1840">
        <f t="shared" si="0"/>
        <v>686</v>
      </c>
      <c r="R24" s="1840">
        <v>447</v>
      </c>
      <c r="S24" s="1840">
        <v>239</v>
      </c>
    </row>
    <row r="25" spans="1:19">
      <c r="A25" s="53" t="s">
        <v>570</v>
      </c>
      <c r="B25" s="1204">
        <f t="shared" si="1"/>
        <v>297</v>
      </c>
      <c r="C25" s="1204">
        <v>201</v>
      </c>
      <c r="D25" s="1204">
        <v>96</v>
      </c>
      <c r="E25" s="1204">
        <f t="shared" si="2"/>
        <v>324</v>
      </c>
      <c r="F25" s="1204">
        <v>231</v>
      </c>
      <c r="G25" s="1204">
        <v>93</v>
      </c>
      <c r="H25" s="1204">
        <f t="shared" si="5"/>
        <v>403</v>
      </c>
      <c r="I25" s="1204">
        <v>234</v>
      </c>
      <c r="J25" s="1204">
        <v>169</v>
      </c>
      <c r="K25" s="1204">
        <f t="shared" si="3"/>
        <v>506</v>
      </c>
      <c r="L25" s="1204">
        <v>309</v>
      </c>
      <c r="M25" s="1204">
        <v>197</v>
      </c>
      <c r="N25" s="1204">
        <f t="shared" si="4"/>
        <v>587</v>
      </c>
      <c r="O25" s="1204">
        <v>357</v>
      </c>
      <c r="P25" s="1204">
        <v>230</v>
      </c>
      <c r="Q25" s="1840">
        <f t="shared" si="0"/>
        <v>3864</v>
      </c>
      <c r="R25" s="1840">
        <v>1913</v>
      </c>
      <c r="S25" s="1840">
        <v>1951</v>
      </c>
    </row>
    <row r="26" spans="1:19" s="150" customFormat="1">
      <c r="A26" s="150" t="s">
        <v>11</v>
      </c>
      <c r="B26" s="1821">
        <f>SUM(C26:D26)</f>
        <v>51524</v>
      </c>
      <c r="C26" s="1821">
        <f>SUM(C27:C30)</f>
        <v>24454</v>
      </c>
      <c r="D26" s="1821">
        <f>SUM(D27:D30)</f>
        <v>27070</v>
      </c>
      <c r="E26" s="1821">
        <f>SUM(F26:G26)</f>
        <v>57234</v>
      </c>
      <c r="F26" s="1821">
        <f>SUM(F27:F30)</f>
        <v>27822</v>
      </c>
      <c r="G26" s="1821">
        <f>SUM(G27:G30)</f>
        <v>29412</v>
      </c>
      <c r="H26" s="1821">
        <f>SUM(I26:J26)</f>
        <v>47833</v>
      </c>
      <c r="I26" s="1821">
        <f>SUM(I27:I30)</f>
        <v>22581</v>
      </c>
      <c r="J26" s="1821">
        <f>SUM(J27:J30)</f>
        <v>25252</v>
      </c>
      <c r="K26" s="1821">
        <f>SUM(L26:M26)</f>
        <v>70493</v>
      </c>
      <c r="L26" s="1821">
        <f>SUM(L27:L30)</f>
        <v>32274</v>
      </c>
      <c r="M26" s="1821">
        <f>SUM(M27:M30)</f>
        <v>38219</v>
      </c>
      <c r="N26" s="1821">
        <f>SUM(O26:P26)</f>
        <v>68487</v>
      </c>
      <c r="O26" s="1821">
        <f>SUM(O27:O30)</f>
        <v>31472</v>
      </c>
      <c r="P26" s="1821">
        <f>SUM(P27:P30)</f>
        <v>37015</v>
      </c>
      <c r="Q26" s="1839">
        <f t="shared" si="0"/>
        <v>79303</v>
      </c>
      <c r="R26" s="1839">
        <f>SUM(R27:R30)</f>
        <v>38028</v>
      </c>
      <c r="S26" s="1839">
        <f>SUM(S27:S30)</f>
        <v>41275</v>
      </c>
    </row>
    <row r="27" spans="1:19">
      <c r="A27" s="53" t="s">
        <v>571</v>
      </c>
      <c r="B27" s="1204">
        <f t="shared" si="1"/>
        <v>15361</v>
      </c>
      <c r="C27" s="1204">
        <v>7534</v>
      </c>
      <c r="D27" s="1204">
        <v>7827</v>
      </c>
      <c r="E27" s="1204">
        <f t="shared" si="2"/>
        <v>15767</v>
      </c>
      <c r="F27" s="1204">
        <v>7709</v>
      </c>
      <c r="G27" s="1204">
        <v>8058</v>
      </c>
      <c r="H27" s="1204">
        <f t="shared" si="5"/>
        <v>16776</v>
      </c>
      <c r="I27" s="1204">
        <v>8212</v>
      </c>
      <c r="J27" s="1204">
        <v>8564</v>
      </c>
      <c r="K27" s="1204">
        <f t="shared" si="3"/>
        <v>17372</v>
      </c>
      <c r="L27" s="1204">
        <v>8416</v>
      </c>
      <c r="M27" s="1204">
        <v>8956</v>
      </c>
      <c r="N27" s="1204">
        <f t="shared" si="4"/>
        <v>15676</v>
      </c>
      <c r="O27" s="1204">
        <v>7844</v>
      </c>
      <c r="P27" s="1204">
        <v>7832</v>
      </c>
      <c r="Q27" s="1840">
        <f t="shared" si="0"/>
        <v>20312</v>
      </c>
      <c r="R27" s="1840">
        <v>9858</v>
      </c>
      <c r="S27" s="1840">
        <v>10454</v>
      </c>
    </row>
    <row r="28" spans="1:19">
      <c r="A28" s="53" t="s">
        <v>572</v>
      </c>
      <c r="B28" s="1204">
        <f t="shared" si="1"/>
        <v>29310</v>
      </c>
      <c r="C28" s="1204">
        <v>13643</v>
      </c>
      <c r="D28" s="1204">
        <v>15667</v>
      </c>
      <c r="E28" s="1204">
        <f t="shared" si="2"/>
        <v>33481</v>
      </c>
      <c r="F28" s="1204">
        <v>16037</v>
      </c>
      <c r="G28" s="1204">
        <v>17444</v>
      </c>
      <c r="H28" s="1204">
        <f t="shared" si="5"/>
        <v>22993</v>
      </c>
      <c r="I28" s="1204">
        <v>10360</v>
      </c>
      <c r="J28" s="1204">
        <v>12633</v>
      </c>
      <c r="K28" s="1204">
        <f t="shared" si="3"/>
        <v>44557</v>
      </c>
      <c r="L28" s="1204">
        <v>19667</v>
      </c>
      <c r="M28" s="1204">
        <v>24890</v>
      </c>
      <c r="N28" s="1204">
        <f t="shared" si="4"/>
        <v>45124</v>
      </c>
      <c r="O28" s="1204">
        <v>19695</v>
      </c>
      <c r="P28" s="1204">
        <v>25429</v>
      </c>
      <c r="Q28" s="1840">
        <f t="shared" si="0"/>
        <v>51050</v>
      </c>
      <c r="R28" s="1840">
        <v>24261</v>
      </c>
      <c r="S28" s="1840">
        <v>26789</v>
      </c>
    </row>
    <row r="29" spans="1:19">
      <c r="A29" s="53" t="s">
        <v>573</v>
      </c>
      <c r="B29" s="1204">
        <f t="shared" si="1"/>
        <v>3068</v>
      </c>
      <c r="C29" s="1204">
        <v>1427</v>
      </c>
      <c r="D29" s="1204">
        <v>1641</v>
      </c>
      <c r="E29" s="1204">
        <f t="shared" si="2"/>
        <v>3540</v>
      </c>
      <c r="F29" s="1204">
        <v>1781</v>
      </c>
      <c r="G29" s="1204">
        <v>1759</v>
      </c>
      <c r="H29" s="1204">
        <f t="shared" si="5"/>
        <v>3048</v>
      </c>
      <c r="I29" s="1204">
        <v>1534</v>
      </c>
      <c r="J29" s="1204">
        <v>1514</v>
      </c>
      <c r="K29" s="1204">
        <f t="shared" si="3"/>
        <v>3621</v>
      </c>
      <c r="L29" s="1204">
        <v>1828</v>
      </c>
      <c r="M29" s="1204">
        <v>1793</v>
      </c>
      <c r="N29" s="1204">
        <f>SUM(O29:P29)</f>
        <v>2850</v>
      </c>
      <c r="O29" s="1204">
        <v>1458</v>
      </c>
      <c r="P29" s="1204">
        <v>1392</v>
      </c>
      <c r="Q29" s="1840">
        <f t="shared" si="0"/>
        <v>2888</v>
      </c>
      <c r="R29" s="1840">
        <v>1434</v>
      </c>
      <c r="S29" s="1840">
        <v>1454</v>
      </c>
    </row>
    <row r="30" spans="1:19">
      <c r="A30" s="53" t="s">
        <v>574</v>
      </c>
      <c r="B30" s="1204">
        <f t="shared" si="1"/>
        <v>3785</v>
      </c>
      <c r="C30" s="1204">
        <v>1850</v>
      </c>
      <c r="D30" s="1204">
        <v>1935</v>
      </c>
      <c r="E30" s="1204">
        <f t="shared" si="2"/>
        <v>4446</v>
      </c>
      <c r="F30" s="1204">
        <v>2295</v>
      </c>
      <c r="G30" s="1204">
        <v>2151</v>
      </c>
      <c r="H30" s="1204">
        <f t="shared" si="5"/>
        <v>5016</v>
      </c>
      <c r="I30" s="1204">
        <v>2475</v>
      </c>
      <c r="J30" s="1204">
        <v>2541</v>
      </c>
      <c r="K30" s="1204">
        <f t="shared" si="3"/>
        <v>4943</v>
      </c>
      <c r="L30" s="1204">
        <v>2363</v>
      </c>
      <c r="M30" s="1204">
        <v>2580</v>
      </c>
      <c r="N30" s="1204">
        <f t="shared" si="4"/>
        <v>4837</v>
      </c>
      <c r="O30" s="1204">
        <v>2475</v>
      </c>
      <c r="P30" s="1204">
        <v>2362</v>
      </c>
      <c r="Q30" s="1840">
        <f t="shared" si="0"/>
        <v>5053</v>
      </c>
      <c r="R30" s="1840">
        <v>2475</v>
      </c>
      <c r="S30" s="1840">
        <v>2578</v>
      </c>
    </row>
    <row r="31" spans="1:19" s="150" customFormat="1">
      <c r="A31" s="150" t="s">
        <v>12</v>
      </c>
      <c r="B31" s="1821">
        <f>SUM(C31:D31)</f>
        <v>141978</v>
      </c>
      <c r="C31" s="1821">
        <f>SUM(C32:C39)</f>
        <v>78895</v>
      </c>
      <c r="D31" s="1821">
        <f>SUM(D32:D39)</f>
        <v>63083</v>
      </c>
      <c r="E31" s="1821">
        <f>SUM(F31:G31)</f>
        <v>146161</v>
      </c>
      <c r="F31" s="1821">
        <f>SUM(F32:F39)</f>
        <v>81966</v>
      </c>
      <c r="G31" s="1821">
        <f>SUM(G32:G39)</f>
        <v>64195</v>
      </c>
      <c r="H31" s="1821">
        <f>SUM(I31:J31)</f>
        <v>114924</v>
      </c>
      <c r="I31" s="1821">
        <f>SUM(I32:I39)</f>
        <v>68464</v>
      </c>
      <c r="J31" s="1821">
        <f>SUM(J32:J39)</f>
        <v>46460</v>
      </c>
      <c r="K31" s="1821">
        <f>SUM(L31:M31)</f>
        <v>158605</v>
      </c>
      <c r="L31" s="1821">
        <f>SUM(L32:L39)</f>
        <v>87356</v>
      </c>
      <c r="M31" s="1821">
        <f>SUM(M32:M39)</f>
        <v>71249</v>
      </c>
      <c r="N31" s="1821">
        <f>SUM(O31:P31)</f>
        <v>193118</v>
      </c>
      <c r="O31" s="1821">
        <f>SUM(O32:O39)</f>
        <v>105691</v>
      </c>
      <c r="P31" s="1821">
        <f>SUM(P32:P39)</f>
        <v>87427</v>
      </c>
      <c r="Q31" s="1839">
        <f t="shared" si="0"/>
        <v>188405</v>
      </c>
      <c r="R31" s="1839">
        <f>SUM(R32:R39)</f>
        <v>99398</v>
      </c>
      <c r="S31" s="1839">
        <f>SUM(S32:S39)</f>
        <v>89007</v>
      </c>
    </row>
    <row r="32" spans="1:19">
      <c r="A32" s="53" t="s">
        <v>575</v>
      </c>
      <c r="B32" s="1204">
        <f t="shared" si="1"/>
        <v>39764</v>
      </c>
      <c r="C32" s="1204">
        <v>21751</v>
      </c>
      <c r="D32" s="1204">
        <v>18013</v>
      </c>
      <c r="E32" s="1204">
        <f t="shared" si="2"/>
        <v>41204</v>
      </c>
      <c r="F32" s="1204">
        <v>22309</v>
      </c>
      <c r="G32" s="1204">
        <v>18895</v>
      </c>
      <c r="H32" s="1204">
        <f t="shared" si="5"/>
        <v>24546</v>
      </c>
      <c r="I32" s="1204">
        <v>24546</v>
      </c>
      <c r="J32" s="1204"/>
      <c r="K32" s="1204">
        <f t="shared" si="3"/>
        <v>52389</v>
      </c>
      <c r="L32" s="1204">
        <v>29104</v>
      </c>
      <c r="M32" s="1204">
        <v>23285</v>
      </c>
      <c r="N32" s="1204">
        <f t="shared" si="4"/>
        <v>58112</v>
      </c>
      <c r="O32" s="1204">
        <v>32108</v>
      </c>
      <c r="P32" s="1204">
        <v>26004</v>
      </c>
      <c r="Q32" s="1840">
        <f t="shared" si="0"/>
        <v>54487</v>
      </c>
      <c r="R32" s="1840">
        <v>30373</v>
      </c>
      <c r="S32" s="1840">
        <v>24114</v>
      </c>
    </row>
    <row r="33" spans="1:19">
      <c r="A33" s="53" t="s">
        <v>659</v>
      </c>
      <c r="B33" s="1204">
        <f t="shared" si="1"/>
        <v>1222</v>
      </c>
      <c r="C33" s="1204">
        <v>630</v>
      </c>
      <c r="D33" s="1204">
        <v>592</v>
      </c>
      <c r="E33" s="1204">
        <f t="shared" si="2"/>
        <v>1708</v>
      </c>
      <c r="F33" s="1204">
        <v>1328</v>
      </c>
      <c r="G33" s="1204">
        <v>380</v>
      </c>
      <c r="H33" s="1204">
        <f t="shared" si="5"/>
        <v>1048</v>
      </c>
      <c r="I33" s="1204">
        <v>673</v>
      </c>
      <c r="J33" s="1204">
        <v>375</v>
      </c>
      <c r="K33" s="1204">
        <f t="shared" si="3"/>
        <v>1416</v>
      </c>
      <c r="L33" s="1204">
        <v>865</v>
      </c>
      <c r="M33" s="1204">
        <v>551</v>
      </c>
      <c r="N33" s="1204">
        <f t="shared" si="4"/>
        <v>1142</v>
      </c>
      <c r="O33" s="1204">
        <v>691</v>
      </c>
      <c r="P33" s="1204">
        <v>451</v>
      </c>
      <c r="Q33" s="1840">
        <f t="shared" si="0"/>
        <v>2759</v>
      </c>
      <c r="R33" s="1840">
        <v>1955</v>
      </c>
      <c r="S33" s="1840">
        <v>804</v>
      </c>
    </row>
    <row r="34" spans="1:19">
      <c r="A34" s="53" t="s">
        <v>577</v>
      </c>
      <c r="B34" s="1204">
        <f t="shared" si="1"/>
        <v>0</v>
      </c>
      <c r="C34" s="1204">
        <v>0</v>
      </c>
      <c r="D34" s="1204">
        <v>0</v>
      </c>
      <c r="E34" s="1204">
        <f t="shared" si="2"/>
        <v>0</v>
      </c>
      <c r="F34" s="1204">
        <v>0</v>
      </c>
      <c r="G34" s="1204">
        <v>0</v>
      </c>
      <c r="H34" s="1204">
        <f t="shared" si="5"/>
        <v>0</v>
      </c>
      <c r="I34" s="1204">
        <v>0</v>
      </c>
      <c r="J34" s="1204">
        <v>0</v>
      </c>
      <c r="K34" s="1204">
        <f t="shared" si="3"/>
        <v>0</v>
      </c>
      <c r="L34" s="1204">
        <v>0</v>
      </c>
      <c r="M34" s="1204">
        <v>0</v>
      </c>
      <c r="N34" s="1204">
        <f t="shared" si="4"/>
        <v>0</v>
      </c>
      <c r="O34" s="1204">
        <v>0</v>
      </c>
      <c r="P34" s="1204">
        <v>0</v>
      </c>
      <c r="Q34" s="1840">
        <f t="shared" si="0"/>
        <v>0</v>
      </c>
      <c r="R34" s="1840">
        <v>0</v>
      </c>
      <c r="S34" s="1840">
        <v>0</v>
      </c>
    </row>
    <row r="35" spans="1:19">
      <c r="A35" s="53" t="s">
        <v>578</v>
      </c>
      <c r="B35" s="1204">
        <f t="shared" si="1"/>
        <v>43315</v>
      </c>
      <c r="C35" s="1204">
        <v>29755</v>
      </c>
      <c r="D35" s="1204">
        <v>13560</v>
      </c>
      <c r="E35" s="1204">
        <f t="shared" si="2"/>
        <v>41989</v>
      </c>
      <c r="F35" s="1204">
        <v>28834</v>
      </c>
      <c r="G35" s="1204">
        <v>13155</v>
      </c>
      <c r="H35" s="1204">
        <f t="shared" si="5"/>
        <v>20638</v>
      </c>
      <c r="I35" s="1204">
        <v>12526</v>
      </c>
      <c r="J35" s="1204">
        <v>8112</v>
      </c>
      <c r="K35" s="1204">
        <f t="shared" si="3"/>
        <v>33212</v>
      </c>
      <c r="L35" s="1204">
        <v>22940</v>
      </c>
      <c r="M35" s="1204">
        <v>10272</v>
      </c>
      <c r="N35" s="1204">
        <f>SUM(O35:P35)</f>
        <v>51208</v>
      </c>
      <c r="O35" s="1204">
        <v>34561</v>
      </c>
      <c r="P35" s="1204">
        <v>16647</v>
      </c>
      <c r="Q35" s="1840">
        <f t="shared" si="0"/>
        <v>37021</v>
      </c>
      <c r="R35" s="1840">
        <v>27344</v>
      </c>
      <c r="S35" s="1840">
        <v>9677</v>
      </c>
    </row>
    <row r="36" spans="1:19">
      <c r="A36" s="53" t="s">
        <v>579</v>
      </c>
      <c r="B36" s="1204">
        <f t="shared" si="1"/>
        <v>1904</v>
      </c>
      <c r="C36" s="1204">
        <v>1080</v>
      </c>
      <c r="D36" s="1204">
        <v>824</v>
      </c>
      <c r="E36" s="1204">
        <f t="shared" si="2"/>
        <v>1747</v>
      </c>
      <c r="F36" s="1204">
        <v>1016</v>
      </c>
      <c r="G36" s="1204">
        <v>731</v>
      </c>
      <c r="H36" s="1204">
        <f t="shared" si="5"/>
        <v>1569</v>
      </c>
      <c r="I36" s="1204">
        <v>914</v>
      </c>
      <c r="J36" s="1204">
        <v>655</v>
      </c>
      <c r="K36" s="1204">
        <f t="shared" si="3"/>
        <v>1845</v>
      </c>
      <c r="L36" s="1204">
        <v>872</v>
      </c>
      <c r="M36" s="1204">
        <v>973</v>
      </c>
      <c r="N36" s="1204">
        <f t="shared" si="4"/>
        <v>1964</v>
      </c>
      <c r="O36" s="1204">
        <v>1053</v>
      </c>
      <c r="P36" s="1204">
        <v>911</v>
      </c>
      <c r="Q36" s="1840">
        <f t="shared" si="0"/>
        <v>1534</v>
      </c>
      <c r="R36" s="1840">
        <v>779</v>
      </c>
      <c r="S36" s="1840">
        <v>755</v>
      </c>
    </row>
    <row r="37" spans="1:19">
      <c r="A37" s="53" t="s">
        <v>580</v>
      </c>
      <c r="B37" s="1204">
        <f t="shared" si="1"/>
        <v>0</v>
      </c>
      <c r="C37" s="1204">
        <v>0</v>
      </c>
      <c r="D37" s="1204">
        <v>0</v>
      </c>
      <c r="E37" s="1204">
        <f t="shared" si="2"/>
        <v>0</v>
      </c>
      <c r="F37" s="1204">
        <v>0</v>
      </c>
      <c r="G37" s="1204">
        <v>0</v>
      </c>
      <c r="H37" s="1204">
        <f t="shared" si="5"/>
        <v>0</v>
      </c>
      <c r="I37" s="1204">
        <v>0</v>
      </c>
      <c r="J37" s="1204">
        <v>0</v>
      </c>
      <c r="K37" s="1204">
        <f t="shared" si="3"/>
        <v>0</v>
      </c>
      <c r="L37" s="1204">
        <v>0</v>
      </c>
      <c r="M37" s="1204">
        <v>0</v>
      </c>
      <c r="N37" s="1204">
        <f t="shared" si="4"/>
        <v>0</v>
      </c>
      <c r="O37" s="1204">
        <v>0</v>
      </c>
      <c r="P37" s="1204">
        <v>0</v>
      </c>
      <c r="Q37" s="1840">
        <f t="shared" si="0"/>
        <v>0</v>
      </c>
      <c r="R37" s="1840">
        <v>0</v>
      </c>
      <c r="S37" s="1840">
        <v>0</v>
      </c>
    </row>
    <row r="38" spans="1:19" ht="12.75">
      <c r="A38" s="53" t="s">
        <v>3824</v>
      </c>
      <c r="B38" s="1204">
        <f t="shared" si="1"/>
        <v>11904</v>
      </c>
      <c r="C38" s="1204">
        <v>5429</v>
      </c>
      <c r="D38" s="1204">
        <v>6475</v>
      </c>
      <c r="E38" s="1204">
        <f t="shared" si="2"/>
        <v>12627</v>
      </c>
      <c r="F38" s="1204">
        <v>6016</v>
      </c>
      <c r="G38" s="1204">
        <v>6611</v>
      </c>
      <c r="H38" s="1204">
        <f t="shared" si="5"/>
        <v>17811</v>
      </c>
      <c r="I38" s="1204">
        <v>7431</v>
      </c>
      <c r="J38" s="1204">
        <v>10380</v>
      </c>
      <c r="K38" s="1204">
        <f t="shared" si="3"/>
        <v>17541</v>
      </c>
      <c r="L38" s="1204">
        <v>8329</v>
      </c>
      <c r="M38" s="1204">
        <v>9212</v>
      </c>
      <c r="N38" s="1204">
        <f>SUM(O38:P38)</f>
        <v>22233</v>
      </c>
      <c r="O38" s="1204">
        <v>10452</v>
      </c>
      <c r="P38" s="1204">
        <v>11781</v>
      </c>
      <c r="Q38" s="1840">
        <f t="shared" si="0"/>
        <v>27540</v>
      </c>
      <c r="R38" s="1840">
        <v>12866</v>
      </c>
      <c r="S38" s="1840">
        <v>14674</v>
      </c>
    </row>
    <row r="39" spans="1:19">
      <c r="A39" s="53" t="s">
        <v>581</v>
      </c>
      <c r="B39" s="1204">
        <f t="shared" si="1"/>
        <v>43869</v>
      </c>
      <c r="C39" s="1204">
        <v>20250</v>
      </c>
      <c r="D39" s="1204">
        <v>23619</v>
      </c>
      <c r="E39" s="1204">
        <f t="shared" si="2"/>
        <v>46886</v>
      </c>
      <c r="F39" s="1204">
        <v>22463</v>
      </c>
      <c r="G39" s="1204">
        <v>24423</v>
      </c>
      <c r="H39" s="1204">
        <f t="shared" si="5"/>
        <v>49312</v>
      </c>
      <c r="I39" s="1204">
        <v>22374</v>
      </c>
      <c r="J39" s="1204">
        <v>26938</v>
      </c>
      <c r="K39" s="1204">
        <f t="shared" si="3"/>
        <v>52202</v>
      </c>
      <c r="L39" s="1204">
        <v>25246</v>
      </c>
      <c r="M39" s="1204">
        <v>26956</v>
      </c>
      <c r="N39" s="1204">
        <f t="shared" si="4"/>
        <v>58459</v>
      </c>
      <c r="O39" s="1204">
        <v>26826</v>
      </c>
      <c r="P39" s="1204">
        <v>31633</v>
      </c>
      <c r="Q39" s="1840">
        <f t="shared" si="0"/>
        <v>65064</v>
      </c>
      <c r="R39" s="1840">
        <v>26081</v>
      </c>
      <c r="S39" s="1840">
        <v>38983</v>
      </c>
    </row>
    <row r="40" spans="1:19" s="150" customFormat="1">
      <c r="A40" s="150" t="s">
        <v>13</v>
      </c>
      <c r="B40" s="1821">
        <f>SUM(C40:D40)</f>
        <v>82293</v>
      </c>
      <c r="C40" s="1821">
        <f>SUM(C41:C42)</f>
        <v>39918</v>
      </c>
      <c r="D40" s="1821">
        <f>SUM(D41:D42)</f>
        <v>42375</v>
      </c>
      <c r="E40" s="1821">
        <f>SUM(F40:G40)</f>
        <v>83459</v>
      </c>
      <c r="F40" s="1821">
        <f>SUM(F41:F42)</f>
        <v>39953</v>
      </c>
      <c r="G40" s="1821">
        <f>SUM(G41:G42)</f>
        <v>43506</v>
      </c>
      <c r="H40" s="1821">
        <f>SUM(I40:J40)</f>
        <v>93129</v>
      </c>
      <c r="I40" s="1821">
        <f>SUM(I41:I42)</f>
        <v>42590</v>
      </c>
      <c r="J40" s="1821">
        <f>SUM(J41:J42)</f>
        <v>50539</v>
      </c>
      <c r="K40" s="1821">
        <f>SUM(L40:M40)</f>
        <v>96485</v>
      </c>
      <c r="L40" s="1821">
        <f>SUM(L41:L42)</f>
        <v>43910</v>
      </c>
      <c r="M40" s="1821">
        <f>SUM(M41:M42)</f>
        <v>52575</v>
      </c>
      <c r="N40" s="1821">
        <f>SUM(O40:P40)</f>
        <v>98529</v>
      </c>
      <c r="O40" s="1821">
        <f>SUM(O41:O42)</f>
        <v>42413</v>
      </c>
      <c r="P40" s="1821">
        <f>SUM(P41:P42)</f>
        <v>56116</v>
      </c>
      <c r="Q40" s="1839">
        <f t="shared" si="0"/>
        <v>103770</v>
      </c>
      <c r="R40" s="1839">
        <f>SUM(R41:R42)</f>
        <v>43625</v>
      </c>
      <c r="S40" s="1839">
        <f>SUM(S41:S42)</f>
        <v>60145</v>
      </c>
    </row>
    <row r="41" spans="1:19">
      <c r="A41" s="53" t="s">
        <v>582</v>
      </c>
      <c r="B41" s="1204">
        <f>SUM(C41:D41)</f>
        <v>69135</v>
      </c>
      <c r="C41" s="1204">
        <v>32500</v>
      </c>
      <c r="D41" s="1204">
        <v>36635</v>
      </c>
      <c r="E41" s="1204">
        <f>SUM(F41:G41)</f>
        <v>73909</v>
      </c>
      <c r="F41" s="1204">
        <v>34388</v>
      </c>
      <c r="G41" s="1204">
        <v>39521</v>
      </c>
      <c r="H41" s="1204">
        <f>SUM(I41:J41)</f>
        <v>80382</v>
      </c>
      <c r="I41" s="1204">
        <v>35354</v>
      </c>
      <c r="J41" s="1204">
        <v>45028</v>
      </c>
      <c r="K41" s="1204">
        <f>SUM(L41:M41)</f>
        <v>84460</v>
      </c>
      <c r="L41" s="1204">
        <v>37009</v>
      </c>
      <c r="M41" s="1204">
        <v>47451</v>
      </c>
      <c r="N41" s="1204">
        <f>SUM(O41:P41)</f>
        <v>85169</v>
      </c>
      <c r="O41" s="1204">
        <v>34693</v>
      </c>
      <c r="P41" s="1204">
        <v>50476</v>
      </c>
      <c r="Q41" s="1840">
        <f t="shared" si="0"/>
        <v>89693</v>
      </c>
      <c r="R41" s="1840">
        <v>35917</v>
      </c>
      <c r="S41" s="1840">
        <v>53776</v>
      </c>
    </row>
    <row r="42" spans="1:19">
      <c r="A42" s="53" t="s">
        <v>583</v>
      </c>
      <c r="B42" s="1204">
        <f>SUM(C42:D42)</f>
        <v>13158</v>
      </c>
      <c r="C42" s="1204">
        <v>7418</v>
      </c>
      <c r="D42" s="1204">
        <v>5740</v>
      </c>
      <c r="E42" s="1204">
        <f>SUM(F42:G42)</f>
        <v>9550</v>
      </c>
      <c r="F42" s="1204">
        <v>5565</v>
      </c>
      <c r="G42" s="1204">
        <v>3985</v>
      </c>
      <c r="H42" s="1204">
        <f>SUM(I42:J42)</f>
        <v>12747</v>
      </c>
      <c r="I42" s="1204">
        <v>7236</v>
      </c>
      <c r="J42" s="1204">
        <v>5511</v>
      </c>
      <c r="K42" s="1204">
        <f>SUM(L42:M42)</f>
        <v>12025</v>
      </c>
      <c r="L42" s="1204">
        <v>6901</v>
      </c>
      <c r="M42" s="1204">
        <v>5124</v>
      </c>
      <c r="N42" s="1204">
        <f>SUM(O42:P42)</f>
        <v>13360</v>
      </c>
      <c r="O42" s="1204">
        <v>7720</v>
      </c>
      <c r="P42" s="1204">
        <v>5640</v>
      </c>
      <c r="Q42" s="1840">
        <f t="shared" si="0"/>
        <v>14077</v>
      </c>
      <c r="R42" s="1840">
        <v>7708</v>
      </c>
      <c r="S42" s="1840">
        <v>6369</v>
      </c>
    </row>
    <row r="43" spans="1:19" s="150" customFormat="1">
      <c r="A43" s="150" t="s">
        <v>14</v>
      </c>
      <c r="B43" s="1821">
        <f>SUM(C43:D43)</f>
        <v>11856</v>
      </c>
      <c r="C43" s="1821">
        <f>SUM(C44:C46)</f>
        <v>6630</v>
      </c>
      <c r="D43" s="1821">
        <f>SUM(D44:D46)</f>
        <v>5226</v>
      </c>
      <c r="E43" s="1821">
        <f>SUM(F43:G43)</f>
        <v>11073</v>
      </c>
      <c r="F43" s="1821">
        <f>SUM(F44:F46)</f>
        <v>6238</v>
      </c>
      <c r="G43" s="1821">
        <f>SUM(G44:G46)</f>
        <v>4835</v>
      </c>
      <c r="H43" s="1821">
        <f>SUM(I43:J43)</f>
        <v>12824</v>
      </c>
      <c r="I43" s="1821">
        <f>SUM(I44:I46)</f>
        <v>7072</v>
      </c>
      <c r="J43" s="1821">
        <f>SUM(J44:J46)</f>
        <v>5752</v>
      </c>
      <c r="K43" s="1821">
        <f>SUM(L43:M43)</f>
        <v>13403</v>
      </c>
      <c r="L43" s="1821">
        <f>SUM(L44:L46)</f>
        <v>7337</v>
      </c>
      <c r="M43" s="1821">
        <f>SUM(M44:M46)</f>
        <v>6066</v>
      </c>
      <c r="N43" s="1821">
        <f>SUM(O43:P43)</f>
        <v>20656</v>
      </c>
      <c r="O43" s="1821">
        <f>SUM(O44:O46)</f>
        <v>10994</v>
      </c>
      <c r="P43" s="1821">
        <f>SUM(P44:P46)</f>
        <v>9662</v>
      </c>
      <c r="Q43" s="1839">
        <f t="shared" si="0"/>
        <v>23187</v>
      </c>
      <c r="R43" s="1839">
        <f>SUM(R44:R46)</f>
        <v>12246</v>
      </c>
      <c r="S43" s="1839">
        <f>SUM(S44:S46)</f>
        <v>10941</v>
      </c>
    </row>
    <row r="44" spans="1:19">
      <c r="A44" s="53" t="s">
        <v>585</v>
      </c>
      <c r="B44" s="1204">
        <f t="shared" si="1"/>
        <v>0</v>
      </c>
      <c r="C44" s="1204">
        <v>0</v>
      </c>
      <c r="D44" s="1204">
        <v>0</v>
      </c>
      <c r="E44" s="1204">
        <f t="shared" si="2"/>
        <v>0</v>
      </c>
      <c r="F44" s="1204">
        <v>0</v>
      </c>
      <c r="G44" s="1204">
        <v>0</v>
      </c>
      <c r="H44" s="1204">
        <f t="shared" si="5"/>
        <v>0</v>
      </c>
      <c r="I44" s="1204">
        <v>0</v>
      </c>
      <c r="J44" s="1204">
        <v>0</v>
      </c>
      <c r="K44" s="1204">
        <f t="shared" si="3"/>
        <v>0</v>
      </c>
      <c r="L44" s="1204">
        <v>0</v>
      </c>
      <c r="M44" s="1204">
        <v>0</v>
      </c>
      <c r="N44" s="1204">
        <f t="shared" si="4"/>
        <v>0</v>
      </c>
      <c r="O44" s="1204">
        <v>0</v>
      </c>
      <c r="P44" s="1204">
        <v>0</v>
      </c>
      <c r="Q44" s="1840">
        <f t="shared" si="0"/>
        <v>0</v>
      </c>
      <c r="R44" s="1840">
        <v>0</v>
      </c>
      <c r="S44" s="1840">
        <v>0</v>
      </c>
    </row>
    <row r="45" spans="1:19">
      <c r="A45" s="53" t="s">
        <v>660</v>
      </c>
      <c r="B45" s="1204">
        <f t="shared" si="1"/>
        <v>11223</v>
      </c>
      <c r="C45" s="1204">
        <v>6142</v>
      </c>
      <c r="D45" s="1204">
        <v>5081</v>
      </c>
      <c r="E45" s="1204">
        <f t="shared" si="2"/>
        <v>10647</v>
      </c>
      <c r="F45" s="1204">
        <v>5861</v>
      </c>
      <c r="G45" s="1204">
        <v>4786</v>
      </c>
      <c r="H45" s="1204">
        <f t="shared" si="5"/>
        <v>12378</v>
      </c>
      <c r="I45" s="1204">
        <v>6688</v>
      </c>
      <c r="J45" s="1204">
        <v>5690</v>
      </c>
      <c r="K45" s="1204">
        <f t="shared" si="3"/>
        <v>12889</v>
      </c>
      <c r="L45" s="1204">
        <v>6934</v>
      </c>
      <c r="M45" s="1204">
        <v>5955</v>
      </c>
      <c r="N45" s="1204">
        <f t="shared" si="4"/>
        <v>20088</v>
      </c>
      <c r="O45" s="1204">
        <v>10532</v>
      </c>
      <c r="P45" s="1204">
        <v>9556</v>
      </c>
      <c r="Q45" s="1840">
        <f t="shared" si="0"/>
        <v>22557</v>
      </c>
      <c r="R45" s="1840">
        <v>11683</v>
      </c>
      <c r="S45" s="1840">
        <v>10874</v>
      </c>
    </row>
    <row r="46" spans="1:19">
      <c r="A46" s="53" t="s">
        <v>587</v>
      </c>
      <c r="B46" s="1204">
        <f t="shared" si="1"/>
        <v>633</v>
      </c>
      <c r="C46" s="1204">
        <v>488</v>
      </c>
      <c r="D46" s="1204">
        <v>145</v>
      </c>
      <c r="E46" s="1204">
        <f t="shared" si="2"/>
        <v>426</v>
      </c>
      <c r="F46" s="1204">
        <v>377</v>
      </c>
      <c r="G46" s="1204">
        <v>49</v>
      </c>
      <c r="H46" s="1204">
        <f t="shared" si="5"/>
        <v>446</v>
      </c>
      <c r="I46" s="1204">
        <v>384</v>
      </c>
      <c r="J46" s="1204">
        <v>62</v>
      </c>
      <c r="K46" s="1204">
        <f t="shared" si="3"/>
        <v>514</v>
      </c>
      <c r="L46" s="1204">
        <v>403</v>
      </c>
      <c r="M46" s="1204">
        <v>111</v>
      </c>
      <c r="N46" s="1204">
        <f t="shared" si="4"/>
        <v>568</v>
      </c>
      <c r="O46" s="1204">
        <v>462</v>
      </c>
      <c r="P46" s="1204">
        <v>106</v>
      </c>
      <c r="Q46" s="1840">
        <f t="shared" si="0"/>
        <v>630</v>
      </c>
      <c r="R46" s="1840">
        <v>563</v>
      </c>
      <c r="S46" s="1840">
        <v>67</v>
      </c>
    </row>
    <row r="47" spans="1:19" s="150" customFormat="1">
      <c r="A47" s="150" t="s">
        <v>15</v>
      </c>
      <c r="B47" s="1821">
        <f>SUM(C47:D47)</f>
        <v>87509</v>
      </c>
      <c r="C47" s="1821">
        <f>SUM(C48:C55)</f>
        <v>44404</v>
      </c>
      <c r="D47" s="1821">
        <f>SUM(D48:D55)</f>
        <v>43105</v>
      </c>
      <c r="E47" s="1821">
        <f>SUM(F47:G47)</f>
        <v>64500</v>
      </c>
      <c r="F47" s="1821">
        <f>SUM(F48:F55)</f>
        <v>32683</v>
      </c>
      <c r="G47" s="1821">
        <f>SUM(G48:G55)</f>
        <v>31817</v>
      </c>
      <c r="H47" s="1821">
        <f>SUM(I47:J47)</f>
        <v>61074</v>
      </c>
      <c r="I47" s="1821">
        <f>SUM(I48:I55)</f>
        <v>30943</v>
      </c>
      <c r="J47" s="1821">
        <f>SUM(J48:J55)</f>
        <v>30131</v>
      </c>
      <c r="K47" s="1821">
        <f>SUM(L47:M47)</f>
        <v>67325</v>
      </c>
      <c r="L47" s="1821">
        <f>SUM(L48:L55)</f>
        <v>34046</v>
      </c>
      <c r="M47" s="1821">
        <f>SUM(M48:M55)</f>
        <v>33279</v>
      </c>
      <c r="N47" s="1821">
        <f>SUM(O47:P47)</f>
        <v>78376</v>
      </c>
      <c r="O47" s="1821">
        <f>SUM(O48:O55)</f>
        <v>41263</v>
      </c>
      <c r="P47" s="1821">
        <f>SUM(P48:P55)</f>
        <v>37113</v>
      </c>
      <c r="Q47" s="1839">
        <f t="shared" si="0"/>
        <v>81006</v>
      </c>
      <c r="R47" s="1839">
        <f>SUM(R48:R55)</f>
        <v>42148</v>
      </c>
      <c r="S47" s="1839">
        <f>SUM(S48:S55)</f>
        <v>38858</v>
      </c>
    </row>
    <row r="48" spans="1:19">
      <c r="A48" s="53" t="s">
        <v>588</v>
      </c>
      <c r="B48" s="1204">
        <f t="shared" si="1"/>
        <v>24200</v>
      </c>
      <c r="C48" s="1204">
        <v>11725</v>
      </c>
      <c r="D48" s="1204">
        <v>12475</v>
      </c>
      <c r="E48" s="1204">
        <f t="shared" si="2"/>
        <v>9076</v>
      </c>
      <c r="F48" s="1204">
        <v>4617</v>
      </c>
      <c r="G48" s="1204">
        <v>4459</v>
      </c>
      <c r="H48" s="1204">
        <f t="shared" si="5"/>
        <v>5873</v>
      </c>
      <c r="I48" s="1204">
        <v>2960</v>
      </c>
      <c r="J48" s="1204">
        <v>2913</v>
      </c>
      <c r="K48" s="1204">
        <f t="shared" si="3"/>
        <v>5779</v>
      </c>
      <c r="L48" s="1204">
        <v>2903</v>
      </c>
      <c r="M48" s="1204">
        <v>2876</v>
      </c>
      <c r="N48" s="1204">
        <f t="shared" si="4"/>
        <v>7354</v>
      </c>
      <c r="O48" s="1204">
        <v>3668</v>
      </c>
      <c r="P48" s="1204">
        <v>3686</v>
      </c>
      <c r="Q48" s="1840">
        <f t="shared" ref="Q48:Q55" si="6">SUM(R48:S48)</f>
        <v>8572</v>
      </c>
      <c r="R48" s="1840">
        <v>4411</v>
      </c>
      <c r="S48" s="1840">
        <v>4161</v>
      </c>
    </row>
    <row r="49" spans="1:19">
      <c r="A49" s="53" t="s">
        <v>589</v>
      </c>
      <c r="B49" s="1204">
        <f t="shared" si="1"/>
        <v>11806</v>
      </c>
      <c r="C49" s="1204">
        <v>6096</v>
      </c>
      <c r="D49" s="1204">
        <v>5710</v>
      </c>
      <c r="E49" s="1204">
        <f t="shared" si="2"/>
        <v>7723</v>
      </c>
      <c r="F49" s="1204">
        <v>3962</v>
      </c>
      <c r="G49" s="1204">
        <v>3761</v>
      </c>
      <c r="H49" s="1204">
        <f t="shared" si="5"/>
        <v>7190</v>
      </c>
      <c r="I49" s="1204">
        <v>3597</v>
      </c>
      <c r="J49" s="1204">
        <v>3593</v>
      </c>
      <c r="K49" s="1204">
        <f t="shared" si="3"/>
        <v>10947</v>
      </c>
      <c r="L49" s="1204">
        <v>5454</v>
      </c>
      <c r="M49" s="1204">
        <v>5493</v>
      </c>
      <c r="N49" s="1204">
        <f t="shared" si="4"/>
        <v>13291</v>
      </c>
      <c r="O49" s="1204">
        <v>7004</v>
      </c>
      <c r="P49" s="1204">
        <v>6287</v>
      </c>
      <c r="Q49" s="1840">
        <f t="shared" si="6"/>
        <v>11604</v>
      </c>
      <c r="R49" s="1840">
        <v>5946</v>
      </c>
      <c r="S49" s="1840">
        <v>5658</v>
      </c>
    </row>
    <row r="50" spans="1:19">
      <c r="A50" s="53" t="s">
        <v>590</v>
      </c>
      <c r="B50" s="1204">
        <f t="shared" si="1"/>
        <v>2821</v>
      </c>
      <c r="C50" s="1204">
        <v>1443</v>
      </c>
      <c r="D50" s="1204">
        <v>1378</v>
      </c>
      <c r="E50" s="1204">
        <f t="shared" si="2"/>
        <v>3027</v>
      </c>
      <c r="F50" s="1204">
        <v>1489</v>
      </c>
      <c r="G50" s="1204">
        <v>1538</v>
      </c>
      <c r="H50" s="1204">
        <f t="shared" si="5"/>
        <v>2985</v>
      </c>
      <c r="I50" s="1204">
        <v>1502</v>
      </c>
      <c r="J50" s="1204">
        <v>1483</v>
      </c>
      <c r="K50" s="1204">
        <f t="shared" si="3"/>
        <v>2945</v>
      </c>
      <c r="L50" s="1204">
        <v>1474</v>
      </c>
      <c r="M50" s="1204">
        <v>1471</v>
      </c>
      <c r="N50" s="1204">
        <f t="shared" si="4"/>
        <v>3413</v>
      </c>
      <c r="O50" s="1204">
        <v>1716</v>
      </c>
      <c r="P50" s="1204">
        <v>1697</v>
      </c>
      <c r="Q50" s="1840">
        <f t="shared" si="6"/>
        <v>3866</v>
      </c>
      <c r="R50" s="1840">
        <v>1885</v>
      </c>
      <c r="S50" s="1840">
        <v>1981</v>
      </c>
    </row>
    <row r="51" spans="1:19">
      <c r="A51" s="53" t="s">
        <v>591</v>
      </c>
      <c r="B51" s="1204">
        <f t="shared" si="1"/>
        <v>308</v>
      </c>
      <c r="C51" s="1204">
        <v>265</v>
      </c>
      <c r="D51" s="1204">
        <v>43</v>
      </c>
      <c r="E51" s="1204">
        <f t="shared" si="2"/>
        <v>283</v>
      </c>
      <c r="F51" s="1204">
        <v>257</v>
      </c>
      <c r="G51" s="1204">
        <v>26</v>
      </c>
      <c r="H51" s="1204">
        <f t="shared" si="5"/>
        <v>285</v>
      </c>
      <c r="I51" s="1204">
        <v>249</v>
      </c>
      <c r="J51" s="1204">
        <v>36</v>
      </c>
      <c r="K51" s="1204">
        <f t="shared" si="3"/>
        <v>336</v>
      </c>
      <c r="L51" s="1204">
        <v>318</v>
      </c>
      <c r="M51" s="1204">
        <v>18</v>
      </c>
      <c r="N51" s="1204">
        <f t="shared" si="4"/>
        <v>360</v>
      </c>
      <c r="O51" s="1204">
        <v>310</v>
      </c>
      <c r="P51" s="1204">
        <v>50</v>
      </c>
      <c r="Q51" s="1840">
        <f t="shared" si="6"/>
        <v>1061</v>
      </c>
      <c r="R51" s="1840">
        <v>699</v>
      </c>
      <c r="S51" s="1840">
        <v>362</v>
      </c>
    </row>
    <row r="52" spans="1:19">
      <c r="A52" s="53" t="s">
        <v>592</v>
      </c>
      <c r="B52" s="1204">
        <f t="shared" si="1"/>
        <v>126</v>
      </c>
      <c r="C52" s="1204">
        <v>79</v>
      </c>
      <c r="D52" s="1204">
        <v>47</v>
      </c>
      <c r="E52" s="1204">
        <f t="shared" si="2"/>
        <v>327</v>
      </c>
      <c r="F52" s="1204">
        <v>182</v>
      </c>
      <c r="G52" s="1204">
        <v>145</v>
      </c>
      <c r="H52" s="1204">
        <f t="shared" si="5"/>
        <v>442</v>
      </c>
      <c r="I52" s="1204">
        <v>234</v>
      </c>
      <c r="J52" s="1204">
        <v>208</v>
      </c>
      <c r="K52" s="1204">
        <f t="shared" si="3"/>
        <v>310</v>
      </c>
      <c r="L52" s="1204">
        <v>170</v>
      </c>
      <c r="M52" s="1204">
        <v>140</v>
      </c>
      <c r="N52" s="1204">
        <f t="shared" si="4"/>
        <v>228</v>
      </c>
      <c r="O52" s="1204">
        <v>140</v>
      </c>
      <c r="P52" s="1204">
        <v>88</v>
      </c>
      <c r="Q52" s="1840">
        <f t="shared" si="6"/>
        <v>241</v>
      </c>
      <c r="R52" s="1840">
        <v>131</v>
      </c>
      <c r="S52" s="1840">
        <v>110</v>
      </c>
    </row>
    <row r="53" spans="1:19">
      <c r="A53" s="53" t="s">
        <v>593</v>
      </c>
      <c r="B53" s="1204">
        <f t="shared" si="1"/>
        <v>12616</v>
      </c>
      <c r="C53" s="1204">
        <v>7110</v>
      </c>
      <c r="D53" s="1204">
        <v>5506</v>
      </c>
      <c r="E53" s="1204">
        <f t="shared" si="2"/>
        <v>11576</v>
      </c>
      <c r="F53" s="1204">
        <v>6394</v>
      </c>
      <c r="G53" s="1204">
        <v>5182</v>
      </c>
      <c r="H53" s="1204">
        <f t="shared" si="5"/>
        <v>9017</v>
      </c>
      <c r="I53" s="1204">
        <v>5777</v>
      </c>
      <c r="J53" s="1204">
        <v>3240</v>
      </c>
      <c r="K53" s="1204">
        <f t="shared" si="3"/>
        <v>10354</v>
      </c>
      <c r="L53" s="1204">
        <v>6512</v>
      </c>
      <c r="M53" s="1204">
        <v>3842</v>
      </c>
      <c r="N53" s="1204">
        <f t="shared" si="4"/>
        <v>10954</v>
      </c>
      <c r="O53" s="1204">
        <v>6567</v>
      </c>
      <c r="P53" s="1204">
        <v>4387</v>
      </c>
      <c r="Q53" s="1840">
        <f t="shared" si="6"/>
        <v>10558</v>
      </c>
      <c r="R53" s="1840">
        <v>6344</v>
      </c>
      <c r="S53" s="1840">
        <v>4214</v>
      </c>
    </row>
    <row r="54" spans="1:19">
      <c r="A54" s="53" t="s">
        <v>594</v>
      </c>
      <c r="B54" s="1204">
        <f t="shared" si="1"/>
        <v>0</v>
      </c>
      <c r="C54" s="1204"/>
      <c r="D54" s="1204"/>
      <c r="E54" s="1204">
        <f t="shared" si="2"/>
        <v>0</v>
      </c>
      <c r="F54" s="1204">
        <v>0</v>
      </c>
      <c r="G54" s="1204">
        <v>0</v>
      </c>
      <c r="H54" s="1204">
        <f t="shared" si="5"/>
        <v>0</v>
      </c>
      <c r="I54" s="1204">
        <v>0</v>
      </c>
      <c r="J54" s="1204">
        <v>0</v>
      </c>
      <c r="K54" s="1204">
        <f t="shared" si="3"/>
        <v>0</v>
      </c>
      <c r="L54" s="1204">
        <v>0</v>
      </c>
      <c r="M54" s="1204">
        <v>0</v>
      </c>
      <c r="N54" s="1204">
        <f t="shared" si="4"/>
        <v>0</v>
      </c>
      <c r="O54" s="1204">
        <v>0</v>
      </c>
      <c r="P54" s="1204">
        <v>0</v>
      </c>
      <c r="Q54" s="1840">
        <f t="shared" si="6"/>
        <v>0</v>
      </c>
      <c r="R54" s="1840">
        <v>0</v>
      </c>
      <c r="S54" s="1840">
        <v>0</v>
      </c>
    </row>
    <row r="55" spans="1:19">
      <c r="A55" s="53" t="s">
        <v>661</v>
      </c>
      <c r="B55" s="1204">
        <f t="shared" si="1"/>
        <v>35632</v>
      </c>
      <c r="C55" s="1204">
        <v>17686</v>
      </c>
      <c r="D55" s="1204">
        <v>17946</v>
      </c>
      <c r="E55" s="1204">
        <f t="shared" si="2"/>
        <v>32488</v>
      </c>
      <c r="F55" s="1204">
        <v>15782</v>
      </c>
      <c r="G55" s="1204">
        <v>16706</v>
      </c>
      <c r="H55" s="1204">
        <f t="shared" si="5"/>
        <v>35282</v>
      </c>
      <c r="I55" s="1204">
        <v>16624</v>
      </c>
      <c r="J55" s="1204">
        <v>18658</v>
      </c>
      <c r="K55" s="1204">
        <f t="shared" si="3"/>
        <v>36654</v>
      </c>
      <c r="L55" s="1204">
        <v>17215</v>
      </c>
      <c r="M55" s="1204">
        <v>19439</v>
      </c>
      <c r="N55" s="1204">
        <f t="shared" si="4"/>
        <v>42776</v>
      </c>
      <c r="O55" s="1204">
        <v>21858</v>
      </c>
      <c r="P55" s="1204">
        <v>20918</v>
      </c>
      <c r="Q55" s="1840">
        <f t="shared" si="6"/>
        <v>45104</v>
      </c>
      <c r="R55" s="1840">
        <v>22732</v>
      </c>
      <c r="S55" s="1840">
        <v>22372</v>
      </c>
    </row>
    <row r="56" spans="1:19" s="150" customFormat="1">
      <c r="A56" s="150" t="s">
        <v>16</v>
      </c>
      <c r="B56" s="1821">
        <f>SUM(C56:D56)</f>
        <v>46221</v>
      </c>
      <c r="C56" s="1821">
        <f>SUM(C57:C63)</f>
        <v>24595</v>
      </c>
      <c r="D56" s="1821">
        <f>SUM(D57:D63)</f>
        <v>21626</v>
      </c>
      <c r="E56" s="1821">
        <f>SUM(F56:G56)</f>
        <v>49841</v>
      </c>
      <c r="F56" s="1821">
        <f>SUM(F57:F63)</f>
        <v>26775</v>
      </c>
      <c r="G56" s="1821">
        <f>SUM(G57:G63)</f>
        <v>23066</v>
      </c>
      <c r="H56" s="1821">
        <f>SUM(I56:J56)</f>
        <v>58769</v>
      </c>
      <c r="I56" s="1821">
        <f>SUM(I57:I63)</f>
        <v>32137</v>
      </c>
      <c r="J56" s="1821">
        <f>SUM(J57:J63)</f>
        <v>26632</v>
      </c>
      <c r="K56" s="1821">
        <f>SUM(L56:M56)</f>
        <v>61864</v>
      </c>
      <c r="L56" s="1821">
        <f>SUM(L57:L63)</f>
        <v>33118</v>
      </c>
      <c r="M56" s="1821">
        <f>SUM(M57:M63)</f>
        <v>28746</v>
      </c>
      <c r="N56" s="1821">
        <f>SUM(O56:P56)</f>
        <v>86274</v>
      </c>
      <c r="O56" s="1821">
        <f>SUM(O57:O63)</f>
        <v>45716</v>
      </c>
      <c r="P56" s="1821">
        <f>SUM(P57:P63)</f>
        <v>40558</v>
      </c>
      <c r="Q56" s="1839">
        <f>SUM(R56:S56)</f>
        <v>89078</v>
      </c>
      <c r="R56" s="1839">
        <f>SUM(R57:R63)</f>
        <v>48680</v>
      </c>
      <c r="S56" s="1839">
        <f>SUM(S57:S63)</f>
        <v>40398</v>
      </c>
    </row>
    <row r="57" spans="1:19">
      <c r="A57" s="53" t="s">
        <v>596</v>
      </c>
      <c r="B57" s="1204">
        <f t="shared" si="1"/>
        <v>42349</v>
      </c>
      <c r="C57" s="1204">
        <v>22292</v>
      </c>
      <c r="D57" s="1204">
        <v>20057</v>
      </c>
      <c r="E57" s="1204">
        <f t="shared" si="2"/>
        <v>43713</v>
      </c>
      <c r="F57" s="1204">
        <v>23139</v>
      </c>
      <c r="G57" s="1204">
        <v>20574</v>
      </c>
      <c r="H57" s="1204">
        <f t="shared" si="5"/>
        <v>48271</v>
      </c>
      <c r="I57" s="1204">
        <v>25877</v>
      </c>
      <c r="J57" s="1204">
        <v>22394</v>
      </c>
      <c r="K57" s="1204">
        <f t="shared" si="3"/>
        <v>48837</v>
      </c>
      <c r="L57" s="1204">
        <v>26180</v>
      </c>
      <c r="M57" s="1204">
        <v>22657</v>
      </c>
      <c r="N57" s="1204">
        <f t="shared" si="4"/>
        <v>68480</v>
      </c>
      <c r="O57" s="1204">
        <v>36335</v>
      </c>
      <c r="P57" s="1204">
        <v>32145</v>
      </c>
      <c r="Q57" s="1840">
        <f t="shared" ref="Q57:Q63" si="7">SUM(R57:S57)</f>
        <v>70887</v>
      </c>
      <c r="R57" s="1840">
        <v>38735</v>
      </c>
      <c r="S57" s="1840">
        <v>32152</v>
      </c>
    </row>
    <row r="58" spans="1:19">
      <c r="A58" s="53" t="s">
        <v>597</v>
      </c>
      <c r="B58" s="1204">
        <f t="shared" si="1"/>
        <v>1245</v>
      </c>
      <c r="C58" s="1204">
        <v>894</v>
      </c>
      <c r="D58" s="1204">
        <v>351</v>
      </c>
      <c r="E58" s="1204">
        <f t="shared" si="2"/>
        <v>1076</v>
      </c>
      <c r="F58" s="1204">
        <v>742</v>
      </c>
      <c r="G58" s="1204">
        <v>334</v>
      </c>
      <c r="H58" s="1204">
        <f t="shared" si="5"/>
        <v>1377</v>
      </c>
      <c r="I58" s="1204">
        <v>967</v>
      </c>
      <c r="J58" s="1204">
        <v>410</v>
      </c>
      <c r="K58" s="1204">
        <f t="shared" si="3"/>
        <v>1722</v>
      </c>
      <c r="L58" s="1204">
        <v>1153</v>
      </c>
      <c r="M58" s="1204">
        <v>569</v>
      </c>
      <c r="N58" s="1204">
        <f t="shared" si="4"/>
        <v>2074</v>
      </c>
      <c r="O58" s="1204">
        <v>1391</v>
      </c>
      <c r="P58" s="1204">
        <v>683</v>
      </c>
      <c r="Q58" s="1840">
        <f t="shared" si="7"/>
        <v>3415</v>
      </c>
      <c r="R58" s="1840">
        <v>2144</v>
      </c>
      <c r="S58" s="1840">
        <v>1271</v>
      </c>
    </row>
    <row r="59" spans="1:19">
      <c r="A59" s="53" t="s">
        <v>662</v>
      </c>
      <c r="B59" s="1204">
        <f t="shared" si="1"/>
        <v>386</v>
      </c>
      <c r="C59" s="1204">
        <v>209</v>
      </c>
      <c r="D59" s="1204">
        <v>177</v>
      </c>
      <c r="E59" s="1204">
        <f t="shared" si="2"/>
        <v>183</v>
      </c>
      <c r="F59" s="1204">
        <v>103</v>
      </c>
      <c r="G59" s="1204">
        <v>80</v>
      </c>
      <c r="H59" s="1204">
        <f t="shared" si="5"/>
        <v>558</v>
      </c>
      <c r="I59" s="1204">
        <v>304</v>
      </c>
      <c r="J59" s="1204">
        <v>254</v>
      </c>
      <c r="K59" s="1204">
        <f t="shared" si="3"/>
        <v>716</v>
      </c>
      <c r="L59" s="1204">
        <v>363</v>
      </c>
      <c r="M59" s="1204">
        <v>353</v>
      </c>
      <c r="N59" s="1204">
        <f t="shared" si="4"/>
        <v>1364</v>
      </c>
      <c r="O59" s="1204">
        <v>701</v>
      </c>
      <c r="P59" s="1204">
        <v>663</v>
      </c>
      <c r="Q59" s="1840">
        <f t="shared" si="7"/>
        <v>1083</v>
      </c>
      <c r="R59" s="1840">
        <v>586</v>
      </c>
      <c r="S59" s="1840">
        <v>497</v>
      </c>
    </row>
    <row r="60" spans="1:19">
      <c r="A60" s="53" t="s">
        <v>599</v>
      </c>
      <c r="B60" s="1204">
        <f t="shared" si="1"/>
        <v>330</v>
      </c>
      <c r="C60" s="1204">
        <v>220</v>
      </c>
      <c r="D60" s="1204">
        <v>110</v>
      </c>
      <c r="E60" s="1204">
        <f t="shared" si="2"/>
        <v>290</v>
      </c>
      <c r="F60" s="1204">
        <v>226</v>
      </c>
      <c r="G60" s="1204">
        <v>64</v>
      </c>
      <c r="H60" s="1204">
        <f t="shared" si="5"/>
        <v>468</v>
      </c>
      <c r="I60" s="1204">
        <v>385</v>
      </c>
      <c r="J60" s="1204">
        <v>83</v>
      </c>
      <c r="K60" s="1204">
        <f t="shared" si="3"/>
        <v>427</v>
      </c>
      <c r="L60" s="1204">
        <v>314</v>
      </c>
      <c r="M60" s="1204">
        <v>113</v>
      </c>
      <c r="N60" s="1204">
        <f t="shared" si="4"/>
        <v>472</v>
      </c>
      <c r="O60" s="1204">
        <v>334</v>
      </c>
      <c r="P60" s="1204">
        <v>138</v>
      </c>
      <c r="Q60" s="1840">
        <f t="shared" si="7"/>
        <v>656</v>
      </c>
      <c r="R60" s="1840">
        <v>489</v>
      </c>
      <c r="S60" s="1840">
        <v>167</v>
      </c>
    </row>
    <row r="61" spans="1:19">
      <c r="A61" s="53" t="s">
        <v>600</v>
      </c>
      <c r="B61" s="1204">
        <f t="shared" si="1"/>
        <v>605</v>
      </c>
      <c r="C61" s="1204">
        <v>281</v>
      </c>
      <c r="D61" s="1204">
        <v>324</v>
      </c>
      <c r="E61" s="1204">
        <f t="shared" si="2"/>
        <v>534</v>
      </c>
      <c r="F61" s="1204">
        <v>327</v>
      </c>
      <c r="G61" s="1204">
        <v>207</v>
      </c>
      <c r="H61" s="1204">
        <f t="shared" si="5"/>
        <v>643</v>
      </c>
      <c r="I61" s="1204">
        <v>419</v>
      </c>
      <c r="J61" s="1204">
        <v>224</v>
      </c>
      <c r="K61" s="1204">
        <f t="shared" si="3"/>
        <v>672</v>
      </c>
      <c r="L61" s="1204">
        <v>417</v>
      </c>
      <c r="M61" s="1204">
        <v>255</v>
      </c>
      <c r="N61" s="1204">
        <f t="shared" si="4"/>
        <v>871</v>
      </c>
      <c r="O61" s="1204">
        <v>503</v>
      </c>
      <c r="P61" s="1204">
        <v>368</v>
      </c>
      <c r="Q61" s="1840">
        <f t="shared" si="7"/>
        <v>827</v>
      </c>
      <c r="R61" s="1840">
        <v>508</v>
      </c>
      <c r="S61" s="1840">
        <v>319</v>
      </c>
    </row>
    <row r="62" spans="1:19">
      <c r="A62" s="53" t="s">
        <v>601</v>
      </c>
      <c r="B62" s="1204">
        <f t="shared" si="1"/>
        <v>1306</v>
      </c>
      <c r="C62" s="1204">
        <v>699</v>
      </c>
      <c r="D62" s="1204">
        <v>607</v>
      </c>
      <c r="E62" s="1204">
        <f t="shared" si="2"/>
        <v>4045</v>
      </c>
      <c r="F62" s="1204">
        <v>2238</v>
      </c>
      <c r="G62" s="1204">
        <v>1807</v>
      </c>
      <c r="H62" s="1204">
        <f t="shared" si="5"/>
        <v>7452</v>
      </c>
      <c r="I62" s="1204">
        <v>4185</v>
      </c>
      <c r="J62" s="1204">
        <v>3267</v>
      </c>
      <c r="K62" s="1204">
        <f t="shared" si="3"/>
        <v>9490</v>
      </c>
      <c r="L62" s="1204">
        <v>4691</v>
      </c>
      <c r="M62" s="1204">
        <v>4799</v>
      </c>
      <c r="N62" s="1204">
        <f t="shared" si="4"/>
        <v>12839</v>
      </c>
      <c r="O62" s="1204">
        <v>6308</v>
      </c>
      <c r="P62" s="1204">
        <v>6531</v>
      </c>
      <c r="Q62" s="1840">
        <f t="shared" si="7"/>
        <v>11864</v>
      </c>
      <c r="R62" s="1840">
        <v>5970</v>
      </c>
      <c r="S62" s="1840">
        <v>5894</v>
      </c>
    </row>
    <row r="63" spans="1:19">
      <c r="A63" s="53" t="s">
        <v>602</v>
      </c>
      <c r="B63" s="1204">
        <f t="shared" si="1"/>
        <v>0</v>
      </c>
      <c r="C63" s="1204">
        <v>0</v>
      </c>
      <c r="D63" s="1204">
        <v>0</v>
      </c>
      <c r="E63" s="1204">
        <f t="shared" si="2"/>
        <v>0</v>
      </c>
      <c r="F63" s="1204">
        <v>0</v>
      </c>
      <c r="G63" s="1204">
        <v>0</v>
      </c>
      <c r="H63" s="1204">
        <f t="shared" si="5"/>
        <v>0</v>
      </c>
      <c r="I63" s="1204">
        <v>0</v>
      </c>
      <c r="J63" s="1204">
        <v>0</v>
      </c>
      <c r="K63" s="1204">
        <f t="shared" si="3"/>
        <v>0</v>
      </c>
      <c r="L63" s="1204">
        <v>0</v>
      </c>
      <c r="M63" s="1204">
        <v>0</v>
      </c>
      <c r="N63" s="1204">
        <f t="shared" si="4"/>
        <v>174</v>
      </c>
      <c r="O63" s="1204">
        <v>144</v>
      </c>
      <c r="P63" s="1204">
        <v>30</v>
      </c>
      <c r="Q63" s="1840">
        <f t="shared" si="7"/>
        <v>346</v>
      </c>
      <c r="R63" s="1840">
        <v>248</v>
      </c>
      <c r="S63" s="1840">
        <v>98</v>
      </c>
    </row>
    <row r="64" spans="1:19" s="150" customFormat="1">
      <c r="A64" s="150" t="s">
        <v>379</v>
      </c>
      <c r="B64" s="1821">
        <f>SUM(C64:D64)</f>
        <v>197695</v>
      </c>
      <c r="C64" s="1821">
        <f>SUM(C65:C77)</f>
        <v>105290</v>
      </c>
      <c r="D64" s="1821">
        <f>SUM(D65:D77)</f>
        <v>92405</v>
      </c>
      <c r="E64" s="1821">
        <f>SUM(F64:G64)</f>
        <v>228921</v>
      </c>
      <c r="F64" s="1821">
        <f>SUM(F65:F77)</f>
        <v>125367</v>
      </c>
      <c r="G64" s="1821">
        <f>SUM(G65:G77)</f>
        <v>103554</v>
      </c>
      <c r="H64" s="1821">
        <f>SUM(I64:J64)</f>
        <v>262021</v>
      </c>
      <c r="I64" s="1821">
        <f>SUM(I65:I77)</f>
        <v>139831</v>
      </c>
      <c r="J64" s="1821">
        <f>SUM(J65:J77)</f>
        <v>122190</v>
      </c>
      <c r="K64" s="1821">
        <f>SUM(L64:M64)</f>
        <v>371883</v>
      </c>
      <c r="L64" s="1821">
        <f>SUM(L65:L77)</f>
        <v>200400</v>
      </c>
      <c r="M64" s="1821">
        <f>SUM(M65:M77)</f>
        <v>171483</v>
      </c>
      <c r="N64" s="1821">
        <f>SUM(O64:P64)</f>
        <v>462349</v>
      </c>
      <c r="O64" s="1821">
        <f>SUM(O65:O77)</f>
        <v>253199</v>
      </c>
      <c r="P64" s="1821">
        <f>SUM(P65:P77)</f>
        <v>209150</v>
      </c>
      <c r="Q64" s="1839">
        <f>SUM(R64:S64)</f>
        <v>437857</v>
      </c>
      <c r="R64" s="1839">
        <f>SUM(R65:R77)</f>
        <v>236949</v>
      </c>
      <c r="S64" s="1839">
        <f>SUM(S65:S77)</f>
        <v>200908</v>
      </c>
    </row>
    <row r="65" spans="1:19">
      <c r="A65" s="53" t="s">
        <v>603</v>
      </c>
      <c r="B65" s="1204">
        <f t="shared" si="1"/>
        <v>36194</v>
      </c>
      <c r="C65" s="1204">
        <v>19566</v>
      </c>
      <c r="D65" s="1204">
        <v>16628</v>
      </c>
      <c r="E65" s="1204">
        <f t="shared" si="2"/>
        <v>31129</v>
      </c>
      <c r="F65" s="1204">
        <v>16357</v>
      </c>
      <c r="G65" s="1204">
        <v>14772</v>
      </c>
      <c r="H65" s="1204">
        <f t="shared" si="5"/>
        <v>37593</v>
      </c>
      <c r="I65" s="1204">
        <v>19782</v>
      </c>
      <c r="J65" s="1204">
        <v>17811</v>
      </c>
      <c r="K65" s="1204">
        <f t="shared" si="3"/>
        <v>59823</v>
      </c>
      <c r="L65" s="1204">
        <v>31423</v>
      </c>
      <c r="M65" s="1204">
        <v>28400</v>
      </c>
      <c r="N65" s="1204">
        <f t="shared" si="4"/>
        <v>81739</v>
      </c>
      <c r="O65" s="1204">
        <v>42408</v>
      </c>
      <c r="P65" s="1204">
        <v>39331</v>
      </c>
      <c r="Q65" s="1840">
        <f t="shared" ref="Q65:Q77" si="8">SUM(R65:S65)</f>
        <v>71010</v>
      </c>
      <c r="R65" s="1840">
        <v>36720</v>
      </c>
      <c r="S65" s="1840">
        <v>34290</v>
      </c>
    </row>
    <row r="66" spans="1:19">
      <c r="A66" s="53" t="s">
        <v>604</v>
      </c>
      <c r="B66" s="1204">
        <f t="shared" si="1"/>
        <v>23790</v>
      </c>
      <c r="C66" s="1204">
        <v>11636</v>
      </c>
      <c r="D66" s="1204">
        <v>12154</v>
      </c>
      <c r="E66" s="1204">
        <f t="shared" si="2"/>
        <v>22533</v>
      </c>
      <c r="F66" s="1204">
        <v>10940</v>
      </c>
      <c r="G66" s="1204">
        <v>11593</v>
      </c>
      <c r="H66" s="1204">
        <f t="shared" si="5"/>
        <v>23614</v>
      </c>
      <c r="I66" s="1204">
        <v>12167</v>
      </c>
      <c r="J66" s="1204">
        <v>11447</v>
      </c>
      <c r="K66" s="1204">
        <f t="shared" si="3"/>
        <v>32103</v>
      </c>
      <c r="L66" s="1204">
        <v>16159</v>
      </c>
      <c r="M66" s="1204">
        <v>15944</v>
      </c>
      <c r="N66" s="1204">
        <f t="shared" si="4"/>
        <v>35026</v>
      </c>
      <c r="O66" s="1204">
        <v>17773</v>
      </c>
      <c r="P66" s="1204">
        <v>17253</v>
      </c>
      <c r="Q66" s="1840">
        <f t="shared" si="8"/>
        <v>40829</v>
      </c>
      <c r="R66" s="1840">
        <v>20306</v>
      </c>
      <c r="S66" s="1840">
        <v>20523</v>
      </c>
    </row>
    <row r="67" spans="1:19">
      <c r="A67" s="53" t="s">
        <v>605</v>
      </c>
      <c r="B67" s="1204">
        <f t="shared" si="1"/>
        <v>7500</v>
      </c>
      <c r="C67" s="1204">
        <v>3899</v>
      </c>
      <c r="D67" s="1204">
        <v>3601</v>
      </c>
      <c r="E67" s="1204">
        <f t="shared" si="2"/>
        <v>7626</v>
      </c>
      <c r="F67" s="1204">
        <v>4076</v>
      </c>
      <c r="G67" s="1204">
        <v>3550</v>
      </c>
      <c r="H67" s="1204">
        <f t="shared" si="5"/>
        <v>9061</v>
      </c>
      <c r="I67" s="1204">
        <v>4781</v>
      </c>
      <c r="J67" s="1204">
        <v>4280</v>
      </c>
      <c r="K67" s="1204">
        <f t="shared" si="3"/>
        <v>11832</v>
      </c>
      <c r="L67" s="1204">
        <v>6383</v>
      </c>
      <c r="M67" s="1204">
        <v>5449</v>
      </c>
      <c r="N67" s="1204">
        <f t="shared" si="4"/>
        <v>14669</v>
      </c>
      <c r="O67" s="1204">
        <v>7751</v>
      </c>
      <c r="P67" s="1204">
        <v>6918</v>
      </c>
      <c r="Q67" s="1840">
        <f t="shared" si="8"/>
        <v>13645</v>
      </c>
      <c r="R67" s="1840">
        <v>7572</v>
      </c>
      <c r="S67" s="1840">
        <v>6073</v>
      </c>
    </row>
    <row r="68" spans="1:19">
      <c r="A68" s="53" t="s">
        <v>606</v>
      </c>
      <c r="B68" s="1204">
        <f t="shared" si="1"/>
        <v>2021</v>
      </c>
      <c r="C68" s="1204">
        <v>1110</v>
      </c>
      <c r="D68" s="1204">
        <v>911</v>
      </c>
      <c r="E68" s="1204">
        <f t="shared" si="2"/>
        <v>1674</v>
      </c>
      <c r="F68" s="1204">
        <v>987</v>
      </c>
      <c r="G68" s="1204">
        <v>687</v>
      </c>
      <c r="H68" s="1204">
        <f t="shared" si="5"/>
        <v>4799</v>
      </c>
      <c r="I68" s="1204">
        <v>2653</v>
      </c>
      <c r="J68" s="1204">
        <v>2146</v>
      </c>
      <c r="K68" s="1204">
        <f t="shared" si="3"/>
        <v>4594</v>
      </c>
      <c r="L68" s="1204">
        <v>2575</v>
      </c>
      <c r="M68" s="1204">
        <v>2019</v>
      </c>
      <c r="N68" s="1204">
        <f t="shared" si="4"/>
        <v>6956</v>
      </c>
      <c r="O68" s="1204">
        <v>3709</v>
      </c>
      <c r="P68" s="1204">
        <v>3247</v>
      </c>
      <c r="Q68" s="1840">
        <f t="shared" si="8"/>
        <v>8687</v>
      </c>
      <c r="R68" s="1840">
        <v>4596</v>
      </c>
      <c r="S68" s="1840">
        <v>4091</v>
      </c>
    </row>
    <row r="69" spans="1:19">
      <c r="A69" s="53" t="s">
        <v>607</v>
      </c>
      <c r="B69" s="1204">
        <f t="shared" si="1"/>
        <v>49109</v>
      </c>
      <c r="C69" s="1204">
        <v>25995</v>
      </c>
      <c r="D69" s="1204">
        <v>23114</v>
      </c>
      <c r="E69" s="1204">
        <f t="shared" si="2"/>
        <v>80669</v>
      </c>
      <c r="F69" s="1204">
        <v>44762</v>
      </c>
      <c r="G69" s="1204">
        <v>35907</v>
      </c>
      <c r="H69" s="1204">
        <f t="shared" si="5"/>
        <v>85602</v>
      </c>
      <c r="I69" s="1204">
        <v>45163</v>
      </c>
      <c r="J69" s="1204">
        <v>40439</v>
      </c>
      <c r="K69" s="1204">
        <f t="shared" si="3"/>
        <v>115761</v>
      </c>
      <c r="L69" s="1204">
        <v>61661</v>
      </c>
      <c r="M69" s="1204">
        <v>54100</v>
      </c>
      <c r="N69" s="1204">
        <f t="shared" si="4"/>
        <v>136014</v>
      </c>
      <c r="O69" s="1204">
        <v>74705</v>
      </c>
      <c r="P69" s="1204">
        <v>61309</v>
      </c>
      <c r="Q69" s="1840">
        <f t="shared" si="8"/>
        <v>129373</v>
      </c>
      <c r="R69" s="1840">
        <v>70969</v>
      </c>
      <c r="S69" s="1840">
        <v>58404</v>
      </c>
    </row>
    <row r="70" spans="1:19">
      <c r="A70" s="53" t="s">
        <v>608</v>
      </c>
      <c r="B70" s="1204">
        <f t="shared" si="1"/>
        <v>6</v>
      </c>
      <c r="C70" s="1204">
        <v>3</v>
      </c>
      <c r="D70" s="1204">
        <v>3</v>
      </c>
      <c r="E70" s="1204">
        <f t="shared" si="2"/>
        <v>20</v>
      </c>
      <c r="F70" s="1204">
        <v>10</v>
      </c>
      <c r="G70" s="1204">
        <v>10</v>
      </c>
      <c r="H70" s="1204">
        <f t="shared" si="5"/>
        <v>16</v>
      </c>
      <c r="I70" s="1204">
        <v>9</v>
      </c>
      <c r="J70" s="1204">
        <v>7</v>
      </c>
      <c r="K70" s="1204">
        <f t="shared" si="3"/>
        <v>50</v>
      </c>
      <c r="L70" s="1204">
        <v>26</v>
      </c>
      <c r="M70" s="1204">
        <v>24</v>
      </c>
      <c r="N70" s="1204">
        <f t="shared" si="4"/>
        <v>64</v>
      </c>
      <c r="O70" s="1204">
        <v>35</v>
      </c>
      <c r="P70" s="1204">
        <v>29</v>
      </c>
      <c r="Q70" s="1840">
        <f t="shared" si="8"/>
        <v>102</v>
      </c>
      <c r="R70" s="1840">
        <v>77</v>
      </c>
      <c r="S70" s="1840">
        <v>25</v>
      </c>
    </row>
    <row r="71" spans="1:19">
      <c r="A71" s="53" t="s">
        <v>609</v>
      </c>
      <c r="B71" s="1204">
        <f t="shared" si="1"/>
        <v>0</v>
      </c>
      <c r="C71" s="1204">
        <v>0</v>
      </c>
      <c r="D71" s="1204">
        <v>0</v>
      </c>
      <c r="E71" s="1204">
        <f t="shared" si="2"/>
        <v>0</v>
      </c>
      <c r="F71" s="1204">
        <v>0</v>
      </c>
      <c r="G71" s="1204">
        <v>0</v>
      </c>
      <c r="H71" s="1204">
        <f t="shared" si="5"/>
        <v>0</v>
      </c>
      <c r="I71" s="1204">
        <v>0</v>
      </c>
      <c r="J71" s="1204">
        <v>0</v>
      </c>
      <c r="K71" s="1204">
        <f t="shared" si="3"/>
        <v>0</v>
      </c>
      <c r="L71" s="1204">
        <v>0</v>
      </c>
      <c r="M71" s="1204">
        <v>0</v>
      </c>
      <c r="N71" s="1204">
        <f t="shared" si="4"/>
        <v>0</v>
      </c>
      <c r="O71" s="1204">
        <v>0</v>
      </c>
      <c r="P71" s="1204">
        <v>0</v>
      </c>
      <c r="Q71" s="1840">
        <f t="shared" si="8"/>
        <v>0</v>
      </c>
      <c r="R71" s="1840">
        <v>0</v>
      </c>
      <c r="S71" s="1840">
        <v>0</v>
      </c>
    </row>
    <row r="72" spans="1:19">
      <c r="A72" s="53" t="s">
        <v>610</v>
      </c>
      <c r="B72" s="1204">
        <f t="shared" si="1"/>
        <v>22651</v>
      </c>
      <c r="C72" s="1204">
        <v>12145</v>
      </c>
      <c r="D72" s="1204">
        <v>10506</v>
      </c>
      <c r="E72" s="1204">
        <f t="shared" si="2"/>
        <v>24796</v>
      </c>
      <c r="F72" s="1204">
        <v>14534</v>
      </c>
      <c r="G72" s="1204">
        <v>10262</v>
      </c>
      <c r="H72" s="1204">
        <f t="shared" si="5"/>
        <v>29447</v>
      </c>
      <c r="I72" s="1204">
        <v>16316</v>
      </c>
      <c r="J72" s="1204">
        <v>13131</v>
      </c>
      <c r="K72" s="1204">
        <f t="shared" si="3"/>
        <v>55641</v>
      </c>
      <c r="L72" s="1204">
        <v>31854</v>
      </c>
      <c r="M72" s="1204">
        <v>23787</v>
      </c>
      <c r="N72" s="1204">
        <f t="shared" si="4"/>
        <v>84539</v>
      </c>
      <c r="O72" s="1204">
        <v>48309</v>
      </c>
      <c r="P72" s="1204">
        <v>36230</v>
      </c>
      <c r="Q72" s="1840">
        <f t="shared" si="8"/>
        <v>84924</v>
      </c>
      <c r="R72" s="1840">
        <v>47483</v>
      </c>
      <c r="S72" s="1840">
        <v>37441</v>
      </c>
    </row>
    <row r="73" spans="1:19">
      <c r="A73" s="53" t="s">
        <v>611</v>
      </c>
      <c r="B73" s="1204">
        <f t="shared" si="1"/>
        <v>23</v>
      </c>
      <c r="C73" s="1204">
        <v>18</v>
      </c>
      <c r="D73" s="1204">
        <v>5</v>
      </c>
      <c r="E73" s="1204">
        <f t="shared" si="2"/>
        <v>0</v>
      </c>
      <c r="F73" s="1204">
        <v>0</v>
      </c>
      <c r="G73" s="1204">
        <v>0</v>
      </c>
      <c r="H73" s="1204">
        <f t="shared" si="5"/>
        <v>0</v>
      </c>
      <c r="I73" s="1204">
        <v>0</v>
      </c>
      <c r="J73" s="1204">
        <v>0</v>
      </c>
      <c r="K73" s="1204">
        <f t="shared" si="3"/>
        <v>341</v>
      </c>
      <c r="L73" s="1204">
        <v>180</v>
      </c>
      <c r="M73" s="1204">
        <v>161</v>
      </c>
      <c r="N73" s="1204">
        <f t="shared" si="4"/>
        <v>624</v>
      </c>
      <c r="O73" s="1204">
        <v>302</v>
      </c>
      <c r="P73" s="1204">
        <v>322</v>
      </c>
      <c r="Q73" s="1840">
        <f t="shared" si="8"/>
        <v>820</v>
      </c>
      <c r="R73" s="1840">
        <v>513</v>
      </c>
      <c r="S73" s="1840">
        <v>307</v>
      </c>
    </row>
    <row r="74" spans="1:19">
      <c r="A74" s="53" t="s">
        <v>612</v>
      </c>
      <c r="B74" s="1204">
        <f t="shared" si="1"/>
        <v>0</v>
      </c>
      <c r="C74" s="1204">
        <v>0</v>
      </c>
      <c r="D74" s="1204">
        <v>0</v>
      </c>
      <c r="E74" s="1204">
        <f t="shared" si="2"/>
        <v>0</v>
      </c>
      <c r="F74" s="1204">
        <v>0</v>
      </c>
      <c r="G74" s="1204">
        <v>0</v>
      </c>
      <c r="H74" s="1204">
        <f t="shared" si="5"/>
        <v>60</v>
      </c>
      <c r="I74" s="1204">
        <v>57</v>
      </c>
      <c r="J74" s="1204">
        <v>3</v>
      </c>
      <c r="K74" s="1204">
        <f t="shared" si="3"/>
        <v>0</v>
      </c>
      <c r="L74" s="1204">
        <v>0</v>
      </c>
      <c r="M74" s="1204">
        <v>0</v>
      </c>
      <c r="N74" s="1204">
        <f t="shared" si="4"/>
        <v>0</v>
      </c>
      <c r="O74" s="1204">
        <v>0</v>
      </c>
      <c r="P74" s="1204">
        <v>0</v>
      </c>
      <c r="Q74" s="1840">
        <f t="shared" si="8"/>
        <v>0</v>
      </c>
      <c r="R74" s="1840">
        <v>0</v>
      </c>
      <c r="S74" s="1840">
        <v>0</v>
      </c>
    </row>
    <row r="75" spans="1:19">
      <c r="A75" s="53" t="s">
        <v>613</v>
      </c>
      <c r="B75" s="1204">
        <f t="shared" si="1"/>
        <v>158</v>
      </c>
      <c r="C75" s="1204">
        <v>100</v>
      </c>
      <c r="D75" s="1204">
        <v>58</v>
      </c>
      <c r="E75" s="1204">
        <f t="shared" si="2"/>
        <v>531</v>
      </c>
      <c r="F75" s="1204">
        <v>318</v>
      </c>
      <c r="G75" s="1204">
        <v>213</v>
      </c>
      <c r="H75" s="1204">
        <f t="shared" si="5"/>
        <v>31</v>
      </c>
      <c r="I75" s="1204">
        <v>23</v>
      </c>
      <c r="J75" s="1204">
        <v>8</v>
      </c>
      <c r="K75" s="1204">
        <f t="shared" si="3"/>
        <v>3954</v>
      </c>
      <c r="L75" s="1204">
        <v>2802</v>
      </c>
      <c r="M75" s="1204">
        <v>1152</v>
      </c>
      <c r="N75" s="1204">
        <f t="shared" si="4"/>
        <v>11207</v>
      </c>
      <c r="O75" s="1204">
        <v>8358</v>
      </c>
      <c r="P75" s="1204">
        <v>2849</v>
      </c>
      <c r="Q75" s="1840">
        <f t="shared" si="8"/>
        <v>8751</v>
      </c>
      <c r="R75" s="1840">
        <v>6164</v>
      </c>
      <c r="S75" s="1840">
        <v>2587</v>
      </c>
    </row>
    <row r="76" spans="1:19">
      <c r="A76" s="53" t="s">
        <v>614</v>
      </c>
      <c r="B76" s="1204">
        <f t="shared" ref="B76:B124" si="9">SUM(C76:D76)</f>
        <v>1273</v>
      </c>
      <c r="C76" s="1204">
        <v>574</v>
      </c>
      <c r="D76" s="1204">
        <v>699</v>
      </c>
      <c r="E76" s="1204">
        <f t="shared" ref="E76:E124" si="10">SUM(F76:G76)</f>
        <v>1339</v>
      </c>
      <c r="F76" s="1204">
        <v>668</v>
      </c>
      <c r="G76" s="1204">
        <v>671</v>
      </c>
      <c r="H76" s="1204">
        <f t="shared" si="5"/>
        <v>2335</v>
      </c>
      <c r="I76" s="1204">
        <v>1106</v>
      </c>
      <c r="J76" s="1204">
        <v>1229</v>
      </c>
      <c r="K76" s="1204">
        <f t="shared" ref="K76:K124" si="11">SUM(L76:M76)</f>
        <v>2731</v>
      </c>
      <c r="L76" s="1204">
        <v>1257</v>
      </c>
      <c r="M76" s="1204">
        <v>1474</v>
      </c>
      <c r="N76" s="1204">
        <f t="shared" ref="N76:N124" si="12">SUM(O76:P76)</f>
        <v>5656</v>
      </c>
      <c r="O76" s="1204">
        <v>2836</v>
      </c>
      <c r="P76" s="1204">
        <v>2820</v>
      </c>
      <c r="Q76" s="1840">
        <f t="shared" si="8"/>
        <v>6244</v>
      </c>
      <c r="R76" s="1840">
        <v>3138</v>
      </c>
      <c r="S76" s="1840">
        <v>3106</v>
      </c>
    </row>
    <row r="77" spans="1:19">
      <c r="A77" s="53" t="s">
        <v>615</v>
      </c>
      <c r="B77" s="1204">
        <f t="shared" si="9"/>
        <v>54970</v>
      </c>
      <c r="C77" s="1204">
        <v>30244</v>
      </c>
      <c r="D77" s="1204">
        <v>24726</v>
      </c>
      <c r="E77" s="1204">
        <f t="shared" si="10"/>
        <v>58604</v>
      </c>
      <c r="F77" s="1204">
        <v>32715</v>
      </c>
      <c r="G77" s="1204">
        <v>25889</v>
      </c>
      <c r="H77" s="1204">
        <f t="shared" ref="H77:H124" si="13">SUM(I77:J77)</f>
        <v>69463</v>
      </c>
      <c r="I77" s="1204">
        <v>37774</v>
      </c>
      <c r="J77" s="1204">
        <v>31689</v>
      </c>
      <c r="K77" s="1204">
        <f t="shared" si="11"/>
        <v>85053</v>
      </c>
      <c r="L77" s="1204">
        <v>46080</v>
      </c>
      <c r="M77" s="1204">
        <v>38973</v>
      </c>
      <c r="N77" s="1204">
        <f t="shared" si="12"/>
        <v>85855</v>
      </c>
      <c r="O77" s="1204">
        <v>47013</v>
      </c>
      <c r="P77" s="1204">
        <v>38842</v>
      </c>
      <c r="Q77" s="1840">
        <f t="shared" si="8"/>
        <v>73472</v>
      </c>
      <c r="R77" s="1840">
        <v>39411</v>
      </c>
      <c r="S77" s="1840">
        <v>34061</v>
      </c>
    </row>
    <row r="78" spans="1:19" s="150" customFormat="1">
      <c r="A78" s="150" t="s">
        <v>18</v>
      </c>
      <c r="B78" s="1821">
        <f>SUM(C78:D78)</f>
        <v>345</v>
      </c>
      <c r="C78" s="1821">
        <f>SUM(C79:C80)</f>
        <v>194</v>
      </c>
      <c r="D78" s="1821">
        <f>SUM(D79:D80)</f>
        <v>151</v>
      </c>
      <c r="E78" s="1821">
        <f>SUM(F78:G78)</f>
        <v>376</v>
      </c>
      <c r="F78" s="1821">
        <f>SUM(F79:F80)</f>
        <v>219</v>
      </c>
      <c r="G78" s="1821">
        <f>SUM(G79:G80)</f>
        <v>157</v>
      </c>
      <c r="H78" s="1821">
        <f>SUM(I78:J78)</f>
        <v>1159</v>
      </c>
      <c r="I78" s="1821">
        <f>SUM(I79:I80)</f>
        <v>762</v>
      </c>
      <c r="J78" s="1821">
        <f>SUM(J79:J80)</f>
        <v>397</v>
      </c>
      <c r="K78" s="1821">
        <f>SUM(L78:M78)</f>
        <v>1221</v>
      </c>
      <c r="L78" s="1821">
        <f>SUM(L79:L80)</f>
        <v>687</v>
      </c>
      <c r="M78" s="1821">
        <f>SUM(M79:M80)</f>
        <v>534</v>
      </c>
      <c r="N78" s="1821">
        <f>SUM(O78:P78)</f>
        <v>2322</v>
      </c>
      <c r="O78" s="1821">
        <f>SUM(O79:O80)</f>
        <v>1344</v>
      </c>
      <c r="P78" s="1821">
        <f>SUM(P79:P80)</f>
        <v>978</v>
      </c>
      <c r="Q78" s="1839">
        <f>SUM(R78:S78)</f>
        <v>4521</v>
      </c>
      <c r="R78" s="1839">
        <f>SUM(R79:R80)</f>
        <v>2402</v>
      </c>
      <c r="S78" s="1839">
        <f>SUM(S79:S80)</f>
        <v>2119</v>
      </c>
    </row>
    <row r="79" spans="1:19">
      <c r="A79" s="53" t="s">
        <v>616</v>
      </c>
      <c r="B79" s="1204">
        <f t="shared" si="9"/>
        <v>0</v>
      </c>
      <c r="C79" s="1204">
        <v>0</v>
      </c>
      <c r="D79" s="1204">
        <v>0</v>
      </c>
      <c r="E79" s="1204">
        <f t="shared" si="10"/>
        <v>0</v>
      </c>
      <c r="F79" s="1204">
        <v>0</v>
      </c>
      <c r="G79" s="1204">
        <v>0</v>
      </c>
      <c r="H79" s="1204">
        <f t="shared" si="13"/>
        <v>869</v>
      </c>
      <c r="I79" s="1204">
        <v>587</v>
      </c>
      <c r="J79" s="1204">
        <v>282</v>
      </c>
      <c r="K79" s="1204">
        <f t="shared" si="11"/>
        <v>528</v>
      </c>
      <c r="L79" s="1204">
        <v>268</v>
      </c>
      <c r="M79" s="1204">
        <v>260</v>
      </c>
      <c r="N79" s="1204">
        <f t="shared" si="12"/>
        <v>1198</v>
      </c>
      <c r="O79" s="1204">
        <v>733</v>
      </c>
      <c r="P79" s="1204">
        <v>465</v>
      </c>
      <c r="Q79" s="1840">
        <f>SUM(R79:S79)</f>
        <v>1125</v>
      </c>
      <c r="R79" s="1840">
        <v>706</v>
      </c>
      <c r="S79" s="1840">
        <v>419</v>
      </c>
    </row>
    <row r="80" spans="1:19">
      <c r="A80" s="53" t="s">
        <v>617</v>
      </c>
      <c r="B80" s="1204">
        <f t="shared" si="9"/>
        <v>345</v>
      </c>
      <c r="C80" s="1204">
        <v>194</v>
      </c>
      <c r="D80" s="1204">
        <v>151</v>
      </c>
      <c r="E80" s="1204">
        <f t="shared" si="10"/>
        <v>376</v>
      </c>
      <c r="F80" s="1204">
        <v>219</v>
      </c>
      <c r="G80" s="1204">
        <v>157</v>
      </c>
      <c r="H80" s="1204">
        <f t="shared" si="13"/>
        <v>290</v>
      </c>
      <c r="I80" s="1204">
        <v>175</v>
      </c>
      <c r="J80" s="1204">
        <v>115</v>
      </c>
      <c r="K80" s="1204">
        <f t="shared" si="11"/>
        <v>693</v>
      </c>
      <c r="L80" s="1204">
        <v>419</v>
      </c>
      <c r="M80" s="1204">
        <v>274</v>
      </c>
      <c r="N80" s="1204">
        <f t="shared" si="12"/>
        <v>1124</v>
      </c>
      <c r="O80" s="1204">
        <v>611</v>
      </c>
      <c r="P80" s="1204">
        <v>513</v>
      </c>
      <c r="Q80" s="1840">
        <f>SUM(R80:S80)</f>
        <v>3396</v>
      </c>
      <c r="R80" s="1840">
        <v>1696</v>
      </c>
      <c r="S80" s="1840">
        <v>1700</v>
      </c>
    </row>
    <row r="81" spans="1:19" s="150" customFormat="1">
      <c r="A81" s="150" t="s">
        <v>19</v>
      </c>
      <c r="B81" s="1821">
        <f>SUM(C81:D81)</f>
        <v>794363</v>
      </c>
      <c r="C81" s="1821">
        <f>SUM(C82:C92)</f>
        <v>370518</v>
      </c>
      <c r="D81" s="1821">
        <f>SUM(D82:D92)</f>
        <v>423845</v>
      </c>
      <c r="E81" s="1821">
        <f>SUM(F81:G81)</f>
        <v>486725</v>
      </c>
      <c r="F81" s="1821">
        <f>SUM(F82:F92)</f>
        <v>241905</v>
      </c>
      <c r="G81" s="1821">
        <f>SUM(G82:G92)</f>
        <v>244820</v>
      </c>
      <c r="H81" s="1821">
        <f>SUM(I81:J81)</f>
        <v>430663</v>
      </c>
      <c r="I81" s="1821">
        <f>SUM(I82:I92)</f>
        <v>223681</v>
      </c>
      <c r="J81" s="1821">
        <f>SUM(J82:J92)</f>
        <v>206982</v>
      </c>
      <c r="K81" s="1821">
        <f>SUM(L81:M81)</f>
        <v>514248</v>
      </c>
      <c r="L81" s="1821">
        <f>SUM(L82:L92)</f>
        <v>253561</v>
      </c>
      <c r="M81" s="1821">
        <f>SUM(M82:M92)</f>
        <v>260687</v>
      </c>
      <c r="N81" s="1821">
        <f>SUM(O81:P81)</f>
        <v>568391</v>
      </c>
      <c r="O81" s="1821">
        <f>SUM(O82:O92)</f>
        <v>275349</v>
      </c>
      <c r="P81" s="1821">
        <f>SUM(P82:P92)</f>
        <v>293042</v>
      </c>
      <c r="Q81" s="1839">
        <f>SUM(R81:S81)</f>
        <v>631151</v>
      </c>
      <c r="R81" s="1839">
        <f>SUM(R82:R92)</f>
        <v>307259</v>
      </c>
      <c r="S81" s="1839">
        <f>SUM(S82:S92)</f>
        <v>323892</v>
      </c>
    </row>
    <row r="82" spans="1:19">
      <c r="A82" s="53" t="s">
        <v>618</v>
      </c>
      <c r="B82" s="1204">
        <f t="shared" si="9"/>
        <v>17107</v>
      </c>
      <c r="C82" s="1204">
        <v>8363</v>
      </c>
      <c r="D82" s="1204">
        <v>8744</v>
      </c>
      <c r="E82" s="1204">
        <f t="shared" si="10"/>
        <v>14761</v>
      </c>
      <c r="F82" s="1204">
        <v>7006</v>
      </c>
      <c r="G82" s="1204">
        <v>7755</v>
      </c>
      <c r="H82" s="1204">
        <f t="shared" si="13"/>
        <v>20950</v>
      </c>
      <c r="I82" s="1204">
        <v>9828</v>
      </c>
      <c r="J82" s="1204">
        <v>11122</v>
      </c>
      <c r="K82" s="1204">
        <f t="shared" si="11"/>
        <v>27049</v>
      </c>
      <c r="L82" s="1204">
        <v>12548</v>
      </c>
      <c r="M82" s="1204">
        <v>14501</v>
      </c>
      <c r="N82" s="1204">
        <f t="shared" si="12"/>
        <v>31142</v>
      </c>
      <c r="O82" s="1204">
        <v>14110</v>
      </c>
      <c r="P82" s="1204">
        <v>17032</v>
      </c>
      <c r="Q82" s="1840">
        <f t="shared" ref="Q82:Q92" si="14">SUM(R82:S82)</f>
        <v>39666</v>
      </c>
      <c r="R82" s="1840">
        <v>17637</v>
      </c>
      <c r="S82" s="1840">
        <v>22029</v>
      </c>
    </row>
    <row r="83" spans="1:19">
      <c r="A83" s="53" t="s">
        <v>619</v>
      </c>
      <c r="B83" s="1204">
        <f t="shared" si="9"/>
        <v>499129</v>
      </c>
      <c r="C83" s="1204">
        <v>225466</v>
      </c>
      <c r="D83" s="1204">
        <v>273663</v>
      </c>
      <c r="E83" s="1204">
        <f t="shared" si="10"/>
        <v>250415</v>
      </c>
      <c r="F83" s="1204">
        <v>123028</v>
      </c>
      <c r="G83" s="1204">
        <v>127387</v>
      </c>
      <c r="H83" s="1204">
        <f t="shared" si="13"/>
        <v>95062</v>
      </c>
      <c r="I83" s="1204">
        <v>46054</v>
      </c>
      <c r="J83" s="1204">
        <v>49008</v>
      </c>
      <c r="K83" s="1204">
        <f t="shared" si="11"/>
        <v>133037</v>
      </c>
      <c r="L83" s="1204">
        <v>64681</v>
      </c>
      <c r="M83" s="1204">
        <v>68356</v>
      </c>
      <c r="N83" s="1204">
        <f t="shared" si="12"/>
        <v>124272</v>
      </c>
      <c r="O83" s="1204">
        <v>60506</v>
      </c>
      <c r="P83" s="1204">
        <v>63766</v>
      </c>
      <c r="Q83" s="1840">
        <f t="shared" si="14"/>
        <v>137778</v>
      </c>
      <c r="R83" s="1840">
        <v>65122</v>
      </c>
      <c r="S83" s="1840">
        <v>72656</v>
      </c>
    </row>
    <row r="84" spans="1:19">
      <c r="A84" s="53" t="s">
        <v>620</v>
      </c>
      <c r="B84" s="1204">
        <f t="shared" si="9"/>
        <v>264496</v>
      </c>
      <c r="C84" s="1204">
        <v>129159</v>
      </c>
      <c r="D84" s="1204">
        <v>135337</v>
      </c>
      <c r="E84" s="1204">
        <f t="shared" si="10"/>
        <v>203027</v>
      </c>
      <c r="F84" s="1204">
        <v>102206</v>
      </c>
      <c r="G84" s="1204">
        <v>100821</v>
      </c>
      <c r="H84" s="1204">
        <f t="shared" si="13"/>
        <v>293266</v>
      </c>
      <c r="I84" s="1204">
        <v>156670</v>
      </c>
      <c r="J84" s="1204">
        <v>136596</v>
      </c>
      <c r="K84" s="1204">
        <f t="shared" si="11"/>
        <v>332334</v>
      </c>
      <c r="L84" s="1204">
        <v>164755</v>
      </c>
      <c r="M84" s="1204">
        <v>167579</v>
      </c>
      <c r="N84" s="1204">
        <f t="shared" si="12"/>
        <v>386287</v>
      </c>
      <c r="O84" s="1204">
        <v>187131</v>
      </c>
      <c r="P84" s="1204">
        <v>199156</v>
      </c>
      <c r="Q84" s="1840">
        <f t="shared" si="14"/>
        <v>415625</v>
      </c>
      <c r="R84" s="1840">
        <v>205040</v>
      </c>
      <c r="S84" s="1840">
        <v>210585</v>
      </c>
    </row>
    <row r="85" spans="1:19">
      <c r="A85" s="53" t="s">
        <v>621</v>
      </c>
      <c r="B85" s="1204">
        <f t="shared" si="9"/>
        <v>10813</v>
      </c>
      <c r="C85" s="1204">
        <v>5890</v>
      </c>
      <c r="D85" s="1204">
        <v>4923</v>
      </c>
      <c r="E85" s="1204">
        <f t="shared" si="10"/>
        <v>9250</v>
      </c>
      <c r="F85" s="1204">
        <v>4964</v>
      </c>
      <c r="G85" s="1204">
        <v>4286</v>
      </c>
      <c r="H85" s="1204">
        <f t="shared" si="13"/>
        <v>11721</v>
      </c>
      <c r="I85" s="1204">
        <v>6175</v>
      </c>
      <c r="J85" s="1204">
        <v>5546</v>
      </c>
      <c r="K85" s="1204">
        <f t="shared" si="11"/>
        <v>12189</v>
      </c>
      <c r="L85" s="1204">
        <v>6506</v>
      </c>
      <c r="M85" s="1204">
        <v>5683</v>
      </c>
      <c r="N85" s="1204">
        <f t="shared" si="12"/>
        <v>15728</v>
      </c>
      <c r="O85" s="1204">
        <v>8105</v>
      </c>
      <c r="P85" s="1204">
        <v>7623</v>
      </c>
      <c r="Q85" s="1840">
        <f t="shared" si="14"/>
        <v>16583</v>
      </c>
      <c r="R85" s="1840">
        <v>8727</v>
      </c>
      <c r="S85" s="1840">
        <v>7856</v>
      </c>
    </row>
    <row r="86" spans="1:19">
      <c r="A86" s="53" t="s">
        <v>622</v>
      </c>
      <c r="B86" s="1204">
        <f t="shared" si="9"/>
        <v>311</v>
      </c>
      <c r="C86" s="1204">
        <v>116</v>
      </c>
      <c r="D86" s="1204">
        <v>195</v>
      </c>
      <c r="E86" s="1204">
        <f t="shared" si="10"/>
        <v>479</v>
      </c>
      <c r="F86" s="1204">
        <v>294</v>
      </c>
      <c r="G86" s="1204">
        <v>185</v>
      </c>
      <c r="H86" s="1204">
        <f t="shared" si="13"/>
        <v>351</v>
      </c>
      <c r="I86" s="1204">
        <v>191</v>
      </c>
      <c r="J86" s="1204">
        <v>160</v>
      </c>
      <c r="K86" s="1204">
        <f t="shared" si="11"/>
        <v>0</v>
      </c>
      <c r="L86" s="1204">
        <v>0</v>
      </c>
      <c r="M86" s="1204">
        <v>0</v>
      </c>
      <c r="N86" s="1204">
        <f t="shared" si="12"/>
        <v>621</v>
      </c>
      <c r="O86" s="1204">
        <v>415</v>
      </c>
      <c r="P86" s="1204">
        <v>206</v>
      </c>
      <c r="Q86" s="1840">
        <f t="shared" si="14"/>
        <v>1928</v>
      </c>
      <c r="R86" s="1840">
        <v>1227</v>
      </c>
      <c r="S86" s="1840">
        <v>701</v>
      </c>
    </row>
    <row r="87" spans="1:19">
      <c r="A87" s="53" t="s">
        <v>623</v>
      </c>
      <c r="B87" s="1204">
        <f t="shared" si="9"/>
        <v>0</v>
      </c>
      <c r="C87" s="1204">
        <v>0</v>
      </c>
      <c r="D87" s="1204">
        <v>0</v>
      </c>
      <c r="E87" s="1204">
        <f t="shared" si="10"/>
        <v>0</v>
      </c>
      <c r="F87" s="1204">
        <v>0</v>
      </c>
      <c r="G87" s="1204">
        <v>0</v>
      </c>
      <c r="H87" s="1204">
        <f t="shared" si="13"/>
        <v>0</v>
      </c>
      <c r="I87" s="1204">
        <v>0</v>
      </c>
      <c r="J87" s="1204">
        <v>0</v>
      </c>
      <c r="K87" s="1204">
        <f t="shared" si="11"/>
        <v>0</v>
      </c>
      <c r="L87" s="1204">
        <v>0</v>
      </c>
      <c r="M87" s="1204">
        <v>0</v>
      </c>
      <c r="N87" s="1204">
        <f t="shared" si="12"/>
        <v>0</v>
      </c>
      <c r="O87" s="1204">
        <v>0</v>
      </c>
      <c r="P87" s="1204">
        <v>0</v>
      </c>
      <c r="Q87" s="1840">
        <f t="shared" si="14"/>
        <v>0</v>
      </c>
      <c r="R87" s="1840">
        <v>0</v>
      </c>
      <c r="S87" s="1840">
        <v>0</v>
      </c>
    </row>
    <row r="88" spans="1:19">
      <c r="A88" s="53" t="s">
        <v>624</v>
      </c>
      <c r="B88" s="1204">
        <f t="shared" si="9"/>
        <v>0</v>
      </c>
      <c r="C88" s="1204">
        <v>0</v>
      </c>
      <c r="D88" s="1204">
        <v>0</v>
      </c>
      <c r="E88" s="1204">
        <f t="shared" si="10"/>
        <v>0</v>
      </c>
      <c r="F88" s="1204">
        <v>0</v>
      </c>
      <c r="G88" s="1204">
        <v>0</v>
      </c>
      <c r="H88" s="1204">
        <f t="shared" si="13"/>
        <v>0</v>
      </c>
      <c r="I88" s="1204">
        <v>0</v>
      </c>
      <c r="J88" s="1204">
        <v>0</v>
      </c>
      <c r="K88" s="1204">
        <f t="shared" si="11"/>
        <v>0</v>
      </c>
      <c r="L88" s="1204">
        <v>0</v>
      </c>
      <c r="M88" s="1204">
        <v>0</v>
      </c>
      <c r="N88" s="1204">
        <f t="shared" si="12"/>
        <v>0</v>
      </c>
      <c r="O88" s="1204">
        <v>0</v>
      </c>
      <c r="P88" s="1204">
        <v>0</v>
      </c>
      <c r="Q88" s="1840">
        <f t="shared" si="14"/>
        <v>0</v>
      </c>
      <c r="R88" s="1840">
        <v>0</v>
      </c>
      <c r="S88" s="1840">
        <v>0</v>
      </c>
    </row>
    <row r="89" spans="1:19">
      <c r="A89" s="53" t="s">
        <v>625</v>
      </c>
      <c r="B89" s="1204">
        <f t="shared" si="9"/>
        <v>2507</v>
      </c>
      <c r="C89" s="1204">
        <v>1524</v>
      </c>
      <c r="D89" s="1204">
        <v>983</v>
      </c>
      <c r="E89" s="1204">
        <f t="shared" si="10"/>
        <v>2521</v>
      </c>
      <c r="F89" s="1204">
        <v>1570</v>
      </c>
      <c r="G89" s="1204">
        <v>951</v>
      </c>
      <c r="H89" s="1204">
        <f t="shared" si="13"/>
        <v>2185</v>
      </c>
      <c r="I89" s="1204">
        <v>1268</v>
      </c>
      <c r="J89" s="1204">
        <v>917</v>
      </c>
      <c r="K89" s="1204">
        <f t="shared" si="11"/>
        <v>2988</v>
      </c>
      <c r="L89" s="1204">
        <v>1766</v>
      </c>
      <c r="M89" s="1204">
        <v>1222</v>
      </c>
      <c r="N89" s="1204">
        <f t="shared" si="12"/>
        <v>3241</v>
      </c>
      <c r="O89" s="1204">
        <v>1881</v>
      </c>
      <c r="P89" s="1204">
        <v>1360</v>
      </c>
      <c r="Q89" s="1840">
        <f t="shared" si="14"/>
        <v>4245</v>
      </c>
      <c r="R89" s="1840">
        <v>2469</v>
      </c>
      <c r="S89" s="1840">
        <v>1776</v>
      </c>
    </row>
    <row r="90" spans="1:19">
      <c r="A90" s="53" t="s">
        <v>626</v>
      </c>
      <c r="B90" s="1204">
        <f t="shared" si="9"/>
        <v>0</v>
      </c>
      <c r="C90" s="1204">
        <v>0</v>
      </c>
      <c r="D90" s="1204">
        <v>0</v>
      </c>
      <c r="E90" s="1204">
        <f t="shared" si="10"/>
        <v>0</v>
      </c>
      <c r="F90" s="1204">
        <v>0</v>
      </c>
      <c r="G90" s="1204">
        <v>0</v>
      </c>
      <c r="H90" s="1204">
        <f t="shared" si="13"/>
        <v>305</v>
      </c>
      <c r="I90" s="1204">
        <v>181</v>
      </c>
      <c r="J90" s="1204">
        <v>124</v>
      </c>
      <c r="K90" s="1204">
        <f t="shared" si="11"/>
        <v>471</v>
      </c>
      <c r="L90" s="1204">
        <v>281</v>
      </c>
      <c r="M90" s="1204">
        <v>190</v>
      </c>
      <c r="N90" s="1204">
        <f t="shared" si="12"/>
        <v>560</v>
      </c>
      <c r="O90" s="1204">
        <v>310</v>
      </c>
      <c r="P90" s="1204">
        <v>250</v>
      </c>
      <c r="Q90" s="1840">
        <f t="shared" si="14"/>
        <v>769</v>
      </c>
      <c r="R90" s="1840">
        <v>408</v>
      </c>
      <c r="S90" s="1840">
        <v>361</v>
      </c>
    </row>
    <row r="91" spans="1:19">
      <c r="A91" s="53" t="s">
        <v>627</v>
      </c>
      <c r="B91" s="1204">
        <f t="shared" si="9"/>
        <v>0</v>
      </c>
      <c r="C91" s="1204">
        <v>0</v>
      </c>
      <c r="D91" s="1204">
        <v>0</v>
      </c>
      <c r="E91" s="1204">
        <f t="shared" si="10"/>
        <v>0</v>
      </c>
      <c r="F91" s="1204">
        <v>0</v>
      </c>
      <c r="G91" s="1204">
        <v>0</v>
      </c>
      <c r="H91" s="1204">
        <f t="shared" si="13"/>
        <v>2829</v>
      </c>
      <c r="I91" s="1204">
        <v>1357</v>
      </c>
      <c r="J91" s="1204">
        <v>1472</v>
      </c>
      <c r="K91" s="1204">
        <f t="shared" si="11"/>
        <v>1907</v>
      </c>
      <c r="L91" s="1204">
        <v>851</v>
      </c>
      <c r="M91" s="1204">
        <v>1056</v>
      </c>
      <c r="N91" s="1204">
        <f t="shared" si="12"/>
        <v>1855</v>
      </c>
      <c r="O91" s="1204">
        <v>793</v>
      </c>
      <c r="P91" s="1204">
        <v>1062</v>
      </c>
      <c r="Q91" s="1840">
        <f t="shared" si="14"/>
        <v>7928</v>
      </c>
      <c r="R91" s="1840">
        <v>3635</v>
      </c>
      <c r="S91" s="1840">
        <v>4293</v>
      </c>
    </row>
    <row r="92" spans="1:19">
      <c r="A92" s="53" t="s">
        <v>628</v>
      </c>
      <c r="B92" s="1204">
        <f t="shared" si="9"/>
        <v>0</v>
      </c>
      <c r="C92" s="1204">
        <v>0</v>
      </c>
      <c r="D92" s="1204">
        <v>0</v>
      </c>
      <c r="E92" s="1204">
        <f t="shared" si="10"/>
        <v>6272</v>
      </c>
      <c r="F92" s="1204">
        <v>2837</v>
      </c>
      <c r="G92" s="1204">
        <v>3435</v>
      </c>
      <c r="H92" s="1204">
        <f t="shared" si="13"/>
        <v>3994</v>
      </c>
      <c r="I92" s="1204">
        <v>1957</v>
      </c>
      <c r="J92" s="1204">
        <v>2037</v>
      </c>
      <c r="K92" s="1204">
        <f t="shared" si="11"/>
        <v>4273</v>
      </c>
      <c r="L92" s="1204">
        <v>2173</v>
      </c>
      <c r="M92" s="1204">
        <v>2100</v>
      </c>
      <c r="N92" s="1204">
        <f t="shared" si="12"/>
        <v>4685</v>
      </c>
      <c r="O92" s="1204">
        <v>2098</v>
      </c>
      <c r="P92" s="1204">
        <v>2587</v>
      </c>
      <c r="Q92" s="1840">
        <f t="shared" si="14"/>
        <v>6629</v>
      </c>
      <c r="R92" s="1840">
        <v>2994</v>
      </c>
      <c r="S92" s="1840">
        <v>3635</v>
      </c>
    </row>
    <row r="93" spans="1:19" s="150" customFormat="1">
      <c r="A93" s="150" t="s">
        <v>20</v>
      </c>
      <c r="B93" s="1821">
        <f>SUM(C93:D93)</f>
        <v>30834</v>
      </c>
      <c r="C93" s="1821">
        <f>SUM(C94:C112)</f>
        <v>16383</v>
      </c>
      <c r="D93" s="1821">
        <f>SUM(D94:D112)</f>
        <v>14451</v>
      </c>
      <c r="E93" s="1821">
        <f>SUM(F93:G93)</f>
        <v>32030</v>
      </c>
      <c r="F93" s="1821">
        <f>SUM(F94:F112)</f>
        <v>18044</v>
      </c>
      <c r="G93" s="1821">
        <f>SUM(G94:G112)</f>
        <v>13986</v>
      </c>
      <c r="H93" s="1821">
        <f>SUM(I93:J93)</f>
        <v>32341</v>
      </c>
      <c r="I93" s="1821">
        <f>SUM(I94:I112)</f>
        <v>18757</v>
      </c>
      <c r="J93" s="1821">
        <f>SUM(J94:J112)</f>
        <v>13584</v>
      </c>
      <c r="K93" s="1821">
        <f>SUM(L93:M93)</f>
        <v>32544</v>
      </c>
      <c r="L93" s="1821">
        <f>SUM(L94:L112)</f>
        <v>18632</v>
      </c>
      <c r="M93" s="1821">
        <f>SUM(M94:M112)</f>
        <v>13912</v>
      </c>
      <c r="N93" s="1821">
        <f>SUM(O93:P93)</f>
        <v>50008</v>
      </c>
      <c r="O93" s="1821">
        <f>SUM(O94:O112)</f>
        <v>26568</v>
      </c>
      <c r="P93" s="1821">
        <f>SUM(P94:P112)</f>
        <v>23440</v>
      </c>
      <c r="Q93" s="1839">
        <f>SUM(R93:S93)</f>
        <v>52931</v>
      </c>
      <c r="R93" s="1839">
        <f>SUM(R94:R112)</f>
        <v>30698</v>
      </c>
      <c r="S93" s="1839">
        <f>SUM(S94:S112)</f>
        <v>22233</v>
      </c>
    </row>
    <row r="94" spans="1:19">
      <c r="A94" s="53" t="s">
        <v>663</v>
      </c>
      <c r="B94" s="1204">
        <f t="shared" si="9"/>
        <v>0</v>
      </c>
      <c r="C94" s="1204">
        <v>0</v>
      </c>
      <c r="D94" s="1204">
        <v>0</v>
      </c>
      <c r="E94" s="1204">
        <f t="shared" si="10"/>
        <v>0</v>
      </c>
      <c r="F94" s="1204">
        <v>0</v>
      </c>
      <c r="G94" s="1204">
        <v>0</v>
      </c>
      <c r="H94" s="1204">
        <f t="shared" si="13"/>
        <v>0</v>
      </c>
      <c r="I94" s="1204">
        <v>0</v>
      </c>
      <c r="J94" s="1204">
        <v>0</v>
      </c>
      <c r="K94" s="1204">
        <f t="shared" si="11"/>
        <v>0</v>
      </c>
      <c r="L94" s="1204">
        <v>0</v>
      </c>
      <c r="M94" s="1204">
        <v>0</v>
      </c>
      <c r="N94" s="1204">
        <f t="shared" si="12"/>
        <v>0</v>
      </c>
      <c r="O94" s="1204">
        <v>0</v>
      </c>
      <c r="P94" s="1204">
        <v>0</v>
      </c>
      <c r="Q94" s="1840">
        <f t="shared" ref="Q94:Q112" si="15">SUM(R94:S94)</f>
        <v>0</v>
      </c>
      <c r="R94" s="1840">
        <v>0</v>
      </c>
      <c r="S94" s="1840">
        <v>0</v>
      </c>
    </row>
    <row r="95" spans="1:19">
      <c r="A95" s="53" t="s">
        <v>664</v>
      </c>
      <c r="B95" s="1204">
        <f t="shared" si="9"/>
        <v>0</v>
      </c>
      <c r="C95" s="1204">
        <v>0</v>
      </c>
      <c r="D95" s="1204">
        <v>0</v>
      </c>
      <c r="E95" s="1204">
        <f t="shared" si="10"/>
        <v>0</v>
      </c>
      <c r="F95" s="1204">
        <v>0</v>
      </c>
      <c r="G95" s="1204">
        <v>0</v>
      </c>
      <c r="H95" s="1204">
        <f t="shared" si="13"/>
        <v>0</v>
      </c>
      <c r="I95" s="1204">
        <v>0</v>
      </c>
      <c r="J95" s="1204">
        <v>0</v>
      </c>
      <c r="K95" s="1204">
        <f t="shared" si="11"/>
        <v>0</v>
      </c>
      <c r="L95" s="1204">
        <v>0</v>
      </c>
      <c r="M95" s="1204">
        <v>0</v>
      </c>
      <c r="N95" s="1204">
        <f t="shared" si="12"/>
        <v>0</v>
      </c>
      <c r="O95" s="1204">
        <v>0</v>
      </c>
      <c r="P95" s="1204">
        <v>0</v>
      </c>
      <c r="Q95" s="1840">
        <f t="shared" si="15"/>
        <v>0</v>
      </c>
      <c r="R95" s="1840">
        <v>0</v>
      </c>
      <c r="S95" s="1840">
        <v>0</v>
      </c>
    </row>
    <row r="96" spans="1:19">
      <c r="A96" s="53" t="s">
        <v>631</v>
      </c>
      <c r="B96" s="1204">
        <f t="shared" si="9"/>
        <v>158</v>
      </c>
      <c r="C96" s="1204">
        <v>114</v>
      </c>
      <c r="D96" s="1204">
        <v>44</v>
      </c>
      <c r="E96" s="1204">
        <f t="shared" si="10"/>
        <v>187</v>
      </c>
      <c r="F96" s="1204">
        <v>139</v>
      </c>
      <c r="G96" s="1204">
        <v>48</v>
      </c>
      <c r="H96" s="1204">
        <f t="shared" si="13"/>
        <v>328</v>
      </c>
      <c r="I96" s="1204">
        <v>247</v>
      </c>
      <c r="J96" s="1204">
        <v>81</v>
      </c>
      <c r="K96" s="1204">
        <f t="shared" si="11"/>
        <v>386</v>
      </c>
      <c r="L96" s="1204">
        <v>238</v>
      </c>
      <c r="M96" s="1204">
        <v>148</v>
      </c>
      <c r="N96" s="1204">
        <f t="shared" si="12"/>
        <v>1022</v>
      </c>
      <c r="O96" s="1204">
        <v>531</v>
      </c>
      <c r="P96" s="1204">
        <v>491</v>
      </c>
      <c r="Q96" s="1840">
        <f t="shared" si="15"/>
        <v>1944</v>
      </c>
      <c r="R96" s="1840">
        <v>1070</v>
      </c>
      <c r="S96" s="1840">
        <v>874</v>
      </c>
    </row>
    <row r="97" spans="1:19">
      <c r="A97" s="53" t="s">
        <v>632</v>
      </c>
      <c r="B97" s="1204">
        <f t="shared" si="9"/>
        <v>10145</v>
      </c>
      <c r="C97" s="1204">
        <v>5337</v>
      </c>
      <c r="D97" s="1204">
        <v>4808</v>
      </c>
      <c r="E97" s="1204">
        <f t="shared" si="10"/>
        <v>10897</v>
      </c>
      <c r="F97" s="1204">
        <v>6310</v>
      </c>
      <c r="G97" s="1204">
        <v>4587</v>
      </c>
      <c r="H97" s="1204">
        <f t="shared" si="13"/>
        <v>12595</v>
      </c>
      <c r="I97" s="1204">
        <v>7720</v>
      </c>
      <c r="J97" s="1204">
        <v>4875</v>
      </c>
      <c r="K97" s="1204">
        <f t="shared" si="11"/>
        <v>11405</v>
      </c>
      <c r="L97" s="1204">
        <v>6621</v>
      </c>
      <c r="M97" s="1204">
        <v>4784</v>
      </c>
      <c r="N97" s="1204">
        <f t="shared" si="12"/>
        <v>16231</v>
      </c>
      <c r="O97" s="1204">
        <v>8143</v>
      </c>
      <c r="P97" s="1204">
        <v>8088</v>
      </c>
      <c r="Q97" s="1840">
        <f t="shared" si="15"/>
        <v>18012</v>
      </c>
      <c r="R97" s="1840">
        <v>11584</v>
      </c>
      <c r="S97" s="1840">
        <v>6428</v>
      </c>
    </row>
    <row r="98" spans="1:19">
      <c r="A98" s="53" t="s">
        <v>633</v>
      </c>
      <c r="B98" s="1204">
        <f t="shared" si="9"/>
        <v>1333</v>
      </c>
      <c r="C98" s="1204">
        <v>652</v>
      </c>
      <c r="D98" s="1204">
        <v>681</v>
      </c>
      <c r="E98" s="1204">
        <f t="shared" si="10"/>
        <v>1241</v>
      </c>
      <c r="F98" s="1204">
        <v>810</v>
      </c>
      <c r="G98" s="1204">
        <v>431</v>
      </c>
      <c r="H98" s="1204">
        <f t="shared" si="13"/>
        <v>1923</v>
      </c>
      <c r="I98" s="1204">
        <v>1104</v>
      </c>
      <c r="J98" s="1204">
        <v>819</v>
      </c>
      <c r="K98" s="1204">
        <f t="shared" si="11"/>
        <v>1575</v>
      </c>
      <c r="L98" s="1204">
        <v>949</v>
      </c>
      <c r="M98" s="1204">
        <v>626</v>
      </c>
      <c r="N98" s="1204">
        <f t="shared" si="12"/>
        <v>2893</v>
      </c>
      <c r="O98" s="1204">
        <v>1604</v>
      </c>
      <c r="P98" s="1204">
        <v>1289</v>
      </c>
      <c r="Q98" s="1840">
        <f t="shared" si="15"/>
        <v>2123</v>
      </c>
      <c r="R98" s="1840">
        <v>1089</v>
      </c>
      <c r="S98" s="1840">
        <v>1034</v>
      </c>
    </row>
    <row r="99" spans="1:19">
      <c r="A99" s="53" t="s">
        <v>634</v>
      </c>
      <c r="B99" s="1204">
        <f t="shared" si="9"/>
        <v>6362</v>
      </c>
      <c r="C99" s="1204">
        <v>3493</v>
      </c>
      <c r="D99" s="1204">
        <v>2869</v>
      </c>
      <c r="E99" s="1204">
        <f t="shared" si="10"/>
        <v>5827</v>
      </c>
      <c r="F99" s="1204">
        <v>3299</v>
      </c>
      <c r="G99" s="1204">
        <v>2528</v>
      </c>
      <c r="H99" s="1204">
        <f t="shared" si="13"/>
        <v>8382</v>
      </c>
      <c r="I99" s="1204">
        <v>4689</v>
      </c>
      <c r="J99" s="1204">
        <v>3693</v>
      </c>
      <c r="K99" s="1204">
        <f t="shared" si="11"/>
        <v>8071</v>
      </c>
      <c r="L99" s="1204">
        <v>4845</v>
      </c>
      <c r="M99" s="1204">
        <v>3226</v>
      </c>
      <c r="N99" s="1204">
        <f t="shared" si="12"/>
        <v>13966</v>
      </c>
      <c r="O99" s="1204">
        <v>8009</v>
      </c>
      <c r="P99" s="1204">
        <v>5957</v>
      </c>
      <c r="Q99" s="1840">
        <f t="shared" si="15"/>
        <v>16230</v>
      </c>
      <c r="R99" s="1840">
        <v>9398</v>
      </c>
      <c r="S99" s="1840">
        <v>6832</v>
      </c>
    </row>
    <row r="100" spans="1:19">
      <c r="A100" s="53" t="s">
        <v>635</v>
      </c>
      <c r="B100" s="1204">
        <f t="shared" si="9"/>
        <v>0</v>
      </c>
      <c r="C100" s="1204">
        <v>0</v>
      </c>
      <c r="D100" s="1204">
        <v>0</v>
      </c>
      <c r="E100" s="1204">
        <f t="shared" si="10"/>
        <v>0</v>
      </c>
      <c r="F100" s="1204">
        <v>0</v>
      </c>
      <c r="G100" s="1204">
        <v>0</v>
      </c>
      <c r="H100" s="1204">
        <f t="shared" si="13"/>
        <v>0</v>
      </c>
      <c r="I100" s="1204">
        <v>0</v>
      </c>
      <c r="J100" s="1204">
        <v>0</v>
      </c>
      <c r="K100" s="1204">
        <f t="shared" si="11"/>
        <v>0</v>
      </c>
      <c r="L100" s="1204">
        <v>0</v>
      </c>
      <c r="M100" s="1204">
        <v>0</v>
      </c>
      <c r="N100" s="1204">
        <f t="shared" si="12"/>
        <v>0</v>
      </c>
      <c r="O100" s="1204">
        <v>0</v>
      </c>
      <c r="P100" s="1204">
        <v>0</v>
      </c>
      <c r="Q100" s="1840">
        <f t="shared" si="15"/>
        <v>0</v>
      </c>
      <c r="R100" s="1840">
        <v>0</v>
      </c>
      <c r="S100" s="1840">
        <v>0</v>
      </c>
    </row>
    <row r="101" spans="1:19">
      <c r="A101" s="53" t="s">
        <v>636</v>
      </c>
      <c r="B101" s="1204">
        <f t="shared" si="9"/>
        <v>0</v>
      </c>
      <c r="C101" s="1204">
        <v>0</v>
      </c>
      <c r="D101" s="1204">
        <v>0</v>
      </c>
      <c r="E101" s="1204">
        <f t="shared" si="10"/>
        <v>0</v>
      </c>
      <c r="F101" s="1204">
        <v>0</v>
      </c>
      <c r="G101" s="1204">
        <v>0</v>
      </c>
      <c r="H101" s="1204">
        <f t="shared" si="13"/>
        <v>0</v>
      </c>
      <c r="I101" s="1204">
        <v>0</v>
      </c>
      <c r="J101" s="1204">
        <v>0</v>
      </c>
      <c r="K101" s="1204">
        <f t="shared" si="11"/>
        <v>0</v>
      </c>
      <c r="L101" s="1204">
        <v>0</v>
      </c>
      <c r="M101" s="1204">
        <v>0</v>
      </c>
      <c r="N101" s="1204">
        <f t="shared" si="12"/>
        <v>0</v>
      </c>
      <c r="O101" s="1204">
        <v>0</v>
      </c>
      <c r="P101" s="1204">
        <v>0</v>
      </c>
      <c r="Q101" s="1840">
        <f t="shared" si="15"/>
        <v>0</v>
      </c>
      <c r="R101" s="1840">
        <v>0</v>
      </c>
      <c r="S101" s="1840">
        <v>0</v>
      </c>
    </row>
    <row r="102" spans="1:19">
      <c r="A102" s="53" t="s">
        <v>637</v>
      </c>
      <c r="B102" s="1204">
        <f t="shared" si="9"/>
        <v>1237</v>
      </c>
      <c r="C102" s="1204">
        <v>603</v>
      </c>
      <c r="D102" s="1204">
        <v>634</v>
      </c>
      <c r="E102" s="1204">
        <f t="shared" si="10"/>
        <v>1788</v>
      </c>
      <c r="F102" s="1204">
        <v>968</v>
      </c>
      <c r="G102" s="1204">
        <v>820</v>
      </c>
      <c r="H102" s="1204">
        <f t="shared" si="13"/>
        <v>1964</v>
      </c>
      <c r="I102" s="1204">
        <v>1180</v>
      </c>
      <c r="J102" s="1204">
        <v>784</v>
      </c>
      <c r="K102" s="1204">
        <f t="shared" si="11"/>
        <v>1788</v>
      </c>
      <c r="L102" s="1204">
        <v>1000</v>
      </c>
      <c r="M102" s="1204">
        <v>788</v>
      </c>
      <c r="N102" s="1204">
        <f t="shared" si="12"/>
        <v>1251</v>
      </c>
      <c r="O102" s="1204">
        <v>688</v>
      </c>
      <c r="P102" s="1204">
        <v>563</v>
      </c>
      <c r="Q102" s="1840">
        <f t="shared" si="15"/>
        <v>2314</v>
      </c>
      <c r="R102" s="1840">
        <v>1166</v>
      </c>
      <c r="S102" s="1840">
        <v>1148</v>
      </c>
    </row>
    <row r="103" spans="1:19">
      <c r="A103" s="53" t="s">
        <v>638</v>
      </c>
      <c r="B103" s="1204">
        <f t="shared" si="9"/>
        <v>290</v>
      </c>
      <c r="C103" s="1204">
        <v>158</v>
      </c>
      <c r="D103" s="1204">
        <v>132</v>
      </c>
      <c r="E103" s="1204">
        <f t="shared" si="10"/>
        <v>256</v>
      </c>
      <c r="F103" s="1204">
        <v>154</v>
      </c>
      <c r="G103" s="1204">
        <v>102</v>
      </c>
      <c r="H103" s="1204">
        <f t="shared" si="13"/>
        <v>515</v>
      </c>
      <c r="I103" s="1204">
        <v>312</v>
      </c>
      <c r="J103" s="1204">
        <v>203</v>
      </c>
      <c r="K103" s="1204">
        <f t="shared" si="11"/>
        <v>680</v>
      </c>
      <c r="L103" s="1204">
        <v>394</v>
      </c>
      <c r="M103" s="1204">
        <v>286</v>
      </c>
      <c r="N103" s="1204">
        <f t="shared" si="12"/>
        <v>1500</v>
      </c>
      <c r="O103" s="1204">
        <v>799</v>
      </c>
      <c r="P103" s="1204">
        <v>701</v>
      </c>
      <c r="Q103" s="1840">
        <f t="shared" si="15"/>
        <v>2430</v>
      </c>
      <c r="R103" s="1840">
        <v>1409</v>
      </c>
      <c r="S103" s="1840">
        <v>1021</v>
      </c>
    </row>
    <row r="104" spans="1:19">
      <c r="A104" s="53" t="s">
        <v>639</v>
      </c>
      <c r="B104" s="1204">
        <f t="shared" si="9"/>
        <v>0</v>
      </c>
      <c r="C104" s="1204">
        <v>0</v>
      </c>
      <c r="D104" s="1204">
        <v>0</v>
      </c>
      <c r="E104" s="1204">
        <f t="shared" si="10"/>
        <v>0</v>
      </c>
      <c r="F104" s="1204">
        <v>0</v>
      </c>
      <c r="G104" s="1204">
        <v>0</v>
      </c>
      <c r="H104" s="1204">
        <f t="shared" si="13"/>
        <v>0</v>
      </c>
      <c r="I104" s="1204">
        <v>0</v>
      </c>
      <c r="J104" s="1204">
        <v>0</v>
      </c>
      <c r="K104" s="1204">
        <f t="shared" si="11"/>
        <v>0</v>
      </c>
      <c r="L104" s="1204">
        <v>0</v>
      </c>
      <c r="M104" s="1204">
        <v>0</v>
      </c>
      <c r="N104" s="1204">
        <f t="shared" si="12"/>
        <v>0</v>
      </c>
      <c r="O104" s="1204">
        <v>0</v>
      </c>
      <c r="P104" s="1204">
        <v>0</v>
      </c>
      <c r="Q104" s="1840">
        <f t="shared" si="15"/>
        <v>0</v>
      </c>
      <c r="R104" s="1840">
        <v>0</v>
      </c>
      <c r="S104" s="1840">
        <v>0</v>
      </c>
    </row>
    <row r="105" spans="1:19">
      <c r="A105" s="53" t="s">
        <v>640</v>
      </c>
      <c r="B105" s="1204">
        <f t="shared" si="9"/>
        <v>0</v>
      </c>
      <c r="C105" s="1204">
        <v>0</v>
      </c>
      <c r="D105" s="1204">
        <v>0</v>
      </c>
      <c r="E105" s="1204">
        <f t="shared" si="10"/>
        <v>0</v>
      </c>
      <c r="F105" s="1204">
        <v>0</v>
      </c>
      <c r="G105" s="1204">
        <v>0</v>
      </c>
      <c r="H105" s="1204">
        <f t="shared" si="13"/>
        <v>0</v>
      </c>
      <c r="I105" s="1204">
        <v>0</v>
      </c>
      <c r="J105" s="1204">
        <v>0</v>
      </c>
      <c r="K105" s="1204">
        <f t="shared" si="11"/>
        <v>0</v>
      </c>
      <c r="L105" s="1204">
        <v>0</v>
      </c>
      <c r="M105" s="1204">
        <v>0</v>
      </c>
      <c r="N105" s="1204">
        <f t="shared" si="12"/>
        <v>0</v>
      </c>
      <c r="O105" s="1204">
        <v>0</v>
      </c>
      <c r="P105" s="1204">
        <v>0</v>
      </c>
      <c r="Q105" s="1840">
        <f t="shared" si="15"/>
        <v>0</v>
      </c>
      <c r="R105" s="1840">
        <v>0</v>
      </c>
      <c r="S105" s="1840">
        <v>0</v>
      </c>
    </row>
    <row r="106" spans="1:19">
      <c r="A106" s="53" t="s">
        <v>641</v>
      </c>
      <c r="B106" s="1204">
        <f t="shared" si="9"/>
        <v>0</v>
      </c>
      <c r="C106" s="1204">
        <v>0</v>
      </c>
      <c r="D106" s="1204">
        <v>0</v>
      </c>
      <c r="E106" s="1204">
        <f t="shared" si="10"/>
        <v>0</v>
      </c>
      <c r="F106" s="1204">
        <v>0</v>
      </c>
      <c r="G106" s="1204">
        <v>0</v>
      </c>
      <c r="H106" s="1204">
        <f t="shared" si="13"/>
        <v>0</v>
      </c>
      <c r="I106" s="1204">
        <v>0</v>
      </c>
      <c r="J106" s="1204">
        <v>0</v>
      </c>
      <c r="K106" s="1204">
        <f t="shared" si="11"/>
        <v>0</v>
      </c>
      <c r="L106" s="1204">
        <v>0</v>
      </c>
      <c r="M106" s="1204">
        <v>0</v>
      </c>
      <c r="N106" s="1204">
        <f t="shared" si="12"/>
        <v>0</v>
      </c>
      <c r="O106" s="1204">
        <v>0</v>
      </c>
      <c r="P106" s="1204">
        <v>0</v>
      </c>
      <c r="Q106" s="1840">
        <f t="shared" si="15"/>
        <v>0</v>
      </c>
      <c r="R106" s="1840">
        <v>0</v>
      </c>
      <c r="S106" s="1840">
        <v>0</v>
      </c>
    </row>
    <row r="107" spans="1:19">
      <c r="A107" s="53" t="s">
        <v>642</v>
      </c>
      <c r="B107" s="1204">
        <f t="shared" si="9"/>
        <v>0</v>
      </c>
      <c r="C107" s="1204">
        <v>0</v>
      </c>
      <c r="D107" s="1204">
        <v>0</v>
      </c>
      <c r="E107" s="1204">
        <f t="shared" si="10"/>
        <v>0</v>
      </c>
      <c r="F107" s="1204">
        <v>0</v>
      </c>
      <c r="G107" s="1204">
        <v>0</v>
      </c>
      <c r="H107" s="1204">
        <f t="shared" si="13"/>
        <v>0</v>
      </c>
      <c r="I107" s="1204">
        <v>0</v>
      </c>
      <c r="J107" s="1204">
        <v>0</v>
      </c>
      <c r="K107" s="1204">
        <f t="shared" si="11"/>
        <v>0</v>
      </c>
      <c r="L107" s="1204">
        <v>0</v>
      </c>
      <c r="M107" s="1204">
        <v>0</v>
      </c>
      <c r="N107" s="1204">
        <f t="shared" si="12"/>
        <v>0</v>
      </c>
      <c r="O107" s="1204">
        <v>0</v>
      </c>
      <c r="P107" s="1204">
        <v>0</v>
      </c>
      <c r="Q107" s="1840">
        <f t="shared" si="15"/>
        <v>0</v>
      </c>
      <c r="R107" s="1840">
        <v>0</v>
      </c>
      <c r="S107" s="1840">
        <v>0</v>
      </c>
    </row>
    <row r="108" spans="1:19">
      <c r="A108" s="53" t="s">
        <v>643</v>
      </c>
      <c r="B108" s="1204">
        <f t="shared" si="9"/>
        <v>9124</v>
      </c>
      <c r="C108" s="1204">
        <v>4665</v>
      </c>
      <c r="D108" s="1204">
        <v>4459</v>
      </c>
      <c r="E108" s="1204">
        <f t="shared" si="10"/>
        <v>9242</v>
      </c>
      <c r="F108" s="1204">
        <v>4950</v>
      </c>
      <c r="G108" s="1204">
        <v>4292</v>
      </c>
      <c r="H108" s="1204">
        <f t="shared" si="13"/>
        <v>4281</v>
      </c>
      <c r="I108" s="1204">
        <v>2252</v>
      </c>
      <c r="J108" s="1204">
        <v>2029</v>
      </c>
      <c r="K108" s="1204">
        <f t="shared" si="11"/>
        <v>6706</v>
      </c>
      <c r="L108" s="1204">
        <v>3487</v>
      </c>
      <c r="M108" s="1204">
        <v>3219</v>
      </c>
      <c r="N108" s="1204">
        <f t="shared" si="12"/>
        <v>11463</v>
      </c>
      <c r="O108" s="1204">
        <v>5901</v>
      </c>
      <c r="P108" s="1204">
        <v>5562</v>
      </c>
      <c r="Q108" s="1840">
        <f t="shared" si="15"/>
        <v>8213</v>
      </c>
      <c r="R108" s="1840">
        <v>4094</v>
      </c>
      <c r="S108" s="1840">
        <v>4119</v>
      </c>
    </row>
    <row r="109" spans="1:19" ht="12.75">
      <c r="A109" s="53" t="s">
        <v>3817</v>
      </c>
      <c r="B109" s="1204">
        <f t="shared" si="9"/>
        <v>1175</v>
      </c>
      <c r="C109" s="1204">
        <v>784</v>
      </c>
      <c r="D109" s="1204">
        <v>391</v>
      </c>
      <c r="E109" s="1204">
        <f t="shared" si="10"/>
        <v>0</v>
      </c>
      <c r="F109" s="1204">
        <v>0</v>
      </c>
      <c r="G109" s="1204">
        <v>0</v>
      </c>
      <c r="H109" s="1204">
        <f t="shared" si="13"/>
        <v>1043</v>
      </c>
      <c r="I109" s="1204">
        <v>575</v>
      </c>
      <c r="J109" s="1204">
        <v>468</v>
      </c>
      <c r="K109" s="1204">
        <f t="shared" si="11"/>
        <v>711</v>
      </c>
      <c r="L109" s="1204">
        <v>415</v>
      </c>
      <c r="M109" s="1204">
        <v>296</v>
      </c>
      <c r="N109" s="1204">
        <f t="shared" si="12"/>
        <v>0</v>
      </c>
      <c r="O109" s="1204">
        <v>0</v>
      </c>
      <c r="P109" s="1204">
        <v>0</v>
      </c>
      <c r="Q109" s="1840">
        <f t="shared" si="15"/>
        <v>0</v>
      </c>
      <c r="R109" s="1840">
        <v>0</v>
      </c>
      <c r="S109" s="1840">
        <v>0</v>
      </c>
    </row>
    <row r="110" spans="1:19">
      <c r="A110" s="53" t="s">
        <v>644</v>
      </c>
      <c r="B110" s="1204">
        <f t="shared" si="9"/>
        <v>722</v>
      </c>
      <c r="C110" s="1204">
        <v>434</v>
      </c>
      <c r="D110" s="1204">
        <v>288</v>
      </c>
      <c r="E110" s="1204">
        <f t="shared" si="10"/>
        <v>1271</v>
      </c>
      <c r="F110" s="1204">
        <v>731</v>
      </c>
      <c r="G110" s="1204">
        <v>540</v>
      </c>
      <c r="H110" s="1204">
        <f t="shared" si="13"/>
        <v>1147</v>
      </c>
      <c r="I110" s="1204">
        <v>575</v>
      </c>
      <c r="J110" s="1204">
        <v>572</v>
      </c>
      <c r="K110" s="1204">
        <f t="shared" si="11"/>
        <v>1079</v>
      </c>
      <c r="L110" s="1204">
        <v>597</v>
      </c>
      <c r="M110" s="1204">
        <v>482</v>
      </c>
      <c r="N110" s="1204">
        <f t="shared" si="12"/>
        <v>1403</v>
      </c>
      <c r="O110" s="1204">
        <v>705</v>
      </c>
      <c r="P110" s="1204">
        <v>698</v>
      </c>
      <c r="Q110" s="1840">
        <f t="shared" si="15"/>
        <v>1552</v>
      </c>
      <c r="R110" s="1840">
        <v>820</v>
      </c>
      <c r="S110" s="1840">
        <v>732</v>
      </c>
    </row>
    <row r="111" spans="1:19">
      <c r="A111" s="53" t="s">
        <v>645</v>
      </c>
      <c r="B111" s="1204">
        <f t="shared" si="9"/>
        <v>0</v>
      </c>
      <c r="C111" s="1204">
        <v>0</v>
      </c>
      <c r="D111" s="1204">
        <v>0</v>
      </c>
      <c r="E111" s="1204">
        <f t="shared" si="10"/>
        <v>1019</v>
      </c>
      <c r="F111" s="1204">
        <v>520</v>
      </c>
      <c r="G111" s="1204">
        <v>499</v>
      </c>
      <c r="H111" s="1204">
        <f t="shared" si="13"/>
        <v>0</v>
      </c>
      <c r="I111" s="1204">
        <v>0</v>
      </c>
      <c r="J111" s="1204">
        <v>0</v>
      </c>
      <c r="K111" s="1204">
        <f t="shared" si="11"/>
        <v>0</v>
      </c>
      <c r="L111" s="1204">
        <v>0</v>
      </c>
      <c r="M111" s="1204">
        <v>0</v>
      </c>
      <c r="N111" s="1204">
        <f t="shared" si="12"/>
        <v>0</v>
      </c>
      <c r="O111" s="1204">
        <v>0</v>
      </c>
      <c r="P111" s="1204">
        <v>0</v>
      </c>
      <c r="Q111" s="1840">
        <f t="shared" si="15"/>
        <v>0</v>
      </c>
      <c r="R111" s="1840">
        <v>0</v>
      </c>
      <c r="S111" s="1840">
        <v>0</v>
      </c>
    </row>
    <row r="112" spans="1:19" ht="12.75">
      <c r="A112" s="53" t="s">
        <v>3818</v>
      </c>
      <c r="B112" s="1204">
        <f t="shared" si="9"/>
        <v>288</v>
      </c>
      <c r="C112" s="1204">
        <v>143</v>
      </c>
      <c r="D112" s="1204">
        <v>145</v>
      </c>
      <c r="E112" s="1204">
        <f t="shared" si="10"/>
        <v>302</v>
      </c>
      <c r="F112" s="1204">
        <v>163</v>
      </c>
      <c r="G112" s="1204">
        <v>139</v>
      </c>
      <c r="H112" s="1204">
        <f t="shared" si="13"/>
        <v>163</v>
      </c>
      <c r="I112" s="1204">
        <v>103</v>
      </c>
      <c r="J112" s="1204">
        <v>60</v>
      </c>
      <c r="K112" s="1204">
        <f t="shared" si="11"/>
        <v>143</v>
      </c>
      <c r="L112" s="1204">
        <v>86</v>
      </c>
      <c r="M112" s="1204">
        <v>57</v>
      </c>
      <c r="N112" s="1204">
        <f t="shared" si="12"/>
        <v>279</v>
      </c>
      <c r="O112" s="1204">
        <v>188</v>
      </c>
      <c r="P112" s="1204">
        <v>91</v>
      </c>
      <c r="Q112" s="1840">
        <f t="shared" si="15"/>
        <v>113</v>
      </c>
      <c r="R112" s="1840">
        <v>68</v>
      </c>
      <c r="S112" s="1840">
        <v>45</v>
      </c>
    </row>
    <row r="113" spans="1:21" s="150" customFormat="1">
      <c r="A113" s="150" t="s">
        <v>21</v>
      </c>
      <c r="B113" s="1821">
        <f>SUM(C113:D113)</f>
        <v>284476</v>
      </c>
      <c r="C113" s="1821">
        <f>SUM(C114:C124)</f>
        <v>145818</v>
      </c>
      <c r="D113" s="1821">
        <f>SUM(D114:D124)</f>
        <v>138658</v>
      </c>
      <c r="E113" s="1821">
        <f>SUM(F113:G113)</f>
        <v>283629</v>
      </c>
      <c r="F113" s="1821">
        <f>SUM(F114:F124)</f>
        <v>143754</v>
      </c>
      <c r="G113" s="1821">
        <f>SUM(G114:G124)</f>
        <v>139875</v>
      </c>
      <c r="H113" s="1821">
        <f>SUM(I113:J113)</f>
        <v>289370</v>
      </c>
      <c r="I113" s="1821">
        <f>SUM(I114:I124)</f>
        <v>147454</v>
      </c>
      <c r="J113" s="1821">
        <f>SUM(J114:J124)</f>
        <v>141916</v>
      </c>
      <c r="K113" s="1821">
        <f>SUM(L113:M113)</f>
        <v>302275</v>
      </c>
      <c r="L113" s="1821">
        <f>SUM(L114:L124)</f>
        <v>152986</v>
      </c>
      <c r="M113" s="1821">
        <f>SUM(M114:M124)</f>
        <v>149289</v>
      </c>
      <c r="N113" s="1821">
        <f>SUM(O113:P113)</f>
        <v>338558</v>
      </c>
      <c r="O113" s="1821">
        <f>SUM(O114:O124)</f>
        <v>170367</v>
      </c>
      <c r="P113" s="1821">
        <f>SUM(P114:P124)</f>
        <v>168191</v>
      </c>
      <c r="Q113" s="1839">
        <f>SUM(R113:S113)</f>
        <v>382943</v>
      </c>
      <c r="R113" s="1839">
        <f>SUM(R114:R124)</f>
        <v>190885</v>
      </c>
      <c r="S113" s="1839">
        <f>SUM(S114:S124)</f>
        <v>192058</v>
      </c>
    </row>
    <row r="114" spans="1:21">
      <c r="A114" s="53" t="s">
        <v>646</v>
      </c>
      <c r="B114" s="1204">
        <f t="shared" si="9"/>
        <v>15682</v>
      </c>
      <c r="C114" s="1204">
        <v>7898</v>
      </c>
      <c r="D114" s="1204">
        <v>7784</v>
      </c>
      <c r="E114" s="1204">
        <f t="shared" si="10"/>
        <v>13315</v>
      </c>
      <c r="F114" s="1204">
        <v>6875</v>
      </c>
      <c r="G114" s="1204">
        <v>6440</v>
      </c>
      <c r="H114" s="1204">
        <f t="shared" si="13"/>
        <v>15666</v>
      </c>
      <c r="I114" s="1204">
        <v>8045</v>
      </c>
      <c r="J114" s="1204">
        <v>7621</v>
      </c>
      <c r="K114" s="1204">
        <f t="shared" si="11"/>
        <v>22264</v>
      </c>
      <c r="L114" s="1204">
        <v>11560</v>
      </c>
      <c r="M114" s="1204">
        <v>10704</v>
      </c>
      <c r="N114" s="1204">
        <f t="shared" si="12"/>
        <v>22732</v>
      </c>
      <c r="O114" s="1204">
        <v>11948</v>
      </c>
      <c r="P114" s="1204">
        <v>10784</v>
      </c>
      <c r="Q114" s="1840">
        <f t="shared" ref="Q114:Q124" si="16">SUM(R114:S114)</f>
        <v>28316</v>
      </c>
      <c r="R114" s="1840">
        <v>14986</v>
      </c>
      <c r="S114" s="1840">
        <v>13330</v>
      </c>
    </row>
    <row r="115" spans="1:21">
      <c r="A115" s="53" t="s">
        <v>647</v>
      </c>
      <c r="B115" s="1204">
        <f t="shared" si="9"/>
        <v>0</v>
      </c>
      <c r="C115" s="1204">
        <v>0</v>
      </c>
      <c r="D115" s="1204">
        <v>0</v>
      </c>
      <c r="E115" s="1204">
        <f t="shared" si="10"/>
        <v>0</v>
      </c>
      <c r="F115" s="1204">
        <v>0</v>
      </c>
      <c r="G115" s="1204">
        <v>0</v>
      </c>
      <c r="H115" s="1204">
        <f t="shared" si="13"/>
        <v>0</v>
      </c>
      <c r="I115" s="1204">
        <v>0</v>
      </c>
      <c r="J115" s="1204">
        <v>0</v>
      </c>
      <c r="K115" s="1204">
        <f t="shared" si="11"/>
        <v>0</v>
      </c>
      <c r="L115" s="1204">
        <v>0</v>
      </c>
      <c r="M115" s="1204">
        <v>0</v>
      </c>
      <c r="N115" s="1204">
        <f t="shared" si="12"/>
        <v>0</v>
      </c>
      <c r="O115" s="1204">
        <v>0</v>
      </c>
      <c r="P115" s="1204">
        <v>0</v>
      </c>
      <c r="Q115" s="1840">
        <f t="shared" si="16"/>
        <v>0</v>
      </c>
      <c r="R115" s="1840">
        <v>0</v>
      </c>
      <c r="S115" s="1840">
        <v>0</v>
      </c>
    </row>
    <row r="116" spans="1:21">
      <c r="A116" s="53" t="s">
        <v>648</v>
      </c>
      <c r="B116" s="1204">
        <f t="shared" si="9"/>
        <v>11375</v>
      </c>
      <c r="C116" s="1204">
        <v>5647</v>
      </c>
      <c r="D116" s="1204">
        <v>5728</v>
      </c>
      <c r="E116" s="1204">
        <f t="shared" si="10"/>
        <v>10327</v>
      </c>
      <c r="F116" s="1204">
        <v>5205</v>
      </c>
      <c r="G116" s="1204">
        <v>5122</v>
      </c>
      <c r="H116" s="1204">
        <f t="shared" si="13"/>
        <v>5728</v>
      </c>
      <c r="I116" s="1204">
        <v>2931</v>
      </c>
      <c r="J116" s="1204">
        <v>2797</v>
      </c>
      <c r="K116" s="1204">
        <f t="shared" si="11"/>
        <v>6605</v>
      </c>
      <c r="L116" s="1204">
        <v>3365</v>
      </c>
      <c r="M116" s="1204">
        <v>3240</v>
      </c>
      <c r="N116" s="1204">
        <f t="shared" si="12"/>
        <v>10159</v>
      </c>
      <c r="O116" s="1204">
        <v>5121</v>
      </c>
      <c r="P116" s="1204">
        <v>5038</v>
      </c>
      <c r="Q116" s="1840">
        <f t="shared" si="16"/>
        <v>7543</v>
      </c>
      <c r="R116" s="1840">
        <v>3443</v>
      </c>
      <c r="S116" s="1840">
        <v>4100</v>
      </c>
    </row>
    <row r="117" spans="1:21">
      <c r="A117" s="53" t="s">
        <v>649</v>
      </c>
      <c r="B117" s="1204">
        <f t="shared" si="9"/>
        <v>1499</v>
      </c>
      <c r="C117" s="1204">
        <v>818</v>
      </c>
      <c r="D117" s="1204">
        <v>681</v>
      </c>
      <c r="E117" s="1204">
        <f t="shared" si="10"/>
        <v>2031</v>
      </c>
      <c r="F117" s="1204">
        <v>1112</v>
      </c>
      <c r="G117" s="1204">
        <v>919</v>
      </c>
      <c r="H117" s="1204">
        <f t="shared" si="13"/>
        <v>1604</v>
      </c>
      <c r="I117" s="1204">
        <v>923</v>
      </c>
      <c r="J117" s="1204">
        <v>681</v>
      </c>
      <c r="K117" s="1204">
        <f t="shared" si="11"/>
        <v>1495</v>
      </c>
      <c r="L117" s="1204">
        <v>795</v>
      </c>
      <c r="M117" s="1204">
        <v>700</v>
      </c>
      <c r="N117" s="1204">
        <f t="shared" si="12"/>
        <v>1827</v>
      </c>
      <c r="O117" s="1204">
        <v>957</v>
      </c>
      <c r="P117" s="1204">
        <v>870</v>
      </c>
      <c r="Q117" s="1840">
        <f t="shared" si="16"/>
        <v>1936</v>
      </c>
      <c r="R117" s="1840">
        <v>1055</v>
      </c>
      <c r="S117" s="1840">
        <v>881</v>
      </c>
    </row>
    <row r="118" spans="1:21">
      <c r="A118" s="53" t="s">
        <v>650</v>
      </c>
      <c r="B118" s="1204">
        <f t="shared" si="9"/>
        <v>140714</v>
      </c>
      <c r="C118" s="1204">
        <v>73272</v>
      </c>
      <c r="D118" s="1204">
        <v>67442</v>
      </c>
      <c r="E118" s="1204">
        <f t="shared" si="10"/>
        <v>144109</v>
      </c>
      <c r="F118" s="1204">
        <v>73306</v>
      </c>
      <c r="G118" s="1204">
        <v>70803</v>
      </c>
      <c r="H118" s="1204">
        <f t="shared" si="13"/>
        <v>145148</v>
      </c>
      <c r="I118" s="1204">
        <v>74987</v>
      </c>
      <c r="J118" s="1204">
        <v>70161</v>
      </c>
      <c r="K118" s="1204">
        <f t="shared" si="11"/>
        <v>143253</v>
      </c>
      <c r="L118" s="1204">
        <v>74150</v>
      </c>
      <c r="M118" s="1204">
        <v>69103</v>
      </c>
      <c r="N118" s="1204">
        <f t="shared" si="12"/>
        <v>170032</v>
      </c>
      <c r="O118" s="1204">
        <v>86285</v>
      </c>
      <c r="P118" s="1204">
        <v>83747</v>
      </c>
      <c r="Q118" s="1840">
        <f t="shared" si="16"/>
        <v>197503</v>
      </c>
      <c r="R118" s="1840">
        <v>99632</v>
      </c>
      <c r="S118" s="1840">
        <v>97871</v>
      </c>
    </row>
    <row r="119" spans="1:21">
      <c r="A119" s="53" t="s">
        <v>651</v>
      </c>
      <c r="B119" s="1204">
        <f t="shared" si="9"/>
        <v>1105</v>
      </c>
      <c r="C119" s="1204">
        <v>522</v>
      </c>
      <c r="D119" s="1204">
        <v>583</v>
      </c>
      <c r="E119" s="1204">
        <f t="shared" si="10"/>
        <v>682</v>
      </c>
      <c r="F119" s="1204">
        <v>344</v>
      </c>
      <c r="G119" s="1204">
        <v>338</v>
      </c>
      <c r="H119" s="1204">
        <f t="shared" si="13"/>
        <v>636</v>
      </c>
      <c r="I119" s="1204">
        <v>310</v>
      </c>
      <c r="J119" s="1204">
        <v>326</v>
      </c>
      <c r="K119" s="1204">
        <f t="shared" si="11"/>
        <v>780</v>
      </c>
      <c r="L119" s="1204">
        <v>370</v>
      </c>
      <c r="M119" s="1204">
        <v>410</v>
      </c>
      <c r="N119" s="1204">
        <f t="shared" si="12"/>
        <v>959</v>
      </c>
      <c r="O119" s="1204">
        <v>440</v>
      </c>
      <c r="P119" s="1204">
        <v>519</v>
      </c>
      <c r="Q119" s="1840">
        <f t="shared" si="16"/>
        <v>1013</v>
      </c>
      <c r="R119" s="1840">
        <v>467</v>
      </c>
      <c r="S119" s="1840">
        <v>546</v>
      </c>
    </row>
    <row r="120" spans="1:21">
      <c r="A120" s="53" t="s">
        <v>652</v>
      </c>
      <c r="B120" s="1204">
        <f t="shared" si="9"/>
        <v>7191</v>
      </c>
      <c r="C120" s="1204">
        <v>4259</v>
      </c>
      <c r="D120" s="1204">
        <v>2932</v>
      </c>
      <c r="E120" s="1204">
        <f t="shared" si="10"/>
        <v>7401</v>
      </c>
      <c r="F120" s="1204">
        <v>4007</v>
      </c>
      <c r="G120" s="1204">
        <v>3394</v>
      </c>
      <c r="H120" s="1204">
        <f t="shared" si="13"/>
        <v>7841</v>
      </c>
      <c r="I120" s="1204">
        <v>4451</v>
      </c>
      <c r="J120" s="1204">
        <v>3390</v>
      </c>
      <c r="K120" s="1204">
        <f t="shared" si="11"/>
        <v>7509</v>
      </c>
      <c r="L120" s="1204">
        <v>4488</v>
      </c>
      <c r="M120" s="1204">
        <v>3021</v>
      </c>
      <c r="N120" s="1204">
        <f t="shared" si="12"/>
        <v>7484</v>
      </c>
      <c r="O120" s="1204">
        <v>4363</v>
      </c>
      <c r="P120" s="1204">
        <v>3121</v>
      </c>
      <c r="Q120" s="1840">
        <f t="shared" si="16"/>
        <v>7540</v>
      </c>
      <c r="R120" s="1840">
        <v>4127</v>
      </c>
      <c r="S120" s="1840">
        <v>3413</v>
      </c>
    </row>
    <row r="121" spans="1:21">
      <c r="A121" s="53" t="s">
        <v>653</v>
      </c>
      <c r="B121" s="1204">
        <f t="shared" si="9"/>
        <v>11563</v>
      </c>
      <c r="C121" s="1204">
        <v>6346</v>
      </c>
      <c r="D121" s="1204">
        <v>5217</v>
      </c>
      <c r="E121" s="1204">
        <f t="shared" si="10"/>
        <v>12402</v>
      </c>
      <c r="F121" s="1204">
        <v>6673</v>
      </c>
      <c r="G121" s="1204">
        <v>5729</v>
      </c>
      <c r="H121" s="1204">
        <f t="shared" si="13"/>
        <v>14281</v>
      </c>
      <c r="I121" s="1204">
        <v>7597</v>
      </c>
      <c r="J121" s="1204">
        <v>6684</v>
      </c>
      <c r="K121" s="1204">
        <f t="shared" si="11"/>
        <v>13285</v>
      </c>
      <c r="L121" s="1204">
        <v>7107</v>
      </c>
      <c r="M121" s="1204">
        <v>6178</v>
      </c>
      <c r="N121" s="1204">
        <f t="shared" si="12"/>
        <v>11065</v>
      </c>
      <c r="O121" s="1204">
        <v>5935</v>
      </c>
      <c r="P121" s="1204">
        <v>5130</v>
      </c>
      <c r="Q121" s="1840">
        <f t="shared" si="16"/>
        <v>8358</v>
      </c>
      <c r="R121" s="1840">
        <v>4253</v>
      </c>
      <c r="S121" s="1840">
        <v>4105</v>
      </c>
    </row>
    <row r="122" spans="1:21">
      <c r="A122" s="53" t="s">
        <v>654</v>
      </c>
      <c r="B122" s="1204">
        <f t="shared" si="9"/>
        <v>23608</v>
      </c>
      <c r="C122" s="1204">
        <v>12035</v>
      </c>
      <c r="D122" s="1204">
        <v>11573</v>
      </c>
      <c r="E122" s="1204">
        <f t="shared" si="10"/>
        <v>21128</v>
      </c>
      <c r="F122" s="1204">
        <v>10679</v>
      </c>
      <c r="G122" s="1204">
        <v>10449</v>
      </c>
      <c r="H122" s="1204">
        <f t="shared" si="13"/>
        <v>20013</v>
      </c>
      <c r="I122" s="1204">
        <v>10045</v>
      </c>
      <c r="J122" s="1204">
        <v>9968</v>
      </c>
      <c r="K122" s="1204">
        <f t="shared" si="11"/>
        <v>22203</v>
      </c>
      <c r="L122" s="1204">
        <v>11005</v>
      </c>
      <c r="M122" s="1204">
        <v>11198</v>
      </c>
      <c r="N122" s="1204">
        <f t="shared" si="12"/>
        <v>24225</v>
      </c>
      <c r="O122" s="1840">
        <v>11671</v>
      </c>
      <c r="P122" s="1840">
        <v>12554</v>
      </c>
      <c r="Q122" s="1840">
        <f t="shared" si="16"/>
        <v>28917</v>
      </c>
      <c r="R122" s="1840">
        <v>13817</v>
      </c>
      <c r="S122" s="1840">
        <v>15100</v>
      </c>
      <c r="T122" s="310"/>
      <c r="U122" s="310"/>
    </row>
    <row r="123" spans="1:21">
      <c r="A123" s="53" t="s">
        <v>667</v>
      </c>
      <c r="B123" s="1204">
        <f t="shared" si="9"/>
        <v>0</v>
      </c>
      <c r="C123" s="1204">
        <v>0</v>
      </c>
      <c r="D123" s="1204">
        <v>0</v>
      </c>
      <c r="E123" s="1204">
        <f t="shared" si="10"/>
        <v>0</v>
      </c>
      <c r="F123" s="1204">
        <v>0</v>
      </c>
      <c r="G123" s="1204">
        <v>0</v>
      </c>
      <c r="H123" s="1204">
        <f t="shared" si="13"/>
        <v>0</v>
      </c>
      <c r="I123" s="1204">
        <v>0</v>
      </c>
      <c r="J123" s="1204">
        <v>0</v>
      </c>
      <c r="K123" s="1204">
        <f t="shared" si="11"/>
        <v>0</v>
      </c>
      <c r="L123" s="1204">
        <v>0</v>
      </c>
      <c r="M123" s="1204">
        <v>0</v>
      </c>
      <c r="N123" s="1204">
        <f t="shared" si="12"/>
        <v>0</v>
      </c>
      <c r="O123" s="1840">
        <v>0</v>
      </c>
      <c r="P123" s="1840">
        <v>0</v>
      </c>
      <c r="Q123" s="1840">
        <f t="shared" si="16"/>
        <v>0</v>
      </c>
      <c r="R123" s="1840">
        <v>0</v>
      </c>
      <c r="S123" s="1840">
        <v>0</v>
      </c>
      <c r="T123" s="310"/>
      <c r="U123" s="310"/>
    </row>
    <row r="124" spans="1:21">
      <c r="A124" s="53" t="s">
        <v>656</v>
      </c>
      <c r="B124" s="1204">
        <f t="shared" si="9"/>
        <v>71739</v>
      </c>
      <c r="C124" s="1204">
        <v>35021</v>
      </c>
      <c r="D124" s="1204">
        <v>36718</v>
      </c>
      <c r="E124" s="1204">
        <f t="shared" si="10"/>
        <v>72234</v>
      </c>
      <c r="F124" s="1204">
        <v>35553</v>
      </c>
      <c r="G124" s="1204">
        <v>36681</v>
      </c>
      <c r="H124" s="1204">
        <f t="shared" si="13"/>
        <v>78453</v>
      </c>
      <c r="I124" s="1204">
        <v>38165</v>
      </c>
      <c r="J124" s="1204">
        <v>40288</v>
      </c>
      <c r="K124" s="1204">
        <f t="shared" si="11"/>
        <v>84881</v>
      </c>
      <c r="L124" s="1204">
        <v>40146</v>
      </c>
      <c r="M124" s="1204">
        <v>44735</v>
      </c>
      <c r="N124" s="1204">
        <f t="shared" si="12"/>
        <v>90075</v>
      </c>
      <c r="O124" s="1840">
        <v>43647</v>
      </c>
      <c r="P124" s="1840">
        <v>46428</v>
      </c>
      <c r="Q124" s="1840">
        <f t="shared" si="16"/>
        <v>101817</v>
      </c>
      <c r="R124" s="1840">
        <v>49105</v>
      </c>
      <c r="S124" s="1840">
        <v>52712</v>
      </c>
      <c r="T124" s="310"/>
      <c r="U124" s="310"/>
    </row>
    <row r="125" spans="1:21">
      <c r="O125" s="310"/>
      <c r="P125" s="310"/>
      <c r="Q125" s="310"/>
      <c r="R125" s="310"/>
      <c r="S125" s="310"/>
      <c r="T125" s="310"/>
      <c r="U125" s="310"/>
    </row>
    <row r="126" spans="1:21">
      <c r="A126" s="53" t="s">
        <v>3825</v>
      </c>
      <c r="O126" s="310"/>
      <c r="P126" s="310"/>
      <c r="Q126" s="310"/>
      <c r="R126" s="310"/>
      <c r="S126" s="310"/>
      <c r="T126" s="310"/>
      <c r="U126" s="310"/>
    </row>
    <row r="127" spans="1:21" ht="14.25" customHeight="1">
      <c r="A127" s="53" t="s">
        <v>3820</v>
      </c>
      <c r="O127" s="310"/>
      <c r="P127" s="310"/>
      <c r="Q127" s="310"/>
      <c r="R127" s="310"/>
      <c r="S127" s="310"/>
      <c r="T127" s="310"/>
      <c r="U127" s="310"/>
    </row>
    <row r="128" spans="1:21">
      <c r="A128" s="1843" t="s">
        <v>22</v>
      </c>
    </row>
    <row r="129" spans="1:1">
      <c r="A129" s="53" t="s">
        <v>208</v>
      </c>
    </row>
  </sheetData>
  <mergeCells count="7">
    <mergeCell ref="A4:A5"/>
    <mergeCell ref="Q4:S4"/>
    <mergeCell ref="B4:D4"/>
    <mergeCell ref="E4:G4"/>
    <mergeCell ref="H4:J4"/>
    <mergeCell ref="K4:M4"/>
    <mergeCell ref="N4:P4"/>
  </mergeCells>
  <pageMargins left="0.7" right="0.7" top="0.75" bottom="0.75" header="0.3" footer="0.3"/>
</worksheet>
</file>

<file path=xl/worksheets/sheet55.xml><?xml version="1.0" encoding="utf-8"?>
<worksheet xmlns="http://schemas.openxmlformats.org/spreadsheetml/2006/main" xmlns:r="http://schemas.openxmlformats.org/officeDocument/2006/relationships">
  <dimension ref="A2:Y131"/>
  <sheetViews>
    <sheetView topLeftCell="A94" zoomScaleNormal="100" workbookViewId="0">
      <selection activeCell="A131" sqref="A131"/>
    </sheetView>
  </sheetViews>
  <sheetFormatPr baseColWidth="10" defaultRowHeight="11.25"/>
  <cols>
    <col min="1" max="1" width="35.140625" style="53" customWidth="1"/>
    <col min="2" max="2" width="13.140625" style="53" bestFit="1" customWidth="1"/>
    <col min="3" max="3" width="11.28515625" style="53" bestFit="1" customWidth="1"/>
    <col min="4" max="4" width="13.140625" style="53" bestFit="1" customWidth="1"/>
    <col min="5" max="5" width="11.140625" style="53" bestFit="1" customWidth="1"/>
    <col min="6" max="6" width="13.140625" style="53" bestFit="1" customWidth="1"/>
    <col min="7" max="7" width="11.28515625" style="53" bestFit="1" customWidth="1"/>
    <col min="8" max="8" width="13.140625" style="53" bestFit="1" customWidth="1"/>
    <col min="9" max="9" width="11.28515625" style="53" bestFit="1" customWidth="1"/>
    <col min="10" max="10" width="13.140625" style="53" bestFit="1" customWidth="1"/>
    <col min="11" max="11" width="11.28515625" style="53" bestFit="1" customWidth="1"/>
    <col min="12" max="12" width="13.140625" style="53" bestFit="1" customWidth="1"/>
    <col min="13" max="13" width="11.28515625" style="53" bestFit="1" customWidth="1"/>
    <col min="14" max="14" width="13.140625" style="53" bestFit="1" customWidth="1"/>
    <col min="15" max="15" width="11.28515625" style="53" bestFit="1" customWidth="1"/>
    <col min="16" max="18" width="13.140625" style="53" bestFit="1" customWidth="1"/>
    <col min="19" max="19" width="11.28515625" style="53" bestFit="1" customWidth="1"/>
    <col min="20" max="22" width="13.140625" style="53" bestFit="1" customWidth="1"/>
    <col min="23" max="23" width="11.28515625" style="53" bestFit="1" customWidth="1"/>
    <col min="24" max="24" width="13.140625" style="53" bestFit="1" customWidth="1"/>
    <col min="25" max="25" width="11.28515625" style="53" bestFit="1" customWidth="1"/>
    <col min="26" max="16384" width="11.42578125" style="53"/>
  </cols>
  <sheetData>
    <row r="2" spans="1:25" s="150" customFormat="1">
      <c r="A2" s="150" t="s">
        <v>968</v>
      </c>
    </row>
    <row r="3" spans="1:25">
      <c r="A3" s="2068"/>
      <c r="B3" s="2068"/>
      <c r="C3" s="2068"/>
      <c r="D3" s="2068"/>
      <c r="E3" s="2068"/>
      <c r="F3" s="2068"/>
      <c r="G3" s="2068"/>
      <c r="H3" s="2068"/>
      <c r="I3" s="2068"/>
      <c r="J3" s="2068"/>
      <c r="K3" s="2068"/>
      <c r="L3" s="2068"/>
      <c r="M3" s="2068"/>
      <c r="N3" s="2068"/>
      <c r="O3" s="2068"/>
      <c r="P3" s="2068"/>
      <c r="Q3" s="2068"/>
      <c r="R3" s="2068"/>
      <c r="S3" s="2068"/>
      <c r="T3" s="2068"/>
    </row>
    <row r="4" spans="1:25" ht="24.75" customHeight="1">
      <c r="A4" s="2066" t="s">
        <v>3815</v>
      </c>
      <c r="B4" s="2066">
        <v>2009</v>
      </c>
      <c r="C4" s="2066"/>
      <c r="D4" s="2066"/>
      <c r="E4" s="2066"/>
      <c r="F4" s="2066">
        <v>2010</v>
      </c>
      <c r="G4" s="2066"/>
      <c r="H4" s="2066"/>
      <c r="I4" s="2066"/>
      <c r="J4" s="2066">
        <v>2011</v>
      </c>
      <c r="K4" s="2066"/>
      <c r="L4" s="2066"/>
      <c r="M4" s="2066"/>
      <c r="N4" s="2066">
        <v>2012</v>
      </c>
      <c r="O4" s="2066"/>
      <c r="P4" s="2066"/>
      <c r="Q4" s="2066"/>
      <c r="R4" s="2066">
        <v>2013</v>
      </c>
      <c r="S4" s="2066"/>
      <c r="T4" s="2066"/>
      <c r="U4" s="2066"/>
      <c r="V4" s="2066">
        <v>2014</v>
      </c>
      <c r="W4" s="2066"/>
      <c r="X4" s="2066"/>
      <c r="Y4" s="2066"/>
    </row>
    <row r="5" spans="1:25" ht="24.75" customHeight="1">
      <c r="A5" s="2066"/>
      <c r="B5" s="818" t="s">
        <v>26</v>
      </c>
      <c r="C5" s="818" t="s">
        <v>3821</v>
      </c>
      <c r="D5" s="818" t="s">
        <v>3822</v>
      </c>
      <c r="E5" s="818" t="s">
        <v>3823</v>
      </c>
      <c r="F5" s="818" t="s">
        <v>26</v>
      </c>
      <c r="G5" s="818" t="s">
        <v>3821</v>
      </c>
      <c r="H5" s="818" t="s">
        <v>3822</v>
      </c>
      <c r="I5" s="818" t="s">
        <v>3823</v>
      </c>
      <c r="J5" s="818" t="s">
        <v>26</v>
      </c>
      <c r="K5" s="818" t="s">
        <v>3821</v>
      </c>
      <c r="L5" s="818" t="s">
        <v>3822</v>
      </c>
      <c r="M5" s="818" t="s">
        <v>3823</v>
      </c>
      <c r="N5" s="818" t="s">
        <v>26</v>
      </c>
      <c r="O5" s="818" t="s">
        <v>3821</v>
      </c>
      <c r="P5" s="818" t="s">
        <v>3822</v>
      </c>
      <c r="Q5" s="818" t="s">
        <v>3823</v>
      </c>
      <c r="R5" s="818" t="s">
        <v>26</v>
      </c>
      <c r="S5" s="818" t="s">
        <v>3821</v>
      </c>
      <c r="T5" s="818" t="s">
        <v>3822</v>
      </c>
      <c r="U5" s="818" t="s">
        <v>3823</v>
      </c>
      <c r="V5" s="818" t="s">
        <v>26</v>
      </c>
      <c r="W5" s="818" t="s">
        <v>3821</v>
      </c>
      <c r="X5" s="818" t="s">
        <v>3822</v>
      </c>
      <c r="Y5" s="818" t="s">
        <v>3823</v>
      </c>
    </row>
    <row r="6" spans="1:25" s="150" customFormat="1">
      <c r="A6" s="150" t="s">
        <v>6</v>
      </c>
      <c r="B6" s="1821">
        <f>SUM(C6:E6)</f>
        <v>2056218</v>
      </c>
      <c r="C6" s="1821">
        <f>SUM(C7+C12+C16+C22+C26+C31+C40+C43+C47+C56+C64+C78+C81+C93+C113)</f>
        <v>355971</v>
      </c>
      <c r="D6" s="1821">
        <f>SUM(D7+D12+D16+D22+D26+D31+D40+D43+D47+D56+D64+D78+D81+D93+D113)</f>
        <v>1601115</v>
      </c>
      <c r="E6" s="1821">
        <f>SUM(E7+E12+E16+E22+E26+E31+E40+E43+E47+E56+E64+E78+E81+E93+E113)</f>
        <v>99132</v>
      </c>
      <c r="F6" s="1821">
        <f>SUM(G6:I6)</f>
        <v>1816916</v>
      </c>
      <c r="G6" s="1821">
        <f>SUM(G7+G12+G16+G22+G26+G31+G40+G43+G47+G56+G64+G78+G81+G93+G113)</f>
        <v>263556</v>
      </c>
      <c r="H6" s="1821">
        <f>SUM(H7+H12+H16+H22+H26+H31+H40+H43+H47+H56+H64+H78+H81+H93+H113)</f>
        <v>1422264</v>
      </c>
      <c r="I6" s="1821">
        <f>SUM(I7+I12+I16+I22+I26+I31+I40+I43+I47+I56+I64+I78+I81+I93+I113)</f>
        <v>131096</v>
      </c>
      <c r="J6" s="1821">
        <f>SUM(K6:M6)</f>
        <v>1794732</v>
      </c>
      <c r="K6" s="1821">
        <f>SUM(K7+K12+K16+K22+K26+K31+K40+K43+K47+K56+K64+K78+K81+K93+K113)</f>
        <v>292270</v>
      </c>
      <c r="L6" s="1821">
        <f>SUM(L7+L12+L16+L22+L26+L31+L40+L43+L47+L56+L64+L78+L81+L93+L113)</f>
        <v>1355946</v>
      </c>
      <c r="M6" s="1821">
        <f>SUM(M7+M12+M16+M22+M26+M31+M40+M43+M47+M56+M64+M78+M81+M93+M113)</f>
        <v>146516</v>
      </c>
      <c r="N6" s="1821">
        <f>SUM(O6:Q6)</f>
        <v>2224817</v>
      </c>
      <c r="O6" s="1821">
        <f>SUM(O7+O12+O16+O22+O26+O31+O40+O43+O47+O56+O64+O78+O81+O93+O113)</f>
        <v>163147</v>
      </c>
      <c r="P6" s="1821">
        <f>SUM(P7+P12+P16+P22+P26+P31+P40+P43+P47+P56+P64+P78+P81+P93+P113)</f>
        <v>1053291</v>
      </c>
      <c r="Q6" s="1821">
        <f>SUM(Q7+Q12+Q16+Q22+Q26+Q31+Q40+Q43+Q47+Q56+Q64+Q78+Q81+Q93+Q113)</f>
        <v>1008379</v>
      </c>
      <c r="R6" s="1821">
        <f>SUM(S6:U6)</f>
        <v>2609814</v>
      </c>
      <c r="S6" s="1821">
        <f>SUM(S7+S12+S16+S22+S26+S31+S40+S43+S47+S56+S64+S78+S81+S93+S113)</f>
        <v>201545</v>
      </c>
      <c r="T6" s="1821">
        <f>SUM(T7+T12+T16+T22+T26+T31+T40+T43+T47+T56+T64+T78+T81+T93+T113)</f>
        <v>1227212</v>
      </c>
      <c r="U6" s="1821">
        <f>SUM(U7+U12+U16+U22+U26+U31+U40+U43+U47+U56+U64+U78+U81+U93+U113)</f>
        <v>1181057</v>
      </c>
      <c r="V6" s="1839">
        <f t="shared" ref="V6:V12" si="0">SUM(W6:Y6)</f>
        <v>2510648</v>
      </c>
      <c r="W6" s="1839">
        <f>SUM(W7+W12+W16+W22+W26+W31+W40+W43+W47+W56+W64+W78+W81+W93+W113)</f>
        <v>396344</v>
      </c>
      <c r="X6" s="1839">
        <f>SUM(X7+X12+X16+X22+X26+X31+X40+X43+X47+X56+X64+X78+X81+X93+X113)</f>
        <v>1883324</v>
      </c>
      <c r="Y6" s="1839">
        <f>SUM(Y7+Y12+Y16+Y22+Y26+Y31+Y40+Y43+Y47+Y56+Y64+Y78+Y81+Y93+Y113)</f>
        <v>230980</v>
      </c>
    </row>
    <row r="7" spans="1:25" s="150" customFormat="1">
      <c r="A7" s="150" t="s">
        <v>7</v>
      </c>
      <c r="B7" s="1821">
        <f>SUM(C7:E7)</f>
        <v>17526</v>
      </c>
      <c r="C7" s="1821">
        <f>SUM(C8:C11)</f>
        <v>654</v>
      </c>
      <c r="D7" s="1821">
        <f>SUM(D8:D11)</f>
        <v>16743</v>
      </c>
      <c r="E7" s="1821">
        <f>SUM(E8:E11)</f>
        <v>129</v>
      </c>
      <c r="F7" s="1821">
        <f>SUM(G7:I7)</f>
        <v>15045</v>
      </c>
      <c r="G7" s="1821">
        <f>SUM(G8:G11)</f>
        <v>318</v>
      </c>
      <c r="H7" s="1821">
        <f>SUM(H8:H11)</f>
        <v>13729</v>
      </c>
      <c r="I7" s="1821">
        <f>SUM(I8:I11)</f>
        <v>998</v>
      </c>
      <c r="J7" s="1821">
        <f>SUM(K7:M7)</f>
        <v>13991</v>
      </c>
      <c r="K7" s="1821">
        <f>SUM(K8:K11)</f>
        <v>481</v>
      </c>
      <c r="L7" s="1821">
        <f>SUM(L8:L11)</f>
        <v>11811</v>
      </c>
      <c r="M7" s="1821">
        <f>SUM(M8:M11)</f>
        <v>1699</v>
      </c>
      <c r="N7" s="1821">
        <f>SUM(O7:Q7)</f>
        <v>15364</v>
      </c>
      <c r="O7" s="1821">
        <f>SUM(O8:O11)</f>
        <v>2362</v>
      </c>
      <c r="P7" s="1821">
        <f>SUM(P8:P11)</f>
        <v>6683</v>
      </c>
      <c r="Q7" s="1821">
        <f>SUM(Q8:Q11)</f>
        <v>6319</v>
      </c>
      <c r="R7" s="1821">
        <f>SUM(S7:U7)</f>
        <v>19609</v>
      </c>
      <c r="S7" s="1821">
        <f>SUM(S8:S11)</f>
        <v>1184</v>
      </c>
      <c r="T7" s="1821">
        <f>SUM(T8:T11)</f>
        <v>9046</v>
      </c>
      <c r="U7" s="1821">
        <f>SUM(U8:U11)</f>
        <v>9379</v>
      </c>
      <c r="V7" s="1839">
        <f t="shared" si="0"/>
        <v>18207</v>
      </c>
      <c r="W7" s="1839">
        <f>SUM(W8:W11)</f>
        <v>924</v>
      </c>
      <c r="X7" s="1839">
        <f>SUM(X8:X11)</f>
        <v>15426</v>
      </c>
      <c r="Y7" s="1839">
        <f>SUM(Y8:Y11)</f>
        <v>1857</v>
      </c>
    </row>
    <row r="8" spans="1:25">
      <c r="A8" s="53" t="s">
        <v>556</v>
      </c>
      <c r="B8" s="1204">
        <f>SUM(C8:E8)</f>
        <v>15479</v>
      </c>
      <c r="C8" s="1204">
        <v>431</v>
      </c>
      <c r="D8" s="1204">
        <v>14919</v>
      </c>
      <c r="E8" s="1204">
        <v>129</v>
      </c>
      <c r="F8" s="1204">
        <f>SUM(G8:I8)</f>
        <v>13340</v>
      </c>
      <c r="G8" s="1204">
        <v>315</v>
      </c>
      <c r="H8" s="1204">
        <v>12027</v>
      </c>
      <c r="I8" s="1204">
        <v>998</v>
      </c>
      <c r="J8" s="1204">
        <f>SUM(K8:M8)</f>
        <v>12081</v>
      </c>
      <c r="K8" s="1204">
        <v>460</v>
      </c>
      <c r="L8" s="1204">
        <v>9951</v>
      </c>
      <c r="M8" s="1204">
        <v>1670</v>
      </c>
      <c r="N8" s="1204">
        <f>SUM(O8:Q8)</f>
        <v>14443</v>
      </c>
      <c r="O8" s="1204">
        <v>2356</v>
      </c>
      <c r="P8" s="1204">
        <v>6178</v>
      </c>
      <c r="Q8" s="1204">
        <v>5909</v>
      </c>
      <c r="R8" s="1204">
        <f>SUM(S8:U8)</f>
        <v>18384</v>
      </c>
      <c r="S8" s="1204">
        <v>1173</v>
      </c>
      <c r="T8" s="1204">
        <v>8396</v>
      </c>
      <c r="U8" s="1204">
        <v>8815</v>
      </c>
      <c r="V8" s="1840">
        <f t="shared" si="0"/>
        <v>16829</v>
      </c>
      <c r="W8" s="1840">
        <v>922</v>
      </c>
      <c r="X8" s="1840">
        <v>14155</v>
      </c>
      <c r="Y8" s="1840">
        <v>1752</v>
      </c>
    </row>
    <row r="9" spans="1:25">
      <c r="A9" s="53" t="s">
        <v>557</v>
      </c>
      <c r="B9" s="1204">
        <f t="shared" ref="B9:B75" si="1">SUM(C9:E9)</f>
        <v>987</v>
      </c>
      <c r="C9" s="1204">
        <v>106</v>
      </c>
      <c r="D9" s="1204">
        <v>881</v>
      </c>
      <c r="E9" s="1204">
        <v>0</v>
      </c>
      <c r="F9" s="1204">
        <f t="shared" ref="F9:F75" si="2">SUM(G9:I9)</f>
        <v>448</v>
      </c>
      <c r="G9" s="1204">
        <v>0</v>
      </c>
      <c r="H9" s="1204">
        <v>448</v>
      </c>
      <c r="I9" s="1204">
        <v>0</v>
      </c>
      <c r="J9" s="1204">
        <f t="shared" ref="J9:J75" si="3">SUM(K9:M9)</f>
        <v>777</v>
      </c>
      <c r="K9" s="1204">
        <v>15</v>
      </c>
      <c r="L9" s="1204">
        <v>742</v>
      </c>
      <c r="M9" s="1204">
        <v>20</v>
      </c>
      <c r="N9" s="1204">
        <f t="shared" ref="N9:N75" si="4">SUM(O9:Q9)</f>
        <v>210</v>
      </c>
      <c r="O9" s="1204">
        <v>2</v>
      </c>
      <c r="P9" s="1204">
        <v>111</v>
      </c>
      <c r="Q9" s="1204">
        <v>97</v>
      </c>
      <c r="R9" s="1204">
        <f t="shared" ref="R9:R75" si="5">SUM(S9:U9)</f>
        <v>459</v>
      </c>
      <c r="S9" s="1204">
        <v>9</v>
      </c>
      <c r="T9" s="1204">
        <v>245</v>
      </c>
      <c r="U9" s="1204">
        <v>205</v>
      </c>
      <c r="V9" s="1840">
        <f t="shared" si="0"/>
        <v>520</v>
      </c>
      <c r="W9" s="1840">
        <v>2</v>
      </c>
      <c r="X9" s="1840">
        <v>507</v>
      </c>
      <c r="Y9" s="1840">
        <v>11</v>
      </c>
    </row>
    <row r="10" spans="1:25">
      <c r="A10" s="53" t="s">
        <v>558</v>
      </c>
      <c r="B10" s="1204">
        <f t="shared" si="1"/>
        <v>0</v>
      </c>
      <c r="C10" s="1204">
        <v>0</v>
      </c>
      <c r="D10" s="1204">
        <v>0</v>
      </c>
      <c r="E10" s="1204">
        <v>0</v>
      </c>
      <c r="F10" s="1204">
        <f t="shared" si="2"/>
        <v>0</v>
      </c>
      <c r="G10" s="1204">
        <v>0</v>
      </c>
      <c r="H10" s="1204">
        <v>0</v>
      </c>
      <c r="I10" s="1204">
        <v>0</v>
      </c>
      <c r="J10" s="1204">
        <f t="shared" si="3"/>
        <v>0</v>
      </c>
      <c r="K10" s="1204">
        <v>0</v>
      </c>
      <c r="L10" s="1204"/>
      <c r="M10" s="1204">
        <v>0</v>
      </c>
      <c r="N10" s="1204">
        <f t="shared" si="4"/>
        <v>0</v>
      </c>
      <c r="O10" s="1204">
        <v>0</v>
      </c>
      <c r="P10" s="1204">
        <v>0</v>
      </c>
      <c r="Q10" s="1204">
        <v>0</v>
      </c>
      <c r="R10" s="1204">
        <f t="shared" si="5"/>
        <v>0</v>
      </c>
      <c r="S10" s="1204">
        <v>0</v>
      </c>
      <c r="T10" s="1204">
        <v>0</v>
      </c>
      <c r="U10" s="1204">
        <v>0</v>
      </c>
      <c r="V10" s="1840">
        <f t="shared" si="0"/>
        <v>0</v>
      </c>
      <c r="W10" s="1840">
        <v>0</v>
      </c>
      <c r="X10" s="1840">
        <v>0</v>
      </c>
      <c r="Y10" s="1840">
        <v>0</v>
      </c>
    </row>
    <row r="11" spans="1:25">
      <c r="A11" s="53" t="s">
        <v>559</v>
      </c>
      <c r="B11" s="1204">
        <f t="shared" si="1"/>
        <v>1060</v>
      </c>
      <c r="C11" s="1204">
        <v>117</v>
      </c>
      <c r="D11" s="1204">
        <v>943</v>
      </c>
      <c r="E11" s="1204">
        <v>0</v>
      </c>
      <c r="F11" s="1204">
        <f t="shared" si="2"/>
        <v>1257</v>
      </c>
      <c r="G11" s="1204">
        <v>3</v>
      </c>
      <c r="H11" s="1204">
        <v>1254</v>
      </c>
      <c r="I11" s="1204">
        <v>0</v>
      </c>
      <c r="J11" s="1204">
        <f t="shared" si="3"/>
        <v>1133</v>
      </c>
      <c r="K11" s="1204">
        <v>6</v>
      </c>
      <c r="L11" s="1204">
        <v>1118</v>
      </c>
      <c r="M11" s="1204">
        <v>9</v>
      </c>
      <c r="N11" s="1204">
        <f t="shared" si="4"/>
        <v>711</v>
      </c>
      <c r="O11" s="1204">
        <v>4</v>
      </c>
      <c r="P11" s="1204">
        <v>394</v>
      </c>
      <c r="Q11" s="1204">
        <v>313</v>
      </c>
      <c r="R11" s="1204">
        <f t="shared" si="5"/>
        <v>766</v>
      </c>
      <c r="S11" s="1204">
        <v>2</v>
      </c>
      <c r="T11" s="1204">
        <v>405</v>
      </c>
      <c r="U11" s="1204">
        <v>359</v>
      </c>
      <c r="V11" s="1840">
        <f t="shared" si="0"/>
        <v>858</v>
      </c>
      <c r="W11" s="1840">
        <v>0</v>
      </c>
      <c r="X11" s="1840">
        <v>764</v>
      </c>
      <c r="Y11" s="1840">
        <v>94</v>
      </c>
    </row>
    <row r="12" spans="1:25" s="150" customFormat="1">
      <c r="A12" s="150" t="s">
        <v>8</v>
      </c>
      <c r="B12" s="1821">
        <f>SUM(C12:E12)</f>
        <v>12213</v>
      </c>
      <c r="C12" s="1821">
        <f>SUM(C13:C15)</f>
        <v>1603</v>
      </c>
      <c r="D12" s="1821">
        <f>SUM(D13:D15)</f>
        <v>10579</v>
      </c>
      <c r="E12" s="1821">
        <f>SUM(E13:E15)</f>
        <v>31</v>
      </c>
      <c r="F12" s="1821">
        <f>SUM(G12:I12)</f>
        <v>17161</v>
      </c>
      <c r="G12" s="1821">
        <f>SUM(G13:G15)</f>
        <v>1059</v>
      </c>
      <c r="H12" s="1821">
        <f>SUM(H13:H15)</f>
        <v>15887</v>
      </c>
      <c r="I12" s="1821">
        <f>SUM(I13:I15)</f>
        <v>215</v>
      </c>
      <c r="J12" s="1821">
        <f>SUM(K12:M12)</f>
        <v>9875</v>
      </c>
      <c r="K12" s="1821">
        <f>SUM(K13:K15)</f>
        <v>939</v>
      </c>
      <c r="L12" s="1821">
        <f>SUM(L13:L15)</f>
        <v>8638</v>
      </c>
      <c r="M12" s="1821">
        <f>SUM(M13:M15)</f>
        <v>298</v>
      </c>
      <c r="N12" s="1821">
        <f>SUM(O12:Q12)</f>
        <v>2297</v>
      </c>
      <c r="O12" s="1821">
        <f>SUM(O13:O15)</f>
        <v>26</v>
      </c>
      <c r="P12" s="1821">
        <f>SUM(P13:P15)</f>
        <v>1171</v>
      </c>
      <c r="Q12" s="1821">
        <f>SUM(Q13:Q15)</f>
        <v>1100</v>
      </c>
      <c r="R12" s="1821">
        <f>SUM(S12:U12)</f>
        <v>3404</v>
      </c>
      <c r="S12" s="1821">
        <f>SUM(S13:S15)</f>
        <v>176</v>
      </c>
      <c r="T12" s="1821">
        <f>SUM(T13:T15)</f>
        <v>1616</v>
      </c>
      <c r="U12" s="1821">
        <f>SUM(U13:U15)</f>
        <v>1612</v>
      </c>
      <c r="V12" s="1839">
        <f t="shared" si="0"/>
        <v>4783</v>
      </c>
      <c r="W12" s="1839">
        <f>SUM(W13:W15)</f>
        <v>1114</v>
      </c>
      <c r="X12" s="1839">
        <f>SUM(X13:X15)</f>
        <v>3430</v>
      </c>
      <c r="Y12" s="1839">
        <f>SUM(Y13:Y15)</f>
        <v>239</v>
      </c>
    </row>
    <row r="13" spans="1:25">
      <c r="A13" s="53" t="s">
        <v>560</v>
      </c>
      <c r="B13" s="1204">
        <f t="shared" si="1"/>
        <v>223</v>
      </c>
      <c r="C13" s="1204">
        <v>27</v>
      </c>
      <c r="D13" s="1204">
        <v>196</v>
      </c>
      <c r="E13" s="1204">
        <v>0</v>
      </c>
      <c r="F13" s="1204">
        <f t="shared" si="2"/>
        <v>361</v>
      </c>
      <c r="G13" s="1204">
        <v>9</v>
      </c>
      <c r="H13" s="1204">
        <v>327</v>
      </c>
      <c r="I13" s="1204">
        <v>25</v>
      </c>
      <c r="J13" s="1204">
        <f t="shared" si="3"/>
        <v>185</v>
      </c>
      <c r="K13" s="1204">
        <v>13</v>
      </c>
      <c r="L13" s="1204">
        <v>169</v>
      </c>
      <c r="M13" s="1204">
        <v>3</v>
      </c>
      <c r="N13" s="1204">
        <f t="shared" si="4"/>
        <v>192</v>
      </c>
      <c r="O13" s="1204">
        <v>5</v>
      </c>
      <c r="P13" s="1204">
        <v>122</v>
      </c>
      <c r="Q13" s="1204">
        <v>65</v>
      </c>
      <c r="R13" s="1204">
        <f t="shared" si="5"/>
        <v>266</v>
      </c>
      <c r="S13" s="1204">
        <v>8</v>
      </c>
      <c r="T13" s="1204">
        <v>169</v>
      </c>
      <c r="U13" s="1204">
        <v>89</v>
      </c>
      <c r="V13" s="1840">
        <f t="shared" ref="V13:V25" si="6">SUM(W13:Y13)</f>
        <v>224</v>
      </c>
      <c r="W13" s="1840">
        <v>0</v>
      </c>
      <c r="X13" s="1840">
        <v>224</v>
      </c>
      <c r="Y13" s="1840">
        <v>0</v>
      </c>
    </row>
    <row r="14" spans="1:25">
      <c r="A14" s="53" t="s">
        <v>561</v>
      </c>
      <c r="B14" s="1204">
        <f t="shared" si="1"/>
        <v>0</v>
      </c>
      <c r="C14" s="1204">
        <v>0</v>
      </c>
      <c r="D14" s="1204">
        <v>0</v>
      </c>
      <c r="E14" s="1204">
        <v>0</v>
      </c>
      <c r="F14" s="1204">
        <f t="shared" si="2"/>
        <v>0</v>
      </c>
      <c r="G14" s="1204">
        <v>0</v>
      </c>
      <c r="H14" s="1204">
        <v>0</v>
      </c>
      <c r="I14" s="1204">
        <v>0</v>
      </c>
      <c r="J14" s="1204">
        <f t="shared" si="3"/>
        <v>0</v>
      </c>
      <c r="K14" s="1204">
        <v>0</v>
      </c>
      <c r="L14" s="1204"/>
      <c r="M14" s="1204">
        <v>0</v>
      </c>
      <c r="N14" s="1204">
        <f t="shared" si="4"/>
        <v>0</v>
      </c>
      <c r="O14" s="1204">
        <v>0</v>
      </c>
      <c r="P14" s="1204">
        <v>0</v>
      </c>
      <c r="Q14" s="1204">
        <v>0</v>
      </c>
      <c r="R14" s="1204">
        <f t="shared" si="5"/>
        <v>0</v>
      </c>
      <c r="S14" s="1204">
        <v>0</v>
      </c>
      <c r="T14" s="1204">
        <v>0</v>
      </c>
      <c r="U14" s="1204">
        <v>0</v>
      </c>
      <c r="V14" s="1840">
        <f t="shared" si="6"/>
        <v>0</v>
      </c>
      <c r="W14" s="1840">
        <v>0</v>
      </c>
      <c r="X14" s="1840">
        <v>0</v>
      </c>
      <c r="Y14" s="1840">
        <v>0</v>
      </c>
    </row>
    <row r="15" spans="1:25">
      <c r="A15" s="53" t="s">
        <v>562</v>
      </c>
      <c r="B15" s="1204">
        <f t="shared" si="1"/>
        <v>11990</v>
      </c>
      <c r="C15" s="1204">
        <v>1576</v>
      </c>
      <c r="D15" s="1204">
        <v>10383</v>
      </c>
      <c r="E15" s="1204">
        <v>31</v>
      </c>
      <c r="F15" s="1204">
        <f t="shared" si="2"/>
        <v>16800</v>
      </c>
      <c r="G15" s="1204">
        <v>1050</v>
      </c>
      <c r="H15" s="1204">
        <v>15560</v>
      </c>
      <c r="I15" s="1204">
        <v>190</v>
      </c>
      <c r="J15" s="1204">
        <f t="shared" si="3"/>
        <v>9690</v>
      </c>
      <c r="K15" s="1204">
        <v>926</v>
      </c>
      <c r="L15" s="1204">
        <v>8469</v>
      </c>
      <c r="M15" s="1204">
        <v>295</v>
      </c>
      <c r="N15" s="1204">
        <f t="shared" si="4"/>
        <v>2105</v>
      </c>
      <c r="O15" s="1204">
        <v>21</v>
      </c>
      <c r="P15" s="1204">
        <v>1049</v>
      </c>
      <c r="Q15" s="1204">
        <v>1035</v>
      </c>
      <c r="R15" s="1204">
        <f t="shared" si="5"/>
        <v>3138</v>
      </c>
      <c r="S15" s="1204">
        <v>168</v>
      </c>
      <c r="T15" s="1204">
        <v>1447</v>
      </c>
      <c r="U15" s="1204">
        <v>1523</v>
      </c>
      <c r="V15" s="1840">
        <f t="shared" si="6"/>
        <v>4559</v>
      </c>
      <c r="W15" s="1840">
        <v>1114</v>
      </c>
      <c r="X15" s="1840">
        <v>3206</v>
      </c>
      <c r="Y15" s="1840">
        <v>239</v>
      </c>
    </row>
    <row r="16" spans="1:25" s="150" customFormat="1">
      <c r="A16" s="150" t="s">
        <v>9</v>
      </c>
      <c r="B16" s="1821">
        <f>SUM(C16:E16)</f>
        <v>279738</v>
      </c>
      <c r="C16" s="1821">
        <f>SUM(C17:C21)</f>
        <v>30457</v>
      </c>
      <c r="D16" s="1821">
        <f>SUM(D17:D21)</f>
        <v>230758</v>
      </c>
      <c r="E16" s="1821">
        <f>SUM(E17:E21)</f>
        <v>18523</v>
      </c>
      <c r="F16" s="1821">
        <f>SUM(G16:I16)</f>
        <v>315888</v>
      </c>
      <c r="G16" s="1821">
        <f>SUM(G17:G21)</f>
        <v>37336</v>
      </c>
      <c r="H16" s="1821">
        <f>SUM(H17:H21)</f>
        <v>256948</v>
      </c>
      <c r="I16" s="1821">
        <f>SUM(I17:I21)</f>
        <v>21604</v>
      </c>
      <c r="J16" s="1821">
        <f>SUM(K16:M16)</f>
        <v>330317</v>
      </c>
      <c r="K16" s="1821">
        <f>SUM(K17:K21)</f>
        <v>42230</v>
      </c>
      <c r="L16" s="1821">
        <f>SUM(L17:L21)</f>
        <v>262689</v>
      </c>
      <c r="M16" s="1821">
        <f>SUM(M17:M21)</f>
        <v>25398</v>
      </c>
      <c r="N16" s="1821">
        <f>SUM(O16:Q16)</f>
        <v>365538</v>
      </c>
      <c r="O16" s="1821">
        <f>SUM(O17:O21)</f>
        <v>27212</v>
      </c>
      <c r="P16" s="1821">
        <f>SUM(P17:P21)</f>
        <v>172213</v>
      </c>
      <c r="Q16" s="1821">
        <f>SUM(Q17:Q21)</f>
        <v>166113</v>
      </c>
      <c r="R16" s="1821">
        <f>SUM(S16:U16)</f>
        <v>429839</v>
      </c>
      <c r="S16" s="1821">
        <f>SUM(S17:S21)</f>
        <v>29336</v>
      </c>
      <c r="T16" s="1821">
        <f>SUM(T17:T21)</f>
        <v>202336</v>
      </c>
      <c r="U16" s="1821">
        <f>SUM(U17:U21)</f>
        <v>198167</v>
      </c>
      <c r="V16" s="1839">
        <f t="shared" si="6"/>
        <v>391325</v>
      </c>
      <c r="W16" s="1839">
        <f>SUM(W17:W21)</f>
        <v>51666</v>
      </c>
      <c r="X16" s="1839">
        <f>SUM(X17:X21)</f>
        <v>313319</v>
      </c>
      <c r="Y16" s="1839">
        <f>SUM(Y17:Y21)</f>
        <v>26340</v>
      </c>
    </row>
    <row r="17" spans="1:25">
      <c r="A17" s="53" t="s">
        <v>563</v>
      </c>
      <c r="B17" s="1204">
        <f t="shared" si="1"/>
        <v>0</v>
      </c>
      <c r="C17" s="1204">
        <v>0</v>
      </c>
      <c r="D17" s="1204">
        <v>0</v>
      </c>
      <c r="E17" s="1204">
        <v>0</v>
      </c>
      <c r="F17" s="1204">
        <f t="shared" si="2"/>
        <v>0</v>
      </c>
      <c r="G17" s="1204">
        <v>0</v>
      </c>
      <c r="H17" s="1204">
        <v>0</v>
      </c>
      <c r="I17" s="1204">
        <v>0</v>
      </c>
      <c r="J17" s="1204">
        <f t="shared" si="3"/>
        <v>0</v>
      </c>
      <c r="K17" s="1204">
        <v>0</v>
      </c>
      <c r="L17" s="1204">
        <v>0</v>
      </c>
      <c r="M17" s="1204">
        <v>0</v>
      </c>
      <c r="N17" s="1204">
        <f t="shared" si="4"/>
        <v>0</v>
      </c>
      <c r="O17" s="1204">
        <v>0</v>
      </c>
      <c r="P17" s="1204">
        <v>0</v>
      </c>
      <c r="Q17" s="1204">
        <v>0</v>
      </c>
      <c r="R17" s="1204">
        <f t="shared" si="5"/>
        <v>0</v>
      </c>
      <c r="S17" s="1204">
        <v>0</v>
      </c>
      <c r="T17" s="1204">
        <v>0</v>
      </c>
      <c r="U17" s="1204">
        <v>0</v>
      </c>
      <c r="V17" s="1840">
        <f t="shared" si="6"/>
        <v>0</v>
      </c>
      <c r="W17" s="1840">
        <v>0</v>
      </c>
      <c r="X17" s="1840">
        <v>0</v>
      </c>
      <c r="Y17" s="1840">
        <v>0</v>
      </c>
    </row>
    <row r="18" spans="1:25">
      <c r="A18" s="53" t="s">
        <v>564</v>
      </c>
      <c r="B18" s="1204">
        <f t="shared" si="1"/>
        <v>0</v>
      </c>
      <c r="C18" s="1204">
        <v>0</v>
      </c>
      <c r="D18" s="1204">
        <v>0</v>
      </c>
      <c r="E18" s="1204">
        <v>0</v>
      </c>
      <c r="F18" s="1204">
        <f t="shared" si="2"/>
        <v>0</v>
      </c>
      <c r="G18" s="1204">
        <v>0</v>
      </c>
      <c r="H18" s="1204">
        <v>0</v>
      </c>
      <c r="I18" s="1204">
        <v>0</v>
      </c>
      <c r="J18" s="1204">
        <f t="shared" si="3"/>
        <v>0</v>
      </c>
      <c r="K18" s="1204">
        <v>0</v>
      </c>
      <c r="L18" s="1204">
        <v>0</v>
      </c>
      <c r="M18" s="1204">
        <v>0</v>
      </c>
      <c r="N18" s="1204">
        <f t="shared" si="4"/>
        <v>0</v>
      </c>
      <c r="O18" s="1204">
        <v>0</v>
      </c>
      <c r="P18" s="1204">
        <v>0</v>
      </c>
      <c r="Q18" s="1204">
        <v>0</v>
      </c>
      <c r="R18" s="1204">
        <f t="shared" si="5"/>
        <v>0</v>
      </c>
      <c r="S18" s="1204">
        <v>0</v>
      </c>
      <c r="T18" s="1204">
        <v>0</v>
      </c>
      <c r="U18" s="1204">
        <v>0</v>
      </c>
      <c r="V18" s="1840">
        <f t="shared" si="6"/>
        <v>0</v>
      </c>
      <c r="W18" s="1840">
        <v>0</v>
      </c>
      <c r="X18" s="1840">
        <v>0</v>
      </c>
      <c r="Y18" s="1840">
        <v>0</v>
      </c>
    </row>
    <row r="19" spans="1:25">
      <c r="A19" s="53" t="s">
        <v>565</v>
      </c>
      <c r="B19" s="1204">
        <f t="shared" si="1"/>
        <v>168332</v>
      </c>
      <c r="C19" s="1204">
        <v>12728</v>
      </c>
      <c r="D19" s="1204">
        <v>142354</v>
      </c>
      <c r="E19" s="1204">
        <v>13250</v>
      </c>
      <c r="F19" s="1204">
        <f t="shared" si="2"/>
        <v>208569</v>
      </c>
      <c r="G19" s="1204">
        <v>19295</v>
      </c>
      <c r="H19" s="1204">
        <v>175468</v>
      </c>
      <c r="I19" s="1204">
        <v>13806</v>
      </c>
      <c r="J19" s="1204">
        <f t="shared" si="3"/>
        <v>213230</v>
      </c>
      <c r="K19" s="1204">
        <v>23834</v>
      </c>
      <c r="L19" s="1204">
        <v>172135</v>
      </c>
      <c r="M19" s="1204">
        <v>17261</v>
      </c>
      <c r="N19" s="1204">
        <f t="shared" si="4"/>
        <v>238737</v>
      </c>
      <c r="O19" s="1204">
        <v>19996</v>
      </c>
      <c r="P19" s="1204">
        <v>108109</v>
      </c>
      <c r="Q19" s="1204">
        <v>110632</v>
      </c>
      <c r="R19" s="1204">
        <f t="shared" si="5"/>
        <v>261414</v>
      </c>
      <c r="S19" s="1204">
        <v>21296</v>
      </c>
      <c r="T19" s="1204">
        <v>118479</v>
      </c>
      <c r="U19" s="1204">
        <v>121639</v>
      </c>
      <c r="V19" s="1840">
        <f t="shared" si="6"/>
        <v>263142</v>
      </c>
      <c r="W19" s="1840">
        <v>34180</v>
      </c>
      <c r="X19" s="1840">
        <v>209153</v>
      </c>
      <c r="Y19" s="1840">
        <v>19809</v>
      </c>
    </row>
    <row r="20" spans="1:25">
      <c r="A20" s="53" t="s">
        <v>658</v>
      </c>
      <c r="B20" s="1204">
        <f t="shared" si="1"/>
        <v>0</v>
      </c>
      <c r="C20" s="1204">
        <v>0</v>
      </c>
      <c r="D20" s="1204">
        <v>0</v>
      </c>
      <c r="E20" s="1204">
        <v>0</v>
      </c>
      <c r="F20" s="1204">
        <f t="shared" si="2"/>
        <v>0</v>
      </c>
      <c r="G20" s="1204">
        <v>0</v>
      </c>
      <c r="H20" s="1204">
        <v>0</v>
      </c>
      <c r="I20" s="1204">
        <v>0</v>
      </c>
      <c r="J20" s="1204">
        <f t="shared" si="3"/>
        <v>0</v>
      </c>
      <c r="K20" s="1204">
        <v>0</v>
      </c>
      <c r="L20" s="1204">
        <v>0</v>
      </c>
      <c r="M20" s="1204">
        <v>0</v>
      </c>
      <c r="N20" s="1204">
        <f t="shared" si="4"/>
        <v>0</v>
      </c>
      <c r="O20" s="1204">
        <v>0</v>
      </c>
      <c r="P20" s="1204">
        <v>0</v>
      </c>
      <c r="Q20" s="1204">
        <v>0</v>
      </c>
      <c r="R20" s="1204">
        <f t="shared" si="5"/>
        <v>0</v>
      </c>
      <c r="S20" s="1204">
        <v>0</v>
      </c>
      <c r="T20" s="1204">
        <v>0</v>
      </c>
      <c r="U20" s="1204">
        <v>0</v>
      </c>
      <c r="V20" s="1840">
        <f t="shared" si="6"/>
        <v>0</v>
      </c>
      <c r="W20" s="1840">
        <v>0</v>
      </c>
      <c r="X20" s="1840">
        <v>0</v>
      </c>
      <c r="Y20" s="1840">
        <v>0</v>
      </c>
    </row>
    <row r="21" spans="1:25">
      <c r="A21" s="53" t="s">
        <v>567</v>
      </c>
      <c r="B21" s="1204">
        <f t="shared" si="1"/>
        <v>111406</v>
      </c>
      <c r="C21" s="1204">
        <v>17729</v>
      </c>
      <c r="D21" s="1204">
        <v>88404</v>
      </c>
      <c r="E21" s="1204">
        <v>5273</v>
      </c>
      <c r="F21" s="1204">
        <f t="shared" si="2"/>
        <v>107319</v>
      </c>
      <c r="G21" s="1204">
        <v>18041</v>
      </c>
      <c r="H21" s="1204">
        <v>81480</v>
      </c>
      <c r="I21" s="1204">
        <v>7798</v>
      </c>
      <c r="J21" s="1204">
        <f t="shared" si="3"/>
        <v>117087</v>
      </c>
      <c r="K21" s="1204">
        <v>18396</v>
      </c>
      <c r="L21" s="1204">
        <v>90554</v>
      </c>
      <c r="M21" s="1204">
        <v>8137</v>
      </c>
      <c r="N21" s="1204">
        <f t="shared" si="4"/>
        <v>126801</v>
      </c>
      <c r="O21" s="1204">
        <v>7216</v>
      </c>
      <c r="P21" s="1204">
        <v>64104</v>
      </c>
      <c r="Q21" s="1204">
        <v>55481</v>
      </c>
      <c r="R21" s="1204">
        <f t="shared" si="5"/>
        <v>168425</v>
      </c>
      <c r="S21" s="1204">
        <v>8040</v>
      </c>
      <c r="T21" s="1204">
        <v>83857</v>
      </c>
      <c r="U21" s="1204">
        <v>76528</v>
      </c>
      <c r="V21" s="1840">
        <f t="shared" si="6"/>
        <v>128183</v>
      </c>
      <c r="W21" s="1840">
        <v>17486</v>
      </c>
      <c r="X21" s="1840">
        <v>104166</v>
      </c>
      <c r="Y21" s="1840">
        <v>6531</v>
      </c>
    </row>
    <row r="22" spans="1:25" s="150" customFormat="1">
      <c r="A22" s="150" t="s">
        <v>10</v>
      </c>
      <c r="B22" s="1821">
        <f>SUM(C22:E22)</f>
        <v>17647</v>
      </c>
      <c r="C22" s="1821">
        <f>SUM(C23:C25)</f>
        <v>2101</v>
      </c>
      <c r="D22" s="1821">
        <f>SUM(D23:D25)</f>
        <v>15289</v>
      </c>
      <c r="E22" s="1821">
        <f>SUM(E23:E25)</f>
        <v>257</v>
      </c>
      <c r="F22" s="1821">
        <f>SUM(G22:I22)</f>
        <v>24873</v>
      </c>
      <c r="G22" s="1821">
        <f>SUM(G23:G25)</f>
        <v>3982</v>
      </c>
      <c r="H22" s="1821">
        <f>SUM(H23:H25)</f>
        <v>20074</v>
      </c>
      <c r="I22" s="1821">
        <f>SUM(I23:I25)</f>
        <v>817</v>
      </c>
      <c r="J22" s="1821">
        <f>SUM(K22:M22)</f>
        <v>16474</v>
      </c>
      <c r="K22" s="1821">
        <f>SUM(K23:K25)</f>
        <v>4009</v>
      </c>
      <c r="L22" s="1821">
        <f>SUM(L23:L25)</f>
        <v>11514</v>
      </c>
      <c r="M22" s="1821">
        <f>SUM(M23:M25)</f>
        <v>951</v>
      </c>
      <c r="N22" s="1821">
        <f>SUM(O22:Q22)</f>
        <v>19493</v>
      </c>
      <c r="O22" s="1821">
        <f>SUM(O23:O25)</f>
        <v>1768</v>
      </c>
      <c r="P22" s="1821">
        <f>SUM(P23:P25)</f>
        <v>8917</v>
      </c>
      <c r="Q22" s="1821">
        <f>SUM(Q23:Q25)</f>
        <v>8808</v>
      </c>
      <c r="R22" s="1821">
        <f>SUM(S22:U22)</f>
        <v>19562</v>
      </c>
      <c r="S22" s="1821">
        <f>SUM(S23:S25)</f>
        <v>517</v>
      </c>
      <c r="T22" s="1821">
        <f>SUM(T23:T25)</f>
        <v>9838</v>
      </c>
      <c r="U22" s="1821">
        <f>SUM(U23:U25)</f>
        <v>9207</v>
      </c>
      <c r="V22" s="1839">
        <f t="shared" si="6"/>
        <v>22181</v>
      </c>
      <c r="W22" s="1839">
        <f>SUM(W23:W25)</f>
        <v>9232</v>
      </c>
      <c r="X22" s="1839">
        <f>SUM(X23:X25)</f>
        <v>11655</v>
      </c>
      <c r="Y22" s="1839">
        <f>SUM(Y23:Y25)</f>
        <v>1294</v>
      </c>
    </row>
    <row r="23" spans="1:25">
      <c r="A23" s="53" t="s">
        <v>568</v>
      </c>
      <c r="B23" s="1204">
        <f t="shared" si="1"/>
        <v>14964</v>
      </c>
      <c r="C23" s="1204">
        <v>1685</v>
      </c>
      <c r="D23" s="1204">
        <v>13022</v>
      </c>
      <c r="E23" s="1204">
        <v>257</v>
      </c>
      <c r="F23" s="1204">
        <f t="shared" si="2"/>
        <v>22539</v>
      </c>
      <c r="G23" s="1204">
        <v>3544</v>
      </c>
      <c r="H23" s="1204">
        <v>18178</v>
      </c>
      <c r="I23" s="1204">
        <v>817</v>
      </c>
      <c r="J23" s="1204">
        <f t="shared" si="3"/>
        <v>12788</v>
      </c>
      <c r="K23" s="1204">
        <v>3010</v>
      </c>
      <c r="L23" s="1204">
        <v>8827</v>
      </c>
      <c r="M23" s="1204">
        <v>951</v>
      </c>
      <c r="N23" s="1204">
        <f t="shared" si="4"/>
        <v>15206</v>
      </c>
      <c r="O23" s="1204">
        <v>1748</v>
      </c>
      <c r="P23" s="1204">
        <v>6678</v>
      </c>
      <c r="Q23" s="1204">
        <v>6780</v>
      </c>
      <c r="R23" s="1204">
        <f t="shared" si="5"/>
        <v>14503</v>
      </c>
      <c r="S23" s="1204">
        <v>516</v>
      </c>
      <c r="T23" s="1204">
        <v>7258</v>
      </c>
      <c r="U23" s="1204">
        <v>6729</v>
      </c>
      <c r="V23" s="1840">
        <f t="shared" si="6"/>
        <v>17631</v>
      </c>
      <c r="W23" s="1840">
        <v>8201</v>
      </c>
      <c r="X23" s="1840">
        <v>8158</v>
      </c>
      <c r="Y23" s="1840">
        <v>1272</v>
      </c>
    </row>
    <row r="24" spans="1:25">
      <c r="A24" s="53" t="s">
        <v>569</v>
      </c>
      <c r="B24" s="1204">
        <f t="shared" si="1"/>
        <v>2386</v>
      </c>
      <c r="C24" s="1204">
        <v>411</v>
      </c>
      <c r="D24" s="1204">
        <v>1975</v>
      </c>
      <c r="E24" s="1204">
        <v>0</v>
      </c>
      <c r="F24" s="1204">
        <f t="shared" si="2"/>
        <v>2010</v>
      </c>
      <c r="G24" s="1204">
        <v>438</v>
      </c>
      <c r="H24" s="1204">
        <v>1572</v>
      </c>
      <c r="I24" s="1204">
        <v>0</v>
      </c>
      <c r="J24" s="1204">
        <f t="shared" si="3"/>
        <v>3283</v>
      </c>
      <c r="K24" s="1204">
        <v>996</v>
      </c>
      <c r="L24" s="1204">
        <v>2287</v>
      </c>
      <c r="M24" s="1204">
        <v>0</v>
      </c>
      <c r="N24" s="1204">
        <f t="shared" si="4"/>
        <v>3781</v>
      </c>
      <c r="O24" s="1204">
        <v>20</v>
      </c>
      <c r="P24" s="1204">
        <v>1930</v>
      </c>
      <c r="Q24" s="1204">
        <v>1831</v>
      </c>
      <c r="R24" s="1204">
        <f t="shared" si="5"/>
        <v>4472</v>
      </c>
      <c r="S24" s="1204">
        <v>1</v>
      </c>
      <c r="T24" s="1204">
        <v>2223</v>
      </c>
      <c r="U24" s="1204">
        <v>2248</v>
      </c>
      <c r="V24" s="1840">
        <f t="shared" si="6"/>
        <v>3864</v>
      </c>
      <c r="W24" s="1840">
        <v>1025</v>
      </c>
      <c r="X24" s="1840">
        <v>2825</v>
      </c>
      <c r="Y24" s="1840">
        <v>14</v>
      </c>
    </row>
    <row r="25" spans="1:25">
      <c r="A25" s="53" t="s">
        <v>668</v>
      </c>
      <c r="B25" s="1204">
        <f t="shared" si="1"/>
        <v>297</v>
      </c>
      <c r="C25" s="1204">
        <v>5</v>
      </c>
      <c r="D25" s="1204">
        <v>292</v>
      </c>
      <c r="E25" s="1204">
        <v>0</v>
      </c>
      <c r="F25" s="1204">
        <f t="shared" si="2"/>
        <v>324</v>
      </c>
      <c r="G25" s="1204">
        <v>0</v>
      </c>
      <c r="H25" s="1204">
        <v>324</v>
      </c>
      <c r="I25" s="1204">
        <v>0</v>
      </c>
      <c r="J25" s="1204">
        <f t="shared" si="3"/>
        <v>403</v>
      </c>
      <c r="K25" s="1204">
        <v>3</v>
      </c>
      <c r="L25" s="1204">
        <v>400</v>
      </c>
      <c r="M25" s="1204">
        <v>0</v>
      </c>
      <c r="N25" s="1204">
        <f t="shared" si="4"/>
        <v>506</v>
      </c>
      <c r="O25" s="1204">
        <v>0</v>
      </c>
      <c r="P25" s="1204">
        <v>309</v>
      </c>
      <c r="Q25" s="1204">
        <v>197</v>
      </c>
      <c r="R25" s="1204">
        <f t="shared" si="5"/>
        <v>587</v>
      </c>
      <c r="S25" s="1204">
        <v>0</v>
      </c>
      <c r="T25" s="1204">
        <v>357</v>
      </c>
      <c r="U25" s="1204">
        <v>230</v>
      </c>
      <c r="V25" s="1840">
        <f t="shared" si="6"/>
        <v>686</v>
      </c>
      <c r="W25" s="1840">
        <v>6</v>
      </c>
      <c r="X25" s="1840">
        <v>672</v>
      </c>
      <c r="Y25" s="1840">
        <v>8</v>
      </c>
    </row>
    <row r="26" spans="1:25" s="150" customFormat="1">
      <c r="A26" s="150" t="s">
        <v>11</v>
      </c>
      <c r="B26" s="1821">
        <f>SUM(C26:E26)</f>
        <v>51524</v>
      </c>
      <c r="C26" s="1821">
        <f>SUM(C27:C30)</f>
        <v>9416</v>
      </c>
      <c r="D26" s="1821">
        <f>SUM(D27:D30)</f>
        <v>41690</v>
      </c>
      <c r="E26" s="1821">
        <f>SUM(E27:E30)</f>
        <v>418</v>
      </c>
      <c r="F26" s="1821">
        <f>SUM(G26:I26)</f>
        <v>57234</v>
      </c>
      <c r="G26" s="1821">
        <f>SUM(G27:G30)</f>
        <v>12181</v>
      </c>
      <c r="H26" s="1821">
        <f>SUM(H27:H30)</f>
        <v>44514</v>
      </c>
      <c r="I26" s="1821">
        <f>SUM(I27:I30)</f>
        <v>539</v>
      </c>
      <c r="J26" s="1821">
        <f>SUM(K26:M26)</f>
        <v>47833</v>
      </c>
      <c r="K26" s="1821">
        <f>SUM(K27:K30)</f>
        <v>10079</v>
      </c>
      <c r="L26" s="1821">
        <f>SUM(L27:L30)</f>
        <v>36698</v>
      </c>
      <c r="M26" s="1821">
        <f>SUM(M27:M30)</f>
        <v>1056</v>
      </c>
      <c r="N26" s="1821">
        <f>SUM(O26:Q26)</f>
        <v>71344</v>
      </c>
      <c r="O26" s="1821">
        <f>SUM(O27:O30)</f>
        <v>851</v>
      </c>
      <c r="P26" s="1821">
        <f>SUM(P27:P30)</f>
        <v>32274</v>
      </c>
      <c r="Q26" s="1821">
        <f>SUM(Q27:Q30)</f>
        <v>38219</v>
      </c>
      <c r="R26" s="1821">
        <f>SUM(S26:U26)</f>
        <v>70191</v>
      </c>
      <c r="S26" s="1821">
        <f>SUM(S27:S30)</f>
        <v>1704</v>
      </c>
      <c r="T26" s="1821">
        <f>SUM(T27:T30)</f>
        <v>31472</v>
      </c>
      <c r="U26" s="1821">
        <f>SUM(U27:U30)</f>
        <v>37015</v>
      </c>
      <c r="V26" s="1839">
        <f>+V27+V28+V29+V30</f>
        <v>79303</v>
      </c>
      <c r="W26" s="1839">
        <f>+W27+W28+W29+W30</f>
        <v>17033</v>
      </c>
      <c r="X26" s="1839">
        <f>+X27+X28+X29+X30</f>
        <v>60637</v>
      </c>
      <c r="Y26" s="1839">
        <f>+Y27+Y28+Y29+Y30</f>
        <v>1633</v>
      </c>
    </row>
    <row r="27" spans="1:25">
      <c r="A27" s="53" t="s">
        <v>571</v>
      </c>
      <c r="B27" s="1204">
        <f t="shared" si="1"/>
        <v>15361</v>
      </c>
      <c r="C27" s="1204">
        <v>3020</v>
      </c>
      <c r="D27" s="1204">
        <v>12073</v>
      </c>
      <c r="E27" s="1204">
        <v>268</v>
      </c>
      <c r="F27" s="1204">
        <f t="shared" si="2"/>
        <v>15767</v>
      </c>
      <c r="G27" s="1204">
        <v>3648</v>
      </c>
      <c r="H27" s="1204">
        <v>12031</v>
      </c>
      <c r="I27" s="1204">
        <v>88</v>
      </c>
      <c r="J27" s="1204">
        <f t="shared" si="3"/>
        <v>16776</v>
      </c>
      <c r="K27" s="1204">
        <v>4435</v>
      </c>
      <c r="L27" s="1204">
        <v>12205</v>
      </c>
      <c r="M27" s="1204">
        <v>136</v>
      </c>
      <c r="N27" s="1204">
        <f t="shared" si="4"/>
        <v>17662</v>
      </c>
      <c r="O27" s="1204">
        <v>290</v>
      </c>
      <c r="P27" s="1204">
        <v>8416</v>
      </c>
      <c r="Q27" s="1204">
        <v>8956</v>
      </c>
      <c r="R27" s="1204">
        <f t="shared" si="5"/>
        <v>16203</v>
      </c>
      <c r="S27" s="1204">
        <v>527</v>
      </c>
      <c r="T27" s="1204">
        <v>7844</v>
      </c>
      <c r="U27" s="1204">
        <v>7832</v>
      </c>
      <c r="V27" s="1840">
        <f t="shared" ref="V27:V76" si="7">SUM(W27:Y27)</f>
        <v>20312</v>
      </c>
      <c r="W27" s="1840">
        <v>5885</v>
      </c>
      <c r="X27" s="1840">
        <v>13574</v>
      </c>
      <c r="Y27" s="1840">
        <v>853</v>
      </c>
    </row>
    <row r="28" spans="1:25">
      <c r="A28" s="53" t="s">
        <v>572</v>
      </c>
      <c r="B28" s="1204">
        <f t="shared" si="1"/>
        <v>29310</v>
      </c>
      <c r="C28" s="1204">
        <v>4365</v>
      </c>
      <c r="D28" s="1204">
        <v>24857</v>
      </c>
      <c r="E28" s="1204">
        <v>88</v>
      </c>
      <c r="F28" s="1204">
        <f t="shared" si="2"/>
        <v>33481</v>
      </c>
      <c r="G28" s="1204">
        <v>6082</v>
      </c>
      <c r="H28" s="1204">
        <v>27017</v>
      </c>
      <c r="I28" s="1204">
        <v>382</v>
      </c>
      <c r="J28" s="1204">
        <f t="shared" si="3"/>
        <v>22993</v>
      </c>
      <c r="K28" s="1204">
        <v>3179</v>
      </c>
      <c r="L28" s="1204">
        <v>19036</v>
      </c>
      <c r="M28" s="1204">
        <v>778</v>
      </c>
      <c r="N28" s="1204">
        <f t="shared" si="4"/>
        <v>44880</v>
      </c>
      <c r="O28" s="1204">
        <v>323</v>
      </c>
      <c r="P28" s="1204">
        <v>19667</v>
      </c>
      <c r="Q28" s="1204">
        <v>24890</v>
      </c>
      <c r="R28" s="1204">
        <f t="shared" si="5"/>
        <v>46050</v>
      </c>
      <c r="S28" s="1204">
        <v>926</v>
      </c>
      <c r="T28" s="1204">
        <v>19695</v>
      </c>
      <c r="U28" s="1204">
        <v>25429</v>
      </c>
      <c r="V28" s="1840">
        <f t="shared" si="7"/>
        <v>51050</v>
      </c>
      <c r="W28" s="1840">
        <v>8718</v>
      </c>
      <c r="X28" s="1840">
        <v>41892</v>
      </c>
      <c r="Y28" s="1840">
        <v>440</v>
      </c>
    </row>
    <row r="29" spans="1:25">
      <c r="A29" s="53" t="s">
        <v>669</v>
      </c>
      <c r="B29" s="1204">
        <f t="shared" si="1"/>
        <v>3068</v>
      </c>
      <c r="C29" s="1204">
        <v>923</v>
      </c>
      <c r="D29" s="1204">
        <v>2145</v>
      </c>
      <c r="E29" s="1204">
        <v>0</v>
      </c>
      <c r="F29" s="1204">
        <f t="shared" si="2"/>
        <v>3540</v>
      </c>
      <c r="G29" s="1204">
        <v>1220</v>
      </c>
      <c r="H29" s="1204">
        <v>2320</v>
      </c>
      <c r="I29" s="1204">
        <v>0</v>
      </c>
      <c r="J29" s="1204">
        <f t="shared" si="3"/>
        <v>3048</v>
      </c>
      <c r="K29" s="1204">
        <v>1122</v>
      </c>
      <c r="L29" s="1204">
        <v>1913</v>
      </c>
      <c r="M29" s="1204">
        <v>13</v>
      </c>
      <c r="N29" s="1204">
        <f t="shared" si="4"/>
        <v>3621</v>
      </c>
      <c r="O29" s="1204">
        <v>0</v>
      </c>
      <c r="P29" s="1204">
        <v>1828</v>
      </c>
      <c r="Q29" s="1204">
        <v>1793</v>
      </c>
      <c r="R29" s="1204">
        <f t="shared" si="5"/>
        <v>2850</v>
      </c>
      <c r="S29" s="1204">
        <v>0</v>
      </c>
      <c r="T29" s="1204">
        <v>1458</v>
      </c>
      <c r="U29" s="1204">
        <v>1392</v>
      </c>
      <c r="V29" s="1840">
        <f t="shared" si="7"/>
        <v>2888</v>
      </c>
      <c r="W29" s="1840">
        <v>892</v>
      </c>
      <c r="X29" s="1840">
        <v>1996</v>
      </c>
      <c r="Y29" s="1840">
        <v>0</v>
      </c>
    </row>
    <row r="30" spans="1:25">
      <c r="A30" s="53" t="s">
        <v>574</v>
      </c>
      <c r="B30" s="1204">
        <f t="shared" si="1"/>
        <v>3785</v>
      </c>
      <c r="C30" s="1204">
        <v>1108</v>
      </c>
      <c r="D30" s="1204">
        <v>2615</v>
      </c>
      <c r="E30" s="1204">
        <v>62</v>
      </c>
      <c r="F30" s="1204">
        <f t="shared" si="2"/>
        <v>4446</v>
      </c>
      <c r="G30" s="1204">
        <v>1231</v>
      </c>
      <c r="H30" s="1204">
        <v>3146</v>
      </c>
      <c r="I30" s="1204">
        <v>69</v>
      </c>
      <c r="J30" s="1204">
        <f t="shared" si="3"/>
        <v>5016</v>
      </c>
      <c r="K30" s="1204">
        <v>1343</v>
      </c>
      <c r="L30" s="1204">
        <v>3544</v>
      </c>
      <c r="M30" s="1204">
        <v>129</v>
      </c>
      <c r="N30" s="1204">
        <f t="shared" si="4"/>
        <v>5181</v>
      </c>
      <c r="O30" s="1204">
        <v>238</v>
      </c>
      <c r="P30" s="1204">
        <v>2363</v>
      </c>
      <c r="Q30" s="1204">
        <v>2580</v>
      </c>
      <c r="R30" s="1204">
        <f t="shared" si="5"/>
        <v>5088</v>
      </c>
      <c r="S30" s="1204">
        <v>251</v>
      </c>
      <c r="T30" s="1204">
        <v>2475</v>
      </c>
      <c r="U30" s="1204">
        <v>2362</v>
      </c>
      <c r="V30" s="1840">
        <f t="shared" si="7"/>
        <v>5053</v>
      </c>
      <c r="W30" s="1840">
        <v>1538</v>
      </c>
      <c r="X30" s="1840">
        <v>3175</v>
      </c>
      <c r="Y30" s="1840">
        <v>340</v>
      </c>
    </row>
    <row r="31" spans="1:25" s="150" customFormat="1">
      <c r="A31" s="150" t="s">
        <v>12</v>
      </c>
      <c r="B31" s="1821">
        <f>SUM(C31:E31)</f>
        <v>141978</v>
      </c>
      <c r="C31" s="1821">
        <f>SUM(C32:C39)</f>
        <v>28796</v>
      </c>
      <c r="D31" s="1821">
        <f>SUM(D32:D39)</f>
        <v>98880</v>
      </c>
      <c r="E31" s="1821">
        <f>SUM(E32:E39)</f>
        <v>14302</v>
      </c>
      <c r="F31" s="1821">
        <f>SUM(G31:I31)</f>
        <v>146161</v>
      </c>
      <c r="G31" s="1821">
        <f>SUM(G32:G39)</f>
        <v>29876</v>
      </c>
      <c r="H31" s="1821">
        <f>SUM(H32:H39)</f>
        <v>103286</v>
      </c>
      <c r="I31" s="1821">
        <f>SUM(I32:I39)</f>
        <v>12999</v>
      </c>
      <c r="J31" s="1821">
        <f>SUM(K31:M31)</f>
        <v>134892</v>
      </c>
      <c r="K31" s="1821">
        <f>SUM(K32:K39)</f>
        <v>25507</v>
      </c>
      <c r="L31" s="1821">
        <f>SUM(L32:L39)</f>
        <v>97798</v>
      </c>
      <c r="M31" s="1821">
        <f>SUM(M32:M39)</f>
        <v>11587</v>
      </c>
      <c r="N31" s="1821">
        <f>SUM(O31:Q31)</f>
        <v>170766</v>
      </c>
      <c r="O31" s="1821">
        <f>SUM(O32:O39)</f>
        <v>12161</v>
      </c>
      <c r="P31" s="1821">
        <f>SUM(P32:P39)</f>
        <v>87356</v>
      </c>
      <c r="Q31" s="1821">
        <f>SUM(Q32:Q39)</f>
        <v>71249</v>
      </c>
      <c r="R31" s="1821">
        <f>SUM(S31:U31)</f>
        <v>207433</v>
      </c>
      <c r="S31" s="1821">
        <f>SUM(S32:S39)</f>
        <v>14315</v>
      </c>
      <c r="T31" s="1821">
        <f>SUM(T32:T39)</f>
        <v>105691</v>
      </c>
      <c r="U31" s="1821">
        <f>SUM(U32:U39)</f>
        <v>87427</v>
      </c>
      <c r="V31" s="1839">
        <f t="shared" si="7"/>
        <v>188405</v>
      </c>
      <c r="W31" s="1839">
        <f>SUM(W32:W39)</f>
        <v>31107</v>
      </c>
      <c r="X31" s="1839">
        <f>SUM(X32:X39)</f>
        <v>146668</v>
      </c>
      <c r="Y31" s="1839">
        <f>SUM(Y32:Y39)</f>
        <v>10630</v>
      </c>
    </row>
    <row r="32" spans="1:25">
      <c r="A32" s="53" t="s">
        <v>575</v>
      </c>
      <c r="B32" s="1204">
        <f t="shared" si="1"/>
        <v>39764</v>
      </c>
      <c r="C32" s="1204">
        <v>13689</v>
      </c>
      <c r="D32" s="1204">
        <v>23645</v>
      </c>
      <c r="E32" s="1204">
        <v>2430</v>
      </c>
      <c r="F32" s="1204">
        <f t="shared" si="2"/>
        <v>41204</v>
      </c>
      <c r="G32" s="1204">
        <v>13586</v>
      </c>
      <c r="H32" s="1204">
        <v>25413</v>
      </c>
      <c r="I32" s="1204">
        <v>2205</v>
      </c>
      <c r="J32" s="1204"/>
      <c r="K32" s="1204">
        <v>12375</v>
      </c>
      <c r="L32" s="1204">
        <v>30339</v>
      </c>
      <c r="M32" s="1204">
        <v>1800</v>
      </c>
      <c r="N32" s="1204">
        <f t="shared" si="4"/>
        <v>54326</v>
      </c>
      <c r="O32" s="1204">
        <v>1937</v>
      </c>
      <c r="P32" s="1204">
        <v>29104</v>
      </c>
      <c r="Q32" s="1204">
        <v>23285</v>
      </c>
      <c r="R32" s="1204">
        <f t="shared" si="5"/>
        <v>60430</v>
      </c>
      <c r="S32" s="1204">
        <v>2318</v>
      </c>
      <c r="T32" s="1204">
        <v>32108</v>
      </c>
      <c r="U32" s="1204">
        <v>26004</v>
      </c>
      <c r="V32" s="1840">
        <f t="shared" si="7"/>
        <v>54487</v>
      </c>
      <c r="W32" s="1840">
        <v>13301</v>
      </c>
      <c r="X32" s="1840">
        <v>39375</v>
      </c>
      <c r="Y32" s="1840">
        <v>1811</v>
      </c>
    </row>
    <row r="33" spans="1:25">
      <c r="A33" s="53" t="s">
        <v>576</v>
      </c>
      <c r="B33" s="1204">
        <f t="shared" si="1"/>
        <v>1222</v>
      </c>
      <c r="C33" s="1204">
        <v>144</v>
      </c>
      <c r="D33" s="1204">
        <v>1046</v>
      </c>
      <c r="E33" s="1204">
        <v>32</v>
      </c>
      <c r="F33" s="1204">
        <f t="shared" si="2"/>
        <v>1708</v>
      </c>
      <c r="G33" s="1204">
        <v>52</v>
      </c>
      <c r="H33" s="1204">
        <v>1614</v>
      </c>
      <c r="I33" s="1204">
        <v>42</v>
      </c>
      <c r="J33" s="1204">
        <f t="shared" si="3"/>
        <v>1048</v>
      </c>
      <c r="K33" s="1204">
        <v>139</v>
      </c>
      <c r="L33" s="1204">
        <v>898</v>
      </c>
      <c r="M33" s="1204">
        <v>11</v>
      </c>
      <c r="N33" s="1204">
        <f t="shared" si="4"/>
        <v>1525</v>
      </c>
      <c r="O33" s="1204">
        <v>109</v>
      </c>
      <c r="P33" s="1204">
        <v>865</v>
      </c>
      <c r="Q33" s="1204">
        <v>551</v>
      </c>
      <c r="R33" s="1204">
        <f t="shared" si="5"/>
        <v>1219</v>
      </c>
      <c r="S33" s="1204">
        <v>77</v>
      </c>
      <c r="T33" s="1204">
        <v>691</v>
      </c>
      <c r="U33" s="1204">
        <v>451</v>
      </c>
      <c r="V33" s="1840">
        <f t="shared" si="7"/>
        <v>2759</v>
      </c>
      <c r="W33" s="1840">
        <v>408</v>
      </c>
      <c r="X33" s="1840">
        <v>2275</v>
      </c>
      <c r="Y33" s="1840">
        <v>76</v>
      </c>
    </row>
    <row r="34" spans="1:25">
      <c r="A34" s="53" t="s">
        <v>577</v>
      </c>
      <c r="B34" s="1204">
        <f t="shared" si="1"/>
        <v>0</v>
      </c>
      <c r="C34" s="1204">
        <v>0</v>
      </c>
      <c r="D34" s="1204">
        <v>0</v>
      </c>
      <c r="E34" s="1204">
        <v>0</v>
      </c>
      <c r="F34" s="1204">
        <f t="shared" si="2"/>
        <v>0</v>
      </c>
      <c r="G34" s="1204">
        <v>0</v>
      </c>
      <c r="H34" s="1204">
        <v>0</v>
      </c>
      <c r="I34" s="1204">
        <v>0</v>
      </c>
      <c r="J34" s="1204">
        <f t="shared" si="3"/>
        <v>0</v>
      </c>
      <c r="K34" s="1204">
        <v>0</v>
      </c>
      <c r="L34" s="1204">
        <v>0</v>
      </c>
      <c r="M34" s="1204">
        <v>0</v>
      </c>
      <c r="N34" s="1204">
        <f t="shared" si="4"/>
        <v>0</v>
      </c>
      <c r="O34" s="1204">
        <v>0</v>
      </c>
      <c r="P34" s="1204">
        <v>0</v>
      </c>
      <c r="Q34" s="1204">
        <v>0</v>
      </c>
      <c r="R34" s="1204">
        <f t="shared" si="5"/>
        <v>0</v>
      </c>
      <c r="S34" s="1204">
        <v>0</v>
      </c>
      <c r="T34" s="1204">
        <v>0</v>
      </c>
      <c r="U34" s="1204">
        <v>0</v>
      </c>
      <c r="V34" s="1840">
        <f t="shared" si="7"/>
        <v>0</v>
      </c>
      <c r="W34" s="1840">
        <v>0</v>
      </c>
      <c r="X34" s="1840">
        <v>0</v>
      </c>
      <c r="Y34" s="1840">
        <v>0</v>
      </c>
    </row>
    <row r="35" spans="1:25">
      <c r="A35" s="53" t="s">
        <v>578</v>
      </c>
      <c r="B35" s="1204">
        <f t="shared" si="1"/>
        <v>43315</v>
      </c>
      <c r="C35" s="1204">
        <v>8945</v>
      </c>
      <c r="D35" s="1204">
        <v>28272</v>
      </c>
      <c r="E35" s="1204">
        <v>6098</v>
      </c>
      <c r="F35" s="1204">
        <f t="shared" si="2"/>
        <v>41989</v>
      </c>
      <c r="G35" s="1204">
        <v>9901</v>
      </c>
      <c r="H35" s="1204">
        <v>25959</v>
      </c>
      <c r="I35" s="1204">
        <v>6129</v>
      </c>
      <c r="J35" s="1204">
        <f t="shared" si="3"/>
        <v>20638</v>
      </c>
      <c r="K35" s="1204">
        <v>5684</v>
      </c>
      <c r="L35" s="1204">
        <v>12738</v>
      </c>
      <c r="M35" s="1204">
        <v>2216</v>
      </c>
      <c r="N35" s="1204">
        <f t="shared" si="4"/>
        <v>37852</v>
      </c>
      <c r="O35" s="1204">
        <v>4640</v>
      </c>
      <c r="P35" s="1204">
        <v>22940</v>
      </c>
      <c r="Q35" s="1204">
        <v>10272</v>
      </c>
      <c r="R35" s="1204">
        <f t="shared" si="5"/>
        <v>58133</v>
      </c>
      <c r="S35" s="1204">
        <v>6925</v>
      </c>
      <c r="T35" s="1204">
        <v>34561</v>
      </c>
      <c r="U35" s="1204">
        <v>16647</v>
      </c>
      <c r="V35" s="1840">
        <f t="shared" si="7"/>
        <v>37021</v>
      </c>
      <c r="W35" s="1840">
        <v>6548</v>
      </c>
      <c r="X35" s="1840">
        <v>26542</v>
      </c>
      <c r="Y35" s="1840">
        <v>3931</v>
      </c>
    </row>
    <row r="36" spans="1:25">
      <c r="A36" s="53" t="s">
        <v>579</v>
      </c>
      <c r="B36" s="1204">
        <f t="shared" si="1"/>
        <v>1904</v>
      </c>
      <c r="C36" s="1204">
        <v>747</v>
      </c>
      <c r="D36" s="1204">
        <v>1067</v>
      </c>
      <c r="E36" s="1204">
        <v>90</v>
      </c>
      <c r="F36" s="1204">
        <f t="shared" si="2"/>
        <v>1747</v>
      </c>
      <c r="G36" s="1204">
        <v>650</v>
      </c>
      <c r="H36" s="1204">
        <v>962</v>
      </c>
      <c r="I36" s="1204">
        <v>135</v>
      </c>
      <c r="J36" s="1204">
        <f t="shared" si="3"/>
        <v>1569</v>
      </c>
      <c r="K36" s="1204">
        <v>762</v>
      </c>
      <c r="L36" s="1204">
        <v>747</v>
      </c>
      <c r="M36" s="1204">
        <v>60</v>
      </c>
      <c r="N36" s="1204">
        <f t="shared" si="4"/>
        <v>1930</v>
      </c>
      <c r="O36" s="1204">
        <v>85</v>
      </c>
      <c r="P36" s="1204">
        <v>872</v>
      </c>
      <c r="Q36" s="1204">
        <v>973</v>
      </c>
      <c r="R36" s="1204">
        <f t="shared" si="5"/>
        <v>2079</v>
      </c>
      <c r="S36" s="1204">
        <v>115</v>
      </c>
      <c r="T36" s="1204">
        <v>1053</v>
      </c>
      <c r="U36" s="1204">
        <v>911</v>
      </c>
      <c r="V36" s="1840">
        <f t="shared" si="7"/>
        <v>1534</v>
      </c>
      <c r="W36" s="1840">
        <v>259</v>
      </c>
      <c r="X36" s="1840">
        <v>1189</v>
      </c>
      <c r="Y36" s="1840">
        <v>86</v>
      </c>
    </row>
    <row r="37" spans="1:25">
      <c r="A37" s="53" t="s">
        <v>580</v>
      </c>
      <c r="B37" s="1204">
        <f t="shared" si="1"/>
        <v>0</v>
      </c>
      <c r="C37" s="1204">
        <v>0</v>
      </c>
      <c r="D37" s="1204">
        <v>0</v>
      </c>
      <c r="E37" s="1204">
        <v>0</v>
      </c>
      <c r="F37" s="1204">
        <f t="shared" si="2"/>
        <v>0</v>
      </c>
      <c r="G37" s="1204">
        <v>0</v>
      </c>
      <c r="H37" s="1204">
        <v>0</v>
      </c>
      <c r="I37" s="1204">
        <v>0</v>
      </c>
      <c r="J37" s="1204">
        <f t="shared" si="3"/>
        <v>0</v>
      </c>
      <c r="K37" s="1204">
        <v>0</v>
      </c>
      <c r="L37" s="1204">
        <v>0</v>
      </c>
      <c r="M37" s="1204">
        <v>0</v>
      </c>
      <c r="N37" s="1204">
        <f t="shared" si="4"/>
        <v>0</v>
      </c>
      <c r="O37" s="1204">
        <v>0</v>
      </c>
      <c r="P37" s="1204">
        <v>0</v>
      </c>
      <c r="Q37" s="1204">
        <v>0</v>
      </c>
      <c r="R37" s="1204">
        <f t="shared" si="5"/>
        <v>0</v>
      </c>
      <c r="S37" s="1204">
        <v>0</v>
      </c>
      <c r="T37" s="1204">
        <v>0</v>
      </c>
      <c r="U37" s="1204">
        <v>0</v>
      </c>
      <c r="V37" s="1840">
        <f t="shared" si="7"/>
        <v>0</v>
      </c>
      <c r="W37" s="1840">
        <v>0</v>
      </c>
      <c r="X37" s="1840">
        <v>0</v>
      </c>
      <c r="Y37" s="1840">
        <v>0</v>
      </c>
    </row>
    <row r="38" spans="1:25" ht="12.75">
      <c r="A38" s="53" t="s">
        <v>3824</v>
      </c>
      <c r="B38" s="1204">
        <f t="shared" si="1"/>
        <v>11904</v>
      </c>
      <c r="C38" s="1204">
        <v>3557</v>
      </c>
      <c r="D38" s="1204">
        <v>7715</v>
      </c>
      <c r="E38" s="1204">
        <v>632</v>
      </c>
      <c r="F38" s="1204">
        <f t="shared" si="2"/>
        <v>12627</v>
      </c>
      <c r="G38" s="1204">
        <v>3687</v>
      </c>
      <c r="H38" s="1204">
        <v>8074</v>
      </c>
      <c r="I38" s="1204">
        <v>866</v>
      </c>
      <c r="J38" s="1204">
        <f t="shared" si="3"/>
        <v>17811</v>
      </c>
      <c r="K38" s="1204">
        <v>4903</v>
      </c>
      <c r="L38" s="1204">
        <v>10444</v>
      </c>
      <c r="M38" s="1204">
        <v>2464</v>
      </c>
      <c r="N38" s="1204">
        <f t="shared" si="4"/>
        <v>19228</v>
      </c>
      <c r="O38" s="1204">
        <v>1687</v>
      </c>
      <c r="P38" s="1204">
        <v>8329</v>
      </c>
      <c r="Q38" s="1204">
        <v>9212</v>
      </c>
      <c r="R38" s="1204">
        <f t="shared" si="5"/>
        <v>23617</v>
      </c>
      <c r="S38" s="1204">
        <v>1384</v>
      </c>
      <c r="T38" s="1204">
        <v>10452</v>
      </c>
      <c r="U38" s="1204">
        <v>11781</v>
      </c>
      <c r="V38" s="1840">
        <f t="shared" si="7"/>
        <v>27540</v>
      </c>
      <c r="W38" s="1840">
        <v>8995</v>
      </c>
      <c r="X38" s="1840">
        <v>16589</v>
      </c>
      <c r="Y38" s="1840">
        <v>1956</v>
      </c>
    </row>
    <row r="39" spans="1:25">
      <c r="A39" s="53" t="s">
        <v>581</v>
      </c>
      <c r="B39" s="1204">
        <f>SUM(C39:E39)</f>
        <v>43869</v>
      </c>
      <c r="C39" s="1204">
        <v>1714</v>
      </c>
      <c r="D39" s="1204">
        <v>37135</v>
      </c>
      <c r="E39" s="1204">
        <v>5020</v>
      </c>
      <c r="F39" s="1204">
        <f t="shared" si="2"/>
        <v>46886</v>
      </c>
      <c r="G39" s="1204">
        <v>2000</v>
      </c>
      <c r="H39" s="1204">
        <v>41264</v>
      </c>
      <c r="I39" s="1204">
        <v>3622</v>
      </c>
      <c r="J39" s="1204">
        <f t="shared" si="3"/>
        <v>49312</v>
      </c>
      <c r="K39" s="1204">
        <v>1644</v>
      </c>
      <c r="L39" s="1204">
        <v>42632</v>
      </c>
      <c r="M39" s="1204">
        <v>5036</v>
      </c>
      <c r="N39" s="1204">
        <f t="shared" si="4"/>
        <v>55905</v>
      </c>
      <c r="O39" s="1204">
        <v>3703</v>
      </c>
      <c r="P39" s="1204">
        <v>25246</v>
      </c>
      <c r="Q39" s="1204">
        <v>26956</v>
      </c>
      <c r="R39" s="1204">
        <f t="shared" si="5"/>
        <v>61955</v>
      </c>
      <c r="S39" s="1204">
        <v>3496</v>
      </c>
      <c r="T39" s="1204">
        <v>26826</v>
      </c>
      <c r="U39" s="1204">
        <v>31633</v>
      </c>
      <c r="V39" s="1840">
        <f t="shared" si="7"/>
        <v>65064</v>
      </c>
      <c r="W39" s="1840">
        <v>1596</v>
      </c>
      <c r="X39" s="1840">
        <v>60698</v>
      </c>
      <c r="Y39" s="1840">
        <v>2770</v>
      </c>
    </row>
    <row r="40" spans="1:25" s="150" customFormat="1">
      <c r="A40" s="150" t="s">
        <v>13</v>
      </c>
      <c r="B40" s="1821">
        <f>SUM(C40:E40)</f>
        <v>82293</v>
      </c>
      <c r="C40" s="1821">
        <f>SUM(C41:C42)</f>
        <v>28234</v>
      </c>
      <c r="D40" s="1821">
        <f>SUM(D41:D42)</f>
        <v>50843</v>
      </c>
      <c r="E40" s="1821">
        <f>SUM(E41:E42)</f>
        <v>3216</v>
      </c>
      <c r="F40" s="1821">
        <f>SUM(G40:I40)</f>
        <v>83459</v>
      </c>
      <c r="G40" s="1821">
        <f>SUM(G41:G42)</f>
        <v>28966</v>
      </c>
      <c r="H40" s="1821">
        <f>SUM(H41:H42)</f>
        <v>50349</v>
      </c>
      <c r="I40" s="1821">
        <f>SUM(I41:I42)</f>
        <v>4144</v>
      </c>
      <c r="J40" s="1821">
        <f>SUM(K40:M40)</f>
        <v>93129</v>
      </c>
      <c r="K40" s="1821">
        <f>SUM(K41:K42)</f>
        <v>26826</v>
      </c>
      <c r="L40" s="1821">
        <f>SUM(L41:L42)</f>
        <v>58322</v>
      </c>
      <c r="M40" s="1821">
        <f>SUM(M41:M42)</f>
        <v>7981</v>
      </c>
      <c r="N40" s="1821">
        <f>SUM(O40:Q40)</f>
        <v>103182</v>
      </c>
      <c r="O40" s="1821">
        <f>SUM(O41:O42)</f>
        <v>6697</v>
      </c>
      <c r="P40" s="1821">
        <f>SUM(P41:P42)</f>
        <v>43910</v>
      </c>
      <c r="Q40" s="1821">
        <f>SUM(Q41:Q42)</f>
        <v>52575</v>
      </c>
      <c r="R40" s="1821">
        <f>SUM(S40:U40)</f>
        <v>105331</v>
      </c>
      <c r="S40" s="1821">
        <f>SUM(S41:S42)</f>
        <v>6802</v>
      </c>
      <c r="T40" s="1821">
        <f>SUM(T41:T42)</f>
        <v>42413</v>
      </c>
      <c r="U40" s="1821">
        <f>SUM(U41:U42)</f>
        <v>56116</v>
      </c>
      <c r="V40" s="1839">
        <f t="shared" si="7"/>
        <v>103770</v>
      </c>
      <c r="W40" s="1839">
        <f>SUM(W41:W42)</f>
        <v>32192</v>
      </c>
      <c r="X40" s="1839">
        <f>SUM(X41:X42)</f>
        <v>61769</v>
      </c>
      <c r="Y40" s="1839">
        <f>SUM(Y41:Y42)</f>
        <v>9809</v>
      </c>
    </row>
    <row r="41" spans="1:25">
      <c r="A41" s="53" t="s">
        <v>582</v>
      </c>
      <c r="B41" s="1204">
        <f>SUM(C41:E41)</f>
        <v>69135</v>
      </c>
      <c r="C41" s="1204">
        <v>25466</v>
      </c>
      <c r="D41" s="1204">
        <v>40491</v>
      </c>
      <c r="E41" s="1204">
        <v>3178</v>
      </c>
      <c r="F41" s="1204">
        <f>SUM(G41:I41)</f>
        <v>73909</v>
      </c>
      <c r="G41" s="1204">
        <v>27176</v>
      </c>
      <c r="H41" s="1204">
        <v>42595</v>
      </c>
      <c r="I41" s="1204">
        <v>4138</v>
      </c>
      <c r="J41" s="1204">
        <f>SUM(K41:M41)</f>
        <v>80382</v>
      </c>
      <c r="K41" s="1204">
        <v>24671</v>
      </c>
      <c r="L41" s="1204">
        <v>49213</v>
      </c>
      <c r="M41" s="1204">
        <v>6498</v>
      </c>
      <c r="N41" s="1204">
        <f>SUM(O41:Q41)</f>
        <v>91130</v>
      </c>
      <c r="O41" s="1204">
        <v>6670</v>
      </c>
      <c r="P41" s="1204">
        <v>37009</v>
      </c>
      <c r="Q41" s="1204">
        <v>47451</v>
      </c>
      <c r="R41" s="1204">
        <f>SUM(S41:U41)</f>
        <v>91895</v>
      </c>
      <c r="S41" s="1204">
        <v>6726</v>
      </c>
      <c r="T41" s="1204">
        <v>34693</v>
      </c>
      <c r="U41" s="1204">
        <v>50476</v>
      </c>
      <c r="V41" s="1840">
        <f t="shared" si="7"/>
        <v>89693</v>
      </c>
      <c r="W41" s="1840">
        <v>30245</v>
      </c>
      <c r="X41" s="1840">
        <v>52326</v>
      </c>
      <c r="Y41" s="1840">
        <v>7122</v>
      </c>
    </row>
    <row r="42" spans="1:25">
      <c r="A42" s="53" t="s">
        <v>583</v>
      </c>
      <c r="B42" s="1204">
        <f>SUM(C42:E42)</f>
        <v>13158</v>
      </c>
      <c r="C42" s="1204">
        <v>2768</v>
      </c>
      <c r="D42" s="1204">
        <v>10352</v>
      </c>
      <c r="E42" s="1204">
        <v>38</v>
      </c>
      <c r="F42" s="1204">
        <f>SUM(G42:I42)</f>
        <v>9550</v>
      </c>
      <c r="G42" s="1204">
        <v>1790</v>
      </c>
      <c r="H42" s="1204">
        <v>7754</v>
      </c>
      <c r="I42" s="1204">
        <v>6</v>
      </c>
      <c r="J42" s="1204">
        <f>SUM(K42:M42)</f>
        <v>12747</v>
      </c>
      <c r="K42" s="1204">
        <v>2155</v>
      </c>
      <c r="L42" s="1204">
        <v>9109</v>
      </c>
      <c r="M42" s="1204">
        <v>1483</v>
      </c>
      <c r="N42" s="1204">
        <f>SUM(O42:Q42)</f>
        <v>12052</v>
      </c>
      <c r="O42" s="1204">
        <v>27</v>
      </c>
      <c r="P42" s="1204">
        <v>6901</v>
      </c>
      <c r="Q42" s="1204">
        <v>5124</v>
      </c>
      <c r="R42" s="1204">
        <f>SUM(S42:U42)</f>
        <v>13436</v>
      </c>
      <c r="S42" s="1204">
        <v>76</v>
      </c>
      <c r="T42" s="1204">
        <v>7720</v>
      </c>
      <c r="U42" s="1204">
        <v>5640</v>
      </c>
      <c r="V42" s="1840">
        <f t="shared" si="7"/>
        <v>14077</v>
      </c>
      <c r="W42" s="1840">
        <v>1947</v>
      </c>
      <c r="X42" s="1840">
        <v>9443</v>
      </c>
      <c r="Y42" s="1840">
        <v>2687</v>
      </c>
    </row>
    <row r="43" spans="1:25" s="150" customFormat="1">
      <c r="A43" s="150" t="s">
        <v>14</v>
      </c>
      <c r="B43" s="1821">
        <f>SUM(C43:E43)</f>
        <v>11856</v>
      </c>
      <c r="C43" s="1821">
        <f>SUM(C44:C46)</f>
        <v>3792</v>
      </c>
      <c r="D43" s="1821">
        <f>SUM(D44:D46)</f>
        <v>7811</v>
      </c>
      <c r="E43" s="1821">
        <f>SUM(E44:E46)</f>
        <v>253</v>
      </c>
      <c r="F43" s="1821">
        <f>SUM(G43:I43)</f>
        <v>11073</v>
      </c>
      <c r="G43" s="1821">
        <f>SUM(G44:G46)</f>
        <v>2940</v>
      </c>
      <c r="H43" s="1821">
        <f>SUM(H44:H46)</f>
        <v>7697</v>
      </c>
      <c r="I43" s="1821">
        <f>SUM(I44:I46)</f>
        <v>436</v>
      </c>
      <c r="J43" s="1821">
        <f>SUM(K43:M43)</f>
        <v>12824</v>
      </c>
      <c r="K43" s="1821">
        <f>SUM(K44:K46)</f>
        <v>3610</v>
      </c>
      <c r="L43" s="1821">
        <f>SUM(L44:L46)</f>
        <v>8610</v>
      </c>
      <c r="M43" s="1821">
        <f>SUM(M44:M46)</f>
        <v>604</v>
      </c>
      <c r="N43" s="1821">
        <f>SUM(O43:Q43)</f>
        <v>13835</v>
      </c>
      <c r="O43" s="1821">
        <f>SUM(O44:O46)</f>
        <v>432</v>
      </c>
      <c r="P43" s="1821">
        <f>SUM(P44:P46)</f>
        <v>7337</v>
      </c>
      <c r="Q43" s="1821">
        <f>SUM(Q44:Q46)</f>
        <v>6066</v>
      </c>
      <c r="R43" s="1821">
        <f>SUM(S43:U43)</f>
        <v>21497</v>
      </c>
      <c r="S43" s="1821">
        <f>SUM(S44:S46)</f>
        <v>841</v>
      </c>
      <c r="T43" s="1821">
        <f>SUM(T44:T46)</f>
        <v>10994</v>
      </c>
      <c r="U43" s="1821">
        <f>SUM(U44:U46)</f>
        <v>9662</v>
      </c>
      <c r="V43" s="1839">
        <f t="shared" si="7"/>
        <v>23187</v>
      </c>
      <c r="W43" s="1839">
        <f>SUM(W44:W46)</f>
        <v>5522</v>
      </c>
      <c r="X43" s="1839">
        <f>SUM(X44:X46)</f>
        <v>16555</v>
      </c>
      <c r="Y43" s="1839">
        <f>SUM(Y44:Y46)</f>
        <v>1110</v>
      </c>
    </row>
    <row r="44" spans="1:25">
      <c r="A44" s="53" t="s">
        <v>585</v>
      </c>
      <c r="B44" s="1204">
        <f t="shared" si="1"/>
        <v>0</v>
      </c>
      <c r="C44" s="1204">
        <v>0</v>
      </c>
      <c r="D44" s="1204">
        <v>0</v>
      </c>
      <c r="E44" s="1204">
        <v>0</v>
      </c>
      <c r="F44" s="1204">
        <f t="shared" si="2"/>
        <v>0</v>
      </c>
      <c r="G44" s="1204">
        <v>0</v>
      </c>
      <c r="H44" s="1204">
        <v>0</v>
      </c>
      <c r="I44" s="1204">
        <v>0</v>
      </c>
      <c r="J44" s="1204">
        <f t="shared" si="3"/>
        <v>0</v>
      </c>
      <c r="K44" s="1204">
        <v>0</v>
      </c>
      <c r="L44" s="1204">
        <v>0</v>
      </c>
      <c r="M44" s="1204">
        <v>0</v>
      </c>
      <c r="N44" s="1204">
        <f t="shared" si="4"/>
        <v>0</v>
      </c>
      <c r="O44" s="1204">
        <v>0</v>
      </c>
      <c r="P44" s="1204">
        <v>0</v>
      </c>
      <c r="Q44" s="1204">
        <v>0</v>
      </c>
      <c r="R44" s="1204">
        <f t="shared" si="5"/>
        <v>0</v>
      </c>
      <c r="S44" s="1204">
        <v>0</v>
      </c>
      <c r="T44" s="1204">
        <v>0</v>
      </c>
      <c r="U44" s="1204">
        <v>0</v>
      </c>
      <c r="V44" s="1840">
        <f t="shared" si="7"/>
        <v>0</v>
      </c>
      <c r="W44" s="1840">
        <v>0</v>
      </c>
      <c r="X44" s="1840">
        <v>0</v>
      </c>
      <c r="Y44" s="1840">
        <v>0</v>
      </c>
    </row>
    <row r="45" spans="1:25">
      <c r="A45" s="53" t="s">
        <v>586</v>
      </c>
      <c r="B45" s="1204">
        <f t="shared" si="1"/>
        <v>11223</v>
      </c>
      <c r="C45" s="1204">
        <v>3711</v>
      </c>
      <c r="D45" s="1204">
        <v>7259</v>
      </c>
      <c r="E45" s="1204">
        <v>253</v>
      </c>
      <c r="F45" s="1204">
        <f t="shared" si="2"/>
        <v>10647</v>
      </c>
      <c r="G45" s="1204">
        <v>2880</v>
      </c>
      <c r="H45" s="1204">
        <v>7331</v>
      </c>
      <c r="I45" s="1204">
        <v>436</v>
      </c>
      <c r="J45" s="1204">
        <f t="shared" si="3"/>
        <v>12378</v>
      </c>
      <c r="K45" s="1204">
        <v>3550</v>
      </c>
      <c r="L45" s="1204">
        <v>8224</v>
      </c>
      <c r="M45" s="1204">
        <v>604</v>
      </c>
      <c r="N45" s="1204">
        <f t="shared" si="4"/>
        <v>13321</v>
      </c>
      <c r="O45" s="1204">
        <v>432</v>
      </c>
      <c r="P45" s="1204">
        <v>6934</v>
      </c>
      <c r="Q45" s="1204">
        <v>5955</v>
      </c>
      <c r="R45" s="1204">
        <f t="shared" si="5"/>
        <v>20929</v>
      </c>
      <c r="S45" s="1204">
        <v>841</v>
      </c>
      <c r="T45" s="1204">
        <v>10532</v>
      </c>
      <c r="U45" s="1204">
        <v>9556</v>
      </c>
      <c r="V45" s="1840">
        <f t="shared" si="7"/>
        <v>22557</v>
      </c>
      <c r="W45" s="1840">
        <v>5474</v>
      </c>
      <c r="X45" s="1840">
        <v>15973</v>
      </c>
      <c r="Y45" s="1840">
        <v>1110</v>
      </c>
    </row>
    <row r="46" spans="1:25">
      <c r="A46" s="53" t="s">
        <v>587</v>
      </c>
      <c r="B46" s="1204">
        <f t="shared" si="1"/>
        <v>633</v>
      </c>
      <c r="C46" s="1204">
        <v>81</v>
      </c>
      <c r="D46" s="1204">
        <v>552</v>
      </c>
      <c r="E46" s="1204">
        <v>0</v>
      </c>
      <c r="F46" s="1204">
        <f t="shared" si="2"/>
        <v>426</v>
      </c>
      <c r="G46" s="1204">
        <v>60</v>
      </c>
      <c r="H46" s="1204">
        <v>366</v>
      </c>
      <c r="I46" s="1204">
        <v>0</v>
      </c>
      <c r="J46" s="1204">
        <f t="shared" si="3"/>
        <v>446</v>
      </c>
      <c r="K46" s="1204">
        <v>60</v>
      </c>
      <c r="L46" s="1204">
        <v>386</v>
      </c>
      <c r="M46" s="1204">
        <v>0</v>
      </c>
      <c r="N46" s="1204">
        <f t="shared" si="4"/>
        <v>514</v>
      </c>
      <c r="O46" s="1204">
        <v>0</v>
      </c>
      <c r="P46" s="1204">
        <v>403</v>
      </c>
      <c r="Q46" s="1204">
        <v>111</v>
      </c>
      <c r="R46" s="1204">
        <f t="shared" si="5"/>
        <v>568</v>
      </c>
      <c r="S46" s="1204">
        <v>0</v>
      </c>
      <c r="T46" s="1204">
        <v>462</v>
      </c>
      <c r="U46" s="1204">
        <v>106</v>
      </c>
      <c r="V46" s="1840">
        <f t="shared" si="7"/>
        <v>630</v>
      </c>
      <c r="W46" s="1840">
        <v>48</v>
      </c>
      <c r="X46" s="1840">
        <v>582</v>
      </c>
      <c r="Y46" s="1840">
        <v>0</v>
      </c>
    </row>
    <row r="47" spans="1:25" s="150" customFormat="1">
      <c r="A47" s="150" t="s">
        <v>15</v>
      </c>
      <c r="B47" s="1821">
        <f>SUM(C47:E47)</f>
        <v>87509</v>
      </c>
      <c r="C47" s="1821">
        <f>SUM(C48:C55)</f>
        <v>19962</v>
      </c>
      <c r="D47" s="1821">
        <f>SUM(D48:D55)</f>
        <v>63329</v>
      </c>
      <c r="E47" s="1821">
        <f>SUM(E48:E55)</f>
        <v>4218</v>
      </c>
      <c r="F47" s="1821">
        <f>SUM(G47:I47)</f>
        <v>64500</v>
      </c>
      <c r="G47" s="1821">
        <f>SUM(G48:G55)</f>
        <v>13557</v>
      </c>
      <c r="H47" s="1821">
        <f>SUM(H48:H55)</f>
        <v>48483</v>
      </c>
      <c r="I47" s="1821">
        <f>SUM(I48:I55)</f>
        <v>2460</v>
      </c>
      <c r="J47" s="1821">
        <f>SUM(K47:M47)</f>
        <v>61074</v>
      </c>
      <c r="K47" s="1821">
        <f>SUM(K48:K55)</f>
        <v>12376</v>
      </c>
      <c r="L47" s="1821">
        <f>SUM(L48:L55)</f>
        <v>45282</v>
      </c>
      <c r="M47" s="1821">
        <f>SUM(M48:M55)</f>
        <v>3416</v>
      </c>
      <c r="N47" s="1821">
        <f>SUM(O47:Q47)</f>
        <v>69916</v>
      </c>
      <c r="O47" s="1821">
        <f>SUM(O48:O55)</f>
        <v>2591</v>
      </c>
      <c r="P47" s="1821">
        <f>SUM(P48:P55)</f>
        <v>34046</v>
      </c>
      <c r="Q47" s="1821">
        <f>SUM(Q48:Q55)</f>
        <v>33279</v>
      </c>
      <c r="R47" s="1821">
        <f>SUM(S47:U47)</f>
        <v>81981</v>
      </c>
      <c r="S47" s="1821">
        <f>SUM(S48:S55)</f>
        <v>3605</v>
      </c>
      <c r="T47" s="1821">
        <f>SUM(T48:T55)</f>
        <v>41263</v>
      </c>
      <c r="U47" s="1821">
        <f>SUM(U48:U55)</f>
        <v>37113</v>
      </c>
      <c r="V47" s="1839">
        <f t="shared" si="7"/>
        <v>81006</v>
      </c>
      <c r="W47" s="1839">
        <f>SUM(W48:W55)</f>
        <v>14522</v>
      </c>
      <c r="X47" s="1839">
        <f>SUM(X48:X55)</f>
        <v>62659</v>
      </c>
      <c r="Y47" s="1839">
        <f>SUM(Y48:Y55)</f>
        <v>3825</v>
      </c>
    </row>
    <row r="48" spans="1:25">
      <c r="A48" s="53" t="s">
        <v>588</v>
      </c>
      <c r="B48" s="1204">
        <f t="shared" si="1"/>
        <v>24200</v>
      </c>
      <c r="C48" s="1204">
        <v>6175</v>
      </c>
      <c r="D48" s="1204">
        <v>16307</v>
      </c>
      <c r="E48" s="1204">
        <v>1718</v>
      </c>
      <c r="F48" s="1204">
        <f t="shared" si="2"/>
        <v>9076</v>
      </c>
      <c r="G48" s="1204">
        <v>2419</v>
      </c>
      <c r="H48" s="1204">
        <v>6179</v>
      </c>
      <c r="I48" s="1204">
        <v>478</v>
      </c>
      <c r="J48" s="1204">
        <f t="shared" si="3"/>
        <v>5873</v>
      </c>
      <c r="K48" s="1204">
        <v>2520</v>
      </c>
      <c r="L48" s="1204">
        <v>2904</v>
      </c>
      <c r="M48" s="1204">
        <v>449</v>
      </c>
      <c r="N48" s="1204">
        <f t="shared" si="4"/>
        <v>6503</v>
      </c>
      <c r="O48" s="1204">
        <v>724</v>
      </c>
      <c r="P48" s="1204">
        <v>2903</v>
      </c>
      <c r="Q48" s="1204">
        <v>2876</v>
      </c>
      <c r="R48" s="1204">
        <f t="shared" si="5"/>
        <v>7977</v>
      </c>
      <c r="S48" s="1204">
        <v>623</v>
      </c>
      <c r="T48" s="1204">
        <v>3668</v>
      </c>
      <c r="U48" s="1204">
        <v>3686</v>
      </c>
      <c r="V48" s="1840">
        <f t="shared" si="7"/>
        <v>8572</v>
      </c>
      <c r="W48" s="1840">
        <v>2837</v>
      </c>
      <c r="X48" s="1840">
        <v>5085</v>
      </c>
      <c r="Y48" s="1840">
        <v>650</v>
      </c>
    </row>
    <row r="49" spans="1:25">
      <c r="A49" s="53" t="s">
        <v>589</v>
      </c>
      <c r="B49" s="1204">
        <f t="shared" si="1"/>
        <v>11806</v>
      </c>
      <c r="C49" s="1204">
        <v>2199</v>
      </c>
      <c r="D49" s="1204">
        <v>8871</v>
      </c>
      <c r="E49" s="1204">
        <v>736</v>
      </c>
      <c r="F49" s="1204">
        <f t="shared" si="2"/>
        <v>7723</v>
      </c>
      <c r="G49" s="1204">
        <v>996</v>
      </c>
      <c r="H49" s="1204">
        <v>6549</v>
      </c>
      <c r="I49" s="1204">
        <v>178</v>
      </c>
      <c r="J49" s="1204">
        <f t="shared" si="3"/>
        <v>7190</v>
      </c>
      <c r="K49" s="1204">
        <v>1691</v>
      </c>
      <c r="L49" s="1204">
        <v>4902</v>
      </c>
      <c r="M49" s="1204">
        <v>597</v>
      </c>
      <c r="N49" s="1204">
        <f t="shared" si="4"/>
        <v>11957</v>
      </c>
      <c r="O49" s="1204">
        <v>1010</v>
      </c>
      <c r="P49" s="1204">
        <v>5454</v>
      </c>
      <c r="Q49" s="1204">
        <v>5493</v>
      </c>
      <c r="R49" s="1204">
        <f t="shared" si="5"/>
        <v>14887</v>
      </c>
      <c r="S49" s="1204">
        <v>1596</v>
      </c>
      <c r="T49" s="1204">
        <v>7004</v>
      </c>
      <c r="U49" s="1204">
        <v>6287</v>
      </c>
      <c r="V49" s="1840">
        <f t="shared" si="7"/>
        <v>11604</v>
      </c>
      <c r="W49" s="1840">
        <v>2471</v>
      </c>
      <c r="X49" s="1840">
        <v>8836</v>
      </c>
      <c r="Y49" s="1840">
        <v>297</v>
      </c>
    </row>
    <row r="50" spans="1:25">
      <c r="A50" s="53" t="s">
        <v>590</v>
      </c>
      <c r="B50" s="1204">
        <f t="shared" si="1"/>
        <v>2821</v>
      </c>
      <c r="C50" s="1204">
        <v>987</v>
      </c>
      <c r="D50" s="1204">
        <v>1727</v>
      </c>
      <c r="E50" s="1204">
        <v>107</v>
      </c>
      <c r="F50" s="1204">
        <f t="shared" si="2"/>
        <v>3027</v>
      </c>
      <c r="G50" s="1204">
        <v>793</v>
      </c>
      <c r="H50" s="1204">
        <v>2016</v>
      </c>
      <c r="I50" s="1204">
        <v>218</v>
      </c>
      <c r="J50" s="1204">
        <f t="shared" si="3"/>
        <v>2985</v>
      </c>
      <c r="K50" s="1204">
        <v>904</v>
      </c>
      <c r="L50" s="1204">
        <v>1831</v>
      </c>
      <c r="M50" s="1204">
        <v>250</v>
      </c>
      <c r="N50" s="1204">
        <f t="shared" si="4"/>
        <v>2986</v>
      </c>
      <c r="O50" s="1204">
        <v>41</v>
      </c>
      <c r="P50" s="1204">
        <v>1474</v>
      </c>
      <c r="Q50" s="1204">
        <v>1471</v>
      </c>
      <c r="R50" s="1204">
        <f t="shared" si="5"/>
        <v>3427</v>
      </c>
      <c r="S50" s="1204">
        <v>14</v>
      </c>
      <c r="T50" s="1204">
        <v>1716</v>
      </c>
      <c r="U50" s="1204">
        <v>1697</v>
      </c>
      <c r="V50" s="1840">
        <f t="shared" si="7"/>
        <v>3866</v>
      </c>
      <c r="W50" s="1840">
        <v>1085</v>
      </c>
      <c r="X50" s="1840">
        <v>2781</v>
      </c>
      <c r="Y50" s="1840">
        <v>0</v>
      </c>
    </row>
    <row r="51" spans="1:25">
      <c r="A51" s="53" t="s">
        <v>591</v>
      </c>
      <c r="B51" s="1204">
        <f t="shared" si="1"/>
        <v>308</v>
      </c>
      <c r="C51" s="1204">
        <v>6</v>
      </c>
      <c r="D51" s="1204">
        <v>302</v>
      </c>
      <c r="E51" s="1204">
        <v>0</v>
      </c>
      <c r="F51" s="1204">
        <f t="shared" si="2"/>
        <v>283</v>
      </c>
      <c r="G51" s="1204">
        <v>5</v>
      </c>
      <c r="H51" s="1204">
        <v>278</v>
      </c>
      <c r="I51" s="1204">
        <v>0</v>
      </c>
      <c r="J51" s="1204">
        <f t="shared" si="3"/>
        <v>285</v>
      </c>
      <c r="K51" s="1204">
        <v>5</v>
      </c>
      <c r="L51" s="1204">
        <v>280</v>
      </c>
      <c r="M51" s="1204">
        <v>0</v>
      </c>
      <c r="N51" s="1204">
        <f t="shared" si="4"/>
        <v>339</v>
      </c>
      <c r="O51" s="1204">
        <v>3</v>
      </c>
      <c r="P51" s="1204">
        <v>318</v>
      </c>
      <c r="Q51" s="1204">
        <v>18</v>
      </c>
      <c r="R51" s="1204">
        <f t="shared" si="5"/>
        <v>360</v>
      </c>
      <c r="S51" s="1204">
        <v>0</v>
      </c>
      <c r="T51" s="1204">
        <v>310</v>
      </c>
      <c r="U51" s="1204">
        <v>50</v>
      </c>
      <c r="V51" s="1840">
        <f t="shared" si="7"/>
        <v>1061</v>
      </c>
      <c r="W51" s="1840">
        <v>207</v>
      </c>
      <c r="X51" s="1840">
        <v>833</v>
      </c>
      <c r="Y51" s="1840">
        <v>21</v>
      </c>
    </row>
    <row r="52" spans="1:25">
      <c r="A52" s="53" t="s">
        <v>592</v>
      </c>
      <c r="B52" s="1204">
        <f t="shared" si="1"/>
        <v>126</v>
      </c>
      <c r="C52" s="1204">
        <v>30</v>
      </c>
      <c r="D52" s="1204">
        <v>96</v>
      </c>
      <c r="E52" s="1204">
        <v>0</v>
      </c>
      <c r="F52" s="1204">
        <f t="shared" si="2"/>
        <v>327</v>
      </c>
      <c r="G52" s="1204">
        <v>82</v>
      </c>
      <c r="H52" s="1204">
        <v>242</v>
      </c>
      <c r="I52" s="1204">
        <v>3</v>
      </c>
      <c r="J52" s="1204">
        <f t="shared" si="3"/>
        <v>442</v>
      </c>
      <c r="K52" s="1204">
        <v>138</v>
      </c>
      <c r="L52" s="1204">
        <v>298</v>
      </c>
      <c r="M52" s="1204">
        <v>6</v>
      </c>
      <c r="N52" s="1204">
        <f t="shared" si="4"/>
        <v>313</v>
      </c>
      <c r="O52" s="1204">
        <v>3</v>
      </c>
      <c r="P52" s="1204">
        <v>170</v>
      </c>
      <c r="Q52" s="1204">
        <v>140</v>
      </c>
      <c r="R52" s="1204">
        <f t="shared" si="5"/>
        <v>232</v>
      </c>
      <c r="S52" s="1204">
        <v>4</v>
      </c>
      <c r="T52" s="1204">
        <v>140</v>
      </c>
      <c r="U52" s="1204">
        <v>88</v>
      </c>
      <c r="V52" s="1840">
        <f t="shared" si="7"/>
        <v>241</v>
      </c>
      <c r="W52" s="1840">
        <v>91</v>
      </c>
      <c r="X52" s="1840">
        <v>147</v>
      </c>
      <c r="Y52" s="1840">
        <v>3</v>
      </c>
    </row>
    <row r="53" spans="1:25">
      <c r="A53" s="53" t="s">
        <v>593</v>
      </c>
      <c r="B53" s="1204">
        <f t="shared" si="1"/>
        <v>12616</v>
      </c>
      <c r="C53" s="1204">
        <v>2868</v>
      </c>
      <c r="D53" s="1204">
        <v>9421</v>
      </c>
      <c r="E53" s="1204">
        <v>327</v>
      </c>
      <c r="F53" s="1204">
        <f t="shared" si="2"/>
        <v>11576</v>
      </c>
      <c r="G53" s="1204">
        <v>2221</v>
      </c>
      <c r="H53" s="1204">
        <v>9265</v>
      </c>
      <c r="I53" s="1204">
        <v>90</v>
      </c>
      <c r="J53" s="1204">
        <f t="shared" si="3"/>
        <v>9017</v>
      </c>
      <c r="K53" s="1204">
        <v>668</v>
      </c>
      <c r="L53" s="1204">
        <v>8306</v>
      </c>
      <c r="M53" s="1204">
        <v>43</v>
      </c>
      <c r="N53" s="1204">
        <f t="shared" si="4"/>
        <v>10412</v>
      </c>
      <c r="O53" s="1204">
        <v>58</v>
      </c>
      <c r="P53" s="1204">
        <v>6512</v>
      </c>
      <c r="Q53" s="1204">
        <v>3842</v>
      </c>
      <c r="R53" s="1204">
        <f t="shared" si="5"/>
        <v>11032</v>
      </c>
      <c r="S53" s="1204">
        <v>78</v>
      </c>
      <c r="T53" s="1204">
        <v>6567</v>
      </c>
      <c r="U53" s="1204">
        <v>4387</v>
      </c>
      <c r="V53" s="1840">
        <f t="shared" si="7"/>
        <v>10558</v>
      </c>
      <c r="W53" s="1840">
        <v>947</v>
      </c>
      <c r="X53" s="1840">
        <v>9559</v>
      </c>
      <c r="Y53" s="1840">
        <v>52</v>
      </c>
    </row>
    <row r="54" spans="1:25">
      <c r="A54" s="53" t="s">
        <v>594</v>
      </c>
      <c r="B54" s="1204">
        <f t="shared" si="1"/>
        <v>0</v>
      </c>
      <c r="C54" s="1204">
        <v>0</v>
      </c>
      <c r="D54" s="1204">
        <v>0</v>
      </c>
      <c r="E54" s="1204">
        <v>0</v>
      </c>
      <c r="F54" s="1204">
        <f t="shared" si="2"/>
        <v>0</v>
      </c>
      <c r="G54" s="1204">
        <v>0</v>
      </c>
      <c r="H54" s="1204">
        <v>0</v>
      </c>
      <c r="I54" s="1204">
        <v>0</v>
      </c>
      <c r="J54" s="1204">
        <f t="shared" si="3"/>
        <v>0</v>
      </c>
      <c r="K54" s="1204">
        <v>0</v>
      </c>
      <c r="L54" s="1204">
        <v>0</v>
      </c>
      <c r="M54" s="1204">
        <v>0</v>
      </c>
      <c r="N54" s="1204">
        <f t="shared" si="4"/>
        <v>0</v>
      </c>
      <c r="O54" s="1204">
        <v>0</v>
      </c>
      <c r="P54" s="1204">
        <v>0</v>
      </c>
      <c r="Q54" s="1204">
        <v>0</v>
      </c>
      <c r="R54" s="1204">
        <f t="shared" si="5"/>
        <v>0</v>
      </c>
      <c r="S54" s="1204">
        <v>0</v>
      </c>
      <c r="T54" s="1204">
        <v>0</v>
      </c>
      <c r="U54" s="1204">
        <v>0</v>
      </c>
      <c r="V54" s="1840">
        <f t="shared" si="7"/>
        <v>0</v>
      </c>
      <c r="W54" s="1840">
        <v>0</v>
      </c>
      <c r="X54" s="1840">
        <v>0</v>
      </c>
      <c r="Y54" s="1840">
        <v>0</v>
      </c>
    </row>
    <row r="55" spans="1:25">
      <c r="A55" s="53" t="s">
        <v>661</v>
      </c>
      <c r="B55" s="1204">
        <f t="shared" si="1"/>
        <v>35632</v>
      </c>
      <c r="C55" s="1204">
        <v>7697</v>
      </c>
      <c r="D55" s="1204">
        <v>26605</v>
      </c>
      <c r="E55" s="1204">
        <v>1330</v>
      </c>
      <c r="F55" s="1204">
        <f t="shared" si="2"/>
        <v>32488</v>
      </c>
      <c r="G55" s="1204">
        <v>7041</v>
      </c>
      <c r="H55" s="1204">
        <v>23954</v>
      </c>
      <c r="I55" s="1204">
        <v>1493</v>
      </c>
      <c r="J55" s="1204">
        <f t="shared" si="3"/>
        <v>35282</v>
      </c>
      <c r="K55" s="1204">
        <v>6450</v>
      </c>
      <c r="L55" s="1204">
        <v>26761</v>
      </c>
      <c r="M55" s="1204">
        <v>2071</v>
      </c>
      <c r="N55" s="1204">
        <f t="shared" si="4"/>
        <v>37406</v>
      </c>
      <c r="O55" s="1204">
        <v>752</v>
      </c>
      <c r="P55" s="1204">
        <v>17215</v>
      </c>
      <c r="Q55" s="1204">
        <v>19439</v>
      </c>
      <c r="R55" s="1204">
        <f t="shared" si="5"/>
        <v>44066</v>
      </c>
      <c r="S55" s="1204">
        <v>1290</v>
      </c>
      <c r="T55" s="1204">
        <v>21858</v>
      </c>
      <c r="U55" s="1204">
        <v>20918</v>
      </c>
      <c r="V55" s="1840">
        <f t="shared" si="7"/>
        <v>45104</v>
      </c>
      <c r="W55" s="1840">
        <v>6884</v>
      </c>
      <c r="X55" s="1840">
        <v>35418</v>
      </c>
      <c r="Y55" s="1840">
        <v>2802</v>
      </c>
    </row>
    <row r="56" spans="1:25" s="150" customFormat="1">
      <c r="A56" s="150" t="s">
        <v>16</v>
      </c>
      <c r="B56" s="1821">
        <f>SUM(C56:E56)</f>
        <v>46221</v>
      </c>
      <c r="C56" s="1821">
        <f>SUM(C57:C63)</f>
        <v>15337</v>
      </c>
      <c r="D56" s="1821">
        <f>SUM(D57:D63)</f>
        <v>30882</v>
      </c>
      <c r="E56" s="1821">
        <f>SUM(E57:E63)</f>
        <v>2</v>
      </c>
      <c r="F56" s="1821">
        <f>SUM(G56:I56)</f>
        <v>49841</v>
      </c>
      <c r="G56" s="1821">
        <f>SUM(G57:G63)</f>
        <v>16943</v>
      </c>
      <c r="H56" s="1821">
        <f>SUM(H57:H63)</f>
        <v>32838</v>
      </c>
      <c r="I56" s="1821">
        <f>SUM(I57:I63)</f>
        <v>60</v>
      </c>
      <c r="J56" s="1821">
        <f>SUM(K56:M56)</f>
        <v>58769</v>
      </c>
      <c r="K56" s="1821">
        <f>SUM(K57:K63)</f>
        <v>17889</v>
      </c>
      <c r="L56" s="1821">
        <f>SUM(L57:L63)</f>
        <v>40646</v>
      </c>
      <c r="M56" s="1821">
        <f>SUM(M57:M63)</f>
        <v>234</v>
      </c>
      <c r="N56" s="1821">
        <f>SUM(O56:Q56)</f>
        <v>62104</v>
      </c>
      <c r="O56" s="1821">
        <f>SUM(O57:O63)</f>
        <v>240</v>
      </c>
      <c r="P56" s="1821">
        <f>SUM(P57:P63)</f>
        <v>33118</v>
      </c>
      <c r="Q56" s="1821">
        <f>SUM(Q57:Q63)</f>
        <v>28746</v>
      </c>
      <c r="R56" s="1821">
        <f>SUM(S56:U56)</f>
        <v>86418</v>
      </c>
      <c r="S56" s="1821">
        <f>SUM(S57:S63)</f>
        <v>144</v>
      </c>
      <c r="T56" s="1821">
        <f>SUM(T57:T63)</f>
        <v>45716</v>
      </c>
      <c r="U56" s="1821">
        <f>SUM(U57:U63)</f>
        <v>40558</v>
      </c>
      <c r="V56" s="1839">
        <f t="shared" si="7"/>
        <v>89078</v>
      </c>
      <c r="W56" s="1839">
        <f>SUM(W57:W63)</f>
        <v>27746</v>
      </c>
      <c r="X56" s="1839">
        <f>SUM(X57:X63)</f>
        <v>61026</v>
      </c>
      <c r="Y56" s="1839">
        <f>SUM(Y57:Y63)</f>
        <v>306</v>
      </c>
    </row>
    <row r="57" spans="1:25">
      <c r="A57" s="53" t="s">
        <v>596</v>
      </c>
      <c r="B57" s="1204">
        <f t="shared" si="1"/>
        <v>42349</v>
      </c>
      <c r="C57" s="1204">
        <v>14411</v>
      </c>
      <c r="D57" s="1204">
        <v>27936</v>
      </c>
      <c r="E57" s="1204">
        <v>2</v>
      </c>
      <c r="F57" s="1204">
        <f t="shared" si="2"/>
        <v>43713</v>
      </c>
      <c r="G57" s="1204">
        <v>15261</v>
      </c>
      <c r="H57" s="1204">
        <v>28452</v>
      </c>
      <c r="I57" s="1204">
        <v>0</v>
      </c>
      <c r="J57" s="1204">
        <f t="shared" si="3"/>
        <v>48271</v>
      </c>
      <c r="K57" s="1204">
        <v>15325</v>
      </c>
      <c r="L57" s="1204">
        <v>32946</v>
      </c>
      <c r="M57" s="1204">
        <v>0</v>
      </c>
      <c r="N57" s="1204">
        <f t="shared" si="4"/>
        <v>48837</v>
      </c>
      <c r="O57" s="1204">
        <v>0</v>
      </c>
      <c r="P57" s="1204">
        <v>26180</v>
      </c>
      <c r="Q57" s="1204">
        <v>22657</v>
      </c>
      <c r="R57" s="1204">
        <f t="shared" si="5"/>
        <v>68492</v>
      </c>
      <c r="S57" s="1204">
        <v>12</v>
      </c>
      <c r="T57" s="1204">
        <v>36335</v>
      </c>
      <c r="U57" s="1204">
        <v>32145</v>
      </c>
      <c r="V57" s="1840">
        <f t="shared" si="7"/>
        <v>70887</v>
      </c>
      <c r="W57" s="1840">
        <v>23034</v>
      </c>
      <c r="X57" s="1840">
        <v>47853</v>
      </c>
      <c r="Y57" s="1840">
        <v>0</v>
      </c>
    </row>
    <row r="58" spans="1:25">
      <c r="A58" s="53" t="s">
        <v>597</v>
      </c>
      <c r="B58" s="1204">
        <f t="shared" si="1"/>
        <v>1245</v>
      </c>
      <c r="C58" s="1204">
        <v>250</v>
      </c>
      <c r="D58" s="1204">
        <v>995</v>
      </c>
      <c r="E58" s="1204">
        <v>0</v>
      </c>
      <c r="F58" s="1204">
        <f t="shared" si="2"/>
        <v>1076</v>
      </c>
      <c r="G58" s="1204">
        <v>252</v>
      </c>
      <c r="H58" s="1204">
        <v>824</v>
      </c>
      <c r="I58" s="1204">
        <v>0</v>
      </c>
      <c r="J58" s="1204">
        <f t="shared" si="3"/>
        <v>1377</v>
      </c>
      <c r="K58" s="1204">
        <v>314</v>
      </c>
      <c r="L58" s="1204">
        <v>1061</v>
      </c>
      <c r="M58" s="1204">
        <v>2</v>
      </c>
      <c r="N58" s="1204">
        <f t="shared" si="4"/>
        <v>1722</v>
      </c>
      <c r="O58" s="1204">
        <v>0</v>
      </c>
      <c r="P58" s="1204">
        <v>1153</v>
      </c>
      <c r="Q58" s="1204">
        <v>569</v>
      </c>
      <c r="R58" s="1204">
        <f t="shared" si="5"/>
        <v>2074</v>
      </c>
      <c r="S58" s="1204">
        <v>0</v>
      </c>
      <c r="T58" s="1204">
        <v>1391</v>
      </c>
      <c r="U58" s="1204">
        <v>683</v>
      </c>
      <c r="V58" s="1840">
        <f t="shared" si="7"/>
        <v>3415</v>
      </c>
      <c r="W58" s="1840">
        <v>547</v>
      </c>
      <c r="X58" s="1840">
        <v>2788</v>
      </c>
      <c r="Y58" s="1840">
        <v>80</v>
      </c>
    </row>
    <row r="59" spans="1:25">
      <c r="A59" s="53" t="s">
        <v>662</v>
      </c>
      <c r="B59" s="1204">
        <f t="shared" si="1"/>
        <v>386</v>
      </c>
      <c r="C59" s="1204">
        <v>51</v>
      </c>
      <c r="D59" s="1204">
        <v>335</v>
      </c>
      <c r="E59" s="1204">
        <v>0</v>
      </c>
      <c r="F59" s="1204">
        <f t="shared" si="2"/>
        <v>183</v>
      </c>
      <c r="G59" s="1204">
        <v>5</v>
      </c>
      <c r="H59" s="1204">
        <v>178</v>
      </c>
      <c r="I59" s="1204">
        <v>0</v>
      </c>
      <c r="J59" s="1204">
        <f t="shared" si="3"/>
        <v>558</v>
      </c>
      <c r="K59" s="1204">
        <v>104</v>
      </c>
      <c r="L59" s="1204">
        <v>454</v>
      </c>
      <c r="M59" s="1204">
        <v>0</v>
      </c>
      <c r="N59" s="1204">
        <f t="shared" si="4"/>
        <v>716</v>
      </c>
      <c r="O59" s="1204">
        <v>0</v>
      </c>
      <c r="P59" s="1204">
        <v>363</v>
      </c>
      <c r="Q59" s="1204">
        <v>353</v>
      </c>
      <c r="R59" s="1204">
        <f t="shared" si="5"/>
        <v>1364</v>
      </c>
      <c r="S59" s="1204">
        <v>0</v>
      </c>
      <c r="T59" s="1204">
        <v>701</v>
      </c>
      <c r="U59" s="1204">
        <v>663</v>
      </c>
      <c r="V59" s="1840">
        <f t="shared" si="7"/>
        <v>1083</v>
      </c>
      <c r="W59" s="1840">
        <v>155</v>
      </c>
      <c r="X59" s="1840">
        <v>928</v>
      </c>
      <c r="Y59" s="1840">
        <v>0</v>
      </c>
    </row>
    <row r="60" spans="1:25">
      <c r="A60" s="53" t="s">
        <v>599</v>
      </c>
      <c r="B60" s="1204">
        <f t="shared" si="1"/>
        <v>330</v>
      </c>
      <c r="C60" s="1204">
        <v>61</v>
      </c>
      <c r="D60" s="1204">
        <v>269</v>
      </c>
      <c r="E60" s="1204">
        <v>0</v>
      </c>
      <c r="F60" s="1204">
        <f t="shared" si="2"/>
        <v>290</v>
      </c>
      <c r="G60" s="1204">
        <v>41</v>
      </c>
      <c r="H60" s="1204">
        <v>249</v>
      </c>
      <c r="I60" s="1204">
        <v>0</v>
      </c>
      <c r="J60" s="1204">
        <f t="shared" si="3"/>
        <v>468</v>
      </c>
      <c r="K60" s="1204">
        <v>61</v>
      </c>
      <c r="L60" s="1204">
        <v>392</v>
      </c>
      <c r="M60" s="1204">
        <v>15</v>
      </c>
      <c r="N60" s="1204">
        <f t="shared" si="4"/>
        <v>427</v>
      </c>
      <c r="O60" s="1204">
        <v>0</v>
      </c>
      <c r="P60" s="1204">
        <v>314</v>
      </c>
      <c r="Q60" s="1204">
        <v>113</v>
      </c>
      <c r="R60" s="1204">
        <f t="shared" si="5"/>
        <v>486</v>
      </c>
      <c r="S60" s="1204">
        <v>14</v>
      </c>
      <c r="T60" s="1204">
        <v>334</v>
      </c>
      <c r="U60" s="1204">
        <v>138</v>
      </c>
      <c r="V60" s="1840">
        <f t="shared" si="7"/>
        <v>656</v>
      </c>
      <c r="W60" s="1840">
        <v>91</v>
      </c>
      <c r="X60" s="1840">
        <v>548</v>
      </c>
      <c r="Y60" s="1840">
        <v>17</v>
      </c>
    </row>
    <row r="61" spans="1:25">
      <c r="A61" s="53" t="s">
        <v>600</v>
      </c>
      <c r="B61" s="1204">
        <f t="shared" si="1"/>
        <v>605</v>
      </c>
      <c r="C61" s="1204">
        <v>138</v>
      </c>
      <c r="D61" s="1204">
        <v>467</v>
      </c>
      <c r="E61" s="1204">
        <v>0</v>
      </c>
      <c r="F61" s="1204">
        <f t="shared" si="2"/>
        <v>534</v>
      </c>
      <c r="G61" s="1204">
        <v>125</v>
      </c>
      <c r="H61" s="1204">
        <v>406</v>
      </c>
      <c r="I61" s="1204">
        <v>3</v>
      </c>
      <c r="J61" s="1204">
        <f t="shared" si="3"/>
        <v>643</v>
      </c>
      <c r="K61" s="1204">
        <v>149</v>
      </c>
      <c r="L61" s="1204">
        <v>493</v>
      </c>
      <c r="M61" s="1204">
        <v>1</v>
      </c>
      <c r="N61" s="1204">
        <f t="shared" si="4"/>
        <v>676</v>
      </c>
      <c r="O61" s="1204">
        <v>4</v>
      </c>
      <c r="P61" s="1204">
        <v>417</v>
      </c>
      <c r="Q61" s="1204">
        <v>255</v>
      </c>
      <c r="R61" s="1204">
        <f t="shared" si="5"/>
        <v>872</v>
      </c>
      <c r="S61" s="1204">
        <v>1</v>
      </c>
      <c r="T61" s="1204">
        <v>503</v>
      </c>
      <c r="U61" s="1204">
        <v>368</v>
      </c>
      <c r="V61" s="1840">
        <f t="shared" si="7"/>
        <v>827</v>
      </c>
      <c r="W61" s="1840">
        <v>85</v>
      </c>
      <c r="X61" s="1840">
        <v>742</v>
      </c>
      <c r="Y61" s="1840">
        <v>0</v>
      </c>
    </row>
    <row r="62" spans="1:25">
      <c r="A62" s="53" t="s">
        <v>601</v>
      </c>
      <c r="B62" s="1204">
        <f t="shared" si="1"/>
        <v>1306</v>
      </c>
      <c r="C62" s="1204">
        <v>426</v>
      </c>
      <c r="D62" s="1204">
        <v>880</v>
      </c>
      <c r="E62" s="1204">
        <v>0</v>
      </c>
      <c r="F62" s="1204">
        <f t="shared" si="2"/>
        <v>4045</v>
      </c>
      <c r="G62" s="1204">
        <v>1259</v>
      </c>
      <c r="H62" s="1204">
        <v>2729</v>
      </c>
      <c r="I62" s="1204">
        <v>57</v>
      </c>
      <c r="J62" s="1204">
        <f t="shared" si="3"/>
        <v>7452</v>
      </c>
      <c r="K62" s="1204">
        <v>1936</v>
      </c>
      <c r="L62" s="1204">
        <v>5300</v>
      </c>
      <c r="M62" s="1204">
        <v>216</v>
      </c>
      <c r="N62" s="1204">
        <f t="shared" si="4"/>
        <v>9726</v>
      </c>
      <c r="O62" s="1204">
        <v>236</v>
      </c>
      <c r="P62" s="1204">
        <v>4691</v>
      </c>
      <c r="Q62" s="1204">
        <v>4799</v>
      </c>
      <c r="R62" s="1204">
        <f t="shared" si="5"/>
        <v>12956</v>
      </c>
      <c r="S62" s="1204">
        <v>117</v>
      </c>
      <c r="T62" s="1204">
        <v>6308</v>
      </c>
      <c r="U62" s="1204">
        <v>6531</v>
      </c>
      <c r="V62" s="1840">
        <f t="shared" si="7"/>
        <v>11864</v>
      </c>
      <c r="W62" s="1840">
        <v>3815</v>
      </c>
      <c r="X62" s="1840">
        <v>7840</v>
      </c>
      <c r="Y62" s="1840">
        <v>209</v>
      </c>
    </row>
    <row r="63" spans="1:25">
      <c r="A63" s="53" t="s">
        <v>602</v>
      </c>
      <c r="B63" s="1204">
        <f t="shared" si="1"/>
        <v>0</v>
      </c>
      <c r="C63" s="1204">
        <v>0</v>
      </c>
      <c r="D63" s="1204">
        <v>0</v>
      </c>
      <c r="E63" s="1204">
        <v>0</v>
      </c>
      <c r="F63" s="1204">
        <f t="shared" si="2"/>
        <v>0</v>
      </c>
      <c r="G63" s="1204">
        <v>0</v>
      </c>
      <c r="H63" s="1204">
        <v>0</v>
      </c>
      <c r="I63" s="1204">
        <v>0</v>
      </c>
      <c r="J63" s="1204">
        <f t="shared" si="3"/>
        <v>0</v>
      </c>
      <c r="K63" s="1204">
        <v>0</v>
      </c>
      <c r="L63" s="1204">
        <v>0</v>
      </c>
      <c r="M63" s="1204">
        <v>0</v>
      </c>
      <c r="N63" s="1204">
        <f t="shared" si="4"/>
        <v>0</v>
      </c>
      <c r="O63" s="1204">
        <v>0</v>
      </c>
      <c r="P63" s="1204">
        <v>0</v>
      </c>
      <c r="Q63" s="1204">
        <v>0</v>
      </c>
      <c r="R63" s="1204">
        <f t="shared" si="5"/>
        <v>174</v>
      </c>
      <c r="S63" s="1204">
        <v>0</v>
      </c>
      <c r="T63" s="1204">
        <v>144</v>
      </c>
      <c r="U63" s="1204">
        <v>30</v>
      </c>
      <c r="V63" s="1840">
        <f t="shared" si="7"/>
        <v>346</v>
      </c>
      <c r="W63" s="1840">
        <v>19</v>
      </c>
      <c r="X63" s="1840">
        <v>327</v>
      </c>
      <c r="Y63" s="1840">
        <v>0</v>
      </c>
    </row>
    <row r="64" spans="1:25" s="150" customFormat="1">
      <c r="A64" s="150" t="s">
        <v>17</v>
      </c>
      <c r="B64" s="1821">
        <f>SUM(C64:E64)</f>
        <v>197695</v>
      </c>
      <c r="C64" s="1821">
        <f>SUM(C65:C77)</f>
        <v>42709</v>
      </c>
      <c r="D64" s="1821">
        <f>SUM(D65:D77)</f>
        <v>143617</v>
      </c>
      <c r="E64" s="1821">
        <f>SUM(E65:E77)</f>
        <v>11369</v>
      </c>
      <c r="F64" s="1821">
        <f>SUM(G64:I64)</f>
        <v>228921</v>
      </c>
      <c r="G64" s="1821">
        <f>SUM(G65:G77)</f>
        <v>48164</v>
      </c>
      <c r="H64" s="1821">
        <f>SUM(H65:H77)</f>
        <v>169654</v>
      </c>
      <c r="I64" s="1821">
        <f>SUM(I65:I77)</f>
        <v>11103</v>
      </c>
      <c r="J64" s="1821">
        <f>SUM(K64:M64)</f>
        <v>262021</v>
      </c>
      <c r="K64" s="1821">
        <f>SUM(K65:K77)</f>
        <v>58533</v>
      </c>
      <c r="L64" s="1821">
        <f>SUM(L65:L77)</f>
        <v>185081</v>
      </c>
      <c r="M64" s="1821">
        <f>SUM(M65:M77)</f>
        <v>18407</v>
      </c>
      <c r="N64" s="1821">
        <f>SUM(O64:Q64)</f>
        <v>394130</v>
      </c>
      <c r="O64" s="1821">
        <f>SUM(O65:O77)</f>
        <v>22247</v>
      </c>
      <c r="P64" s="1821">
        <f>SUM(P65:P77)</f>
        <v>200400</v>
      </c>
      <c r="Q64" s="1821">
        <f>SUM(Q65:Q77)</f>
        <v>171483</v>
      </c>
      <c r="R64" s="1821">
        <f>SUM(S64:U64)</f>
        <v>483745</v>
      </c>
      <c r="S64" s="1821">
        <f>SUM(S65:S77)</f>
        <v>21396</v>
      </c>
      <c r="T64" s="1821">
        <f>SUM(T65:T77)</f>
        <v>253199</v>
      </c>
      <c r="U64" s="1821">
        <f>SUM(U65:U77)</f>
        <v>209150</v>
      </c>
      <c r="V64" s="1839">
        <f t="shared" si="7"/>
        <v>437857</v>
      </c>
      <c r="W64" s="1839">
        <f>SUM(W65:W77)</f>
        <v>92032</v>
      </c>
      <c r="X64" s="1839">
        <f>SUM(X65:X77)</f>
        <v>323412</v>
      </c>
      <c r="Y64" s="1839">
        <f>SUM(Y65:Y77)</f>
        <v>22413</v>
      </c>
    </row>
    <row r="65" spans="1:25">
      <c r="A65" s="53" t="s">
        <v>603</v>
      </c>
      <c r="B65" s="1204">
        <f t="shared" si="1"/>
        <v>36194</v>
      </c>
      <c r="C65" s="1204">
        <v>10626</v>
      </c>
      <c r="D65" s="1204">
        <v>23298</v>
      </c>
      <c r="E65" s="1204">
        <v>2270</v>
      </c>
      <c r="F65" s="1204">
        <f t="shared" si="2"/>
        <v>31129</v>
      </c>
      <c r="G65" s="1204">
        <v>8826</v>
      </c>
      <c r="H65" s="1204">
        <v>20446</v>
      </c>
      <c r="I65" s="1204">
        <v>1857</v>
      </c>
      <c r="J65" s="1204">
        <f t="shared" si="3"/>
        <v>37593</v>
      </c>
      <c r="K65" s="1204">
        <v>9773</v>
      </c>
      <c r="L65" s="1204">
        <v>24704</v>
      </c>
      <c r="M65" s="1204">
        <v>3116</v>
      </c>
      <c r="N65" s="1204">
        <f t="shared" si="4"/>
        <v>66311</v>
      </c>
      <c r="O65" s="1204">
        <v>6488</v>
      </c>
      <c r="P65" s="1204">
        <v>31423</v>
      </c>
      <c r="Q65" s="1204">
        <v>28400</v>
      </c>
      <c r="R65" s="1204">
        <f t="shared" si="5"/>
        <v>86177</v>
      </c>
      <c r="S65" s="1204">
        <v>4438</v>
      </c>
      <c r="T65" s="1204">
        <v>42408</v>
      </c>
      <c r="U65" s="1204">
        <v>39331</v>
      </c>
      <c r="V65" s="1840">
        <f t="shared" si="7"/>
        <v>71010</v>
      </c>
      <c r="W65" s="1840">
        <v>16691</v>
      </c>
      <c r="X65" s="1840">
        <v>48440</v>
      </c>
      <c r="Y65" s="1840">
        <v>5879</v>
      </c>
    </row>
    <row r="66" spans="1:25">
      <c r="A66" s="53" t="s">
        <v>604</v>
      </c>
      <c r="B66" s="1204">
        <f t="shared" si="1"/>
        <v>23790</v>
      </c>
      <c r="C66" s="1204">
        <v>3142</v>
      </c>
      <c r="D66" s="1204">
        <v>18505</v>
      </c>
      <c r="E66" s="1204">
        <v>2143</v>
      </c>
      <c r="F66" s="1204">
        <f t="shared" si="2"/>
        <v>22533</v>
      </c>
      <c r="G66" s="1204">
        <v>2330</v>
      </c>
      <c r="H66" s="1204">
        <v>18082</v>
      </c>
      <c r="I66" s="1204">
        <v>2121</v>
      </c>
      <c r="J66" s="1204">
        <f t="shared" si="3"/>
        <v>23614</v>
      </c>
      <c r="K66" s="1204">
        <v>2338</v>
      </c>
      <c r="L66" s="1204">
        <v>20045</v>
      </c>
      <c r="M66" s="1204">
        <v>1231</v>
      </c>
      <c r="N66" s="1204">
        <f t="shared" si="4"/>
        <v>34104</v>
      </c>
      <c r="O66" s="1204">
        <v>2001</v>
      </c>
      <c r="P66" s="1204">
        <v>16159</v>
      </c>
      <c r="Q66" s="1204">
        <v>15944</v>
      </c>
      <c r="R66" s="1204">
        <f t="shared" si="5"/>
        <v>37376</v>
      </c>
      <c r="S66" s="1204">
        <v>2350</v>
      </c>
      <c r="T66" s="1204">
        <v>17773</v>
      </c>
      <c r="U66" s="1204">
        <v>17253</v>
      </c>
      <c r="V66" s="1840">
        <f t="shared" si="7"/>
        <v>40829</v>
      </c>
      <c r="W66" s="1840">
        <v>5955</v>
      </c>
      <c r="X66" s="1840">
        <v>32472</v>
      </c>
      <c r="Y66" s="1840">
        <v>2402</v>
      </c>
    </row>
    <row r="67" spans="1:25">
      <c r="A67" s="53" t="s">
        <v>605</v>
      </c>
      <c r="B67" s="1204">
        <f>SUM(C67:E67)</f>
        <v>7500</v>
      </c>
      <c r="C67" s="1204">
        <v>1544</v>
      </c>
      <c r="D67" s="1204">
        <v>5609</v>
      </c>
      <c r="E67" s="1204">
        <v>347</v>
      </c>
      <c r="F67" s="1204">
        <f t="shared" si="2"/>
        <v>7626</v>
      </c>
      <c r="G67" s="1204">
        <v>1319</v>
      </c>
      <c r="H67" s="1204">
        <v>5972</v>
      </c>
      <c r="I67" s="1204">
        <v>335</v>
      </c>
      <c r="J67" s="1204">
        <f t="shared" si="3"/>
        <v>9061</v>
      </c>
      <c r="K67" s="1204">
        <v>1953</v>
      </c>
      <c r="L67" s="1204">
        <v>6484</v>
      </c>
      <c r="M67" s="1204">
        <v>624</v>
      </c>
      <c r="N67" s="1204">
        <f t="shared" si="4"/>
        <v>12992</v>
      </c>
      <c r="O67" s="1204">
        <v>1160</v>
      </c>
      <c r="P67" s="1204">
        <v>6383</v>
      </c>
      <c r="Q67" s="1204">
        <v>5449</v>
      </c>
      <c r="R67" s="1204">
        <f t="shared" si="5"/>
        <v>15545</v>
      </c>
      <c r="S67" s="1204">
        <v>876</v>
      </c>
      <c r="T67" s="1204">
        <v>7751</v>
      </c>
      <c r="U67" s="1204">
        <v>6918</v>
      </c>
      <c r="V67" s="1840">
        <f t="shared" si="7"/>
        <v>13645</v>
      </c>
      <c r="W67" s="1840">
        <v>2606</v>
      </c>
      <c r="X67" s="1840">
        <v>10419</v>
      </c>
      <c r="Y67" s="1840">
        <v>620</v>
      </c>
    </row>
    <row r="68" spans="1:25">
      <c r="A68" s="53" t="s">
        <v>606</v>
      </c>
      <c r="B68" s="1204">
        <f t="shared" si="1"/>
        <v>2021</v>
      </c>
      <c r="C68" s="1204">
        <v>465</v>
      </c>
      <c r="D68" s="1204">
        <v>1556</v>
      </c>
      <c r="E68" s="1204">
        <v>0</v>
      </c>
      <c r="F68" s="1204">
        <f t="shared" si="2"/>
        <v>1674</v>
      </c>
      <c r="G68" s="1204">
        <v>252</v>
      </c>
      <c r="H68" s="1204">
        <v>1394</v>
      </c>
      <c r="I68" s="1204">
        <v>28</v>
      </c>
      <c r="J68" s="1204">
        <f t="shared" si="3"/>
        <v>4799</v>
      </c>
      <c r="K68" s="1204">
        <v>1464</v>
      </c>
      <c r="L68" s="1204">
        <v>3146</v>
      </c>
      <c r="M68" s="1204">
        <v>189</v>
      </c>
      <c r="N68" s="1204">
        <f t="shared" si="4"/>
        <v>4664</v>
      </c>
      <c r="O68" s="1204">
        <v>70</v>
      </c>
      <c r="P68" s="1204">
        <v>2575</v>
      </c>
      <c r="Q68" s="1204">
        <v>2019</v>
      </c>
      <c r="R68" s="1204">
        <f t="shared" si="5"/>
        <v>7305</v>
      </c>
      <c r="S68" s="1204">
        <v>349</v>
      </c>
      <c r="T68" s="1204">
        <v>3709</v>
      </c>
      <c r="U68" s="1204">
        <v>3247</v>
      </c>
      <c r="V68" s="1840">
        <f t="shared" si="7"/>
        <v>8687</v>
      </c>
      <c r="W68" s="1840">
        <v>2498</v>
      </c>
      <c r="X68" s="1840">
        <v>5772</v>
      </c>
      <c r="Y68" s="1840">
        <v>417</v>
      </c>
    </row>
    <row r="69" spans="1:25">
      <c r="A69" s="53" t="s">
        <v>607</v>
      </c>
      <c r="B69" s="1204">
        <f t="shared" si="1"/>
        <v>49109</v>
      </c>
      <c r="C69" s="1204">
        <v>8863</v>
      </c>
      <c r="D69" s="1204">
        <v>37988</v>
      </c>
      <c r="E69" s="1204">
        <v>2258</v>
      </c>
      <c r="F69" s="1204">
        <f t="shared" si="2"/>
        <v>80669</v>
      </c>
      <c r="G69" s="1204">
        <v>16523</v>
      </c>
      <c r="H69" s="1204">
        <v>61293</v>
      </c>
      <c r="I69" s="1204">
        <v>2853</v>
      </c>
      <c r="J69" s="1204">
        <f t="shared" si="3"/>
        <v>85602</v>
      </c>
      <c r="K69" s="1204">
        <v>19784</v>
      </c>
      <c r="L69" s="1204">
        <v>60811</v>
      </c>
      <c r="M69" s="1204">
        <v>5007</v>
      </c>
      <c r="N69" s="1204">
        <f t="shared" si="4"/>
        <v>121609</v>
      </c>
      <c r="O69" s="1204">
        <v>5848</v>
      </c>
      <c r="P69" s="1204">
        <v>61661</v>
      </c>
      <c r="Q69" s="1204">
        <v>54100</v>
      </c>
      <c r="R69" s="1204">
        <f t="shared" si="5"/>
        <v>141781</v>
      </c>
      <c r="S69" s="1204">
        <v>5767</v>
      </c>
      <c r="T69" s="1204">
        <v>74705</v>
      </c>
      <c r="U69" s="1204">
        <v>61309</v>
      </c>
      <c r="V69" s="1840">
        <f t="shared" si="7"/>
        <v>129373</v>
      </c>
      <c r="W69" s="1840">
        <v>23782</v>
      </c>
      <c r="X69" s="1840">
        <v>100083</v>
      </c>
      <c r="Y69" s="1840">
        <v>5508</v>
      </c>
    </row>
    <row r="70" spans="1:25">
      <c r="A70" s="53" t="s">
        <v>608</v>
      </c>
      <c r="B70" s="1204">
        <f t="shared" si="1"/>
        <v>6</v>
      </c>
      <c r="C70" s="1204">
        <v>0</v>
      </c>
      <c r="D70" s="1204">
        <v>6</v>
      </c>
      <c r="E70" s="1204">
        <v>0</v>
      </c>
      <c r="F70" s="1204">
        <f t="shared" si="2"/>
        <v>20</v>
      </c>
      <c r="G70" s="1204">
        <v>0</v>
      </c>
      <c r="H70" s="1204">
        <v>20</v>
      </c>
      <c r="I70" s="1204">
        <v>0</v>
      </c>
      <c r="J70" s="1204">
        <f t="shared" si="3"/>
        <v>16</v>
      </c>
      <c r="K70" s="1204">
        <v>4</v>
      </c>
      <c r="L70" s="1204">
        <v>12</v>
      </c>
      <c r="M70" s="1204">
        <v>0</v>
      </c>
      <c r="N70" s="1204">
        <f t="shared" si="4"/>
        <v>50</v>
      </c>
      <c r="O70" s="1204">
        <v>0</v>
      </c>
      <c r="P70" s="1204">
        <v>26</v>
      </c>
      <c r="Q70" s="1204">
        <v>24</v>
      </c>
      <c r="R70" s="1204">
        <f t="shared" si="5"/>
        <v>64</v>
      </c>
      <c r="S70" s="1204">
        <v>0</v>
      </c>
      <c r="T70" s="1204">
        <v>35</v>
      </c>
      <c r="U70" s="1204">
        <v>29</v>
      </c>
      <c r="V70" s="1840">
        <f t="shared" si="7"/>
        <v>102</v>
      </c>
      <c r="W70" s="1840">
        <v>6</v>
      </c>
      <c r="X70" s="1840">
        <v>96</v>
      </c>
      <c r="Y70" s="1840">
        <v>0</v>
      </c>
    </row>
    <row r="71" spans="1:25">
      <c r="A71" s="53" t="s">
        <v>609</v>
      </c>
      <c r="B71" s="1204">
        <f t="shared" si="1"/>
        <v>0</v>
      </c>
      <c r="C71" s="1204">
        <v>0</v>
      </c>
      <c r="D71" s="1204">
        <v>0</v>
      </c>
      <c r="E71" s="1204">
        <v>0</v>
      </c>
      <c r="F71" s="1204">
        <f t="shared" si="2"/>
        <v>0</v>
      </c>
      <c r="G71" s="1204">
        <v>0</v>
      </c>
      <c r="H71" s="1204">
        <v>0</v>
      </c>
      <c r="I71" s="1204">
        <v>0</v>
      </c>
      <c r="J71" s="1204">
        <f t="shared" si="3"/>
        <v>0</v>
      </c>
      <c r="K71" s="1204">
        <v>0</v>
      </c>
      <c r="L71" s="1204">
        <v>0</v>
      </c>
      <c r="M71" s="1204">
        <v>0</v>
      </c>
      <c r="N71" s="1204">
        <f t="shared" si="4"/>
        <v>0</v>
      </c>
      <c r="O71" s="1204">
        <v>0</v>
      </c>
      <c r="P71" s="1204">
        <v>0</v>
      </c>
      <c r="Q71" s="1204">
        <v>0</v>
      </c>
      <c r="R71" s="1204">
        <f t="shared" si="5"/>
        <v>0</v>
      </c>
      <c r="S71" s="1204">
        <v>0</v>
      </c>
      <c r="T71" s="1204">
        <v>0</v>
      </c>
      <c r="U71" s="1204">
        <v>0</v>
      </c>
      <c r="V71" s="1840">
        <f t="shared" si="7"/>
        <v>0</v>
      </c>
      <c r="W71" s="1840">
        <v>0</v>
      </c>
      <c r="X71" s="1840">
        <v>0</v>
      </c>
      <c r="Y71" s="1840">
        <v>0</v>
      </c>
    </row>
    <row r="72" spans="1:25">
      <c r="A72" s="53" t="s">
        <v>610</v>
      </c>
      <c r="B72" s="1204">
        <f t="shared" si="1"/>
        <v>22651</v>
      </c>
      <c r="C72" s="1204">
        <v>7767</v>
      </c>
      <c r="D72" s="1204">
        <v>14872</v>
      </c>
      <c r="E72" s="1204">
        <v>12</v>
      </c>
      <c r="F72" s="1204">
        <f t="shared" si="2"/>
        <v>24796</v>
      </c>
      <c r="G72" s="1204">
        <v>6872</v>
      </c>
      <c r="H72" s="1204">
        <v>17828</v>
      </c>
      <c r="I72" s="1204">
        <v>96</v>
      </c>
      <c r="J72" s="1204">
        <f t="shared" si="3"/>
        <v>29447</v>
      </c>
      <c r="K72" s="1204">
        <v>8106</v>
      </c>
      <c r="L72" s="1204">
        <v>21288</v>
      </c>
      <c r="M72" s="1204">
        <v>53</v>
      </c>
      <c r="N72" s="1204">
        <f t="shared" si="4"/>
        <v>55649</v>
      </c>
      <c r="O72" s="1204">
        <v>8</v>
      </c>
      <c r="P72" s="1204">
        <v>31854</v>
      </c>
      <c r="Q72" s="1204">
        <v>23787</v>
      </c>
      <c r="R72" s="1204">
        <f t="shared" si="5"/>
        <v>84569</v>
      </c>
      <c r="S72" s="1204">
        <v>30</v>
      </c>
      <c r="T72" s="1204">
        <v>48309</v>
      </c>
      <c r="U72" s="1204">
        <v>36230</v>
      </c>
      <c r="V72" s="1840">
        <f t="shared" si="7"/>
        <v>84924</v>
      </c>
      <c r="W72" s="1840">
        <v>23021</v>
      </c>
      <c r="X72" s="1840">
        <v>61897</v>
      </c>
      <c r="Y72" s="1840">
        <v>6</v>
      </c>
    </row>
    <row r="73" spans="1:25">
      <c r="A73" s="53" t="s">
        <v>611</v>
      </c>
      <c r="B73" s="1204">
        <f>SUM(C73:E73)</f>
        <v>23</v>
      </c>
      <c r="C73" s="1204">
        <v>0</v>
      </c>
      <c r="D73" s="1204">
        <v>23</v>
      </c>
      <c r="E73" s="1204">
        <v>0</v>
      </c>
      <c r="F73" s="1204">
        <f t="shared" si="2"/>
        <v>0</v>
      </c>
      <c r="G73" s="1204">
        <v>0</v>
      </c>
      <c r="H73" s="1204">
        <v>0</v>
      </c>
      <c r="I73" s="1204">
        <v>0</v>
      </c>
      <c r="J73" s="1204">
        <f t="shared" si="3"/>
        <v>0</v>
      </c>
      <c r="K73" s="1204">
        <v>0</v>
      </c>
      <c r="L73" s="1204">
        <v>0</v>
      </c>
      <c r="M73" s="1204">
        <v>0</v>
      </c>
      <c r="N73" s="1204">
        <f t="shared" si="4"/>
        <v>350</v>
      </c>
      <c r="O73" s="1204">
        <v>9</v>
      </c>
      <c r="P73" s="1204">
        <v>180</v>
      </c>
      <c r="Q73" s="1204">
        <v>161</v>
      </c>
      <c r="R73" s="1204">
        <f t="shared" si="5"/>
        <v>637</v>
      </c>
      <c r="S73" s="1204">
        <v>13</v>
      </c>
      <c r="T73" s="1204">
        <v>302</v>
      </c>
      <c r="U73" s="1204">
        <v>322</v>
      </c>
      <c r="V73" s="1840">
        <f t="shared" si="7"/>
        <v>820</v>
      </c>
      <c r="W73" s="1840">
        <v>179</v>
      </c>
      <c r="X73" s="1840">
        <v>641</v>
      </c>
      <c r="Y73" s="1840">
        <v>0</v>
      </c>
    </row>
    <row r="74" spans="1:25">
      <c r="A74" s="53" t="s">
        <v>612</v>
      </c>
      <c r="B74" s="1204">
        <f t="shared" si="1"/>
        <v>0</v>
      </c>
      <c r="C74" s="1204">
        <v>0</v>
      </c>
      <c r="D74" s="1204">
        <v>0</v>
      </c>
      <c r="E74" s="1204">
        <v>0</v>
      </c>
      <c r="F74" s="1204">
        <f t="shared" si="2"/>
        <v>0</v>
      </c>
      <c r="G74" s="1204">
        <v>0</v>
      </c>
      <c r="H74" s="1204">
        <v>0</v>
      </c>
      <c r="I74" s="1204">
        <v>0</v>
      </c>
      <c r="J74" s="1204">
        <f t="shared" si="3"/>
        <v>60</v>
      </c>
      <c r="K74" s="1204">
        <v>2</v>
      </c>
      <c r="L74" s="1204">
        <v>58</v>
      </c>
      <c r="M74" s="1204">
        <v>0</v>
      </c>
      <c r="N74" s="1204">
        <f t="shared" si="4"/>
        <v>0</v>
      </c>
      <c r="O74" s="1204">
        <v>0</v>
      </c>
      <c r="P74" s="1204">
        <v>0</v>
      </c>
      <c r="Q74" s="1204">
        <v>0</v>
      </c>
      <c r="R74" s="1204">
        <f t="shared" si="5"/>
        <v>0</v>
      </c>
      <c r="S74" s="1204">
        <v>0</v>
      </c>
      <c r="T74" s="1204">
        <v>0</v>
      </c>
      <c r="U74" s="1204">
        <v>0</v>
      </c>
      <c r="V74" s="1840">
        <f t="shared" si="7"/>
        <v>0</v>
      </c>
      <c r="W74" s="1840">
        <v>0</v>
      </c>
      <c r="X74" s="1840">
        <v>0</v>
      </c>
      <c r="Y74" s="1840">
        <v>0</v>
      </c>
    </row>
    <row r="75" spans="1:25">
      <c r="A75" s="53" t="s">
        <v>613</v>
      </c>
      <c r="B75" s="1204">
        <f t="shared" si="1"/>
        <v>158</v>
      </c>
      <c r="C75" s="1204">
        <v>0</v>
      </c>
      <c r="D75" s="1204">
        <v>158</v>
      </c>
      <c r="E75" s="1204">
        <v>0</v>
      </c>
      <c r="F75" s="1204">
        <f t="shared" si="2"/>
        <v>531</v>
      </c>
      <c r="G75" s="1204">
        <v>94</v>
      </c>
      <c r="H75" s="1204">
        <v>436</v>
      </c>
      <c r="I75" s="1204">
        <v>1</v>
      </c>
      <c r="J75" s="1204">
        <f t="shared" si="3"/>
        <v>31</v>
      </c>
      <c r="K75" s="1204">
        <v>0</v>
      </c>
      <c r="L75" s="1204">
        <v>31</v>
      </c>
      <c r="M75" s="1204">
        <v>0</v>
      </c>
      <c r="N75" s="1204">
        <f t="shared" si="4"/>
        <v>4084</v>
      </c>
      <c r="O75" s="1204">
        <v>130</v>
      </c>
      <c r="P75" s="1204">
        <v>2802</v>
      </c>
      <c r="Q75" s="1204">
        <v>1152</v>
      </c>
      <c r="R75" s="1204">
        <f t="shared" si="5"/>
        <v>11400</v>
      </c>
      <c r="S75" s="1204">
        <v>193</v>
      </c>
      <c r="T75" s="1204">
        <v>8358</v>
      </c>
      <c r="U75" s="1204">
        <v>2849</v>
      </c>
      <c r="V75" s="1840">
        <f t="shared" si="7"/>
        <v>8751</v>
      </c>
      <c r="W75" s="1840">
        <v>519</v>
      </c>
      <c r="X75" s="1840">
        <v>8044</v>
      </c>
      <c r="Y75" s="1840">
        <v>188</v>
      </c>
    </row>
    <row r="76" spans="1:25">
      <c r="A76" s="53" t="s">
        <v>614</v>
      </c>
      <c r="B76" s="1204">
        <f>SUM(C76:E76)</f>
        <v>1273</v>
      </c>
      <c r="C76" s="1204">
        <v>394</v>
      </c>
      <c r="D76" s="1204">
        <v>690</v>
      </c>
      <c r="E76" s="1204">
        <v>189</v>
      </c>
      <c r="F76" s="1204">
        <f t="shared" ref="F76:F124" si="8">SUM(G76:I76)</f>
        <v>1339</v>
      </c>
      <c r="G76" s="1204">
        <v>407</v>
      </c>
      <c r="H76" s="1204">
        <v>796</v>
      </c>
      <c r="I76" s="1204">
        <v>136</v>
      </c>
      <c r="J76" s="1204">
        <f t="shared" ref="J76:J124" si="9">SUM(K76:M76)</f>
        <v>2335</v>
      </c>
      <c r="K76" s="1204">
        <v>836</v>
      </c>
      <c r="L76" s="1204">
        <v>1325</v>
      </c>
      <c r="M76" s="1204">
        <v>174</v>
      </c>
      <c r="N76" s="1204">
        <f t="shared" ref="N76:N124" si="10">SUM(O76:Q76)</f>
        <v>3185</v>
      </c>
      <c r="O76" s="1204">
        <v>454</v>
      </c>
      <c r="P76" s="1204">
        <v>1257</v>
      </c>
      <c r="Q76" s="1204">
        <v>1474</v>
      </c>
      <c r="R76" s="1204">
        <f t="shared" ref="R76:R124" si="11">SUM(S76:U76)</f>
        <v>6125</v>
      </c>
      <c r="S76" s="1204">
        <v>469</v>
      </c>
      <c r="T76" s="1204">
        <v>2836</v>
      </c>
      <c r="U76" s="1204">
        <v>2820</v>
      </c>
      <c r="V76" s="1840">
        <f t="shared" si="7"/>
        <v>6244</v>
      </c>
      <c r="W76" s="1840">
        <v>1571</v>
      </c>
      <c r="X76" s="1840">
        <v>4294</v>
      </c>
      <c r="Y76" s="1840">
        <v>379</v>
      </c>
    </row>
    <row r="77" spans="1:25">
      <c r="A77" s="53" t="s">
        <v>615</v>
      </c>
      <c r="B77" s="1204">
        <f>SUM(C77:E77)</f>
        <v>54970</v>
      </c>
      <c r="C77" s="1204">
        <v>9908</v>
      </c>
      <c r="D77" s="1204">
        <v>40912</v>
      </c>
      <c r="E77" s="1204">
        <v>4150</v>
      </c>
      <c r="F77" s="1204">
        <f t="shared" si="8"/>
        <v>58604</v>
      </c>
      <c r="G77" s="1204">
        <v>11541</v>
      </c>
      <c r="H77" s="1204">
        <v>43387</v>
      </c>
      <c r="I77" s="1204">
        <v>3676</v>
      </c>
      <c r="J77" s="1204">
        <f t="shared" si="9"/>
        <v>69463</v>
      </c>
      <c r="K77" s="1204">
        <v>14273</v>
      </c>
      <c r="L77" s="1204">
        <v>47177</v>
      </c>
      <c r="M77" s="1204">
        <v>8013</v>
      </c>
      <c r="N77" s="1204">
        <f t="shared" si="10"/>
        <v>91132</v>
      </c>
      <c r="O77" s="1204">
        <v>6079</v>
      </c>
      <c r="P77" s="1204">
        <v>46080</v>
      </c>
      <c r="Q77" s="1204">
        <v>38973</v>
      </c>
      <c r="R77" s="1204">
        <f t="shared" si="11"/>
        <v>92766</v>
      </c>
      <c r="S77" s="1204">
        <v>6911</v>
      </c>
      <c r="T77" s="1204">
        <v>47013</v>
      </c>
      <c r="U77" s="1204">
        <v>38842</v>
      </c>
      <c r="V77" s="1840">
        <f>SUM(W77:Y77)</f>
        <v>73472</v>
      </c>
      <c r="W77" s="1840">
        <v>15204</v>
      </c>
      <c r="X77" s="1840">
        <v>51254</v>
      </c>
      <c r="Y77" s="1840">
        <v>7014</v>
      </c>
    </row>
    <row r="78" spans="1:25" s="150" customFormat="1">
      <c r="A78" s="150" t="s">
        <v>18</v>
      </c>
      <c r="B78" s="1821">
        <f>SUM(C78:E78)</f>
        <v>345</v>
      </c>
      <c r="C78" s="1821">
        <f>SUM(C79:C80)</f>
        <v>90</v>
      </c>
      <c r="D78" s="1821">
        <f>SUM(D79:D80)</f>
        <v>217</v>
      </c>
      <c r="E78" s="1821">
        <f>SUM(E79:E80)</f>
        <v>38</v>
      </c>
      <c r="F78" s="1821">
        <f>SUM(G78:I78)</f>
        <v>376</v>
      </c>
      <c r="G78" s="1821">
        <f>SUM(G79:G80)</f>
        <v>37</v>
      </c>
      <c r="H78" s="1821">
        <f>SUM(H79:H80)</f>
        <v>317</v>
      </c>
      <c r="I78" s="1821">
        <f>SUM(I79:I80)</f>
        <v>22</v>
      </c>
      <c r="J78" s="1821">
        <f>SUM(K78:M78)</f>
        <v>1159</v>
      </c>
      <c r="K78" s="1821">
        <f>SUM(K79:K80)</f>
        <v>102</v>
      </c>
      <c r="L78" s="1821">
        <f>SUM(L79:L80)</f>
        <v>1048</v>
      </c>
      <c r="M78" s="1821">
        <f>SUM(M79:M80)</f>
        <v>9</v>
      </c>
      <c r="N78" s="1821">
        <f>SUM(O78:Q78)</f>
        <v>1243</v>
      </c>
      <c r="O78" s="1821">
        <f>SUM(O79:O80)</f>
        <v>22</v>
      </c>
      <c r="P78" s="1821">
        <f>SUM(P79:P80)</f>
        <v>687</v>
      </c>
      <c r="Q78" s="1821">
        <f>SUM(Q79:Q80)</f>
        <v>534</v>
      </c>
      <c r="R78" s="1821">
        <f>SUM(S78:U78)</f>
        <v>2401</v>
      </c>
      <c r="S78" s="1821">
        <f>SUM(S79:S80)</f>
        <v>79</v>
      </c>
      <c r="T78" s="1821">
        <f>SUM(T79:T80)</f>
        <v>1344</v>
      </c>
      <c r="U78" s="1821">
        <f>SUM(U79:U80)</f>
        <v>978</v>
      </c>
      <c r="V78" s="1839">
        <f>+W78+X78+Y78</f>
        <v>4521</v>
      </c>
      <c r="W78" s="1839">
        <f>+W79+W80</f>
        <v>789</v>
      </c>
      <c r="X78" s="1839">
        <f>+X79+X80</f>
        <v>3412</v>
      </c>
      <c r="Y78" s="1839">
        <f>+Y79+Y80</f>
        <v>320</v>
      </c>
    </row>
    <row r="79" spans="1:25">
      <c r="A79" s="53" t="s">
        <v>616</v>
      </c>
      <c r="B79" s="1204">
        <f t="shared" ref="B79:B124" si="12">SUM(C79:E79)</f>
        <v>0</v>
      </c>
      <c r="C79" s="1204">
        <v>0</v>
      </c>
      <c r="D79" s="1204">
        <v>0</v>
      </c>
      <c r="E79" s="1204">
        <v>0</v>
      </c>
      <c r="F79" s="1204">
        <f t="shared" si="8"/>
        <v>0</v>
      </c>
      <c r="G79" s="1204">
        <v>0</v>
      </c>
      <c r="H79" s="1204">
        <v>0</v>
      </c>
      <c r="I79" s="1204">
        <v>0</v>
      </c>
      <c r="J79" s="1204">
        <f t="shared" si="9"/>
        <v>869</v>
      </c>
      <c r="K79" s="1204">
        <v>67</v>
      </c>
      <c r="L79" s="1204">
        <v>800</v>
      </c>
      <c r="M79" s="1204">
        <v>2</v>
      </c>
      <c r="N79" s="1204">
        <f t="shared" si="10"/>
        <v>538</v>
      </c>
      <c r="O79" s="1204">
        <v>10</v>
      </c>
      <c r="P79" s="1204">
        <v>268</v>
      </c>
      <c r="Q79" s="1204">
        <v>260</v>
      </c>
      <c r="R79" s="1204">
        <f t="shared" si="11"/>
        <v>1217</v>
      </c>
      <c r="S79" s="1204">
        <v>19</v>
      </c>
      <c r="T79" s="1204">
        <v>733</v>
      </c>
      <c r="U79" s="1204">
        <v>465</v>
      </c>
      <c r="V79" s="1840">
        <f t="shared" ref="V79:V119" si="13">SUM(W79:Y79)</f>
        <v>1125</v>
      </c>
      <c r="W79" s="1840">
        <v>187</v>
      </c>
      <c r="X79" s="1840">
        <v>882</v>
      </c>
      <c r="Y79" s="1840">
        <v>56</v>
      </c>
    </row>
    <row r="80" spans="1:25">
      <c r="A80" s="53" t="s">
        <v>617</v>
      </c>
      <c r="B80" s="1204">
        <f t="shared" si="12"/>
        <v>345</v>
      </c>
      <c r="C80" s="1204">
        <v>90</v>
      </c>
      <c r="D80" s="1204">
        <v>217</v>
      </c>
      <c r="E80" s="1204">
        <v>38</v>
      </c>
      <c r="F80" s="1204">
        <f t="shared" si="8"/>
        <v>376</v>
      </c>
      <c r="G80" s="1204">
        <v>37</v>
      </c>
      <c r="H80" s="1204">
        <v>317</v>
      </c>
      <c r="I80" s="1204">
        <v>22</v>
      </c>
      <c r="J80" s="1204">
        <f t="shared" si="9"/>
        <v>290</v>
      </c>
      <c r="K80" s="1204">
        <v>35</v>
      </c>
      <c r="L80" s="1204">
        <v>248</v>
      </c>
      <c r="M80" s="1204">
        <v>7</v>
      </c>
      <c r="N80" s="1204">
        <f t="shared" si="10"/>
        <v>705</v>
      </c>
      <c r="O80" s="1204">
        <v>12</v>
      </c>
      <c r="P80" s="1204">
        <v>419</v>
      </c>
      <c r="Q80" s="1204">
        <v>274</v>
      </c>
      <c r="R80" s="1204">
        <f t="shared" si="11"/>
        <v>1184</v>
      </c>
      <c r="S80" s="1204">
        <v>60</v>
      </c>
      <c r="T80" s="1204">
        <v>611</v>
      </c>
      <c r="U80" s="1204">
        <v>513</v>
      </c>
      <c r="V80" s="1840">
        <f t="shared" si="13"/>
        <v>3396</v>
      </c>
      <c r="W80" s="1840">
        <v>602</v>
      </c>
      <c r="X80" s="1840">
        <v>2530</v>
      </c>
      <c r="Y80" s="1840">
        <v>264</v>
      </c>
    </row>
    <row r="81" spans="1:25" s="150" customFormat="1">
      <c r="A81" s="150" t="s">
        <v>19</v>
      </c>
      <c r="B81" s="1821">
        <f>SUM(C81:E81)</f>
        <v>794363</v>
      </c>
      <c r="C81" s="1821">
        <f>SUM(C82:C92)</f>
        <v>148355</v>
      </c>
      <c r="D81" s="1821">
        <f>SUM(D82:D92)</f>
        <v>633185</v>
      </c>
      <c r="E81" s="1821">
        <f>SUM(E82:E92)</f>
        <v>12823</v>
      </c>
      <c r="F81" s="1821">
        <f>SUM(G81:I81)</f>
        <v>486725</v>
      </c>
      <c r="G81" s="1821">
        <f>SUM(G82:G92)</f>
        <v>42676</v>
      </c>
      <c r="H81" s="1821">
        <f>SUM(H82:H92)</f>
        <v>402024</v>
      </c>
      <c r="I81" s="1821">
        <f>SUM(I82:I92)</f>
        <v>42025</v>
      </c>
      <c r="J81" s="1821">
        <f>SUM(K81:M81)</f>
        <v>430663</v>
      </c>
      <c r="K81" s="1821">
        <f>SUM(K82:K92)</f>
        <v>61866</v>
      </c>
      <c r="L81" s="1821">
        <f>SUM(L82:L92)</f>
        <v>329050</v>
      </c>
      <c r="M81" s="1821">
        <f>SUM(M82:M92)</f>
        <v>39747</v>
      </c>
      <c r="N81" s="1821">
        <f>SUM(O81:Q81)</f>
        <v>561638</v>
      </c>
      <c r="O81" s="1821">
        <f>SUM(O82:O92)</f>
        <v>47390</v>
      </c>
      <c r="P81" s="1821">
        <f>SUM(P82:P92)</f>
        <v>253561</v>
      </c>
      <c r="Q81" s="1821">
        <f>SUM(Q82:Q92)</f>
        <v>260687</v>
      </c>
      <c r="R81" s="1821">
        <f>SUM(S81:U81)</f>
        <v>639760</v>
      </c>
      <c r="S81" s="1821">
        <f>SUM(S82:S92)</f>
        <v>71369</v>
      </c>
      <c r="T81" s="1821">
        <f>SUM(T82:T92)</f>
        <v>275349</v>
      </c>
      <c r="U81" s="1821">
        <f>SUM(U82:U92)</f>
        <v>293042</v>
      </c>
      <c r="V81" s="1839">
        <f t="shared" si="13"/>
        <v>631151</v>
      </c>
      <c r="W81" s="1839">
        <f>SUM(W82:W92)</f>
        <v>77657</v>
      </c>
      <c r="X81" s="1839">
        <f>SUM(X82:X92)</f>
        <v>463789</v>
      </c>
      <c r="Y81" s="1839">
        <f>SUM(Y82:Y92)</f>
        <v>89705</v>
      </c>
    </row>
    <row r="82" spans="1:25">
      <c r="A82" s="53" t="s">
        <v>618</v>
      </c>
      <c r="B82" s="1204">
        <f t="shared" si="12"/>
        <v>17107</v>
      </c>
      <c r="C82" s="1204">
        <v>2667</v>
      </c>
      <c r="D82" s="1204">
        <v>14111</v>
      </c>
      <c r="E82" s="1204">
        <v>329</v>
      </c>
      <c r="F82" s="1204">
        <f t="shared" si="8"/>
        <v>14761</v>
      </c>
      <c r="G82" s="1204">
        <v>2470</v>
      </c>
      <c r="H82" s="1204">
        <v>11822</v>
      </c>
      <c r="I82" s="1204">
        <v>469</v>
      </c>
      <c r="J82" s="1204">
        <f t="shared" si="9"/>
        <v>20950</v>
      </c>
      <c r="K82" s="1204">
        <v>3369</v>
      </c>
      <c r="L82" s="1204">
        <v>16967</v>
      </c>
      <c r="M82" s="1204">
        <v>614</v>
      </c>
      <c r="N82" s="1204">
        <f t="shared" si="10"/>
        <v>27976</v>
      </c>
      <c r="O82" s="1204">
        <v>927</v>
      </c>
      <c r="P82" s="1204">
        <v>12548</v>
      </c>
      <c r="Q82" s="1204">
        <v>14501</v>
      </c>
      <c r="R82" s="1204">
        <f t="shared" si="11"/>
        <v>33849</v>
      </c>
      <c r="S82" s="1204">
        <v>2707</v>
      </c>
      <c r="T82" s="1204">
        <v>14110</v>
      </c>
      <c r="U82" s="1204">
        <v>17032</v>
      </c>
      <c r="V82" s="1840">
        <f t="shared" si="13"/>
        <v>39666</v>
      </c>
      <c r="W82" s="1840">
        <v>4244</v>
      </c>
      <c r="X82" s="1840">
        <v>30154</v>
      </c>
      <c r="Y82" s="1840">
        <v>5268</v>
      </c>
    </row>
    <row r="83" spans="1:25">
      <c r="A83" s="53" t="s">
        <v>619</v>
      </c>
      <c r="B83" s="1204">
        <f t="shared" si="12"/>
        <v>499129</v>
      </c>
      <c r="C83" s="1204">
        <v>124782</v>
      </c>
      <c r="D83" s="1204">
        <v>374347</v>
      </c>
      <c r="E83" s="1204">
        <v>0</v>
      </c>
      <c r="F83" s="1204">
        <f t="shared" si="8"/>
        <v>250415</v>
      </c>
      <c r="G83" s="1204">
        <v>19983</v>
      </c>
      <c r="H83" s="1204">
        <v>219541</v>
      </c>
      <c r="I83" s="1204">
        <v>10891</v>
      </c>
      <c r="J83" s="1204">
        <f t="shared" si="9"/>
        <v>95062</v>
      </c>
      <c r="K83" s="1204">
        <v>21181</v>
      </c>
      <c r="L83" s="1204">
        <v>65539</v>
      </c>
      <c r="M83" s="1204">
        <v>8342</v>
      </c>
      <c r="N83" s="1204">
        <f t="shared" si="10"/>
        <v>149877</v>
      </c>
      <c r="O83" s="1204">
        <v>16840</v>
      </c>
      <c r="P83" s="1204">
        <v>64681</v>
      </c>
      <c r="Q83" s="1204">
        <v>68356</v>
      </c>
      <c r="R83" s="1204">
        <f t="shared" si="11"/>
        <v>148061</v>
      </c>
      <c r="S83" s="1204">
        <v>23789</v>
      </c>
      <c r="T83" s="1204">
        <v>60506</v>
      </c>
      <c r="U83" s="1204">
        <v>63766</v>
      </c>
      <c r="V83" s="1840">
        <f t="shared" si="13"/>
        <v>137778</v>
      </c>
      <c r="W83" s="1840">
        <v>31624</v>
      </c>
      <c r="X83" s="1840">
        <v>82294</v>
      </c>
      <c r="Y83" s="1840">
        <v>23860</v>
      </c>
    </row>
    <row r="84" spans="1:25">
      <c r="A84" s="53" t="s">
        <v>620</v>
      </c>
      <c r="B84" s="1204">
        <f t="shared" si="12"/>
        <v>264496</v>
      </c>
      <c r="C84" s="1204">
        <v>18503</v>
      </c>
      <c r="D84" s="1204">
        <v>233527</v>
      </c>
      <c r="E84" s="1204">
        <v>12466</v>
      </c>
      <c r="F84" s="1204">
        <f t="shared" si="8"/>
        <v>203027</v>
      </c>
      <c r="G84" s="1204">
        <v>17736</v>
      </c>
      <c r="H84" s="1204">
        <v>154854</v>
      </c>
      <c r="I84" s="1204">
        <v>30437</v>
      </c>
      <c r="J84" s="1204">
        <f t="shared" si="9"/>
        <v>293266</v>
      </c>
      <c r="K84" s="1204">
        <v>32121</v>
      </c>
      <c r="L84" s="1204">
        <v>230554</v>
      </c>
      <c r="M84" s="1204">
        <v>30591</v>
      </c>
      <c r="N84" s="1204">
        <f t="shared" si="10"/>
        <v>361769</v>
      </c>
      <c r="O84" s="1204">
        <v>29435</v>
      </c>
      <c r="P84" s="1204">
        <v>164755</v>
      </c>
      <c r="Q84" s="1204">
        <v>167579</v>
      </c>
      <c r="R84" s="1204">
        <f t="shared" si="11"/>
        <v>430080</v>
      </c>
      <c r="S84" s="1204">
        <v>43793</v>
      </c>
      <c r="T84" s="1204">
        <v>187131</v>
      </c>
      <c r="U84" s="1204">
        <v>199156</v>
      </c>
      <c r="V84" s="1840">
        <f t="shared" si="13"/>
        <v>415625</v>
      </c>
      <c r="W84" s="1840">
        <v>34737</v>
      </c>
      <c r="X84" s="1840">
        <v>322876</v>
      </c>
      <c r="Y84" s="1840">
        <v>58012</v>
      </c>
    </row>
    <row r="85" spans="1:25">
      <c r="A85" s="53" t="s">
        <v>621</v>
      </c>
      <c r="B85" s="1204">
        <f t="shared" si="12"/>
        <v>10813</v>
      </c>
      <c r="C85" s="1204">
        <v>2202</v>
      </c>
      <c r="D85" s="1204">
        <v>8586</v>
      </c>
      <c r="E85" s="1204">
        <v>25</v>
      </c>
      <c r="F85" s="1204">
        <f t="shared" si="8"/>
        <v>9250</v>
      </c>
      <c r="G85" s="1204">
        <v>1778</v>
      </c>
      <c r="H85" s="1204">
        <v>7469</v>
      </c>
      <c r="I85" s="1204">
        <v>3</v>
      </c>
      <c r="J85" s="1204">
        <f t="shared" si="9"/>
        <v>11721</v>
      </c>
      <c r="K85" s="1204">
        <v>1986</v>
      </c>
      <c r="L85" s="1204">
        <v>9721</v>
      </c>
      <c r="M85" s="1204">
        <v>14</v>
      </c>
      <c r="N85" s="1204">
        <f t="shared" si="10"/>
        <v>12191</v>
      </c>
      <c r="O85" s="1204">
        <v>2</v>
      </c>
      <c r="P85" s="1204">
        <v>6506</v>
      </c>
      <c r="Q85" s="1204">
        <v>5683</v>
      </c>
      <c r="R85" s="1204">
        <f t="shared" si="11"/>
        <v>15772</v>
      </c>
      <c r="S85" s="1204">
        <v>44</v>
      </c>
      <c r="T85" s="1204">
        <v>8105</v>
      </c>
      <c r="U85" s="1204">
        <v>7623</v>
      </c>
      <c r="V85" s="1840">
        <f t="shared" si="13"/>
        <v>16583</v>
      </c>
      <c r="W85" s="1840">
        <v>3371</v>
      </c>
      <c r="X85" s="1840">
        <v>13103</v>
      </c>
      <c r="Y85" s="1840">
        <v>109</v>
      </c>
    </row>
    <row r="86" spans="1:25">
      <c r="A86" s="53" t="s">
        <v>622</v>
      </c>
      <c r="B86" s="1204">
        <f t="shared" si="12"/>
        <v>311</v>
      </c>
      <c r="C86" s="1204">
        <v>6</v>
      </c>
      <c r="D86" s="1204">
        <v>302</v>
      </c>
      <c r="E86" s="1204">
        <v>3</v>
      </c>
      <c r="F86" s="1204">
        <f t="shared" si="8"/>
        <v>479</v>
      </c>
      <c r="G86" s="1204">
        <v>21</v>
      </c>
      <c r="H86" s="1204">
        <v>458</v>
      </c>
      <c r="I86" s="1204">
        <v>0</v>
      </c>
      <c r="J86" s="1204">
        <f t="shared" si="9"/>
        <v>351</v>
      </c>
      <c r="K86" s="1204">
        <v>22</v>
      </c>
      <c r="L86" s="1204">
        <v>329</v>
      </c>
      <c r="M86" s="1204">
        <v>0</v>
      </c>
      <c r="N86" s="1204">
        <f t="shared" si="10"/>
        <v>0</v>
      </c>
      <c r="O86" s="1204">
        <v>0</v>
      </c>
      <c r="P86" s="1204">
        <v>0</v>
      </c>
      <c r="Q86" s="1204">
        <v>0</v>
      </c>
      <c r="R86" s="1204">
        <f t="shared" si="11"/>
        <v>621</v>
      </c>
      <c r="S86" s="1204">
        <v>0</v>
      </c>
      <c r="T86" s="1204">
        <v>415</v>
      </c>
      <c r="U86" s="1204">
        <v>206</v>
      </c>
      <c r="V86" s="1840">
        <f t="shared" si="13"/>
        <v>1928</v>
      </c>
      <c r="W86" s="1840">
        <v>132</v>
      </c>
      <c r="X86" s="1840">
        <v>1796</v>
      </c>
      <c r="Y86" s="1840">
        <v>0</v>
      </c>
    </row>
    <row r="87" spans="1:25">
      <c r="A87" s="53" t="s">
        <v>623</v>
      </c>
      <c r="B87" s="1204">
        <f t="shared" si="12"/>
        <v>0</v>
      </c>
      <c r="C87" s="1204">
        <v>0</v>
      </c>
      <c r="D87" s="1204">
        <v>0</v>
      </c>
      <c r="E87" s="1204">
        <v>0</v>
      </c>
      <c r="F87" s="1204">
        <f t="shared" si="8"/>
        <v>0</v>
      </c>
      <c r="G87" s="1204">
        <v>0</v>
      </c>
      <c r="H87" s="1204">
        <v>0</v>
      </c>
      <c r="I87" s="1204">
        <v>0</v>
      </c>
      <c r="J87" s="1204">
        <f t="shared" si="9"/>
        <v>0</v>
      </c>
      <c r="K87" s="1204">
        <v>0</v>
      </c>
      <c r="L87" s="1204">
        <v>0</v>
      </c>
      <c r="M87" s="1204">
        <v>0</v>
      </c>
      <c r="N87" s="1204">
        <f t="shared" si="10"/>
        <v>0</v>
      </c>
      <c r="O87" s="1204">
        <v>0</v>
      </c>
      <c r="P87" s="1204">
        <v>0</v>
      </c>
      <c r="Q87" s="1204">
        <v>0</v>
      </c>
      <c r="R87" s="1204">
        <f t="shared" si="11"/>
        <v>0</v>
      </c>
      <c r="S87" s="1204">
        <v>0</v>
      </c>
      <c r="T87" s="1204">
        <v>0</v>
      </c>
      <c r="U87" s="1204">
        <v>0</v>
      </c>
      <c r="V87" s="1840">
        <f t="shared" si="13"/>
        <v>0</v>
      </c>
      <c r="W87" s="1840">
        <v>0</v>
      </c>
      <c r="X87" s="1840">
        <v>0</v>
      </c>
      <c r="Y87" s="1840">
        <v>0</v>
      </c>
    </row>
    <row r="88" spans="1:25">
      <c r="A88" s="53" t="s">
        <v>624</v>
      </c>
      <c r="B88" s="1204">
        <f t="shared" si="12"/>
        <v>0</v>
      </c>
      <c r="C88" s="1204">
        <v>0</v>
      </c>
      <c r="D88" s="1204">
        <v>0</v>
      </c>
      <c r="E88" s="1204">
        <v>0</v>
      </c>
      <c r="F88" s="1204">
        <f t="shared" si="8"/>
        <v>0</v>
      </c>
      <c r="G88" s="1204">
        <v>0</v>
      </c>
      <c r="H88" s="1204">
        <v>0</v>
      </c>
      <c r="I88" s="1204">
        <v>0</v>
      </c>
      <c r="J88" s="1204">
        <f t="shared" si="9"/>
        <v>0</v>
      </c>
      <c r="K88" s="1204">
        <v>0</v>
      </c>
      <c r="L88" s="1204">
        <v>0</v>
      </c>
      <c r="M88" s="1204">
        <v>0</v>
      </c>
      <c r="N88" s="1204">
        <f t="shared" si="10"/>
        <v>0</v>
      </c>
      <c r="O88" s="1204">
        <v>0</v>
      </c>
      <c r="P88" s="1204">
        <v>0</v>
      </c>
      <c r="Q88" s="1204">
        <v>0</v>
      </c>
      <c r="R88" s="1204">
        <f t="shared" si="11"/>
        <v>0</v>
      </c>
      <c r="S88" s="1204">
        <v>0</v>
      </c>
      <c r="T88" s="1204">
        <v>0</v>
      </c>
      <c r="U88" s="1204">
        <v>0</v>
      </c>
      <c r="V88" s="1840">
        <f t="shared" si="13"/>
        <v>0</v>
      </c>
      <c r="W88" s="1840">
        <v>0</v>
      </c>
      <c r="X88" s="1840">
        <v>0</v>
      </c>
      <c r="Y88" s="1840">
        <v>0</v>
      </c>
    </row>
    <row r="89" spans="1:25">
      <c r="A89" s="53" t="s">
        <v>625</v>
      </c>
      <c r="B89" s="1204">
        <f t="shared" si="12"/>
        <v>2507</v>
      </c>
      <c r="C89" s="1204">
        <v>195</v>
      </c>
      <c r="D89" s="1204">
        <v>2312</v>
      </c>
      <c r="E89" s="1204">
        <v>0</v>
      </c>
      <c r="F89" s="1204">
        <f t="shared" si="8"/>
        <v>2521</v>
      </c>
      <c r="G89" s="1204">
        <v>125</v>
      </c>
      <c r="H89" s="1204">
        <v>2396</v>
      </c>
      <c r="I89" s="1204">
        <v>0</v>
      </c>
      <c r="J89" s="1204">
        <f t="shared" si="9"/>
        <v>2185</v>
      </c>
      <c r="K89" s="1204">
        <v>287</v>
      </c>
      <c r="L89" s="1204">
        <v>1898</v>
      </c>
      <c r="M89" s="1204">
        <v>0</v>
      </c>
      <c r="N89" s="1204">
        <f t="shared" si="10"/>
        <v>2988</v>
      </c>
      <c r="O89" s="1204">
        <v>0</v>
      </c>
      <c r="P89" s="1204">
        <v>1766</v>
      </c>
      <c r="Q89" s="1204">
        <v>1222</v>
      </c>
      <c r="R89" s="1204">
        <f t="shared" si="11"/>
        <v>3241</v>
      </c>
      <c r="S89" s="1204">
        <v>0</v>
      </c>
      <c r="T89" s="1204">
        <v>1881</v>
      </c>
      <c r="U89" s="1204">
        <v>1360</v>
      </c>
      <c r="V89" s="1840">
        <f t="shared" si="13"/>
        <v>4245</v>
      </c>
      <c r="W89" s="1840">
        <v>408</v>
      </c>
      <c r="X89" s="1840">
        <v>3837</v>
      </c>
      <c r="Y89" s="1840">
        <v>0</v>
      </c>
    </row>
    <row r="90" spans="1:25">
      <c r="A90" s="53" t="s">
        <v>626</v>
      </c>
      <c r="B90" s="1204">
        <f t="shared" si="12"/>
        <v>0</v>
      </c>
      <c r="C90" s="1204">
        <v>0</v>
      </c>
      <c r="D90" s="1204">
        <v>0</v>
      </c>
      <c r="E90" s="1204">
        <v>0</v>
      </c>
      <c r="F90" s="1204">
        <f t="shared" si="8"/>
        <v>0</v>
      </c>
      <c r="G90" s="1204">
        <v>0</v>
      </c>
      <c r="H90" s="1204">
        <v>0</v>
      </c>
      <c r="I90" s="1204">
        <v>0</v>
      </c>
      <c r="J90" s="1204">
        <f t="shared" si="9"/>
        <v>305</v>
      </c>
      <c r="K90" s="1204">
        <v>62</v>
      </c>
      <c r="L90" s="1204">
        <v>241</v>
      </c>
      <c r="M90" s="1204">
        <v>2</v>
      </c>
      <c r="N90" s="1204">
        <f t="shared" si="10"/>
        <v>477</v>
      </c>
      <c r="O90" s="1204">
        <v>6</v>
      </c>
      <c r="P90" s="1204">
        <v>281</v>
      </c>
      <c r="Q90" s="1204">
        <v>190</v>
      </c>
      <c r="R90" s="1204">
        <f t="shared" si="11"/>
        <v>567</v>
      </c>
      <c r="S90" s="1204">
        <v>7</v>
      </c>
      <c r="T90" s="1204">
        <v>310</v>
      </c>
      <c r="U90" s="1204">
        <v>250</v>
      </c>
      <c r="V90" s="1840">
        <f t="shared" si="13"/>
        <v>769</v>
      </c>
      <c r="W90" s="1840">
        <v>163</v>
      </c>
      <c r="X90" s="1840">
        <v>590</v>
      </c>
      <c r="Y90" s="1840">
        <v>16</v>
      </c>
    </row>
    <row r="91" spans="1:25">
      <c r="A91" s="53" t="s">
        <v>627</v>
      </c>
      <c r="B91" s="1204">
        <f t="shared" si="12"/>
        <v>0</v>
      </c>
      <c r="C91" s="1204">
        <v>0</v>
      </c>
      <c r="D91" s="1204">
        <v>0</v>
      </c>
      <c r="E91" s="1204">
        <v>0</v>
      </c>
      <c r="F91" s="1204">
        <f t="shared" si="8"/>
        <v>0</v>
      </c>
      <c r="G91" s="1204">
        <v>0</v>
      </c>
      <c r="H91" s="1204">
        <v>0</v>
      </c>
      <c r="I91" s="1204">
        <v>0</v>
      </c>
      <c r="J91" s="1204">
        <f t="shared" si="9"/>
        <v>2829</v>
      </c>
      <c r="K91" s="1204">
        <v>790</v>
      </c>
      <c r="L91" s="1204">
        <v>1876</v>
      </c>
      <c r="M91" s="1204">
        <v>163</v>
      </c>
      <c r="N91" s="1204">
        <f t="shared" si="10"/>
        <v>2016</v>
      </c>
      <c r="O91" s="1204">
        <v>109</v>
      </c>
      <c r="P91" s="1204">
        <v>851</v>
      </c>
      <c r="Q91" s="1204">
        <v>1056</v>
      </c>
      <c r="R91" s="1204">
        <f t="shared" si="11"/>
        <v>1989</v>
      </c>
      <c r="S91" s="1204">
        <v>134</v>
      </c>
      <c r="T91" s="1204">
        <v>793</v>
      </c>
      <c r="U91" s="1204">
        <v>1062</v>
      </c>
      <c r="V91" s="1840">
        <f t="shared" si="13"/>
        <v>7928</v>
      </c>
      <c r="W91" s="1840">
        <v>994</v>
      </c>
      <c r="X91" s="1840">
        <v>6174</v>
      </c>
      <c r="Y91" s="1840">
        <v>760</v>
      </c>
    </row>
    <row r="92" spans="1:25">
      <c r="A92" s="53" t="s">
        <v>628</v>
      </c>
      <c r="B92" s="1204">
        <f t="shared" si="12"/>
        <v>0</v>
      </c>
      <c r="C92" s="1204">
        <v>0</v>
      </c>
      <c r="D92" s="1204">
        <v>0</v>
      </c>
      <c r="E92" s="1204">
        <v>0</v>
      </c>
      <c r="F92" s="1204">
        <f t="shared" si="8"/>
        <v>6272</v>
      </c>
      <c r="G92" s="1204">
        <v>563</v>
      </c>
      <c r="H92" s="1204">
        <v>5484</v>
      </c>
      <c r="I92" s="1204">
        <v>225</v>
      </c>
      <c r="J92" s="1204">
        <f t="shared" si="9"/>
        <v>3994</v>
      </c>
      <c r="K92" s="1204">
        <v>2048</v>
      </c>
      <c r="L92" s="1204">
        <v>1925</v>
      </c>
      <c r="M92" s="1204">
        <v>21</v>
      </c>
      <c r="N92" s="1204">
        <f t="shared" si="10"/>
        <v>4344</v>
      </c>
      <c r="O92" s="1204">
        <v>71</v>
      </c>
      <c r="P92" s="1204">
        <v>2173</v>
      </c>
      <c r="Q92" s="1204">
        <v>2100</v>
      </c>
      <c r="R92" s="1204">
        <f t="shared" si="11"/>
        <v>5580</v>
      </c>
      <c r="S92" s="1204">
        <v>895</v>
      </c>
      <c r="T92" s="1204">
        <v>2098</v>
      </c>
      <c r="U92" s="1204">
        <v>2587</v>
      </c>
      <c r="V92" s="1840">
        <f t="shared" si="13"/>
        <v>6629</v>
      </c>
      <c r="W92" s="1840">
        <v>1984</v>
      </c>
      <c r="X92" s="1840">
        <v>2965</v>
      </c>
      <c r="Y92" s="1840">
        <v>1680</v>
      </c>
    </row>
    <row r="93" spans="1:25" s="150" customFormat="1">
      <c r="A93" s="150" t="s">
        <v>20</v>
      </c>
      <c r="B93" s="1821">
        <f>SUM(C93:E93)</f>
        <v>30834</v>
      </c>
      <c r="C93" s="1821">
        <f>SUM(C94:C112)</f>
        <v>3609</v>
      </c>
      <c r="D93" s="1821">
        <f>SUM(D94:D112)</f>
        <v>22293</v>
      </c>
      <c r="E93" s="1821">
        <f>SUM(E94:E112)</f>
        <v>4932</v>
      </c>
      <c r="F93" s="1821">
        <f>SUM(G93:I93)</f>
        <v>32030</v>
      </c>
      <c r="G93" s="1821">
        <f>SUM(G94:G112)</f>
        <v>3883</v>
      </c>
      <c r="H93" s="1821">
        <f>SUM(H94:H112)</f>
        <v>23934</v>
      </c>
      <c r="I93" s="1821">
        <f>SUM(I94:I112)</f>
        <v>4213</v>
      </c>
      <c r="J93" s="1821">
        <f>SUM(K93:M93)</f>
        <v>32341</v>
      </c>
      <c r="K93" s="1821">
        <f>SUM(K94:K112)</f>
        <v>4221</v>
      </c>
      <c r="L93" s="1821">
        <f>SUM(L94:L112)</f>
        <v>24128</v>
      </c>
      <c r="M93" s="1821">
        <f>SUM(M94:M112)</f>
        <v>3992</v>
      </c>
      <c r="N93" s="1821">
        <f>SUM(O93:Q93)</f>
        <v>35994</v>
      </c>
      <c r="O93" s="1821">
        <f>SUM(O94:O112)</f>
        <v>3450</v>
      </c>
      <c r="P93" s="1821">
        <f>SUM(P94:P112)</f>
        <v>18632</v>
      </c>
      <c r="Q93" s="1821">
        <f>SUM(Q94:Q112)</f>
        <v>13912</v>
      </c>
      <c r="R93" s="1821">
        <f>SUM(S93:U93)</f>
        <v>56620</v>
      </c>
      <c r="S93" s="1821">
        <f>SUM(S94:S112)</f>
        <v>6612</v>
      </c>
      <c r="T93" s="1821">
        <f>SUM(T94:T112)</f>
        <v>26568</v>
      </c>
      <c r="U93" s="1821">
        <f>SUM(U94:U112)</f>
        <v>23440</v>
      </c>
      <c r="V93" s="1839">
        <f>SUM(W93:Y93)</f>
        <v>52931</v>
      </c>
      <c r="W93" s="1839">
        <f>SUM(W94:W112)</f>
        <v>7392</v>
      </c>
      <c r="X93" s="1839">
        <f>SUM(X94:X112)</f>
        <v>40188</v>
      </c>
      <c r="Y93" s="1839">
        <f>SUM(Y94:Y112)</f>
        <v>5351</v>
      </c>
    </row>
    <row r="94" spans="1:25">
      <c r="A94" s="53" t="s">
        <v>663</v>
      </c>
      <c r="B94" s="1204">
        <f t="shared" si="12"/>
        <v>0</v>
      </c>
      <c r="C94" s="1204">
        <v>0</v>
      </c>
      <c r="D94" s="1204">
        <v>0</v>
      </c>
      <c r="E94" s="1204">
        <v>0</v>
      </c>
      <c r="F94" s="1204">
        <f t="shared" si="8"/>
        <v>0</v>
      </c>
      <c r="G94" s="1204">
        <v>0</v>
      </c>
      <c r="H94" s="1204">
        <v>0</v>
      </c>
      <c r="I94" s="1204">
        <v>0</v>
      </c>
      <c r="J94" s="1204">
        <f t="shared" si="9"/>
        <v>0</v>
      </c>
      <c r="K94" s="1204">
        <v>0</v>
      </c>
      <c r="L94" s="1204">
        <v>0</v>
      </c>
      <c r="M94" s="1204">
        <v>0</v>
      </c>
      <c r="N94" s="1204">
        <f t="shared" si="10"/>
        <v>0</v>
      </c>
      <c r="O94" s="1204">
        <v>0</v>
      </c>
      <c r="P94" s="1204">
        <v>0</v>
      </c>
      <c r="Q94" s="1204">
        <v>0</v>
      </c>
      <c r="R94" s="1204">
        <f t="shared" si="11"/>
        <v>0</v>
      </c>
      <c r="S94" s="1204">
        <v>0</v>
      </c>
      <c r="T94" s="1204">
        <v>0</v>
      </c>
      <c r="U94" s="1204">
        <v>0</v>
      </c>
      <c r="V94" s="1840">
        <f>SUM(W94:Y94)</f>
        <v>0</v>
      </c>
      <c r="W94" s="1840">
        <v>0</v>
      </c>
      <c r="X94" s="1840">
        <v>0</v>
      </c>
      <c r="Y94" s="1840">
        <v>0</v>
      </c>
    </row>
    <row r="95" spans="1:25">
      <c r="A95" s="53" t="s">
        <v>664</v>
      </c>
      <c r="B95" s="1204">
        <f t="shared" si="12"/>
        <v>0</v>
      </c>
      <c r="C95" s="1204">
        <v>0</v>
      </c>
      <c r="D95" s="1204">
        <v>0</v>
      </c>
      <c r="E95" s="1204">
        <v>0</v>
      </c>
      <c r="F95" s="1204">
        <f t="shared" si="8"/>
        <v>0</v>
      </c>
      <c r="G95" s="1204">
        <v>0</v>
      </c>
      <c r="H95" s="1204">
        <v>0</v>
      </c>
      <c r="I95" s="1204">
        <v>0</v>
      </c>
      <c r="J95" s="1204">
        <f t="shared" si="9"/>
        <v>0</v>
      </c>
      <c r="K95" s="1204">
        <v>0</v>
      </c>
      <c r="L95" s="1204">
        <v>0</v>
      </c>
      <c r="M95" s="1204">
        <v>0</v>
      </c>
      <c r="N95" s="1204">
        <f t="shared" si="10"/>
        <v>0</v>
      </c>
      <c r="O95" s="1204">
        <v>0</v>
      </c>
      <c r="P95" s="1204">
        <v>0</v>
      </c>
      <c r="Q95" s="1204">
        <v>0</v>
      </c>
      <c r="R95" s="1204">
        <f t="shared" si="11"/>
        <v>0</v>
      </c>
      <c r="S95" s="1204">
        <v>0</v>
      </c>
      <c r="T95" s="1204">
        <v>0</v>
      </c>
      <c r="U95" s="1204">
        <v>0</v>
      </c>
      <c r="V95" s="1840">
        <f>SUM(W95:Y95)</f>
        <v>0</v>
      </c>
      <c r="W95" s="1840">
        <v>0</v>
      </c>
      <c r="X95" s="1840">
        <v>0</v>
      </c>
      <c r="Y95" s="1840">
        <v>0</v>
      </c>
    </row>
    <row r="96" spans="1:25">
      <c r="A96" s="53" t="s">
        <v>631</v>
      </c>
      <c r="B96" s="1204">
        <f t="shared" si="12"/>
        <v>158</v>
      </c>
      <c r="C96" s="1204">
        <v>0</v>
      </c>
      <c r="D96" s="1204">
        <v>158</v>
      </c>
      <c r="E96" s="1204">
        <v>0</v>
      </c>
      <c r="F96" s="1204">
        <f t="shared" si="8"/>
        <v>187</v>
      </c>
      <c r="G96" s="1204">
        <v>6</v>
      </c>
      <c r="H96" s="1204">
        <v>180</v>
      </c>
      <c r="I96" s="1204">
        <v>1</v>
      </c>
      <c r="J96" s="1204">
        <f t="shared" si="9"/>
        <v>328</v>
      </c>
      <c r="K96" s="1204">
        <v>8</v>
      </c>
      <c r="L96" s="1204">
        <v>320</v>
      </c>
      <c r="M96" s="1204">
        <v>0</v>
      </c>
      <c r="N96" s="1204">
        <f t="shared" si="10"/>
        <v>402</v>
      </c>
      <c r="O96" s="1204">
        <v>16</v>
      </c>
      <c r="P96" s="1204">
        <v>238</v>
      </c>
      <c r="Q96" s="1204">
        <v>148</v>
      </c>
      <c r="R96" s="1204">
        <f t="shared" si="11"/>
        <v>1029</v>
      </c>
      <c r="S96" s="1204">
        <v>7</v>
      </c>
      <c r="T96" s="1204">
        <v>531</v>
      </c>
      <c r="U96" s="1204">
        <v>491</v>
      </c>
      <c r="V96" s="1840">
        <f>SUM(W96:Y96)</f>
        <v>1944</v>
      </c>
      <c r="W96" s="1840">
        <v>148</v>
      </c>
      <c r="X96" s="1840">
        <v>1784</v>
      </c>
      <c r="Y96" s="1840">
        <v>12</v>
      </c>
    </row>
    <row r="97" spans="1:25">
      <c r="A97" s="53" t="s">
        <v>632</v>
      </c>
      <c r="B97" s="1204">
        <f t="shared" si="12"/>
        <v>10145</v>
      </c>
      <c r="C97" s="1204">
        <v>824</v>
      </c>
      <c r="D97" s="1204">
        <v>9175</v>
      </c>
      <c r="E97" s="1204">
        <v>146</v>
      </c>
      <c r="F97" s="1204">
        <f t="shared" si="8"/>
        <v>10897</v>
      </c>
      <c r="G97" s="1204">
        <v>593</v>
      </c>
      <c r="H97" s="1204">
        <v>9840</v>
      </c>
      <c r="I97" s="1204">
        <v>464</v>
      </c>
      <c r="J97" s="1204">
        <f t="shared" si="9"/>
        <v>12595</v>
      </c>
      <c r="K97" s="1204">
        <v>774</v>
      </c>
      <c r="L97" s="1204">
        <v>11242</v>
      </c>
      <c r="M97" s="1204">
        <v>579</v>
      </c>
      <c r="N97" s="1204">
        <f t="shared" si="10"/>
        <v>11717</v>
      </c>
      <c r="O97" s="1204">
        <v>312</v>
      </c>
      <c r="P97" s="1204">
        <v>6621</v>
      </c>
      <c r="Q97" s="1204">
        <v>4784</v>
      </c>
      <c r="R97" s="1204">
        <f t="shared" si="11"/>
        <v>16510</v>
      </c>
      <c r="S97" s="1204">
        <v>279</v>
      </c>
      <c r="T97" s="1204">
        <v>8143</v>
      </c>
      <c r="U97" s="1204">
        <v>8088</v>
      </c>
      <c r="V97" s="1840">
        <f t="shared" si="13"/>
        <v>18012</v>
      </c>
      <c r="W97" s="1840">
        <v>1638</v>
      </c>
      <c r="X97" s="1840">
        <v>15704</v>
      </c>
      <c r="Y97" s="1840">
        <v>670</v>
      </c>
    </row>
    <row r="98" spans="1:25">
      <c r="A98" s="53" t="s">
        <v>633</v>
      </c>
      <c r="B98" s="1204">
        <f t="shared" si="12"/>
        <v>1333</v>
      </c>
      <c r="C98" s="1204">
        <v>212</v>
      </c>
      <c r="D98" s="1204">
        <v>1119</v>
      </c>
      <c r="E98" s="1204">
        <v>2</v>
      </c>
      <c r="F98" s="1204">
        <f t="shared" si="8"/>
        <v>1241</v>
      </c>
      <c r="G98" s="1204">
        <v>213</v>
      </c>
      <c r="H98" s="1204">
        <v>1028</v>
      </c>
      <c r="I98" s="1204">
        <v>0</v>
      </c>
      <c r="J98" s="1204">
        <f t="shared" si="9"/>
        <v>1923</v>
      </c>
      <c r="K98" s="1204">
        <v>333</v>
      </c>
      <c r="L98" s="1204">
        <v>1576</v>
      </c>
      <c r="M98" s="1204">
        <v>14</v>
      </c>
      <c r="N98" s="1204">
        <f t="shared" si="10"/>
        <v>1633</v>
      </c>
      <c r="O98" s="1204">
        <v>58</v>
      </c>
      <c r="P98" s="1204">
        <v>949</v>
      </c>
      <c r="Q98" s="1204">
        <v>626</v>
      </c>
      <c r="R98" s="1204">
        <f t="shared" si="11"/>
        <v>2986</v>
      </c>
      <c r="S98" s="1204">
        <v>93</v>
      </c>
      <c r="T98" s="1204">
        <v>1604</v>
      </c>
      <c r="U98" s="1204">
        <v>1289</v>
      </c>
      <c r="V98" s="1840">
        <f t="shared" si="13"/>
        <v>2123</v>
      </c>
      <c r="W98" s="1840">
        <v>396</v>
      </c>
      <c r="X98" s="1840">
        <v>1710</v>
      </c>
      <c r="Y98" s="1840">
        <v>17</v>
      </c>
    </row>
    <row r="99" spans="1:25">
      <c r="A99" s="53" t="s">
        <v>634</v>
      </c>
      <c r="B99" s="1204">
        <f t="shared" si="12"/>
        <v>6362</v>
      </c>
      <c r="C99" s="1204">
        <v>960</v>
      </c>
      <c r="D99" s="1204">
        <v>5386</v>
      </c>
      <c r="E99" s="1204">
        <v>16</v>
      </c>
      <c r="F99" s="1204">
        <f t="shared" si="8"/>
        <v>5827</v>
      </c>
      <c r="G99" s="1204">
        <v>1199</v>
      </c>
      <c r="H99" s="1204">
        <v>4582</v>
      </c>
      <c r="I99" s="1204">
        <v>46</v>
      </c>
      <c r="J99" s="1204">
        <f t="shared" si="9"/>
        <v>8382</v>
      </c>
      <c r="K99" s="1204">
        <v>1716</v>
      </c>
      <c r="L99" s="1204">
        <v>6652</v>
      </c>
      <c r="M99" s="1204">
        <v>14</v>
      </c>
      <c r="N99" s="1204">
        <f t="shared" si="10"/>
        <v>8071</v>
      </c>
      <c r="O99" s="1204">
        <v>0</v>
      </c>
      <c r="P99" s="1204">
        <v>4845</v>
      </c>
      <c r="Q99" s="1204">
        <v>3226</v>
      </c>
      <c r="R99" s="1204">
        <f t="shared" si="11"/>
        <v>13967</v>
      </c>
      <c r="S99" s="1204">
        <v>1</v>
      </c>
      <c r="T99" s="1204">
        <v>8009</v>
      </c>
      <c r="U99" s="1204">
        <v>5957</v>
      </c>
      <c r="V99" s="1840">
        <f t="shared" si="13"/>
        <v>16230</v>
      </c>
      <c r="W99" s="1840">
        <v>3504</v>
      </c>
      <c r="X99" s="1840">
        <v>12547</v>
      </c>
      <c r="Y99" s="1840">
        <v>179</v>
      </c>
    </row>
    <row r="100" spans="1:25">
      <c r="A100" s="53" t="s">
        <v>635</v>
      </c>
      <c r="B100" s="1204">
        <f t="shared" si="12"/>
        <v>0</v>
      </c>
      <c r="C100" s="1204">
        <v>0</v>
      </c>
      <c r="D100" s="1204">
        <v>0</v>
      </c>
      <c r="E100" s="1204">
        <v>0</v>
      </c>
      <c r="F100" s="1204">
        <f t="shared" si="8"/>
        <v>0</v>
      </c>
      <c r="G100" s="1204">
        <v>0</v>
      </c>
      <c r="H100" s="1204">
        <v>0</v>
      </c>
      <c r="I100" s="1204">
        <v>0</v>
      </c>
      <c r="J100" s="1204">
        <f t="shared" si="9"/>
        <v>0</v>
      </c>
      <c r="K100" s="1204">
        <v>0</v>
      </c>
      <c r="L100" s="1204">
        <v>0</v>
      </c>
      <c r="M100" s="1204">
        <v>0</v>
      </c>
      <c r="N100" s="1204">
        <f t="shared" si="10"/>
        <v>0</v>
      </c>
      <c r="O100" s="1204">
        <v>0</v>
      </c>
      <c r="P100" s="1204">
        <v>0</v>
      </c>
      <c r="Q100" s="1204">
        <v>0</v>
      </c>
      <c r="R100" s="1204">
        <f t="shared" si="11"/>
        <v>0</v>
      </c>
      <c r="S100" s="1204">
        <v>0</v>
      </c>
      <c r="T100" s="1204">
        <v>0</v>
      </c>
      <c r="U100" s="1204">
        <v>0</v>
      </c>
      <c r="V100" s="1840">
        <f t="shared" si="13"/>
        <v>0</v>
      </c>
      <c r="W100" s="1840">
        <v>0</v>
      </c>
      <c r="X100" s="1840">
        <v>0</v>
      </c>
      <c r="Y100" s="1840">
        <v>0</v>
      </c>
    </row>
    <row r="101" spans="1:25">
      <c r="A101" s="53" t="s">
        <v>636</v>
      </c>
      <c r="B101" s="1204">
        <f t="shared" si="12"/>
        <v>0</v>
      </c>
      <c r="C101" s="1204">
        <v>0</v>
      </c>
      <c r="D101" s="1204">
        <v>0</v>
      </c>
      <c r="E101" s="1204">
        <v>0</v>
      </c>
      <c r="F101" s="1204">
        <f t="shared" si="8"/>
        <v>0</v>
      </c>
      <c r="G101" s="1204">
        <v>0</v>
      </c>
      <c r="H101" s="1204">
        <v>0</v>
      </c>
      <c r="I101" s="1204">
        <v>0</v>
      </c>
      <c r="J101" s="1204">
        <f t="shared" si="9"/>
        <v>0</v>
      </c>
      <c r="K101" s="1204">
        <v>0</v>
      </c>
      <c r="L101" s="1204">
        <v>0</v>
      </c>
      <c r="M101" s="1204">
        <v>0</v>
      </c>
      <c r="N101" s="1204">
        <f t="shared" si="10"/>
        <v>0</v>
      </c>
      <c r="O101" s="1204">
        <v>0</v>
      </c>
      <c r="P101" s="1204">
        <v>0</v>
      </c>
      <c r="Q101" s="1204">
        <v>0</v>
      </c>
      <c r="R101" s="1204">
        <f t="shared" si="11"/>
        <v>0</v>
      </c>
      <c r="S101" s="1204">
        <v>0</v>
      </c>
      <c r="T101" s="1204">
        <v>0</v>
      </c>
      <c r="U101" s="1204">
        <v>0</v>
      </c>
      <c r="V101" s="1840">
        <f t="shared" si="13"/>
        <v>0</v>
      </c>
      <c r="W101" s="1840">
        <v>0</v>
      </c>
      <c r="X101" s="1840">
        <v>0</v>
      </c>
      <c r="Y101" s="1840">
        <v>0</v>
      </c>
    </row>
    <row r="102" spans="1:25">
      <c r="A102" s="53" t="s">
        <v>637</v>
      </c>
      <c r="B102" s="1204">
        <f t="shared" si="12"/>
        <v>1237</v>
      </c>
      <c r="C102" s="1204">
        <v>125</v>
      </c>
      <c r="D102" s="1204">
        <v>825</v>
      </c>
      <c r="E102" s="1204">
        <v>287</v>
      </c>
      <c r="F102" s="1204">
        <f t="shared" si="8"/>
        <v>1788</v>
      </c>
      <c r="G102" s="1204">
        <v>234</v>
      </c>
      <c r="H102" s="1204">
        <v>1431</v>
      </c>
      <c r="I102" s="1204">
        <v>123</v>
      </c>
      <c r="J102" s="1204">
        <f t="shared" si="9"/>
        <v>1964</v>
      </c>
      <c r="K102" s="1204">
        <v>295</v>
      </c>
      <c r="L102" s="1204">
        <v>1005</v>
      </c>
      <c r="M102" s="1204">
        <v>664</v>
      </c>
      <c r="N102" s="1204">
        <f t="shared" si="10"/>
        <v>1979</v>
      </c>
      <c r="O102" s="1204">
        <v>191</v>
      </c>
      <c r="P102" s="1204">
        <v>1000</v>
      </c>
      <c r="Q102" s="1204">
        <v>788</v>
      </c>
      <c r="R102" s="1204">
        <f t="shared" si="11"/>
        <v>1345</v>
      </c>
      <c r="S102" s="1204">
        <v>94</v>
      </c>
      <c r="T102" s="1204">
        <v>688</v>
      </c>
      <c r="U102" s="1204">
        <v>563</v>
      </c>
      <c r="V102" s="1840">
        <f t="shared" si="13"/>
        <v>2314</v>
      </c>
      <c r="W102" s="1840">
        <v>361</v>
      </c>
      <c r="X102" s="1840">
        <v>1629</v>
      </c>
      <c r="Y102" s="1840">
        <v>324</v>
      </c>
    </row>
    <row r="103" spans="1:25">
      <c r="A103" s="53" t="s">
        <v>638</v>
      </c>
      <c r="B103" s="1204">
        <f t="shared" si="12"/>
        <v>290</v>
      </c>
      <c r="C103" s="1204">
        <v>37</v>
      </c>
      <c r="D103" s="1204">
        <v>229</v>
      </c>
      <c r="E103" s="1204">
        <v>24</v>
      </c>
      <c r="F103" s="1204">
        <f t="shared" si="8"/>
        <v>256</v>
      </c>
      <c r="G103" s="1204">
        <v>40</v>
      </c>
      <c r="H103" s="1204">
        <v>210</v>
      </c>
      <c r="I103" s="1204">
        <v>6</v>
      </c>
      <c r="J103" s="1204">
        <f t="shared" si="9"/>
        <v>515</v>
      </c>
      <c r="K103" s="1204">
        <v>59</v>
      </c>
      <c r="L103" s="1204">
        <v>434</v>
      </c>
      <c r="M103" s="1204">
        <v>22</v>
      </c>
      <c r="N103" s="1204">
        <f t="shared" si="10"/>
        <v>691</v>
      </c>
      <c r="O103" s="1204">
        <v>11</v>
      </c>
      <c r="P103" s="1204">
        <v>394</v>
      </c>
      <c r="Q103" s="1204">
        <v>286</v>
      </c>
      <c r="R103" s="1204">
        <f t="shared" si="11"/>
        <v>1578</v>
      </c>
      <c r="S103" s="1204">
        <v>78</v>
      </c>
      <c r="T103" s="1204">
        <v>799</v>
      </c>
      <c r="U103" s="1204">
        <v>701</v>
      </c>
      <c r="V103" s="1840">
        <f t="shared" si="13"/>
        <v>2430</v>
      </c>
      <c r="W103" s="1840">
        <v>420</v>
      </c>
      <c r="X103" s="1840">
        <v>1935</v>
      </c>
      <c r="Y103" s="1840">
        <v>75</v>
      </c>
    </row>
    <row r="104" spans="1:25">
      <c r="A104" s="53" t="s">
        <v>670</v>
      </c>
      <c r="B104" s="1204">
        <f t="shared" si="12"/>
        <v>0</v>
      </c>
      <c r="C104" s="1204">
        <v>0</v>
      </c>
      <c r="D104" s="1204">
        <v>0</v>
      </c>
      <c r="E104" s="1204">
        <v>0</v>
      </c>
      <c r="F104" s="1204">
        <f t="shared" si="8"/>
        <v>0</v>
      </c>
      <c r="G104" s="1204">
        <v>0</v>
      </c>
      <c r="H104" s="1204">
        <v>0</v>
      </c>
      <c r="I104" s="1204">
        <v>0</v>
      </c>
      <c r="J104" s="1204">
        <f t="shared" si="9"/>
        <v>0</v>
      </c>
      <c r="K104" s="1204">
        <v>0</v>
      </c>
      <c r="L104" s="1204">
        <v>0</v>
      </c>
      <c r="M104" s="1204">
        <v>0</v>
      </c>
      <c r="N104" s="1204">
        <f t="shared" si="10"/>
        <v>0</v>
      </c>
      <c r="O104" s="1204">
        <v>0</v>
      </c>
      <c r="P104" s="1204">
        <v>0</v>
      </c>
      <c r="Q104" s="1204">
        <v>0</v>
      </c>
      <c r="R104" s="1204">
        <f t="shared" si="11"/>
        <v>0</v>
      </c>
      <c r="S104" s="1204">
        <v>0</v>
      </c>
      <c r="T104" s="1204">
        <v>0</v>
      </c>
      <c r="U104" s="1204">
        <v>0</v>
      </c>
      <c r="V104" s="1840">
        <f t="shared" si="13"/>
        <v>0</v>
      </c>
      <c r="W104" s="1840">
        <v>0</v>
      </c>
      <c r="X104" s="1840">
        <v>0</v>
      </c>
      <c r="Y104" s="1840">
        <v>0</v>
      </c>
    </row>
    <row r="105" spans="1:25">
      <c r="A105" s="53" t="s">
        <v>640</v>
      </c>
      <c r="B105" s="1204">
        <f t="shared" si="12"/>
        <v>0</v>
      </c>
      <c r="C105" s="1204">
        <v>0</v>
      </c>
      <c r="D105" s="1204">
        <v>0</v>
      </c>
      <c r="E105" s="1204">
        <v>0</v>
      </c>
      <c r="F105" s="1204">
        <f t="shared" si="8"/>
        <v>0</v>
      </c>
      <c r="G105" s="1204">
        <v>0</v>
      </c>
      <c r="H105" s="1204">
        <v>0</v>
      </c>
      <c r="I105" s="1204">
        <v>0</v>
      </c>
      <c r="J105" s="1204">
        <f t="shared" si="9"/>
        <v>0</v>
      </c>
      <c r="K105" s="1204">
        <v>0</v>
      </c>
      <c r="L105" s="1204">
        <v>0</v>
      </c>
      <c r="M105" s="1204">
        <v>0</v>
      </c>
      <c r="N105" s="1204">
        <f t="shared" si="10"/>
        <v>0</v>
      </c>
      <c r="O105" s="1204">
        <v>0</v>
      </c>
      <c r="P105" s="1204">
        <v>0</v>
      </c>
      <c r="Q105" s="1204">
        <v>0</v>
      </c>
      <c r="R105" s="1204">
        <f t="shared" si="11"/>
        <v>0</v>
      </c>
      <c r="S105" s="1204">
        <v>0</v>
      </c>
      <c r="T105" s="1204">
        <v>0</v>
      </c>
      <c r="U105" s="1204">
        <v>0</v>
      </c>
      <c r="V105" s="1840">
        <f t="shared" si="13"/>
        <v>0</v>
      </c>
      <c r="W105" s="1840">
        <v>0</v>
      </c>
      <c r="X105" s="1840">
        <v>0</v>
      </c>
      <c r="Y105" s="1840">
        <v>0</v>
      </c>
    </row>
    <row r="106" spans="1:25">
      <c r="A106" s="53" t="s">
        <v>641</v>
      </c>
      <c r="B106" s="1204">
        <f t="shared" si="12"/>
        <v>0</v>
      </c>
      <c r="C106" s="1204">
        <v>0</v>
      </c>
      <c r="D106" s="1204">
        <v>0</v>
      </c>
      <c r="E106" s="1204">
        <v>0</v>
      </c>
      <c r="F106" s="1204">
        <f t="shared" si="8"/>
        <v>0</v>
      </c>
      <c r="G106" s="1204">
        <v>0</v>
      </c>
      <c r="H106" s="1204">
        <v>0</v>
      </c>
      <c r="I106" s="1204">
        <v>0</v>
      </c>
      <c r="J106" s="1204">
        <f t="shared" si="9"/>
        <v>0</v>
      </c>
      <c r="K106" s="1204">
        <v>0</v>
      </c>
      <c r="L106" s="1204">
        <v>0</v>
      </c>
      <c r="M106" s="1204">
        <v>0</v>
      </c>
      <c r="N106" s="1204">
        <f t="shared" si="10"/>
        <v>0</v>
      </c>
      <c r="O106" s="1204">
        <v>0</v>
      </c>
      <c r="P106" s="1204">
        <v>0</v>
      </c>
      <c r="Q106" s="1204">
        <v>0</v>
      </c>
      <c r="R106" s="1204">
        <f t="shared" si="11"/>
        <v>0</v>
      </c>
      <c r="S106" s="1204">
        <v>0</v>
      </c>
      <c r="T106" s="1204">
        <v>0</v>
      </c>
      <c r="U106" s="1204">
        <v>0</v>
      </c>
      <c r="V106" s="1840">
        <f t="shared" si="13"/>
        <v>0</v>
      </c>
      <c r="W106" s="1840">
        <v>0</v>
      </c>
      <c r="X106" s="1840">
        <v>0</v>
      </c>
      <c r="Y106" s="1840">
        <v>0</v>
      </c>
    </row>
    <row r="107" spans="1:25">
      <c r="A107" s="53" t="s">
        <v>642</v>
      </c>
      <c r="B107" s="1204">
        <f t="shared" si="12"/>
        <v>0</v>
      </c>
      <c r="C107" s="1204">
        <v>0</v>
      </c>
      <c r="D107" s="1204">
        <v>0</v>
      </c>
      <c r="E107" s="1204">
        <v>0</v>
      </c>
      <c r="F107" s="1204">
        <f t="shared" si="8"/>
        <v>0</v>
      </c>
      <c r="G107" s="1204">
        <v>0</v>
      </c>
      <c r="H107" s="1204">
        <v>0</v>
      </c>
      <c r="I107" s="1204">
        <v>0</v>
      </c>
      <c r="J107" s="1204">
        <f t="shared" si="9"/>
        <v>0</v>
      </c>
      <c r="K107" s="1204">
        <v>0</v>
      </c>
      <c r="L107" s="1204">
        <v>0</v>
      </c>
      <c r="M107" s="1204">
        <v>0</v>
      </c>
      <c r="N107" s="1204">
        <f t="shared" si="10"/>
        <v>0</v>
      </c>
      <c r="O107" s="1204">
        <v>0</v>
      </c>
      <c r="P107" s="1204">
        <v>0</v>
      </c>
      <c r="Q107" s="1204">
        <v>0</v>
      </c>
      <c r="R107" s="1204">
        <f t="shared" si="11"/>
        <v>0</v>
      </c>
      <c r="S107" s="1204">
        <v>0</v>
      </c>
      <c r="T107" s="1204">
        <v>0</v>
      </c>
      <c r="U107" s="1204">
        <v>0</v>
      </c>
      <c r="V107" s="1840">
        <f t="shared" si="13"/>
        <v>0</v>
      </c>
      <c r="W107" s="1840">
        <v>0</v>
      </c>
      <c r="X107" s="1840">
        <v>0</v>
      </c>
      <c r="Y107" s="1840">
        <v>0</v>
      </c>
    </row>
    <row r="108" spans="1:25">
      <c r="A108" s="53" t="s">
        <v>643</v>
      </c>
      <c r="B108" s="1204">
        <f t="shared" si="12"/>
        <v>9124</v>
      </c>
      <c r="C108" s="1204">
        <v>704</v>
      </c>
      <c r="D108" s="1204">
        <v>3997</v>
      </c>
      <c r="E108" s="1204">
        <v>4423</v>
      </c>
      <c r="F108" s="1204">
        <f t="shared" si="8"/>
        <v>9242</v>
      </c>
      <c r="G108" s="1204">
        <v>879</v>
      </c>
      <c r="H108" s="1204">
        <v>4861</v>
      </c>
      <c r="I108" s="1204">
        <v>3502</v>
      </c>
      <c r="J108" s="1204">
        <f t="shared" si="9"/>
        <v>4281</v>
      </c>
      <c r="K108" s="1204">
        <v>277</v>
      </c>
      <c r="L108" s="1204">
        <v>1332</v>
      </c>
      <c r="M108" s="1204">
        <v>2672</v>
      </c>
      <c r="N108" s="1204">
        <f t="shared" si="10"/>
        <v>9536</v>
      </c>
      <c r="O108" s="1204">
        <v>2830</v>
      </c>
      <c r="P108" s="1204">
        <v>3487</v>
      </c>
      <c r="Q108" s="1204">
        <v>3219</v>
      </c>
      <c r="R108" s="1204">
        <f t="shared" si="11"/>
        <v>17440</v>
      </c>
      <c r="S108" s="1204">
        <v>5977</v>
      </c>
      <c r="T108" s="1204">
        <v>5901</v>
      </c>
      <c r="U108" s="1204">
        <v>5562</v>
      </c>
      <c r="V108" s="1840">
        <f t="shared" si="13"/>
        <v>8213</v>
      </c>
      <c r="W108" s="1840">
        <v>621</v>
      </c>
      <c r="X108" s="1840">
        <v>3688</v>
      </c>
      <c r="Y108" s="1840">
        <v>3904</v>
      </c>
    </row>
    <row r="109" spans="1:25" ht="12.75">
      <c r="A109" s="53" t="s">
        <v>3817</v>
      </c>
      <c r="B109" s="1204">
        <f t="shared" si="12"/>
        <v>1175</v>
      </c>
      <c r="C109" s="1204">
        <v>472</v>
      </c>
      <c r="D109" s="1204">
        <v>684</v>
      </c>
      <c r="E109" s="1204">
        <v>19</v>
      </c>
      <c r="F109" s="1204">
        <f t="shared" si="8"/>
        <v>0</v>
      </c>
      <c r="G109" s="1204">
        <v>0</v>
      </c>
      <c r="H109" s="1204">
        <v>0</v>
      </c>
      <c r="I109" s="1204">
        <v>0</v>
      </c>
      <c r="J109" s="1204">
        <f t="shared" si="9"/>
        <v>1043</v>
      </c>
      <c r="K109" s="1204">
        <v>337</v>
      </c>
      <c r="L109" s="1204">
        <v>706</v>
      </c>
      <c r="M109" s="1204">
        <v>0</v>
      </c>
      <c r="N109" s="1204">
        <f t="shared" si="10"/>
        <v>726</v>
      </c>
      <c r="O109" s="1204">
        <v>15</v>
      </c>
      <c r="P109" s="1204">
        <v>415</v>
      </c>
      <c r="Q109" s="1204">
        <v>296</v>
      </c>
      <c r="R109" s="1204">
        <f t="shared" si="11"/>
        <v>0</v>
      </c>
      <c r="S109" s="1204">
        <v>0</v>
      </c>
      <c r="T109" s="1204">
        <v>0</v>
      </c>
      <c r="U109" s="1204">
        <v>0</v>
      </c>
      <c r="V109" s="1840">
        <f t="shared" si="13"/>
        <v>0</v>
      </c>
      <c r="W109" s="1840">
        <v>0</v>
      </c>
      <c r="X109" s="1840">
        <v>0</v>
      </c>
      <c r="Y109" s="1840">
        <v>0</v>
      </c>
    </row>
    <row r="110" spans="1:25">
      <c r="A110" s="53" t="s">
        <v>644</v>
      </c>
      <c r="B110" s="1204">
        <f t="shared" si="12"/>
        <v>722</v>
      </c>
      <c r="C110" s="1204">
        <v>230</v>
      </c>
      <c r="D110" s="1204">
        <v>487</v>
      </c>
      <c r="E110" s="1204">
        <v>5</v>
      </c>
      <c r="F110" s="1204">
        <f t="shared" si="8"/>
        <v>1271</v>
      </c>
      <c r="G110" s="1204">
        <v>330</v>
      </c>
      <c r="H110" s="1204">
        <v>902</v>
      </c>
      <c r="I110" s="1204">
        <v>39</v>
      </c>
      <c r="J110" s="1204">
        <f t="shared" si="9"/>
        <v>1147</v>
      </c>
      <c r="K110" s="1204">
        <v>405</v>
      </c>
      <c r="L110" s="1204">
        <v>715</v>
      </c>
      <c r="M110" s="1204">
        <v>27</v>
      </c>
      <c r="N110" s="1204">
        <f t="shared" si="10"/>
        <v>1096</v>
      </c>
      <c r="O110" s="1204">
        <v>17</v>
      </c>
      <c r="P110" s="1204">
        <v>597</v>
      </c>
      <c r="Q110" s="1204">
        <v>482</v>
      </c>
      <c r="R110" s="1204">
        <f t="shared" si="11"/>
        <v>1470</v>
      </c>
      <c r="S110" s="1204">
        <v>67</v>
      </c>
      <c r="T110" s="1204">
        <v>705</v>
      </c>
      <c r="U110" s="1204">
        <v>698</v>
      </c>
      <c r="V110" s="1840">
        <f t="shared" si="13"/>
        <v>1552</v>
      </c>
      <c r="W110" s="1840">
        <v>304</v>
      </c>
      <c r="X110" s="1840">
        <v>1079</v>
      </c>
      <c r="Y110" s="1840">
        <v>169</v>
      </c>
    </row>
    <row r="111" spans="1:25">
      <c r="A111" s="53" t="s">
        <v>645</v>
      </c>
      <c r="B111" s="1204">
        <f t="shared" si="12"/>
        <v>0</v>
      </c>
      <c r="C111" s="1204">
        <v>0</v>
      </c>
      <c r="D111" s="1204">
        <v>0</v>
      </c>
      <c r="E111" s="1204">
        <v>0</v>
      </c>
      <c r="F111" s="1204">
        <f t="shared" si="8"/>
        <v>1019</v>
      </c>
      <c r="G111" s="1204">
        <v>333</v>
      </c>
      <c r="H111" s="1204">
        <v>654</v>
      </c>
      <c r="I111" s="1204">
        <v>32</v>
      </c>
      <c r="J111" s="1204">
        <f t="shared" si="9"/>
        <v>0</v>
      </c>
      <c r="K111" s="1204">
        <v>0</v>
      </c>
      <c r="L111" s="1204">
        <v>0</v>
      </c>
      <c r="M111" s="1204">
        <v>0</v>
      </c>
      <c r="N111" s="1204">
        <f t="shared" si="10"/>
        <v>0</v>
      </c>
      <c r="O111" s="1204">
        <v>0</v>
      </c>
      <c r="P111" s="1204">
        <v>0</v>
      </c>
      <c r="Q111" s="1204">
        <v>0</v>
      </c>
      <c r="R111" s="1204">
        <f t="shared" si="11"/>
        <v>0</v>
      </c>
      <c r="S111" s="1204">
        <v>0</v>
      </c>
      <c r="T111" s="1204">
        <v>0</v>
      </c>
      <c r="U111" s="1204">
        <v>0</v>
      </c>
      <c r="V111" s="1840">
        <f t="shared" si="13"/>
        <v>0</v>
      </c>
      <c r="W111" s="1840">
        <v>0</v>
      </c>
      <c r="X111" s="1840">
        <v>0</v>
      </c>
      <c r="Y111" s="1840">
        <v>0</v>
      </c>
    </row>
    <row r="112" spans="1:25" ht="12.75">
      <c r="A112" s="53" t="s">
        <v>3818</v>
      </c>
      <c r="B112" s="1204">
        <f t="shared" si="12"/>
        <v>288</v>
      </c>
      <c r="C112" s="1204">
        <v>45</v>
      </c>
      <c r="D112" s="1204">
        <v>233</v>
      </c>
      <c r="E112" s="1204">
        <v>10</v>
      </c>
      <c r="F112" s="1204">
        <f t="shared" si="8"/>
        <v>302</v>
      </c>
      <c r="G112" s="1204">
        <v>56</v>
      </c>
      <c r="H112" s="1204">
        <v>246</v>
      </c>
      <c r="I112" s="1204">
        <v>0</v>
      </c>
      <c r="J112" s="1204">
        <f t="shared" si="9"/>
        <v>163</v>
      </c>
      <c r="K112" s="1204">
        <v>17</v>
      </c>
      <c r="L112" s="1204">
        <v>146</v>
      </c>
      <c r="M112" s="1204">
        <v>0</v>
      </c>
      <c r="N112" s="1204">
        <f t="shared" si="10"/>
        <v>143</v>
      </c>
      <c r="O112" s="1204">
        <v>0</v>
      </c>
      <c r="P112" s="1204">
        <v>86</v>
      </c>
      <c r="Q112" s="1204">
        <v>57</v>
      </c>
      <c r="R112" s="1204">
        <f t="shared" si="11"/>
        <v>295</v>
      </c>
      <c r="S112" s="1204">
        <v>16</v>
      </c>
      <c r="T112" s="1204">
        <v>188</v>
      </c>
      <c r="U112" s="1204">
        <v>91</v>
      </c>
      <c r="V112" s="1840">
        <f t="shared" si="13"/>
        <v>113</v>
      </c>
      <c r="W112" s="1840">
        <v>0</v>
      </c>
      <c r="X112" s="1840">
        <v>112</v>
      </c>
      <c r="Y112" s="1840">
        <v>1</v>
      </c>
    </row>
    <row r="113" spans="1:25" s="150" customFormat="1">
      <c r="A113" s="150" t="s">
        <v>21</v>
      </c>
      <c r="B113" s="1821">
        <f>SUM(C113:E113)</f>
        <v>284476</v>
      </c>
      <c r="C113" s="1821">
        <f>SUM(C114:C124)</f>
        <v>20856</v>
      </c>
      <c r="D113" s="1821">
        <f>SUM(D114:D124)</f>
        <v>234999</v>
      </c>
      <c r="E113" s="1821">
        <f>SUM(E114:E124)</f>
        <v>28621</v>
      </c>
      <c r="F113" s="1821">
        <f>SUM(G113:I113)</f>
        <v>283629</v>
      </c>
      <c r="G113" s="1821">
        <f>SUM(G114:G124)</f>
        <v>21638</v>
      </c>
      <c r="H113" s="1821">
        <f>SUM(H114:H124)</f>
        <v>232530</v>
      </c>
      <c r="I113" s="1821">
        <f>SUM(I114:I124)</f>
        <v>29461</v>
      </c>
      <c r="J113" s="1821">
        <f>SUM(K113:M113)</f>
        <v>289370</v>
      </c>
      <c r="K113" s="1821">
        <f>SUM(K114:K124)</f>
        <v>23602</v>
      </c>
      <c r="L113" s="1821">
        <f>SUM(L114:L124)</f>
        <v>234631</v>
      </c>
      <c r="M113" s="1821">
        <f>SUM(M114:M124)</f>
        <v>31137</v>
      </c>
      <c r="N113" s="1821">
        <f>SUM(O113:Q113)</f>
        <v>337973</v>
      </c>
      <c r="O113" s="1821">
        <f>SUM(O114:O124)</f>
        <v>35698</v>
      </c>
      <c r="P113" s="1821">
        <f>SUM(P114:P124)</f>
        <v>152986</v>
      </c>
      <c r="Q113" s="1821">
        <f>SUM(Q114:Q124)</f>
        <v>149289</v>
      </c>
      <c r="R113" s="1821">
        <f>SUM(S113:U113)</f>
        <v>382023</v>
      </c>
      <c r="S113" s="1821">
        <f>SUM(S114:S124)</f>
        <v>43465</v>
      </c>
      <c r="T113" s="1821">
        <f>SUM(T114:T124)</f>
        <v>170367</v>
      </c>
      <c r="U113" s="1821">
        <f>SUM(U114:U124)</f>
        <v>168191</v>
      </c>
      <c r="V113" s="1839">
        <f>SUM(W113:Y113)</f>
        <v>382943</v>
      </c>
      <c r="W113" s="1839">
        <f>SUM(W114:W124)</f>
        <v>27416</v>
      </c>
      <c r="X113" s="1839">
        <f>SUM(X114:X124)</f>
        <v>299379</v>
      </c>
      <c r="Y113" s="1839">
        <f>SUM(Y114:Y124)</f>
        <v>56148</v>
      </c>
    </row>
    <row r="114" spans="1:25">
      <c r="A114" s="53" t="s">
        <v>646</v>
      </c>
      <c r="B114" s="1204">
        <f t="shared" si="12"/>
        <v>15682</v>
      </c>
      <c r="C114" s="1204">
        <v>210</v>
      </c>
      <c r="D114" s="1204">
        <v>10905</v>
      </c>
      <c r="E114" s="1204">
        <v>4567</v>
      </c>
      <c r="F114" s="1204">
        <f t="shared" si="8"/>
        <v>13315</v>
      </c>
      <c r="G114" s="1204">
        <v>275</v>
      </c>
      <c r="H114" s="1204">
        <v>8338</v>
      </c>
      <c r="I114" s="1204">
        <v>4702</v>
      </c>
      <c r="J114" s="1204">
        <f t="shared" si="9"/>
        <v>15666</v>
      </c>
      <c r="K114" s="1204">
        <v>176</v>
      </c>
      <c r="L114" s="1204">
        <v>10603</v>
      </c>
      <c r="M114" s="1204">
        <v>4887</v>
      </c>
      <c r="N114" s="1204">
        <f t="shared" si="10"/>
        <v>28715</v>
      </c>
      <c r="O114" s="1204">
        <v>6451</v>
      </c>
      <c r="P114" s="1204">
        <v>11560</v>
      </c>
      <c r="Q114" s="1204">
        <v>10704</v>
      </c>
      <c r="R114" s="1204">
        <f t="shared" si="11"/>
        <v>29510</v>
      </c>
      <c r="S114" s="1204">
        <v>6778</v>
      </c>
      <c r="T114" s="1204">
        <v>11948</v>
      </c>
      <c r="U114" s="1204">
        <v>10784</v>
      </c>
      <c r="V114" s="1840">
        <f t="shared" si="13"/>
        <v>28316</v>
      </c>
      <c r="W114" s="1840">
        <v>533</v>
      </c>
      <c r="X114" s="1840">
        <v>18756</v>
      </c>
      <c r="Y114" s="1840">
        <v>9027</v>
      </c>
    </row>
    <row r="115" spans="1:25">
      <c r="A115" s="53" t="s">
        <v>647</v>
      </c>
      <c r="B115" s="1204">
        <f t="shared" si="12"/>
        <v>0</v>
      </c>
      <c r="C115" s="1204">
        <v>0</v>
      </c>
      <c r="D115" s="1204">
        <v>0</v>
      </c>
      <c r="E115" s="1204">
        <v>0</v>
      </c>
      <c r="F115" s="1204">
        <f t="shared" si="8"/>
        <v>0</v>
      </c>
      <c r="G115" s="1204">
        <v>0</v>
      </c>
      <c r="H115" s="1204">
        <v>0</v>
      </c>
      <c r="I115" s="1204">
        <v>0</v>
      </c>
      <c r="J115" s="1204">
        <f t="shared" si="9"/>
        <v>0</v>
      </c>
      <c r="K115" s="1204">
        <v>0</v>
      </c>
      <c r="L115" s="1204">
        <v>0</v>
      </c>
      <c r="M115" s="1204">
        <v>0</v>
      </c>
      <c r="N115" s="1204">
        <f t="shared" si="10"/>
        <v>0</v>
      </c>
      <c r="O115" s="1204">
        <v>0</v>
      </c>
      <c r="P115" s="1204">
        <v>0</v>
      </c>
      <c r="Q115" s="1204">
        <v>0</v>
      </c>
      <c r="R115" s="1204">
        <f t="shared" si="11"/>
        <v>0</v>
      </c>
      <c r="S115" s="1204">
        <v>0</v>
      </c>
      <c r="T115" s="1204">
        <v>0</v>
      </c>
      <c r="U115" s="1204">
        <v>0</v>
      </c>
      <c r="V115" s="1840">
        <f>SUM(W115:Y115)</f>
        <v>0</v>
      </c>
      <c r="W115" s="1840">
        <v>0</v>
      </c>
      <c r="X115" s="1840">
        <v>0</v>
      </c>
      <c r="Y115" s="1840">
        <v>0</v>
      </c>
    </row>
    <row r="116" spans="1:25">
      <c r="A116" s="53" t="s">
        <v>648</v>
      </c>
      <c r="B116" s="1204">
        <f t="shared" si="12"/>
        <v>11375</v>
      </c>
      <c r="C116" s="1204">
        <v>196</v>
      </c>
      <c r="D116" s="1204">
        <v>7289</v>
      </c>
      <c r="E116" s="1204">
        <v>3890</v>
      </c>
      <c r="F116" s="1204">
        <f t="shared" si="8"/>
        <v>10327</v>
      </c>
      <c r="G116" s="1204">
        <v>176</v>
      </c>
      <c r="H116" s="1204">
        <v>6206</v>
      </c>
      <c r="I116" s="1204">
        <v>3945</v>
      </c>
      <c r="J116" s="1204">
        <f t="shared" si="9"/>
        <v>5728</v>
      </c>
      <c r="K116" s="1204">
        <v>113</v>
      </c>
      <c r="L116" s="1204">
        <v>3205</v>
      </c>
      <c r="M116" s="1204">
        <v>2410</v>
      </c>
      <c r="N116" s="1204">
        <f t="shared" si="10"/>
        <v>9344</v>
      </c>
      <c r="O116" s="1204">
        <v>2739</v>
      </c>
      <c r="P116" s="1204">
        <v>3365</v>
      </c>
      <c r="Q116" s="1204">
        <v>3240</v>
      </c>
      <c r="R116" s="1204">
        <f t="shared" si="11"/>
        <v>14102</v>
      </c>
      <c r="S116" s="1204">
        <v>3943</v>
      </c>
      <c r="T116" s="1204">
        <v>5121</v>
      </c>
      <c r="U116" s="1204">
        <v>5038</v>
      </c>
      <c r="V116" s="1840">
        <f>SUM(W116:Y116)</f>
        <v>7543</v>
      </c>
      <c r="W116" s="1840">
        <v>313</v>
      </c>
      <c r="X116" s="1840">
        <v>4505</v>
      </c>
      <c r="Y116" s="1840">
        <v>2725</v>
      </c>
    </row>
    <row r="117" spans="1:25">
      <c r="A117" s="53" t="s">
        <v>649</v>
      </c>
      <c r="B117" s="1204">
        <f t="shared" si="12"/>
        <v>1499</v>
      </c>
      <c r="C117" s="1204">
        <v>197</v>
      </c>
      <c r="D117" s="1204">
        <v>1291</v>
      </c>
      <c r="E117" s="1204">
        <v>11</v>
      </c>
      <c r="F117" s="1204">
        <f t="shared" si="8"/>
        <v>2031</v>
      </c>
      <c r="G117" s="1204">
        <v>380</v>
      </c>
      <c r="H117" s="1204">
        <v>1606</v>
      </c>
      <c r="I117" s="1204">
        <v>45</v>
      </c>
      <c r="J117" s="1204">
        <f t="shared" si="9"/>
        <v>1604</v>
      </c>
      <c r="K117" s="1204">
        <v>246</v>
      </c>
      <c r="L117" s="1204">
        <v>1298</v>
      </c>
      <c r="M117" s="1204">
        <v>60</v>
      </c>
      <c r="N117" s="1204">
        <f t="shared" si="10"/>
        <v>1534</v>
      </c>
      <c r="O117" s="1204">
        <v>39</v>
      </c>
      <c r="P117" s="1204">
        <v>795</v>
      </c>
      <c r="Q117" s="1204">
        <v>700</v>
      </c>
      <c r="R117" s="1204">
        <f t="shared" si="11"/>
        <v>1861</v>
      </c>
      <c r="S117" s="1204">
        <v>34</v>
      </c>
      <c r="T117" s="1204">
        <v>957</v>
      </c>
      <c r="U117" s="1204">
        <v>870</v>
      </c>
      <c r="V117" s="1840">
        <f>SUM(W117:Y117)</f>
        <v>1936</v>
      </c>
      <c r="W117" s="1840">
        <v>240</v>
      </c>
      <c r="X117" s="1840">
        <v>1650</v>
      </c>
      <c r="Y117" s="1840">
        <v>46</v>
      </c>
    </row>
    <row r="118" spans="1:25">
      <c r="A118" s="53" t="s">
        <v>650</v>
      </c>
      <c r="B118" s="1204">
        <f t="shared" si="12"/>
        <v>140714</v>
      </c>
      <c r="C118" s="1204">
        <v>6677</v>
      </c>
      <c r="D118" s="1204">
        <v>130118</v>
      </c>
      <c r="E118" s="1204">
        <v>3919</v>
      </c>
      <c r="F118" s="1204">
        <f t="shared" si="8"/>
        <v>144109</v>
      </c>
      <c r="G118" s="1204">
        <v>7795</v>
      </c>
      <c r="H118" s="1204">
        <v>132696</v>
      </c>
      <c r="I118" s="1204">
        <v>3618</v>
      </c>
      <c r="J118" s="1204">
        <f t="shared" si="9"/>
        <v>145148</v>
      </c>
      <c r="K118" s="1204">
        <v>7430</v>
      </c>
      <c r="L118" s="1204">
        <v>133873</v>
      </c>
      <c r="M118" s="1204">
        <v>3845</v>
      </c>
      <c r="N118" s="1204">
        <f t="shared" si="10"/>
        <v>148410</v>
      </c>
      <c r="O118" s="1204">
        <v>5157</v>
      </c>
      <c r="P118" s="1204">
        <v>74150</v>
      </c>
      <c r="Q118" s="1204">
        <v>69103</v>
      </c>
      <c r="R118" s="1204">
        <f t="shared" si="11"/>
        <v>178920</v>
      </c>
      <c r="S118" s="1204">
        <v>8888</v>
      </c>
      <c r="T118" s="1204">
        <v>86285</v>
      </c>
      <c r="U118" s="1204">
        <v>83747</v>
      </c>
      <c r="V118" s="1840">
        <f>SUM(W118:Y118)</f>
        <v>197503</v>
      </c>
      <c r="W118" s="1840">
        <v>10100</v>
      </c>
      <c r="X118" s="1840">
        <v>166583</v>
      </c>
      <c r="Y118" s="1840">
        <v>20820</v>
      </c>
    </row>
    <row r="119" spans="1:25">
      <c r="A119" s="53" t="s">
        <v>651</v>
      </c>
      <c r="B119" s="1204">
        <f t="shared" si="12"/>
        <v>1105</v>
      </c>
      <c r="C119" s="1204">
        <v>7</v>
      </c>
      <c r="D119" s="1204">
        <v>542</v>
      </c>
      <c r="E119" s="1204">
        <v>556</v>
      </c>
      <c r="F119" s="1204">
        <f t="shared" si="8"/>
        <v>682</v>
      </c>
      <c r="G119" s="1204">
        <v>27</v>
      </c>
      <c r="H119" s="1204">
        <v>463</v>
      </c>
      <c r="I119" s="1204">
        <v>192</v>
      </c>
      <c r="J119" s="1204">
        <f t="shared" si="9"/>
        <v>636</v>
      </c>
      <c r="K119" s="1204">
        <v>39</v>
      </c>
      <c r="L119" s="1204">
        <v>452</v>
      </c>
      <c r="M119" s="1204">
        <v>145</v>
      </c>
      <c r="N119" s="1204">
        <f t="shared" si="10"/>
        <v>931</v>
      </c>
      <c r="O119" s="1204">
        <v>151</v>
      </c>
      <c r="P119" s="1204">
        <v>370</v>
      </c>
      <c r="Q119" s="1204">
        <v>410</v>
      </c>
      <c r="R119" s="1204">
        <f t="shared" si="11"/>
        <v>1268</v>
      </c>
      <c r="S119" s="1204">
        <v>309</v>
      </c>
      <c r="T119" s="1204">
        <v>440</v>
      </c>
      <c r="U119" s="1204">
        <v>519</v>
      </c>
      <c r="V119" s="1840">
        <f t="shared" si="13"/>
        <v>1013</v>
      </c>
      <c r="W119" s="1840">
        <v>36</v>
      </c>
      <c r="X119" s="1840">
        <v>576</v>
      </c>
      <c r="Y119" s="1840">
        <v>401</v>
      </c>
    </row>
    <row r="120" spans="1:25">
      <c r="A120" s="53" t="s">
        <v>652</v>
      </c>
      <c r="B120" s="1204">
        <f t="shared" si="12"/>
        <v>7191</v>
      </c>
      <c r="C120" s="1204">
        <v>1628</v>
      </c>
      <c r="D120" s="1204">
        <v>5557</v>
      </c>
      <c r="E120" s="1204">
        <v>6</v>
      </c>
      <c r="F120" s="1204">
        <f t="shared" si="8"/>
        <v>7401</v>
      </c>
      <c r="G120" s="1204">
        <v>1626</v>
      </c>
      <c r="H120" s="1204">
        <v>5775</v>
      </c>
      <c r="I120" s="1204">
        <v>0</v>
      </c>
      <c r="J120" s="1204">
        <f t="shared" si="9"/>
        <v>7841</v>
      </c>
      <c r="K120" s="1204">
        <v>2004</v>
      </c>
      <c r="L120" s="1204">
        <v>5751</v>
      </c>
      <c r="M120" s="1204">
        <v>86</v>
      </c>
      <c r="N120" s="1204">
        <f t="shared" si="10"/>
        <v>7686</v>
      </c>
      <c r="O120" s="1204">
        <v>177</v>
      </c>
      <c r="P120" s="1204">
        <v>4488</v>
      </c>
      <c r="Q120" s="1204">
        <v>3021</v>
      </c>
      <c r="R120" s="1204">
        <f t="shared" si="11"/>
        <v>9149</v>
      </c>
      <c r="S120" s="1204">
        <v>1665</v>
      </c>
      <c r="T120" s="1204">
        <v>4363</v>
      </c>
      <c r="U120" s="1204">
        <v>3121</v>
      </c>
      <c r="V120" s="1840">
        <f>SUM(W120:Y120)</f>
        <v>7540</v>
      </c>
      <c r="W120" s="1840">
        <v>1855</v>
      </c>
      <c r="X120" s="1840">
        <v>5429</v>
      </c>
      <c r="Y120" s="1840">
        <v>256</v>
      </c>
    </row>
    <row r="121" spans="1:25">
      <c r="A121" s="53" t="s">
        <v>653</v>
      </c>
      <c r="B121" s="1204">
        <f t="shared" si="12"/>
        <v>11563</v>
      </c>
      <c r="C121" s="1204">
        <v>3340</v>
      </c>
      <c r="D121" s="1204">
        <v>7979</v>
      </c>
      <c r="E121" s="1204">
        <v>244</v>
      </c>
      <c r="F121" s="1204">
        <f t="shared" si="8"/>
        <v>12402</v>
      </c>
      <c r="G121" s="1204">
        <v>3806</v>
      </c>
      <c r="H121" s="1204">
        <v>8284</v>
      </c>
      <c r="I121" s="1204">
        <v>312</v>
      </c>
      <c r="J121" s="1204">
        <f t="shared" si="9"/>
        <v>14281</v>
      </c>
      <c r="K121" s="1204">
        <v>4867</v>
      </c>
      <c r="L121" s="1204">
        <v>9120</v>
      </c>
      <c r="M121" s="1204">
        <v>294</v>
      </c>
      <c r="N121" s="1204">
        <f t="shared" si="10"/>
        <v>13462</v>
      </c>
      <c r="O121" s="1204">
        <v>177</v>
      </c>
      <c r="P121" s="1204">
        <v>7107</v>
      </c>
      <c r="Q121" s="1204">
        <v>6178</v>
      </c>
      <c r="R121" s="1204">
        <f t="shared" si="11"/>
        <v>11225</v>
      </c>
      <c r="S121" s="1204">
        <v>160</v>
      </c>
      <c r="T121" s="1204">
        <v>5935</v>
      </c>
      <c r="U121" s="1204">
        <v>5130</v>
      </c>
      <c r="V121" s="1840">
        <f>SUM(W121:Y121)</f>
        <v>8358</v>
      </c>
      <c r="W121" s="1840">
        <v>2101</v>
      </c>
      <c r="X121" s="1840">
        <v>5408</v>
      </c>
      <c r="Y121" s="1840">
        <v>849</v>
      </c>
    </row>
    <row r="122" spans="1:25">
      <c r="A122" s="53" t="s">
        <v>654</v>
      </c>
      <c r="B122" s="1204">
        <f t="shared" si="12"/>
        <v>23608</v>
      </c>
      <c r="C122" s="1204">
        <v>1531</v>
      </c>
      <c r="D122" s="1204">
        <v>16716</v>
      </c>
      <c r="E122" s="1204">
        <v>5361</v>
      </c>
      <c r="F122" s="1204">
        <f t="shared" si="8"/>
        <v>21128</v>
      </c>
      <c r="G122" s="1204">
        <v>889</v>
      </c>
      <c r="H122" s="1204">
        <v>13927</v>
      </c>
      <c r="I122" s="1204">
        <v>6312</v>
      </c>
      <c r="J122" s="1204">
        <f t="shared" si="9"/>
        <v>20013</v>
      </c>
      <c r="K122" s="1204">
        <v>898</v>
      </c>
      <c r="L122" s="1204">
        <v>12573</v>
      </c>
      <c r="M122" s="1204">
        <v>6542</v>
      </c>
      <c r="N122" s="1204">
        <f t="shared" si="10"/>
        <v>29728</v>
      </c>
      <c r="O122" s="1204">
        <v>7525</v>
      </c>
      <c r="P122" s="1204">
        <v>11005</v>
      </c>
      <c r="Q122" s="1204">
        <v>11198</v>
      </c>
      <c r="R122" s="1204">
        <f t="shared" si="11"/>
        <v>31779</v>
      </c>
      <c r="S122" s="1204">
        <v>7554</v>
      </c>
      <c r="T122" s="1204">
        <v>11671</v>
      </c>
      <c r="U122" s="1204">
        <v>12554</v>
      </c>
      <c r="V122" s="1840">
        <f>SUM(W122:Y122)</f>
        <v>28917</v>
      </c>
      <c r="W122" s="1840">
        <v>1331</v>
      </c>
      <c r="X122" s="1840">
        <v>19751</v>
      </c>
      <c r="Y122" s="1840">
        <v>7835</v>
      </c>
    </row>
    <row r="123" spans="1:25">
      <c r="A123" s="53" t="s">
        <v>655</v>
      </c>
      <c r="B123" s="1204">
        <f t="shared" si="12"/>
        <v>0</v>
      </c>
      <c r="C123" s="1204">
        <v>0</v>
      </c>
      <c r="D123" s="1204">
        <v>0</v>
      </c>
      <c r="E123" s="1204">
        <v>0</v>
      </c>
      <c r="F123" s="1204">
        <f t="shared" si="8"/>
        <v>0</v>
      </c>
      <c r="G123" s="1204">
        <v>0</v>
      </c>
      <c r="H123" s="1204">
        <v>0</v>
      </c>
      <c r="I123" s="1204">
        <v>0</v>
      </c>
      <c r="J123" s="1204">
        <f t="shared" si="9"/>
        <v>0</v>
      </c>
      <c r="K123" s="1204">
        <v>0</v>
      </c>
      <c r="L123" s="1204">
        <v>0</v>
      </c>
      <c r="M123" s="1204">
        <v>0</v>
      </c>
      <c r="N123" s="1204">
        <f t="shared" si="10"/>
        <v>0</v>
      </c>
      <c r="O123" s="1204">
        <v>0</v>
      </c>
      <c r="P123" s="1204">
        <v>0</v>
      </c>
      <c r="Q123" s="1204">
        <v>0</v>
      </c>
      <c r="R123" s="1204">
        <f t="shared" si="11"/>
        <v>0</v>
      </c>
      <c r="S123" s="1204">
        <v>0</v>
      </c>
      <c r="T123" s="1204">
        <v>0</v>
      </c>
      <c r="U123" s="1204">
        <v>0</v>
      </c>
      <c r="V123" s="1840">
        <f>SUM(W123:Y123)</f>
        <v>0</v>
      </c>
      <c r="W123" s="1840">
        <v>0</v>
      </c>
      <c r="X123" s="1840">
        <v>0</v>
      </c>
      <c r="Y123" s="1840">
        <v>0</v>
      </c>
    </row>
    <row r="124" spans="1:25">
      <c r="A124" s="53" t="s">
        <v>656</v>
      </c>
      <c r="B124" s="1204">
        <f t="shared" si="12"/>
        <v>71739</v>
      </c>
      <c r="C124" s="1204">
        <v>7070</v>
      </c>
      <c r="D124" s="1204">
        <v>54602</v>
      </c>
      <c r="E124" s="1204">
        <v>10067</v>
      </c>
      <c r="F124" s="1204">
        <f t="shared" si="8"/>
        <v>72234</v>
      </c>
      <c r="G124" s="1204">
        <v>6664</v>
      </c>
      <c r="H124" s="1204">
        <v>55235</v>
      </c>
      <c r="I124" s="1204">
        <v>10335</v>
      </c>
      <c r="J124" s="1204">
        <f t="shared" si="9"/>
        <v>78453</v>
      </c>
      <c r="K124" s="1204">
        <v>7829</v>
      </c>
      <c r="L124" s="1204">
        <v>57756</v>
      </c>
      <c r="M124" s="1204">
        <v>12868</v>
      </c>
      <c r="N124" s="1204">
        <f t="shared" si="10"/>
        <v>98163</v>
      </c>
      <c r="O124" s="1204">
        <v>13282</v>
      </c>
      <c r="P124" s="1204">
        <v>40146</v>
      </c>
      <c r="Q124" s="1204">
        <v>44735</v>
      </c>
      <c r="R124" s="1204">
        <f t="shared" si="11"/>
        <v>104209</v>
      </c>
      <c r="S124" s="1204">
        <v>14134</v>
      </c>
      <c r="T124" s="1204">
        <v>43647</v>
      </c>
      <c r="U124" s="1204">
        <v>46428</v>
      </c>
      <c r="V124" s="1840">
        <f>SUM(W124:Y124)</f>
        <v>101817</v>
      </c>
      <c r="W124" s="1840">
        <v>10907</v>
      </c>
      <c r="X124" s="1840">
        <v>76721</v>
      </c>
      <c r="Y124" s="1840">
        <v>14189</v>
      </c>
    </row>
    <row r="126" spans="1:25" s="61" customFormat="1"/>
    <row r="127" spans="1:25" s="61" customFormat="1">
      <c r="A127" s="61" t="s">
        <v>3825</v>
      </c>
    </row>
    <row r="128" spans="1:25" s="61" customFormat="1">
      <c r="A128" s="61" t="s">
        <v>3820</v>
      </c>
    </row>
    <row r="129" spans="1:15" s="61" customFormat="1" ht="24" customHeight="1">
      <c r="A129" s="2124" t="s">
        <v>3826</v>
      </c>
      <c r="B129" s="2124"/>
      <c r="C129" s="2124"/>
      <c r="D129" s="2124"/>
      <c r="E129" s="2124"/>
      <c r="F129" s="2124"/>
      <c r="G129" s="2124"/>
      <c r="H129" s="2124"/>
      <c r="I129" s="2124"/>
      <c r="J129" s="2124"/>
      <c r="K129" s="2124"/>
      <c r="L129" s="2124"/>
      <c r="M129" s="2124"/>
      <c r="N129" s="2124"/>
      <c r="O129" s="147"/>
    </row>
    <row r="130" spans="1:15" s="61" customFormat="1">
      <c r="A130" s="2654" t="s">
        <v>22</v>
      </c>
    </row>
    <row r="131" spans="1:15">
      <c r="A131" s="53" t="s">
        <v>208</v>
      </c>
    </row>
  </sheetData>
  <mergeCells count="9">
    <mergeCell ref="A129:N129"/>
    <mergeCell ref="V4:Y4"/>
    <mergeCell ref="A3:T3"/>
    <mergeCell ref="A4:A5"/>
    <mergeCell ref="B4:E4"/>
    <mergeCell ref="F4:I4"/>
    <mergeCell ref="J4:M4"/>
    <mergeCell ref="N4:Q4"/>
    <mergeCell ref="R4:U4"/>
  </mergeCells>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A2:G128"/>
  <sheetViews>
    <sheetView topLeftCell="A88" zoomScaleNormal="100" workbookViewId="0"/>
  </sheetViews>
  <sheetFormatPr baseColWidth="10" defaultRowHeight="11.25"/>
  <cols>
    <col min="1" max="1" width="37.7109375" style="53" bestFit="1" customWidth="1"/>
    <col min="2" max="16384" width="11.42578125" style="53"/>
  </cols>
  <sheetData>
    <row r="2" spans="1:7" s="150" customFormat="1" ht="39" customHeight="1">
      <c r="A2" s="2055" t="s">
        <v>969</v>
      </c>
      <c r="B2" s="2055"/>
      <c r="C2" s="2055"/>
      <c r="D2" s="2055"/>
      <c r="E2" s="2055"/>
      <c r="F2" s="2055"/>
      <c r="G2" s="2055"/>
    </row>
    <row r="3" spans="1:7" ht="12.75" customHeight="1"/>
    <row r="4" spans="1:7" ht="17.25" customHeight="1">
      <c r="A4" s="2066" t="s">
        <v>3815</v>
      </c>
      <c r="B4" s="2066" t="s">
        <v>671</v>
      </c>
      <c r="C4" s="2066"/>
      <c r="D4" s="2066"/>
      <c r="E4" s="2066"/>
      <c r="F4" s="2066"/>
      <c r="G4" s="2066"/>
    </row>
    <row r="5" spans="1:7" ht="18" customHeight="1">
      <c r="A5" s="2066"/>
      <c r="B5" s="818">
        <v>2009</v>
      </c>
      <c r="C5" s="818">
        <v>2010</v>
      </c>
      <c r="D5" s="818">
        <v>2011</v>
      </c>
      <c r="E5" s="818">
        <v>2012</v>
      </c>
      <c r="F5" s="818">
        <v>2013</v>
      </c>
      <c r="G5" s="818">
        <v>2014</v>
      </c>
    </row>
    <row r="6" spans="1:7" s="150" customFormat="1">
      <c r="A6" s="150" t="s">
        <v>6</v>
      </c>
      <c r="B6" s="1821">
        <f t="shared" ref="B6:G6" si="0">SUM(B7+B12+B16+B22+B26+B31+B40+B43+B47+B56+B64+B78+B81+B93+B113)</f>
        <v>5295</v>
      </c>
      <c r="C6" s="1821">
        <f t="shared" si="0"/>
        <v>2297</v>
      </c>
      <c r="D6" s="1821">
        <f t="shared" si="0"/>
        <v>1871</v>
      </c>
      <c r="E6" s="1821">
        <f t="shared" si="0"/>
        <v>1676</v>
      </c>
      <c r="F6" s="1821">
        <f t="shared" si="0"/>
        <v>2256</v>
      </c>
      <c r="G6" s="1821">
        <f t="shared" si="0"/>
        <v>1741</v>
      </c>
    </row>
    <row r="7" spans="1:7" s="150" customFormat="1">
      <c r="A7" s="150" t="s">
        <v>7</v>
      </c>
      <c r="B7" s="1821">
        <f>SUM(B8:B11)</f>
        <v>0</v>
      </c>
      <c r="C7" s="1821">
        <f>SUM(C8:C11)</f>
        <v>4</v>
      </c>
      <c r="D7" s="1821">
        <f>SUM(D8:D11)</f>
        <v>0</v>
      </c>
      <c r="E7" s="1821">
        <f>SUM(E8:E11)</f>
        <v>0</v>
      </c>
      <c r="F7" s="1821">
        <f>SUM(F8:F11)</f>
        <v>0</v>
      </c>
    </row>
    <row r="8" spans="1:7">
      <c r="A8" s="53" t="s">
        <v>556</v>
      </c>
      <c r="B8" s="1204">
        <v>0</v>
      </c>
      <c r="C8" s="1204">
        <v>4</v>
      </c>
      <c r="D8" s="1204">
        <v>0</v>
      </c>
      <c r="E8" s="1204">
        <v>0</v>
      </c>
      <c r="F8" s="1204">
        <v>0</v>
      </c>
      <c r="G8" s="1204">
        <v>0</v>
      </c>
    </row>
    <row r="9" spans="1:7">
      <c r="A9" s="53" t="s">
        <v>557</v>
      </c>
      <c r="B9" s="1204">
        <v>0</v>
      </c>
      <c r="C9" s="1204">
        <v>0</v>
      </c>
      <c r="D9" s="1204">
        <v>0</v>
      </c>
      <c r="E9" s="1204">
        <v>0</v>
      </c>
      <c r="F9" s="1204">
        <v>0</v>
      </c>
      <c r="G9" s="1204">
        <v>0</v>
      </c>
    </row>
    <row r="10" spans="1:7">
      <c r="A10" s="53" t="s">
        <v>558</v>
      </c>
      <c r="B10" s="1204">
        <v>0</v>
      </c>
      <c r="C10" s="1204">
        <v>0</v>
      </c>
      <c r="D10" s="1204">
        <v>0</v>
      </c>
      <c r="E10" s="1204">
        <v>0</v>
      </c>
      <c r="F10" s="1204">
        <v>0</v>
      </c>
      <c r="G10" s="1204">
        <v>0</v>
      </c>
    </row>
    <row r="11" spans="1:7">
      <c r="A11" s="53" t="s">
        <v>559</v>
      </c>
      <c r="B11" s="1204">
        <v>0</v>
      </c>
      <c r="C11" s="1204">
        <v>0</v>
      </c>
      <c r="D11" s="1204">
        <v>0</v>
      </c>
      <c r="E11" s="1204">
        <v>0</v>
      </c>
      <c r="F11" s="1204">
        <v>0</v>
      </c>
      <c r="G11" s="1204">
        <v>0</v>
      </c>
    </row>
    <row r="12" spans="1:7" s="150" customFormat="1">
      <c r="A12" s="150" t="s">
        <v>8</v>
      </c>
      <c r="B12" s="1821">
        <f>SUM(B13:B15)</f>
        <v>0</v>
      </c>
      <c r="C12" s="1821">
        <f>SUM(C13:C15)</f>
        <v>5</v>
      </c>
      <c r="D12" s="1821">
        <f>SUM(D13:D15)</f>
        <v>1</v>
      </c>
      <c r="E12" s="1821">
        <f>SUM(E13:E15)</f>
        <v>0</v>
      </c>
      <c r="F12" s="1821">
        <f>SUM(F13:F15)</f>
        <v>2</v>
      </c>
    </row>
    <row r="13" spans="1:7">
      <c r="A13" s="53" t="s">
        <v>560</v>
      </c>
      <c r="B13" s="1204">
        <v>0</v>
      </c>
      <c r="C13" s="1204">
        <v>0</v>
      </c>
      <c r="D13" s="1204">
        <v>0</v>
      </c>
      <c r="E13" s="1204">
        <v>0</v>
      </c>
      <c r="F13" s="1204">
        <v>0</v>
      </c>
      <c r="G13" s="1204">
        <v>0</v>
      </c>
    </row>
    <row r="14" spans="1:7">
      <c r="A14" s="53" t="s">
        <v>561</v>
      </c>
      <c r="B14" s="1204">
        <v>0</v>
      </c>
      <c r="C14" s="1204">
        <v>0</v>
      </c>
      <c r="D14" s="1204">
        <v>0</v>
      </c>
      <c r="E14" s="1204">
        <v>0</v>
      </c>
      <c r="F14" s="1204">
        <v>0</v>
      </c>
      <c r="G14" s="1204">
        <v>0</v>
      </c>
    </row>
    <row r="15" spans="1:7">
      <c r="A15" s="53" t="s">
        <v>562</v>
      </c>
      <c r="B15" s="1204">
        <v>0</v>
      </c>
      <c r="C15" s="1204">
        <v>5</v>
      </c>
      <c r="D15" s="1204">
        <v>1</v>
      </c>
      <c r="E15" s="1204">
        <v>0</v>
      </c>
      <c r="F15" s="1204">
        <v>2</v>
      </c>
      <c r="G15" s="1204">
        <v>0</v>
      </c>
    </row>
    <row r="16" spans="1:7" s="150" customFormat="1">
      <c r="A16" s="150" t="s">
        <v>9</v>
      </c>
      <c r="B16" s="1821">
        <f t="shared" ref="B16:G16" si="1">SUM(B17:B21)</f>
        <v>148</v>
      </c>
      <c r="C16" s="1821">
        <f t="shared" si="1"/>
        <v>200</v>
      </c>
      <c r="D16" s="1821">
        <f t="shared" si="1"/>
        <v>162</v>
      </c>
      <c r="E16" s="1821">
        <f t="shared" si="1"/>
        <v>135</v>
      </c>
      <c r="F16" s="1821">
        <f t="shared" si="1"/>
        <v>277</v>
      </c>
      <c r="G16" s="1821">
        <f t="shared" si="1"/>
        <v>216</v>
      </c>
    </row>
    <row r="17" spans="1:7">
      <c r="A17" s="53" t="s">
        <v>563</v>
      </c>
      <c r="B17" s="1204">
        <v>0</v>
      </c>
      <c r="C17" s="1204">
        <v>0</v>
      </c>
      <c r="D17" s="1204">
        <v>0</v>
      </c>
      <c r="E17" s="1204">
        <v>0</v>
      </c>
      <c r="F17" s="1204">
        <v>0</v>
      </c>
      <c r="G17" s="1204">
        <v>0</v>
      </c>
    </row>
    <row r="18" spans="1:7">
      <c r="A18" s="53" t="s">
        <v>564</v>
      </c>
      <c r="B18" s="1204">
        <v>0</v>
      </c>
      <c r="C18" s="1204">
        <v>0</v>
      </c>
      <c r="D18" s="1204">
        <v>0</v>
      </c>
      <c r="E18" s="1204">
        <v>0</v>
      </c>
      <c r="F18" s="1204">
        <v>0</v>
      </c>
      <c r="G18" s="1204">
        <v>0</v>
      </c>
    </row>
    <row r="19" spans="1:7">
      <c r="A19" s="53" t="s">
        <v>565</v>
      </c>
      <c r="B19" s="1204">
        <v>8</v>
      </c>
      <c r="C19" s="1204">
        <v>2</v>
      </c>
      <c r="D19" s="1204">
        <v>33</v>
      </c>
      <c r="E19" s="1204">
        <v>0</v>
      </c>
      <c r="F19" s="1204">
        <v>0</v>
      </c>
      <c r="G19" s="310">
        <v>2</v>
      </c>
    </row>
    <row r="20" spans="1:7">
      <c r="A20" s="53" t="s">
        <v>658</v>
      </c>
      <c r="B20" s="1204">
        <v>0</v>
      </c>
      <c r="C20" s="1204">
        <v>0</v>
      </c>
      <c r="D20" s="1204">
        <v>0</v>
      </c>
      <c r="E20" s="1204">
        <v>0</v>
      </c>
      <c r="F20" s="1204">
        <v>0</v>
      </c>
      <c r="G20" s="1204">
        <v>0</v>
      </c>
    </row>
    <row r="21" spans="1:7">
      <c r="A21" s="53" t="s">
        <v>567</v>
      </c>
      <c r="B21" s="1204">
        <v>140</v>
      </c>
      <c r="C21" s="1204">
        <v>198</v>
      </c>
      <c r="D21" s="1204">
        <v>129</v>
      </c>
      <c r="E21" s="1204">
        <v>135</v>
      </c>
      <c r="F21" s="1204">
        <v>277</v>
      </c>
      <c r="G21" s="310">
        <v>214</v>
      </c>
    </row>
    <row r="22" spans="1:7" s="150" customFormat="1">
      <c r="A22" s="150" t="s">
        <v>10</v>
      </c>
      <c r="B22" s="1821">
        <f t="shared" ref="B22:G22" si="2">SUM(B23:B25)</f>
        <v>0</v>
      </c>
      <c r="C22" s="1821">
        <f t="shared" si="2"/>
        <v>0</v>
      </c>
      <c r="D22" s="1821">
        <f t="shared" si="2"/>
        <v>0</v>
      </c>
      <c r="E22" s="1821">
        <f t="shared" si="2"/>
        <v>0</v>
      </c>
      <c r="F22" s="1821">
        <f t="shared" si="2"/>
        <v>0</v>
      </c>
      <c r="G22" s="1821">
        <f t="shared" si="2"/>
        <v>38</v>
      </c>
    </row>
    <row r="23" spans="1:7">
      <c r="A23" s="53" t="s">
        <v>568</v>
      </c>
      <c r="B23" s="1204">
        <v>0</v>
      </c>
      <c r="C23" s="1204">
        <v>0</v>
      </c>
      <c r="D23" s="1204">
        <v>0</v>
      </c>
      <c r="E23" s="1204">
        <v>0</v>
      </c>
      <c r="F23" s="1204">
        <v>0</v>
      </c>
      <c r="G23" s="1204">
        <v>0</v>
      </c>
    </row>
    <row r="24" spans="1:7">
      <c r="A24" s="53" t="s">
        <v>569</v>
      </c>
      <c r="B24" s="1204">
        <v>0</v>
      </c>
      <c r="C24" s="1204">
        <v>0</v>
      </c>
      <c r="D24" s="1204">
        <v>0</v>
      </c>
      <c r="E24" s="1204">
        <v>0</v>
      </c>
      <c r="F24" s="1204">
        <v>0</v>
      </c>
      <c r="G24" s="53">
        <v>36</v>
      </c>
    </row>
    <row r="25" spans="1:7">
      <c r="A25" s="53" t="s">
        <v>570</v>
      </c>
      <c r="B25" s="1204">
        <v>0</v>
      </c>
      <c r="C25" s="1204">
        <v>0</v>
      </c>
      <c r="D25" s="1204">
        <v>0</v>
      </c>
      <c r="E25" s="1204">
        <v>0</v>
      </c>
      <c r="F25" s="1204">
        <v>0</v>
      </c>
      <c r="G25" s="53">
        <v>2</v>
      </c>
    </row>
    <row r="26" spans="1:7" s="150" customFormat="1">
      <c r="A26" s="150" t="s">
        <v>11</v>
      </c>
      <c r="B26" s="1821">
        <f t="shared" ref="B26:G26" si="3">SUM(B27:B30)</f>
        <v>4</v>
      </c>
      <c r="C26" s="1821">
        <f t="shared" si="3"/>
        <v>2</v>
      </c>
      <c r="D26" s="1821">
        <f t="shared" si="3"/>
        <v>23</v>
      </c>
      <c r="E26" s="1821">
        <f t="shared" si="3"/>
        <v>0</v>
      </c>
      <c r="F26" s="1821">
        <f t="shared" si="3"/>
        <v>52</v>
      </c>
      <c r="G26" s="1821">
        <f t="shared" si="3"/>
        <v>13</v>
      </c>
    </row>
    <row r="27" spans="1:7">
      <c r="A27" s="53" t="s">
        <v>571</v>
      </c>
      <c r="B27" s="1204">
        <v>4</v>
      </c>
      <c r="C27" s="1204">
        <v>0</v>
      </c>
      <c r="D27" s="1204">
        <v>21</v>
      </c>
      <c r="E27" s="1204">
        <v>0</v>
      </c>
      <c r="F27" s="1204">
        <v>0</v>
      </c>
      <c r="G27" s="53">
        <v>10</v>
      </c>
    </row>
    <row r="28" spans="1:7">
      <c r="A28" s="53" t="s">
        <v>572</v>
      </c>
      <c r="B28" s="1204">
        <v>0</v>
      </c>
      <c r="C28" s="1204">
        <v>0</v>
      </c>
      <c r="D28" s="1204">
        <v>0</v>
      </c>
      <c r="E28" s="1204">
        <v>0</v>
      </c>
      <c r="F28" s="1204">
        <v>52</v>
      </c>
      <c r="G28" s="53">
        <v>3</v>
      </c>
    </row>
    <row r="29" spans="1:7">
      <c r="A29" s="53" t="s">
        <v>573</v>
      </c>
      <c r="B29" s="1204">
        <v>0</v>
      </c>
      <c r="C29" s="1204">
        <v>0</v>
      </c>
      <c r="D29" s="1204">
        <v>1</v>
      </c>
      <c r="E29" s="1204">
        <v>0</v>
      </c>
      <c r="F29" s="1204">
        <v>0</v>
      </c>
      <c r="G29" s="1204">
        <v>0</v>
      </c>
    </row>
    <row r="30" spans="1:7">
      <c r="A30" s="53" t="s">
        <v>574</v>
      </c>
      <c r="B30" s="1204">
        <v>0</v>
      </c>
      <c r="C30" s="1204">
        <v>2</v>
      </c>
      <c r="D30" s="1204">
        <v>1</v>
      </c>
      <c r="E30" s="1204">
        <v>0</v>
      </c>
      <c r="F30" s="1204">
        <v>0</v>
      </c>
      <c r="G30" s="1204">
        <v>0</v>
      </c>
    </row>
    <row r="31" spans="1:7" s="150" customFormat="1">
      <c r="A31" s="150" t="s">
        <v>12</v>
      </c>
      <c r="B31" s="1821">
        <f t="shared" ref="B31:G31" si="4">SUM(B32:B39)</f>
        <v>109</v>
      </c>
      <c r="C31" s="1821">
        <f t="shared" si="4"/>
        <v>247</v>
      </c>
      <c r="D31" s="1821">
        <f t="shared" si="4"/>
        <v>144</v>
      </c>
      <c r="E31" s="1821">
        <f t="shared" si="4"/>
        <v>188</v>
      </c>
      <c r="F31" s="1821">
        <f t="shared" si="4"/>
        <v>223</v>
      </c>
      <c r="G31" s="1821">
        <f t="shared" si="4"/>
        <v>257</v>
      </c>
    </row>
    <row r="32" spans="1:7">
      <c r="A32" s="53" t="s">
        <v>575</v>
      </c>
      <c r="B32" s="1204">
        <v>2</v>
      </c>
      <c r="C32" s="1204">
        <v>0</v>
      </c>
      <c r="D32" s="1204">
        <v>5</v>
      </c>
      <c r="E32" s="1204">
        <v>2</v>
      </c>
      <c r="F32" s="1204">
        <v>3</v>
      </c>
      <c r="G32" s="1204">
        <v>0</v>
      </c>
    </row>
    <row r="33" spans="1:7">
      <c r="A33" s="53" t="s">
        <v>659</v>
      </c>
      <c r="B33" s="1204">
        <v>0</v>
      </c>
      <c r="C33" s="1204">
        <v>0</v>
      </c>
      <c r="D33" s="1204">
        <v>0</v>
      </c>
      <c r="E33" s="1204">
        <v>0</v>
      </c>
      <c r="F33" s="1204">
        <v>0</v>
      </c>
      <c r="G33" s="1204">
        <v>0</v>
      </c>
    </row>
    <row r="34" spans="1:7">
      <c r="A34" s="53" t="s">
        <v>577</v>
      </c>
      <c r="B34" s="1204">
        <v>0</v>
      </c>
      <c r="C34" s="1204">
        <v>0</v>
      </c>
      <c r="D34" s="1204">
        <v>0</v>
      </c>
      <c r="E34" s="1204">
        <v>0</v>
      </c>
      <c r="F34" s="1204">
        <v>0</v>
      </c>
      <c r="G34" s="1204">
        <v>0</v>
      </c>
    </row>
    <row r="35" spans="1:7">
      <c r="A35" s="53" t="s">
        <v>578</v>
      </c>
      <c r="B35" s="1204">
        <v>19</v>
      </c>
      <c r="C35" s="1204">
        <v>85</v>
      </c>
      <c r="D35" s="1204">
        <v>46</v>
      </c>
      <c r="E35" s="1204">
        <v>42</v>
      </c>
      <c r="F35" s="1204">
        <v>48</v>
      </c>
      <c r="G35" s="53">
        <v>57</v>
      </c>
    </row>
    <row r="36" spans="1:7">
      <c r="A36" s="53" t="s">
        <v>579</v>
      </c>
      <c r="B36" s="1204">
        <v>0</v>
      </c>
      <c r="C36" s="1204">
        <v>0</v>
      </c>
      <c r="D36" s="1204">
        <v>0</v>
      </c>
      <c r="E36" s="1204">
        <v>18</v>
      </c>
      <c r="F36" s="1204">
        <v>0</v>
      </c>
      <c r="G36" s="1204">
        <v>0</v>
      </c>
    </row>
    <row r="37" spans="1:7">
      <c r="A37" s="53" t="s">
        <v>672</v>
      </c>
      <c r="B37" s="1204">
        <v>0</v>
      </c>
      <c r="C37" s="1204">
        <v>0</v>
      </c>
      <c r="D37" s="1204">
        <v>0</v>
      </c>
      <c r="E37" s="1204">
        <v>0</v>
      </c>
      <c r="F37" s="1204">
        <v>0</v>
      </c>
      <c r="G37" s="1204">
        <v>0</v>
      </c>
    </row>
    <row r="38" spans="1:7" ht="12.75">
      <c r="A38" s="53" t="s">
        <v>3816</v>
      </c>
      <c r="B38" s="1204">
        <v>88</v>
      </c>
      <c r="C38" s="1204">
        <v>162</v>
      </c>
      <c r="D38" s="1204">
        <v>93</v>
      </c>
      <c r="E38" s="1204">
        <v>125</v>
      </c>
      <c r="F38" s="1204">
        <v>172</v>
      </c>
      <c r="G38" s="53">
        <v>199</v>
      </c>
    </row>
    <row r="39" spans="1:7">
      <c r="A39" s="53" t="s">
        <v>581</v>
      </c>
      <c r="B39" s="1204">
        <v>0</v>
      </c>
      <c r="C39" s="1204">
        <v>0</v>
      </c>
      <c r="D39" s="1204">
        <v>0</v>
      </c>
      <c r="E39" s="1204">
        <v>1</v>
      </c>
      <c r="F39" s="1204">
        <v>0</v>
      </c>
      <c r="G39" s="53">
        <v>1</v>
      </c>
    </row>
    <row r="40" spans="1:7" s="150" customFormat="1">
      <c r="A40" s="150" t="s">
        <v>13</v>
      </c>
      <c r="B40" s="1821">
        <f t="shared" ref="B40:G40" si="5">SUM(B41:B42)</f>
        <v>16</v>
      </c>
      <c r="C40" s="1821">
        <f t="shared" si="5"/>
        <v>171</v>
      </c>
      <c r="D40" s="1821">
        <f t="shared" si="5"/>
        <v>72</v>
      </c>
      <c r="E40" s="1821">
        <f t="shared" si="5"/>
        <v>98</v>
      </c>
      <c r="F40" s="1821">
        <f t="shared" si="5"/>
        <v>86</v>
      </c>
      <c r="G40" s="1821">
        <f t="shared" si="5"/>
        <v>8</v>
      </c>
    </row>
    <row r="41" spans="1:7">
      <c r="A41" s="53" t="s">
        <v>582</v>
      </c>
      <c r="B41" s="1204">
        <v>16</v>
      </c>
      <c r="C41" s="1204">
        <v>171</v>
      </c>
      <c r="D41" s="1204">
        <v>72</v>
      </c>
      <c r="E41" s="1204">
        <v>90</v>
      </c>
      <c r="F41" s="1204">
        <v>86</v>
      </c>
      <c r="G41" s="53">
        <v>2</v>
      </c>
    </row>
    <row r="42" spans="1:7">
      <c r="A42" s="53" t="s">
        <v>583</v>
      </c>
      <c r="B42" s="1204">
        <v>0</v>
      </c>
      <c r="C42" s="1204">
        <v>0</v>
      </c>
      <c r="D42" s="1204">
        <v>0</v>
      </c>
      <c r="E42" s="1204">
        <v>8</v>
      </c>
      <c r="F42" s="1204">
        <v>0</v>
      </c>
      <c r="G42" s="53">
        <v>6</v>
      </c>
    </row>
    <row r="43" spans="1:7" s="150" customFormat="1">
      <c r="A43" s="150" t="s">
        <v>14</v>
      </c>
      <c r="B43" s="1821">
        <f t="shared" ref="B43:G43" si="6">SUM(B44:B46)</f>
        <v>15</v>
      </c>
      <c r="C43" s="1821">
        <f t="shared" si="6"/>
        <v>30</v>
      </c>
      <c r="D43" s="1821">
        <f t="shared" si="6"/>
        <v>47</v>
      </c>
      <c r="E43" s="1821">
        <f t="shared" si="6"/>
        <v>21</v>
      </c>
      <c r="F43" s="1821">
        <f t="shared" si="6"/>
        <v>78</v>
      </c>
      <c r="G43" s="1821">
        <f t="shared" si="6"/>
        <v>115</v>
      </c>
    </row>
    <row r="44" spans="1:7">
      <c r="A44" s="53" t="s">
        <v>585</v>
      </c>
      <c r="B44" s="1204">
        <v>0</v>
      </c>
      <c r="C44" s="1204">
        <v>0</v>
      </c>
      <c r="D44" s="1204">
        <v>0</v>
      </c>
      <c r="E44" s="1204">
        <v>0</v>
      </c>
      <c r="F44" s="1204">
        <v>0</v>
      </c>
      <c r="G44" s="1204">
        <v>0</v>
      </c>
    </row>
    <row r="45" spans="1:7">
      <c r="A45" s="53" t="s">
        <v>586</v>
      </c>
      <c r="B45" s="1204">
        <v>15</v>
      </c>
      <c r="C45" s="1204">
        <v>30</v>
      </c>
      <c r="D45" s="1204">
        <v>47</v>
      </c>
      <c r="E45" s="1204">
        <v>21</v>
      </c>
      <c r="F45" s="1204">
        <v>78</v>
      </c>
      <c r="G45" s="53">
        <v>115</v>
      </c>
    </row>
    <row r="46" spans="1:7">
      <c r="A46" s="53" t="s">
        <v>587</v>
      </c>
      <c r="B46" s="1204">
        <v>0</v>
      </c>
      <c r="C46" s="1204">
        <v>0</v>
      </c>
      <c r="D46" s="1204">
        <v>0</v>
      </c>
      <c r="E46" s="1204">
        <v>0</v>
      </c>
      <c r="F46" s="1204">
        <v>0</v>
      </c>
      <c r="G46" s="1204">
        <v>0</v>
      </c>
    </row>
    <row r="47" spans="1:7" s="150" customFormat="1">
      <c r="A47" s="150" t="s">
        <v>15</v>
      </c>
      <c r="B47" s="1821">
        <f t="shared" ref="B47:G47" si="7">SUM(B48:B55)</f>
        <v>124</v>
      </c>
      <c r="C47" s="1821">
        <f t="shared" si="7"/>
        <v>143</v>
      </c>
      <c r="D47" s="1821">
        <f t="shared" si="7"/>
        <v>63</v>
      </c>
      <c r="E47" s="1821">
        <f t="shared" si="7"/>
        <v>111</v>
      </c>
      <c r="F47" s="1821">
        <f t="shared" si="7"/>
        <v>50</v>
      </c>
      <c r="G47" s="1821">
        <f t="shared" si="7"/>
        <v>31</v>
      </c>
    </row>
    <row r="48" spans="1:7">
      <c r="A48" s="53" t="s">
        <v>588</v>
      </c>
      <c r="B48" s="1204">
        <v>82</v>
      </c>
      <c r="C48" s="1204">
        <v>10</v>
      </c>
      <c r="D48" s="1204">
        <v>16</v>
      </c>
      <c r="E48" s="1204">
        <v>25</v>
      </c>
      <c r="F48" s="1204">
        <v>2</v>
      </c>
      <c r="G48" s="53">
        <v>1</v>
      </c>
    </row>
    <row r="49" spans="1:7">
      <c r="A49" s="53" t="s">
        <v>589</v>
      </c>
      <c r="B49" s="1204">
        <v>0</v>
      </c>
      <c r="C49" s="1204">
        <v>0</v>
      </c>
      <c r="D49" s="1204">
        <v>2</v>
      </c>
      <c r="E49" s="1204">
        <v>13</v>
      </c>
      <c r="F49" s="1204">
        <v>8</v>
      </c>
      <c r="G49" s="1204">
        <v>0</v>
      </c>
    </row>
    <row r="50" spans="1:7">
      <c r="A50" s="53" t="s">
        <v>590</v>
      </c>
      <c r="B50" s="1204">
        <v>2</v>
      </c>
      <c r="C50" s="1204">
        <v>3</v>
      </c>
      <c r="D50" s="1204">
        <v>0</v>
      </c>
      <c r="E50" s="1204">
        <v>0</v>
      </c>
      <c r="F50" s="1204">
        <v>4</v>
      </c>
      <c r="G50" s="1204">
        <v>0</v>
      </c>
    </row>
    <row r="51" spans="1:7">
      <c r="A51" s="53" t="s">
        <v>591</v>
      </c>
      <c r="B51" s="1204">
        <v>0</v>
      </c>
      <c r="C51" s="1204">
        <v>0</v>
      </c>
      <c r="D51" s="1204">
        <v>0</v>
      </c>
      <c r="E51" s="1204">
        <v>0</v>
      </c>
      <c r="F51" s="1204">
        <v>0</v>
      </c>
      <c r="G51" s="1204">
        <v>0</v>
      </c>
    </row>
    <row r="52" spans="1:7">
      <c r="A52" s="53" t="s">
        <v>592</v>
      </c>
      <c r="B52" s="1204">
        <v>0</v>
      </c>
      <c r="C52" s="1204">
        <v>0</v>
      </c>
      <c r="D52" s="1204">
        <v>0</v>
      </c>
      <c r="E52" s="1204">
        <v>0</v>
      </c>
      <c r="F52" s="1204">
        <v>2</v>
      </c>
      <c r="G52" s="1204">
        <v>0</v>
      </c>
    </row>
    <row r="53" spans="1:7">
      <c r="A53" s="53" t="s">
        <v>593</v>
      </c>
      <c r="B53" s="1204">
        <v>0</v>
      </c>
      <c r="C53" s="1204">
        <v>17</v>
      </c>
      <c r="D53" s="1204">
        <v>1</v>
      </c>
      <c r="E53" s="1204">
        <v>1</v>
      </c>
      <c r="F53" s="1204">
        <v>2</v>
      </c>
      <c r="G53" s="1204">
        <v>0</v>
      </c>
    </row>
    <row r="54" spans="1:7">
      <c r="A54" s="53" t="s">
        <v>594</v>
      </c>
      <c r="B54" s="1204">
        <v>0</v>
      </c>
      <c r="C54" s="1204">
        <v>0</v>
      </c>
      <c r="D54" s="1204">
        <v>0</v>
      </c>
      <c r="E54" s="1204">
        <v>0</v>
      </c>
      <c r="F54" s="1204">
        <v>0</v>
      </c>
      <c r="G54" s="1204">
        <v>0</v>
      </c>
    </row>
    <row r="55" spans="1:7">
      <c r="A55" s="53" t="s">
        <v>661</v>
      </c>
      <c r="B55" s="1204">
        <v>40</v>
      </c>
      <c r="C55" s="1204">
        <v>113</v>
      </c>
      <c r="D55" s="1204">
        <v>44</v>
      </c>
      <c r="E55" s="1204">
        <v>72</v>
      </c>
      <c r="F55" s="1204">
        <v>32</v>
      </c>
      <c r="G55" s="53">
        <v>30</v>
      </c>
    </row>
    <row r="56" spans="1:7" s="150" customFormat="1">
      <c r="A56" s="150" t="s">
        <v>16</v>
      </c>
      <c r="B56" s="1821">
        <f t="shared" ref="B56:G56" si="8">SUM(B57:B63)</f>
        <v>0</v>
      </c>
      <c r="C56" s="1821">
        <f t="shared" si="8"/>
        <v>2</v>
      </c>
      <c r="D56" s="1821">
        <f t="shared" si="8"/>
        <v>4</v>
      </c>
      <c r="E56" s="1821">
        <f t="shared" si="8"/>
        <v>1</v>
      </c>
      <c r="F56" s="1821">
        <f t="shared" si="8"/>
        <v>71</v>
      </c>
      <c r="G56" s="1821">
        <f t="shared" si="8"/>
        <v>36</v>
      </c>
    </row>
    <row r="57" spans="1:7">
      <c r="A57" s="53" t="s">
        <v>596</v>
      </c>
      <c r="B57" s="1204">
        <v>0</v>
      </c>
      <c r="C57" s="1204">
        <v>0</v>
      </c>
      <c r="D57" s="1204">
        <v>0</v>
      </c>
      <c r="E57" s="1204">
        <v>0</v>
      </c>
      <c r="F57" s="1204">
        <v>1</v>
      </c>
      <c r="G57" s="1204">
        <v>0</v>
      </c>
    </row>
    <row r="58" spans="1:7">
      <c r="A58" s="53" t="s">
        <v>597</v>
      </c>
      <c r="B58" s="1204">
        <v>0</v>
      </c>
      <c r="C58" s="1204">
        <v>0</v>
      </c>
      <c r="D58" s="1204">
        <v>0</v>
      </c>
      <c r="E58" s="1204">
        <v>0</v>
      </c>
      <c r="F58" s="1204">
        <v>0</v>
      </c>
      <c r="G58" s="1204">
        <v>0</v>
      </c>
    </row>
    <row r="59" spans="1:7">
      <c r="A59" s="53" t="s">
        <v>673</v>
      </c>
      <c r="B59" s="1204">
        <v>0</v>
      </c>
      <c r="C59" s="1204">
        <v>0</v>
      </c>
      <c r="D59" s="1204">
        <v>0</v>
      </c>
      <c r="E59" s="1204">
        <v>0</v>
      </c>
      <c r="F59" s="1204">
        <v>0</v>
      </c>
      <c r="G59" s="1204">
        <v>0</v>
      </c>
    </row>
    <row r="60" spans="1:7">
      <c r="A60" s="53" t="s">
        <v>599</v>
      </c>
      <c r="B60" s="1204">
        <v>0</v>
      </c>
      <c r="C60" s="1204">
        <v>0</v>
      </c>
      <c r="D60" s="1204">
        <v>1</v>
      </c>
      <c r="E60" s="1204">
        <v>0</v>
      </c>
      <c r="F60" s="1204">
        <v>0</v>
      </c>
      <c r="G60" s="1204">
        <v>0</v>
      </c>
    </row>
    <row r="61" spans="1:7">
      <c r="A61" s="53" t="s">
        <v>600</v>
      </c>
      <c r="B61" s="1204">
        <v>0</v>
      </c>
      <c r="C61" s="1204">
        <v>0</v>
      </c>
      <c r="D61" s="1204">
        <v>0</v>
      </c>
      <c r="E61" s="1204">
        <v>0</v>
      </c>
      <c r="F61" s="1204">
        <v>0</v>
      </c>
      <c r="G61" s="1204">
        <v>0</v>
      </c>
    </row>
    <row r="62" spans="1:7">
      <c r="A62" s="53" t="s">
        <v>601</v>
      </c>
      <c r="B62" s="1204">
        <v>0</v>
      </c>
      <c r="C62" s="1204">
        <v>2</v>
      </c>
      <c r="D62" s="1204">
        <v>3</v>
      </c>
      <c r="E62" s="1204">
        <v>1</v>
      </c>
      <c r="F62" s="1204">
        <v>70</v>
      </c>
      <c r="G62" s="53">
        <v>36</v>
      </c>
    </row>
    <row r="63" spans="1:7">
      <c r="A63" s="53" t="s">
        <v>602</v>
      </c>
      <c r="B63" s="1204">
        <v>0</v>
      </c>
      <c r="C63" s="1204">
        <v>0</v>
      </c>
      <c r="D63" s="1204">
        <v>0</v>
      </c>
      <c r="E63" s="1204">
        <v>0</v>
      </c>
      <c r="F63" s="1204">
        <v>0</v>
      </c>
      <c r="G63" s="1204">
        <v>0</v>
      </c>
    </row>
    <row r="64" spans="1:7" s="150" customFormat="1">
      <c r="A64" s="150" t="s">
        <v>17</v>
      </c>
      <c r="B64" s="1821">
        <f t="shared" ref="B64:G64" si="9">SUM(B65:B77)</f>
        <v>3866</v>
      </c>
      <c r="C64" s="1821">
        <f t="shared" si="9"/>
        <v>298</v>
      </c>
      <c r="D64" s="1821">
        <f t="shared" si="9"/>
        <v>244</v>
      </c>
      <c r="E64" s="1821">
        <f t="shared" si="9"/>
        <v>187</v>
      </c>
      <c r="F64" s="1821">
        <f t="shared" si="9"/>
        <v>542</v>
      </c>
      <c r="G64" s="1821">
        <f t="shared" si="9"/>
        <v>168</v>
      </c>
    </row>
    <row r="65" spans="1:7">
      <c r="A65" s="53" t="s">
        <v>603</v>
      </c>
      <c r="B65" s="1204">
        <v>3</v>
      </c>
      <c r="C65" s="1204">
        <v>2</v>
      </c>
      <c r="D65" s="1204">
        <v>17</v>
      </c>
      <c r="E65" s="1204">
        <v>9</v>
      </c>
      <c r="F65" s="1204">
        <v>0</v>
      </c>
      <c r="G65" s="53">
        <v>18</v>
      </c>
    </row>
    <row r="66" spans="1:7">
      <c r="A66" s="53" t="s">
        <v>604</v>
      </c>
      <c r="B66" s="1204">
        <v>0</v>
      </c>
      <c r="C66" s="1204">
        <v>0</v>
      </c>
      <c r="D66" s="1204">
        <v>2</v>
      </c>
      <c r="E66" s="1204">
        <v>6</v>
      </c>
      <c r="F66" s="1204">
        <v>23</v>
      </c>
      <c r="G66" s="53">
        <v>5</v>
      </c>
    </row>
    <row r="67" spans="1:7">
      <c r="A67" s="53" t="s">
        <v>605</v>
      </c>
      <c r="B67" s="1204">
        <v>0</v>
      </c>
      <c r="C67" s="1204">
        <v>0</v>
      </c>
      <c r="D67" s="1204">
        <v>0</v>
      </c>
      <c r="E67" s="1204">
        <v>0</v>
      </c>
      <c r="F67" s="1204">
        <v>2</v>
      </c>
      <c r="G67" s="53">
        <v>35</v>
      </c>
    </row>
    <row r="68" spans="1:7">
      <c r="A68" s="53" t="s">
        <v>606</v>
      </c>
      <c r="B68" s="1204">
        <v>0</v>
      </c>
      <c r="C68" s="1204">
        <v>0</v>
      </c>
      <c r="D68" s="1204">
        <v>0</v>
      </c>
      <c r="E68" s="1204">
        <v>0</v>
      </c>
      <c r="F68" s="1204">
        <v>22</v>
      </c>
      <c r="G68" s="53">
        <v>22</v>
      </c>
    </row>
    <row r="69" spans="1:7">
      <c r="A69" s="53" t="s">
        <v>607</v>
      </c>
      <c r="B69" s="1204">
        <v>0</v>
      </c>
      <c r="C69" s="1204">
        <v>0</v>
      </c>
      <c r="D69" s="1204">
        <v>0</v>
      </c>
      <c r="E69" s="1204">
        <v>0</v>
      </c>
      <c r="F69" s="1204">
        <v>0</v>
      </c>
      <c r="G69" s="1204">
        <v>0</v>
      </c>
    </row>
    <row r="70" spans="1:7">
      <c r="A70" s="53" t="s">
        <v>608</v>
      </c>
      <c r="B70" s="1204">
        <v>0</v>
      </c>
      <c r="C70" s="1204">
        <v>0</v>
      </c>
      <c r="D70" s="1204">
        <v>0</v>
      </c>
      <c r="E70" s="1204">
        <v>0</v>
      </c>
      <c r="F70" s="1204">
        <v>0</v>
      </c>
      <c r="G70" s="1204">
        <v>0</v>
      </c>
    </row>
    <row r="71" spans="1:7">
      <c r="A71" s="53" t="s">
        <v>609</v>
      </c>
      <c r="B71" s="1204">
        <v>0</v>
      </c>
      <c r="C71" s="1204">
        <v>0</v>
      </c>
      <c r="D71" s="1204">
        <v>0</v>
      </c>
      <c r="E71" s="1204">
        <v>0</v>
      </c>
      <c r="F71" s="1204">
        <v>0</v>
      </c>
      <c r="G71" s="1204">
        <v>0</v>
      </c>
    </row>
    <row r="72" spans="1:7">
      <c r="A72" s="53" t="s">
        <v>610</v>
      </c>
      <c r="B72" s="1204">
        <v>0</v>
      </c>
      <c r="C72" s="1204">
        <v>4</v>
      </c>
      <c r="D72" s="1204">
        <v>48</v>
      </c>
      <c r="E72" s="1204">
        <v>0</v>
      </c>
      <c r="F72" s="1204">
        <v>0</v>
      </c>
      <c r="G72" s="1204">
        <v>0</v>
      </c>
    </row>
    <row r="73" spans="1:7">
      <c r="A73" s="53" t="s">
        <v>611</v>
      </c>
      <c r="B73" s="1204">
        <v>0</v>
      </c>
      <c r="C73" s="1204">
        <v>0</v>
      </c>
      <c r="D73" s="1204">
        <v>0</v>
      </c>
      <c r="E73" s="1204">
        <v>0</v>
      </c>
      <c r="F73" s="1204">
        <v>0</v>
      </c>
      <c r="G73" s="1204">
        <v>0</v>
      </c>
    </row>
    <row r="74" spans="1:7">
      <c r="A74" s="53" t="s">
        <v>612</v>
      </c>
      <c r="B74" s="1204">
        <v>0</v>
      </c>
      <c r="C74" s="1204">
        <v>0</v>
      </c>
      <c r="D74" s="1204">
        <v>0</v>
      </c>
      <c r="E74" s="1204">
        <v>0</v>
      </c>
      <c r="F74" s="1204">
        <v>0</v>
      </c>
      <c r="G74" s="1204">
        <v>0</v>
      </c>
    </row>
    <row r="75" spans="1:7">
      <c r="A75" s="53" t="s">
        <v>613</v>
      </c>
      <c r="B75" s="1204">
        <v>0</v>
      </c>
      <c r="C75" s="1204">
        <v>0</v>
      </c>
      <c r="D75" s="1204">
        <v>0</v>
      </c>
      <c r="E75" s="1204">
        <v>0</v>
      </c>
      <c r="F75" s="1204">
        <v>1</v>
      </c>
      <c r="G75" s="1204">
        <v>0</v>
      </c>
    </row>
    <row r="76" spans="1:7">
      <c r="A76" s="53" t="s">
        <v>614</v>
      </c>
      <c r="B76" s="1204">
        <v>0</v>
      </c>
      <c r="C76" s="1204">
        <v>5</v>
      </c>
      <c r="D76" s="1204">
        <v>2</v>
      </c>
      <c r="E76" s="1204">
        <v>7</v>
      </c>
      <c r="F76" s="1204">
        <v>13</v>
      </c>
      <c r="G76" s="53">
        <v>10</v>
      </c>
    </row>
    <row r="77" spans="1:7">
      <c r="A77" s="53" t="s">
        <v>615</v>
      </c>
      <c r="B77" s="1204">
        <v>3863</v>
      </c>
      <c r="C77" s="1204">
        <v>287</v>
      </c>
      <c r="D77" s="1204">
        <v>175</v>
      </c>
      <c r="E77" s="1204">
        <v>165</v>
      </c>
      <c r="F77" s="1204">
        <v>481</v>
      </c>
      <c r="G77" s="53">
        <v>78</v>
      </c>
    </row>
    <row r="78" spans="1:7" s="150" customFormat="1">
      <c r="A78" s="150" t="s">
        <v>18</v>
      </c>
      <c r="B78" s="1821">
        <f t="shared" ref="B78:G78" si="10">SUM(B79:B80)</f>
        <v>1</v>
      </c>
      <c r="C78" s="1821">
        <f t="shared" si="10"/>
        <v>1</v>
      </c>
      <c r="D78" s="1821">
        <f t="shared" si="10"/>
        <v>0</v>
      </c>
      <c r="E78" s="1821">
        <f t="shared" si="10"/>
        <v>0</v>
      </c>
      <c r="F78" s="1821">
        <f t="shared" si="10"/>
        <v>1</v>
      </c>
      <c r="G78" s="1821">
        <f t="shared" si="10"/>
        <v>0</v>
      </c>
    </row>
    <row r="79" spans="1:7">
      <c r="A79" s="53" t="s">
        <v>616</v>
      </c>
      <c r="B79" s="1204">
        <v>0</v>
      </c>
      <c r="C79" s="1204">
        <v>0</v>
      </c>
      <c r="D79" s="1204">
        <v>0</v>
      </c>
      <c r="E79" s="1204">
        <v>0</v>
      </c>
      <c r="F79" s="1204">
        <v>0</v>
      </c>
      <c r="G79" s="1204">
        <v>0</v>
      </c>
    </row>
    <row r="80" spans="1:7">
      <c r="A80" s="53" t="s">
        <v>617</v>
      </c>
      <c r="B80" s="1204">
        <v>1</v>
      </c>
      <c r="C80" s="1204">
        <v>1</v>
      </c>
      <c r="D80" s="1204">
        <v>0</v>
      </c>
      <c r="E80" s="1204">
        <v>0</v>
      </c>
      <c r="F80" s="1204">
        <v>1</v>
      </c>
      <c r="G80" s="1204">
        <v>0</v>
      </c>
    </row>
    <row r="81" spans="1:7" s="150" customFormat="1">
      <c r="A81" s="150" t="s">
        <v>19</v>
      </c>
      <c r="B81" s="1821">
        <f t="shared" ref="B81:G81" si="11">SUM(B82:B92)</f>
        <v>531</v>
      </c>
      <c r="C81" s="1821">
        <f t="shared" si="11"/>
        <v>844</v>
      </c>
      <c r="D81" s="1821">
        <f t="shared" si="11"/>
        <v>488</v>
      </c>
      <c r="E81" s="1821">
        <f t="shared" si="11"/>
        <v>439</v>
      </c>
      <c r="F81" s="1821">
        <f t="shared" si="11"/>
        <v>193</v>
      </c>
      <c r="G81" s="1821">
        <f t="shared" si="11"/>
        <v>89</v>
      </c>
    </row>
    <row r="82" spans="1:7">
      <c r="A82" s="53" t="s">
        <v>618</v>
      </c>
      <c r="B82" s="1204">
        <v>20</v>
      </c>
      <c r="C82" s="1204">
        <v>32</v>
      </c>
      <c r="D82" s="1204">
        <v>0</v>
      </c>
      <c r="E82" s="1204">
        <v>53</v>
      </c>
      <c r="F82" s="1204">
        <v>8</v>
      </c>
      <c r="G82" s="53">
        <v>29</v>
      </c>
    </row>
    <row r="83" spans="1:7">
      <c r="A83" s="53" t="s">
        <v>619</v>
      </c>
      <c r="B83" s="1204">
        <v>0</v>
      </c>
      <c r="C83" s="1204">
        <v>425</v>
      </c>
      <c r="D83" s="1204">
        <v>61</v>
      </c>
      <c r="E83" s="1204">
        <v>18</v>
      </c>
      <c r="F83" s="1204">
        <v>1</v>
      </c>
      <c r="G83" s="53">
        <v>17</v>
      </c>
    </row>
    <row r="84" spans="1:7">
      <c r="A84" s="53" t="s">
        <v>620</v>
      </c>
      <c r="B84" s="1204">
        <v>511</v>
      </c>
      <c r="C84" s="1204">
        <v>377</v>
      </c>
      <c r="D84" s="1204">
        <v>427</v>
      </c>
      <c r="E84" s="1204">
        <v>367</v>
      </c>
      <c r="F84" s="1204">
        <v>184</v>
      </c>
      <c r="G84" s="53">
        <v>41</v>
      </c>
    </row>
    <row r="85" spans="1:7">
      <c r="A85" s="53" t="s">
        <v>621</v>
      </c>
      <c r="B85" s="1204">
        <v>0</v>
      </c>
      <c r="C85" s="1204">
        <v>1</v>
      </c>
      <c r="D85" s="1204">
        <v>0</v>
      </c>
      <c r="E85" s="1204">
        <v>0</v>
      </c>
      <c r="F85" s="1204">
        <v>0</v>
      </c>
      <c r="G85" s="1204">
        <v>0</v>
      </c>
    </row>
    <row r="86" spans="1:7">
      <c r="A86" s="53" t="s">
        <v>622</v>
      </c>
      <c r="B86" s="1204">
        <v>0</v>
      </c>
      <c r="C86" s="1204">
        <v>0</v>
      </c>
      <c r="D86" s="1204">
        <v>0</v>
      </c>
      <c r="E86" s="1204">
        <v>0</v>
      </c>
      <c r="F86" s="1204">
        <v>0</v>
      </c>
      <c r="G86" s="1204">
        <v>0</v>
      </c>
    </row>
    <row r="87" spans="1:7">
      <c r="A87" s="53" t="s">
        <v>623</v>
      </c>
      <c r="B87" s="1204">
        <v>0</v>
      </c>
      <c r="C87" s="1204">
        <v>0</v>
      </c>
      <c r="D87" s="1204">
        <v>0</v>
      </c>
      <c r="E87" s="1204">
        <v>0</v>
      </c>
      <c r="F87" s="1204">
        <v>0</v>
      </c>
      <c r="G87" s="1204">
        <v>0</v>
      </c>
    </row>
    <row r="88" spans="1:7">
      <c r="A88" s="53" t="s">
        <v>624</v>
      </c>
      <c r="B88" s="1204">
        <v>0</v>
      </c>
      <c r="C88" s="1204">
        <v>0</v>
      </c>
      <c r="D88" s="1204">
        <v>0</v>
      </c>
      <c r="E88" s="1204">
        <v>0</v>
      </c>
      <c r="F88" s="1204">
        <v>0</v>
      </c>
      <c r="G88" s="1204">
        <v>0</v>
      </c>
    </row>
    <row r="89" spans="1:7">
      <c r="A89" s="53" t="s">
        <v>625</v>
      </c>
      <c r="B89" s="1204">
        <v>0</v>
      </c>
      <c r="C89" s="1204">
        <v>0</v>
      </c>
      <c r="D89" s="1204">
        <v>0</v>
      </c>
      <c r="E89" s="1204">
        <v>0</v>
      </c>
      <c r="F89" s="1204">
        <v>0</v>
      </c>
      <c r="G89" s="1204">
        <v>0</v>
      </c>
    </row>
    <row r="90" spans="1:7">
      <c r="A90" s="53" t="s">
        <v>626</v>
      </c>
      <c r="B90" s="1204">
        <v>0</v>
      </c>
      <c r="C90" s="1204">
        <v>0</v>
      </c>
      <c r="D90" s="1204">
        <v>0</v>
      </c>
      <c r="E90" s="1204">
        <v>1</v>
      </c>
      <c r="F90" s="1204">
        <v>0</v>
      </c>
      <c r="G90" s="53">
        <v>2</v>
      </c>
    </row>
    <row r="91" spans="1:7">
      <c r="A91" s="53" t="s">
        <v>627</v>
      </c>
      <c r="B91" s="1204">
        <v>0</v>
      </c>
      <c r="C91" s="1204">
        <v>0</v>
      </c>
      <c r="D91" s="1204">
        <v>0</v>
      </c>
      <c r="E91" s="1204">
        <v>0</v>
      </c>
      <c r="F91" s="1204">
        <v>0</v>
      </c>
      <c r="G91" s="1204">
        <v>0</v>
      </c>
    </row>
    <row r="92" spans="1:7">
      <c r="A92" s="53" t="s">
        <v>628</v>
      </c>
      <c r="B92" s="1204">
        <v>0</v>
      </c>
      <c r="C92" s="1204">
        <v>9</v>
      </c>
      <c r="D92" s="1204">
        <v>0</v>
      </c>
      <c r="E92" s="1204">
        <v>0</v>
      </c>
      <c r="F92" s="1204">
        <v>0</v>
      </c>
      <c r="G92" s="1204">
        <v>0</v>
      </c>
    </row>
    <row r="93" spans="1:7" s="150" customFormat="1">
      <c r="A93" s="150" t="s">
        <v>20</v>
      </c>
      <c r="B93" s="1821">
        <f t="shared" ref="B93:G93" si="12">SUM(B94:B112)</f>
        <v>44</v>
      </c>
      <c r="C93" s="1821">
        <f t="shared" si="12"/>
        <v>16</v>
      </c>
      <c r="D93" s="1821">
        <f t="shared" si="12"/>
        <v>19</v>
      </c>
      <c r="E93" s="1821">
        <f t="shared" si="12"/>
        <v>10</v>
      </c>
      <c r="F93" s="1821">
        <f t="shared" si="12"/>
        <v>84</v>
      </c>
      <c r="G93" s="1821">
        <f t="shared" si="12"/>
        <v>99</v>
      </c>
    </row>
    <row r="94" spans="1:7">
      <c r="A94" s="53" t="s">
        <v>674</v>
      </c>
      <c r="B94" s="1204">
        <v>0</v>
      </c>
      <c r="C94" s="1204">
        <v>0</v>
      </c>
      <c r="D94" s="1204">
        <v>0</v>
      </c>
      <c r="E94" s="1204">
        <v>0</v>
      </c>
      <c r="F94" s="1204">
        <v>0</v>
      </c>
      <c r="G94" s="1204">
        <v>0</v>
      </c>
    </row>
    <row r="95" spans="1:7">
      <c r="A95" s="53" t="s">
        <v>675</v>
      </c>
      <c r="B95" s="1204">
        <v>0</v>
      </c>
      <c r="C95" s="1204">
        <v>0</v>
      </c>
      <c r="D95" s="1204">
        <v>0</v>
      </c>
      <c r="E95" s="1204">
        <v>0</v>
      </c>
      <c r="F95" s="1204">
        <v>0</v>
      </c>
      <c r="G95" s="1204">
        <v>0</v>
      </c>
    </row>
    <row r="96" spans="1:7">
      <c r="A96" s="53" t="s">
        <v>631</v>
      </c>
      <c r="B96" s="1204">
        <v>0</v>
      </c>
      <c r="C96" s="1204">
        <v>0</v>
      </c>
      <c r="D96" s="1204">
        <v>0</v>
      </c>
      <c r="E96" s="1204">
        <v>0</v>
      </c>
      <c r="F96" s="1204">
        <v>0</v>
      </c>
      <c r="G96" s="1204">
        <v>0</v>
      </c>
    </row>
    <row r="97" spans="1:7">
      <c r="A97" s="53" t="s">
        <v>632</v>
      </c>
      <c r="B97" s="1204">
        <v>3</v>
      </c>
      <c r="C97" s="1204">
        <v>2</v>
      </c>
      <c r="D97" s="1204">
        <v>4</v>
      </c>
      <c r="E97" s="1204">
        <v>0</v>
      </c>
      <c r="F97" s="1204">
        <v>2</v>
      </c>
      <c r="G97" s="53">
        <v>8</v>
      </c>
    </row>
    <row r="98" spans="1:7">
      <c r="A98" s="53" t="s">
        <v>633</v>
      </c>
      <c r="B98" s="1204">
        <v>0</v>
      </c>
      <c r="C98" s="1204">
        <v>0</v>
      </c>
      <c r="D98" s="1204">
        <v>0</v>
      </c>
      <c r="E98" s="1204">
        <v>0</v>
      </c>
      <c r="F98" s="1204">
        <v>0</v>
      </c>
      <c r="G98" s="53">
        <v>1</v>
      </c>
    </row>
    <row r="99" spans="1:7">
      <c r="A99" s="53" t="s">
        <v>634</v>
      </c>
      <c r="B99" s="1204">
        <v>2</v>
      </c>
      <c r="C99" s="1204">
        <v>0</v>
      </c>
      <c r="D99" s="1204">
        <v>0</v>
      </c>
      <c r="E99" s="1204">
        <v>10</v>
      </c>
      <c r="F99" s="1204">
        <v>13</v>
      </c>
      <c r="G99" s="53">
        <v>58</v>
      </c>
    </row>
    <row r="100" spans="1:7">
      <c r="A100" s="53" t="s">
        <v>635</v>
      </c>
      <c r="B100" s="1204">
        <v>0</v>
      </c>
      <c r="C100" s="1204">
        <v>0</v>
      </c>
      <c r="D100" s="1204">
        <v>0</v>
      </c>
      <c r="E100" s="1204">
        <v>0</v>
      </c>
      <c r="F100" s="1204">
        <v>0</v>
      </c>
      <c r="G100" s="1204">
        <v>0</v>
      </c>
    </row>
    <row r="101" spans="1:7">
      <c r="A101" s="53" t="s">
        <v>636</v>
      </c>
      <c r="B101" s="1204">
        <v>0</v>
      </c>
      <c r="C101" s="1204">
        <v>0</v>
      </c>
      <c r="D101" s="1204">
        <v>0</v>
      </c>
      <c r="E101" s="1204">
        <v>0</v>
      </c>
      <c r="F101" s="1204">
        <v>0</v>
      </c>
      <c r="G101" s="1204">
        <v>0</v>
      </c>
    </row>
    <row r="102" spans="1:7">
      <c r="A102" s="53" t="s">
        <v>637</v>
      </c>
      <c r="B102" s="1204">
        <v>0</v>
      </c>
      <c r="C102" s="1204">
        <v>0</v>
      </c>
      <c r="D102" s="1204">
        <v>0</v>
      </c>
      <c r="E102" s="1204">
        <v>0</v>
      </c>
      <c r="F102" s="1204">
        <v>0</v>
      </c>
      <c r="G102" s="1204">
        <v>0</v>
      </c>
    </row>
    <row r="103" spans="1:7">
      <c r="A103" s="53" t="s">
        <v>638</v>
      </c>
      <c r="B103" s="1204">
        <v>0</v>
      </c>
      <c r="C103" s="1204">
        <v>0</v>
      </c>
      <c r="D103" s="1204">
        <v>1</v>
      </c>
      <c r="E103" s="1204">
        <v>0</v>
      </c>
      <c r="F103" s="1204">
        <v>0</v>
      </c>
      <c r="G103" s="53">
        <v>1</v>
      </c>
    </row>
    <row r="104" spans="1:7">
      <c r="A104" s="53" t="s">
        <v>639</v>
      </c>
      <c r="B104" s="1204">
        <v>0</v>
      </c>
      <c r="C104" s="1204">
        <v>0</v>
      </c>
      <c r="D104" s="1204">
        <v>0</v>
      </c>
      <c r="E104" s="1204">
        <v>0</v>
      </c>
      <c r="F104" s="1204">
        <v>0</v>
      </c>
      <c r="G104" s="1204">
        <v>0</v>
      </c>
    </row>
    <row r="105" spans="1:7">
      <c r="A105" s="53" t="s">
        <v>640</v>
      </c>
      <c r="B105" s="1204">
        <v>0</v>
      </c>
      <c r="C105" s="1204">
        <v>0</v>
      </c>
      <c r="D105" s="1204">
        <v>0</v>
      </c>
      <c r="E105" s="1204">
        <v>0</v>
      </c>
      <c r="F105" s="1204">
        <v>0</v>
      </c>
      <c r="G105" s="1204">
        <v>0</v>
      </c>
    </row>
    <row r="106" spans="1:7">
      <c r="A106" s="53" t="s">
        <v>641</v>
      </c>
      <c r="B106" s="1204">
        <v>0</v>
      </c>
      <c r="C106" s="1204">
        <v>0</v>
      </c>
      <c r="D106" s="1204">
        <v>0</v>
      </c>
      <c r="E106" s="1204">
        <v>0</v>
      </c>
      <c r="F106" s="1204">
        <v>0</v>
      </c>
      <c r="G106" s="1204">
        <v>0</v>
      </c>
    </row>
    <row r="107" spans="1:7">
      <c r="A107" s="53" t="s">
        <v>642</v>
      </c>
      <c r="B107" s="1204">
        <v>0</v>
      </c>
      <c r="C107" s="1204">
        <v>0</v>
      </c>
      <c r="D107" s="1204">
        <v>0</v>
      </c>
      <c r="E107" s="1204">
        <v>0</v>
      </c>
      <c r="F107" s="1204">
        <v>0</v>
      </c>
      <c r="G107" s="1204">
        <v>0</v>
      </c>
    </row>
    <row r="108" spans="1:7">
      <c r="A108" s="53" t="s">
        <v>643</v>
      </c>
      <c r="B108" s="1204">
        <v>39</v>
      </c>
      <c r="C108" s="1204">
        <v>11</v>
      </c>
      <c r="D108" s="1204">
        <v>14</v>
      </c>
      <c r="E108" s="1204">
        <v>0</v>
      </c>
      <c r="F108" s="1204">
        <v>69</v>
      </c>
      <c r="G108" s="53">
        <v>31</v>
      </c>
    </row>
    <row r="109" spans="1:7" ht="12.75">
      <c r="A109" s="53" t="s">
        <v>3817</v>
      </c>
      <c r="B109" s="1204">
        <v>0</v>
      </c>
      <c r="C109" s="1204">
        <v>0</v>
      </c>
      <c r="D109" s="1204">
        <v>0</v>
      </c>
      <c r="E109" s="1204">
        <v>0</v>
      </c>
      <c r="F109" s="1204">
        <v>0</v>
      </c>
      <c r="G109" s="1204">
        <v>0</v>
      </c>
    </row>
    <row r="110" spans="1:7">
      <c r="A110" s="53" t="s">
        <v>644</v>
      </c>
      <c r="B110" s="1204">
        <v>0</v>
      </c>
      <c r="C110" s="1204">
        <v>3</v>
      </c>
      <c r="D110" s="1204">
        <v>0</v>
      </c>
      <c r="E110" s="1204">
        <v>0</v>
      </c>
      <c r="F110" s="1204">
        <v>0</v>
      </c>
      <c r="G110" s="1204">
        <v>0</v>
      </c>
    </row>
    <row r="111" spans="1:7">
      <c r="A111" s="53" t="s">
        <v>645</v>
      </c>
      <c r="B111" s="1204">
        <v>0</v>
      </c>
      <c r="C111" s="1204">
        <v>0</v>
      </c>
      <c r="D111" s="1204">
        <v>0</v>
      </c>
      <c r="E111" s="1204">
        <v>0</v>
      </c>
      <c r="F111" s="1204">
        <v>0</v>
      </c>
      <c r="G111" s="1204">
        <v>0</v>
      </c>
    </row>
    <row r="112" spans="1:7" ht="12" customHeight="1">
      <c r="A112" s="53" t="s">
        <v>3818</v>
      </c>
      <c r="B112" s="1204">
        <v>0</v>
      </c>
      <c r="C112" s="1204">
        <v>0</v>
      </c>
      <c r="D112" s="1204">
        <v>0</v>
      </c>
      <c r="E112" s="1204">
        <v>0</v>
      </c>
      <c r="F112" s="1204">
        <v>0</v>
      </c>
      <c r="G112" s="1204">
        <v>0</v>
      </c>
    </row>
    <row r="113" spans="1:7" s="150" customFormat="1">
      <c r="A113" s="150" t="s">
        <v>21</v>
      </c>
      <c r="B113" s="1821">
        <f t="shared" ref="B113:G113" si="13">SUM(B114:B124)</f>
        <v>437</v>
      </c>
      <c r="C113" s="1821">
        <f t="shared" si="13"/>
        <v>334</v>
      </c>
      <c r="D113" s="1821">
        <f t="shared" si="13"/>
        <v>604</v>
      </c>
      <c r="E113" s="1821">
        <f t="shared" si="13"/>
        <v>486</v>
      </c>
      <c r="F113" s="1821">
        <f t="shared" si="13"/>
        <v>597</v>
      </c>
      <c r="G113" s="1821">
        <f t="shared" si="13"/>
        <v>671</v>
      </c>
    </row>
    <row r="114" spans="1:7">
      <c r="A114" s="53" t="s">
        <v>646</v>
      </c>
      <c r="B114" s="1204">
        <v>40</v>
      </c>
      <c r="C114" s="1204">
        <v>25</v>
      </c>
      <c r="D114" s="1204">
        <v>34</v>
      </c>
      <c r="E114" s="1204">
        <v>23</v>
      </c>
      <c r="F114" s="1204">
        <v>23</v>
      </c>
      <c r="G114" s="53">
        <v>30</v>
      </c>
    </row>
    <row r="115" spans="1:7">
      <c r="A115" s="53" t="s">
        <v>647</v>
      </c>
      <c r="B115" s="1204">
        <v>0</v>
      </c>
      <c r="C115" s="1204">
        <v>0</v>
      </c>
      <c r="D115" s="1204">
        <v>0</v>
      </c>
      <c r="E115" s="1204">
        <v>0</v>
      </c>
      <c r="F115" s="1204">
        <v>0</v>
      </c>
      <c r="G115" s="1204">
        <v>0</v>
      </c>
    </row>
    <row r="116" spans="1:7">
      <c r="A116" s="53" t="s">
        <v>648</v>
      </c>
      <c r="B116" s="1204">
        <v>0</v>
      </c>
      <c r="C116" s="1204">
        <v>0</v>
      </c>
      <c r="D116" s="1204">
        <v>0</v>
      </c>
      <c r="E116" s="1204">
        <v>0</v>
      </c>
      <c r="F116" s="1204">
        <v>0</v>
      </c>
      <c r="G116" s="1204">
        <v>0</v>
      </c>
    </row>
    <row r="117" spans="1:7">
      <c r="A117" s="53" t="s">
        <v>649</v>
      </c>
      <c r="B117" s="1204">
        <v>0</v>
      </c>
      <c r="C117" s="1204">
        <v>1</v>
      </c>
      <c r="D117" s="1204">
        <v>0</v>
      </c>
      <c r="E117" s="1204">
        <v>1</v>
      </c>
      <c r="F117" s="1204">
        <v>0</v>
      </c>
      <c r="G117" s="1204">
        <v>0</v>
      </c>
    </row>
    <row r="118" spans="1:7">
      <c r="A118" s="53" t="s">
        <v>650</v>
      </c>
      <c r="B118" s="1204">
        <v>21</v>
      </c>
      <c r="C118" s="1204">
        <v>12</v>
      </c>
      <c r="D118" s="1204">
        <v>30</v>
      </c>
      <c r="E118" s="1204">
        <v>31</v>
      </c>
      <c r="F118" s="1204">
        <v>18</v>
      </c>
      <c r="G118" s="53">
        <v>48</v>
      </c>
    </row>
    <row r="119" spans="1:7">
      <c r="A119" s="53" t="s">
        <v>651</v>
      </c>
      <c r="B119" s="1204">
        <v>0</v>
      </c>
      <c r="C119" s="1204">
        <v>0</v>
      </c>
      <c r="D119" s="1204">
        <v>0</v>
      </c>
      <c r="E119" s="1204">
        <v>0</v>
      </c>
      <c r="F119" s="1204">
        <v>0</v>
      </c>
      <c r="G119" s="1204">
        <v>0</v>
      </c>
    </row>
    <row r="120" spans="1:7">
      <c r="A120" s="53" t="s">
        <v>652</v>
      </c>
      <c r="B120" s="1204">
        <v>0</v>
      </c>
      <c r="C120" s="1204">
        <v>0</v>
      </c>
      <c r="D120" s="1204">
        <v>0</v>
      </c>
      <c r="E120" s="1204">
        <v>1</v>
      </c>
      <c r="F120" s="1204">
        <v>0</v>
      </c>
      <c r="G120" s="53">
        <v>5</v>
      </c>
    </row>
    <row r="121" spans="1:7">
      <c r="A121" s="53" t="s">
        <v>653</v>
      </c>
      <c r="B121" s="1204">
        <v>16</v>
      </c>
      <c r="C121" s="1204">
        <v>26</v>
      </c>
      <c r="D121" s="1204">
        <v>4</v>
      </c>
      <c r="E121" s="1204">
        <v>4</v>
      </c>
      <c r="F121" s="1204">
        <v>0</v>
      </c>
      <c r="G121" s="53">
        <v>1</v>
      </c>
    </row>
    <row r="122" spans="1:7">
      <c r="A122" s="53" t="s">
        <v>654</v>
      </c>
      <c r="B122" s="1204">
        <v>120</v>
      </c>
      <c r="C122" s="1204">
        <v>92</v>
      </c>
      <c r="D122" s="1204">
        <v>84</v>
      </c>
      <c r="E122" s="1204">
        <v>60</v>
      </c>
      <c r="F122" s="1204">
        <v>137</v>
      </c>
      <c r="G122" s="53">
        <v>44</v>
      </c>
    </row>
    <row r="123" spans="1:7">
      <c r="A123" s="53" t="s">
        <v>655</v>
      </c>
      <c r="B123" s="1204">
        <v>0</v>
      </c>
      <c r="C123" s="1204">
        <v>0</v>
      </c>
      <c r="D123" s="1204">
        <v>0</v>
      </c>
      <c r="E123" s="1204">
        <v>0</v>
      </c>
      <c r="F123" s="1204">
        <v>0</v>
      </c>
      <c r="G123" s="1204">
        <v>0</v>
      </c>
    </row>
    <row r="124" spans="1:7">
      <c r="A124" s="53" t="s">
        <v>656</v>
      </c>
      <c r="B124" s="1204">
        <v>240</v>
      </c>
      <c r="C124" s="1204">
        <v>178</v>
      </c>
      <c r="D124" s="1204">
        <v>452</v>
      </c>
      <c r="E124" s="1204">
        <v>366</v>
      </c>
      <c r="F124" s="1204">
        <v>419</v>
      </c>
      <c r="G124" s="53">
        <v>543</v>
      </c>
    </row>
    <row r="125" spans="1:7" ht="14.25" customHeight="1"/>
    <row r="126" spans="1:7">
      <c r="A126" s="53" t="s">
        <v>3819</v>
      </c>
    </row>
    <row r="127" spans="1:7">
      <c r="A127" s="46" t="s">
        <v>3820</v>
      </c>
      <c r="B127" s="46"/>
      <c r="C127" s="46"/>
      <c r="D127" s="46"/>
      <c r="E127" s="46"/>
      <c r="F127" s="46"/>
      <c r="G127" s="46"/>
    </row>
    <row r="128" spans="1:7">
      <c r="A128" s="46" t="s">
        <v>208</v>
      </c>
      <c r="B128" s="46"/>
      <c r="C128" s="46"/>
      <c r="D128" s="46"/>
      <c r="E128" s="46"/>
      <c r="F128" s="46"/>
      <c r="G128" s="46"/>
    </row>
  </sheetData>
  <mergeCells count="3">
    <mergeCell ref="A2:G2"/>
    <mergeCell ref="A4:A5"/>
    <mergeCell ref="B4:G4"/>
  </mergeCells>
  <pageMargins left="0.7" right="0.7" top="0.75" bottom="0.75" header="0.3" footer="0.3"/>
</worksheet>
</file>

<file path=xl/worksheets/sheet57.xml><?xml version="1.0" encoding="utf-8"?>
<worksheet xmlns="http://schemas.openxmlformats.org/spreadsheetml/2006/main" xmlns:r="http://schemas.openxmlformats.org/officeDocument/2006/relationships">
  <dimension ref="A1:I28"/>
  <sheetViews>
    <sheetView zoomScaleNormal="100" workbookViewId="0"/>
  </sheetViews>
  <sheetFormatPr baseColWidth="10" defaultRowHeight="12"/>
  <cols>
    <col min="1" max="1" width="23.28515625" style="149" customWidth="1"/>
    <col min="2" max="2" width="11.42578125" style="149"/>
    <col min="3" max="5" width="14.28515625" style="149" customWidth="1"/>
    <col min="6" max="16384" width="11.42578125" style="149"/>
  </cols>
  <sheetData>
    <row r="1" spans="1:5">
      <c r="A1" s="8"/>
    </row>
    <row r="2" spans="1:5" ht="50.25" customHeight="1">
      <c r="A2" s="2126" t="s">
        <v>970</v>
      </c>
      <c r="B2" s="2126"/>
      <c r="C2" s="2126"/>
      <c r="D2" s="2126"/>
      <c r="E2" s="2126"/>
    </row>
    <row r="4" spans="1:5">
      <c r="A4" s="2041" t="s">
        <v>190</v>
      </c>
      <c r="B4" s="2125" t="s">
        <v>26</v>
      </c>
      <c r="C4" s="2127" t="s">
        <v>191</v>
      </c>
      <c r="D4" s="2127"/>
      <c r="E4" s="2125" t="s">
        <v>192</v>
      </c>
    </row>
    <row r="5" spans="1:5" ht="22.5">
      <c r="A5" s="2041"/>
      <c r="B5" s="2125"/>
      <c r="C5" s="262" t="s">
        <v>193</v>
      </c>
      <c r="D5" s="262" t="s">
        <v>194</v>
      </c>
      <c r="E5" s="2125"/>
    </row>
    <row r="6" spans="1:5">
      <c r="A6" s="1835" t="s">
        <v>6</v>
      </c>
      <c r="B6" s="264">
        <f>SUM(C6:D6)</f>
        <v>14</v>
      </c>
      <c r="C6" s="264">
        <f>SUM(C7:C21)</f>
        <v>9</v>
      </c>
      <c r="D6" s="264">
        <f>SUM(D7:D21)</f>
        <v>5</v>
      </c>
      <c r="E6" s="264">
        <f>SUM(E7:E21)</f>
        <v>11</v>
      </c>
    </row>
    <row r="7" spans="1:5">
      <c r="A7" s="157" t="s">
        <v>7</v>
      </c>
      <c r="B7" s="264">
        <f t="shared" ref="B7:B21" si="0">SUM(C7:D7)</f>
        <v>0</v>
      </c>
      <c r="C7" s="265">
        <v>0</v>
      </c>
      <c r="D7" s="265">
        <v>0</v>
      </c>
      <c r="E7" s="265">
        <v>0</v>
      </c>
    </row>
    <row r="8" spans="1:5">
      <c r="A8" s="157" t="s">
        <v>8</v>
      </c>
      <c r="B8" s="264">
        <f t="shared" si="0"/>
        <v>0</v>
      </c>
      <c r="C8" s="265">
        <v>0</v>
      </c>
      <c r="D8" s="265">
        <v>0</v>
      </c>
      <c r="E8" s="265">
        <v>0</v>
      </c>
    </row>
    <row r="9" spans="1:5">
      <c r="A9" s="157" t="s">
        <v>9</v>
      </c>
      <c r="B9" s="264">
        <f t="shared" si="0"/>
        <v>1</v>
      </c>
      <c r="C9" s="265">
        <v>1</v>
      </c>
      <c r="D9" s="265">
        <v>0</v>
      </c>
      <c r="E9" s="265">
        <v>0</v>
      </c>
    </row>
    <row r="10" spans="1:5">
      <c r="A10" s="157" t="s">
        <v>10</v>
      </c>
      <c r="B10" s="264">
        <f t="shared" si="0"/>
        <v>1</v>
      </c>
      <c r="C10" s="265">
        <v>1</v>
      </c>
      <c r="D10" s="265">
        <v>0</v>
      </c>
      <c r="E10" s="265">
        <v>0</v>
      </c>
    </row>
    <row r="11" spans="1:5">
      <c r="A11" s="157" t="s">
        <v>11</v>
      </c>
      <c r="B11" s="264">
        <f t="shared" si="0"/>
        <v>0</v>
      </c>
      <c r="C11" s="265">
        <v>0</v>
      </c>
      <c r="D11" s="265">
        <v>0</v>
      </c>
      <c r="E11" s="265">
        <v>0</v>
      </c>
    </row>
    <row r="12" spans="1:5">
      <c r="A12" s="157" t="s">
        <v>12</v>
      </c>
      <c r="B12" s="264">
        <f t="shared" si="0"/>
        <v>1</v>
      </c>
      <c r="C12" s="265">
        <v>0</v>
      </c>
      <c r="D12" s="265">
        <v>1</v>
      </c>
      <c r="E12" s="265">
        <v>2</v>
      </c>
    </row>
    <row r="13" spans="1:5">
      <c r="A13" s="157" t="s">
        <v>13</v>
      </c>
      <c r="B13" s="264">
        <f t="shared" si="0"/>
        <v>8</v>
      </c>
      <c r="C13" s="265">
        <v>4</v>
      </c>
      <c r="D13" s="265">
        <v>4</v>
      </c>
      <c r="E13" s="265">
        <v>9</v>
      </c>
    </row>
    <row r="14" spans="1:5">
      <c r="A14" s="157" t="s">
        <v>14</v>
      </c>
      <c r="B14" s="264">
        <f t="shared" si="0"/>
        <v>0</v>
      </c>
      <c r="C14" s="265">
        <v>0</v>
      </c>
      <c r="D14" s="265">
        <v>0</v>
      </c>
      <c r="E14" s="265">
        <v>0</v>
      </c>
    </row>
    <row r="15" spans="1:5">
      <c r="A15" s="157" t="s">
        <v>15</v>
      </c>
      <c r="B15" s="264">
        <f t="shared" si="0"/>
        <v>0</v>
      </c>
      <c r="C15" s="265">
        <v>0</v>
      </c>
      <c r="D15" s="265">
        <v>0</v>
      </c>
      <c r="E15" s="265">
        <v>0</v>
      </c>
    </row>
    <row r="16" spans="1:5">
      <c r="A16" s="157" t="s">
        <v>16</v>
      </c>
      <c r="B16" s="264">
        <f t="shared" si="0"/>
        <v>0</v>
      </c>
      <c r="C16" s="265">
        <v>0</v>
      </c>
      <c r="D16" s="265">
        <v>0</v>
      </c>
      <c r="E16" s="265">
        <v>0</v>
      </c>
    </row>
    <row r="17" spans="1:9">
      <c r="A17" s="157" t="s">
        <v>17</v>
      </c>
      <c r="B17" s="264">
        <f t="shared" si="0"/>
        <v>1</v>
      </c>
      <c r="C17" s="265">
        <v>1</v>
      </c>
      <c r="D17" s="265">
        <v>0</v>
      </c>
      <c r="E17" s="265">
        <v>0</v>
      </c>
    </row>
    <row r="18" spans="1:9">
      <c r="A18" s="157" t="s">
        <v>18</v>
      </c>
      <c r="B18" s="264">
        <f t="shared" si="0"/>
        <v>0</v>
      </c>
      <c r="C18" s="1836"/>
      <c r="D18" s="1836"/>
      <c r="E18" s="1836"/>
    </row>
    <row r="19" spans="1:9">
      <c r="A19" s="157" t="s">
        <v>19</v>
      </c>
      <c r="B19" s="264">
        <f t="shared" si="0"/>
        <v>1</v>
      </c>
      <c r="C19" s="265">
        <v>1</v>
      </c>
      <c r="D19" s="265">
        <v>0</v>
      </c>
      <c r="E19" s="265">
        <v>0</v>
      </c>
    </row>
    <row r="20" spans="1:9">
      <c r="A20" s="157" t="s">
        <v>20</v>
      </c>
      <c r="B20" s="264">
        <f t="shared" si="0"/>
        <v>1</v>
      </c>
      <c r="C20" s="265">
        <v>1</v>
      </c>
      <c r="D20" s="265">
        <v>0</v>
      </c>
      <c r="E20" s="265">
        <v>0</v>
      </c>
    </row>
    <row r="21" spans="1:9">
      <c r="A21" s="157" t="s">
        <v>21</v>
      </c>
      <c r="B21" s="264">
        <f t="shared" si="0"/>
        <v>0</v>
      </c>
      <c r="C21" s="265">
        <v>0</v>
      </c>
      <c r="D21" s="265">
        <v>0</v>
      </c>
      <c r="E21" s="265">
        <v>0</v>
      </c>
    </row>
    <row r="22" spans="1:9">
      <c r="A22" s="157"/>
      <c r="B22" s="157"/>
      <c r="C22" s="157"/>
      <c r="D22" s="157"/>
      <c r="E22" s="157"/>
    </row>
    <row r="23" spans="1:9">
      <c r="A23" s="157" t="s">
        <v>22</v>
      </c>
      <c r="B23" s="157"/>
      <c r="C23" s="157"/>
      <c r="D23" s="157"/>
      <c r="E23" s="157"/>
      <c r="F23" s="157"/>
      <c r="G23" s="157"/>
      <c r="H23" s="157"/>
      <c r="I23" s="157"/>
    </row>
    <row r="24" spans="1:9">
      <c r="A24" s="1300" t="s">
        <v>195</v>
      </c>
      <c r="B24" s="1300"/>
      <c r="C24" s="1300"/>
      <c r="D24" s="1300"/>
      <c r="E24" s="1300"/>
      <c r="F24" s="1300"/>
      <c r="G24" s="1300"/>
      <c r="H24" s="1300"/>
      <c r="I24" s="1300"/>
    </row>
    <row r="25" spans="1:9">
      <c r="A25" s="1837"/>
      <c r="B25" s="1837"/>
      <c r="C25" s="1837"/>
      <c r="D25" s="1837"/>
      <c r="E25" s="1837"/>
    </row>
    <row r="26" spans="1:9" ht="12.75" customHeight="1">
      <c r="B26" s="1307"/>
      <c r="C26" s="1307"/>
      <c r="D26" s="1307"/>
      <c r="E26" s="1307"/>
      <c r="F26" s="1307"/>
      <c r="G26" s="1307"/>
      <c r="H26" s="1307"/>
      <c r="I26" s="1307"/>
    </row>
    <row r="27" spans="1:9" ht="12.75" customHeight="1">
      <c r="B27" s="1307"/>
      <c r="C27" s="1307"/>
      <c r="D27" s="1307"/>
      <c r="E27" s="1307"/>
      <c r="F27" s="1307"/>
      <c r="G27" s="1307"/>
      <c r="H27" s="1307"/>
      <c r="I27" s="1307"/>
    </row>
    <row r="28" spans="1:9">
      <c r="B28" s="1307"/>
      <c r="C28" s="1307"/>
      <c r="D28" s="1838"/>
      <c r="E28" s="1838"/>
      <c r="F28" s="1838"/>
      <c r="G28" s="1838"/>
      <c r="H28" s="1838"/>
      <c r="I28" s="1838"/>
    </row>
  </sheetData>
  <mergeCells count="5">
    <mergeCell ref="A4:A5"/>
    <mergeCell ref="B4:B5"/>
    <mergeCell ref="A2:E2"/>
    <mergeCell ref="C4:D4"/>
    <mergeCell ref="E4:E5"/>
  </mergeCells>
  <pageMargins left="0.7" right="0.7" top="0.75" bottom="0.75" header="0.3" footer="0.3"/>
</worksheet>
</file>

<file path=xl/worksheets/sheet58.xml><?xml version="1.0" encoding="utf-8"?>
<worksheet xmlns="http://schemas.openxmlformats.org/spreadsheetml/2006/main" xmlns:r="http://schemas.openxmlformats.org/officeDocument/2006/relationships">
  <dimension ref="A1:J25"/>
  <sheetViews>
    <sheetView zoomScaleNormal="100" workbookViewId="0"/>
  </sheetViews>
  <sheetFormatPr baseColWidth="10" defaultRowHeight="11.25"/>
  <cols>
    <col min="1" max="1" width="22.7109375" style="117" customWidth="1"/>
    <col min="2" max="2" width="13.85546875" style="117" customWidth="1"/>
    <col min="3" max="3" width="14.42578125" style="117" bestFit="1" customWidth="1"/>
    <col min="4" max="4" width="9.5703125" style="117" bestFit="1" customWidth="1"/>
    <col min="5" max="5" width="8" style="117" bestFit="1" customWidth="1"/>
    <col min="6" max="6" width="10" style="117" bestFit="1" customWidth="1"/>
    <col min="7" max="7" width="14" style="117" bestFit="1" customWidth="1"/>
    <col min="8" max="8" width="9.5703125" style="117" bestFit="1" customWidth="1"/>
    <col min="9" max="9" width="8" style="117" bestFit="1" customWidth="1"/>
    <col min="10" max="10" width="10" style="117" bestFit="1" customWidth="1"/>
    <col min="11" max="16384" width="11.42578125" style="117"/>
  </cols>
  <sheetData>
    <row r="1" spans="1:10">
      <c r="A1" s="134"/>
    </row>
    <row r="2" spans="1:10" ht="25.5" customHeight="1">
      <c r="A2" s="2033" t="s">
        <v>971</v>
      </c>
      <c r="B2" s="2033"/>
      <c r="C2" s="2033"/>
      <c r="D2" s="2033"/>
      <c r="E2" s="2033"/>
      <c r="F2" s="2033"/>
      <c r="G2" s="2033"/>
      <c r="H2" s="2033"/>
      <c r="I2" s="2033"/>
      <c r="J2" s="2033"/>
    </row>
    <row r="4" spans="1:10" ht="12.75" customHeight="1">
      <c r="A4" s="2041" t="s">
        <v>0</v>
      </c>
      <c r="B4" s="2041" t="s">
        <v>196</v>
      </c>
      <c r="C4" s="2041" t="s">
        <v>192</v>
      </c>
      <c r="D4" s="2041"/>
      <c r="E4" s="2041"/>
      <c r="F4" s="2041"/>
      <c r="G4" s="2041"/>
      <c r="H4" s="2041"/>
      <c r="I4" s="2041"/>
      <c r="J4" s="2041"/>
    </row>
    <row r="5" spans="1:10" ht="12.75" customHeight="1">
      <c r="A5" s="2041"/>
      <c r="B5" s="2041"/>
      <c r="C5" s="2041" t="s">
        <v>197</v>
      </c>
      <c r="D5" s="2041" t="s">
        <v>163</v>
      </c>
      <c r="E5" s="2041"/>
      <c r="F5" s="2041"/>
      <c r="G5" s="2041" t="s">
        <v>198</v>
      </c>
      <c r="H5" s="2041" t="s">
        <v>164</v>
      </c>
      <c r="I5" s="2041"/>
      <c r="J5" s="2041"/>
    </row>
    <row r="6" spans="1:10" ht="22.5" customHeight="1">
      <c r="A6" s="2041"/>
      <c r="B6" s="2041"/>
      <c r="C6" s="2041"/>
      <c r="D6" s="1806" t="s">
        <v>199</v>
      </c>
      <c r="E6" s="1806" t="s">
        <v>200</v>
      </c>
      <c r="F6" s="1806" t="s">
        <v>201</v>
      </c>
      <c r="G6" s="2041"/>
      <c r="H6" s="1806" t="s">
        <v>199</v>
      </c>
      <c r="I6" s="1806" t="s">
        <v>200</v>
      </c>
      <c r="J6" s="1806" t="s">
        <v>201</v>
      </c>
    </row>
    <row r="7" spans="1:10" s="115" customFormat="1">
      <c r="A7" s="115" t="s">
        <v>6</v>
      </c>
      <c r="B7" s="1314">
        <f t="shared" ref="B7:G7" si="0">SUM(B8:B22)</f>
        <v>11</v>
      </c>
      <c r="C7" s="1314">
        <f t="shared" si="0"/>
        <v>10</v>
      </c>
      <c r="D7" s="1314">
        <f>SUM(D8:D22)</f>
        <v>3</v>
      </c>
      <c r="E7" s="1314">
        <f>SUM(E8:E22)</f>
        <v>6</v>
      </c>
      <c r="F7" s="1314">
        <f>SUM(F8:F22)</f>
        <v>1</v>
      </c>
      <c r="G7" s="1314">
        <f t="shared" si="0"/>
        <v>1</v>
      </c>
      <c r="H7" s="1314">
        <f>SUM(H8:H22)</f>
        <v>0</v>
      </c>
      <c r="I7" s="1314">
        <f>SUM(I8:I22)</f>
        <v>1</v>
      </c>
      <c r="J7" s="1314">
        <f>SUM(J8:J22)</f>
        <v>0</v>
      </c>
    </row>
    <row r="8" spans="1:10">
      <c r="A8" s="117" t="s">
        <v>7</v>
      </c>
      <c r="B8" s="1316">
        <f>+C8+G8</f>
        <v>0</v>
      </c>
      <c r="C8" s="1316">
        <f>SUM(D8:F8)</f>
        <v>0</v>
      </c>
      <c r="D8" s="264">
        <v>0</v>
      </c>
      <c r="E8" s="264">
        <v>0</v>
      </c>
      <c r="F8" s="264">
        <v>0</v>
      </c>
      <c r="G8" s="1316">
        <f>SUM(H8:J8)</f>
        <v>0</v>
      </c>
      <c r="H8" s="264">
        <v>0</v>
      </c>
      <c r="I8" s="264">
        <v>0</v>
      </c>
      <c r="J8" s="264">
        <v>0</v>
      </c>
    </row>
    <row r="9" spans="1:10">
      <c r="A9" s="117" t="s">
        <v>8</v>
      </c>
      <c r="B9" s="1316">
        <f t="shared" ref="B9:B22" si="1">+C9+G9</f>
        <v>0</v>
      </c>
      <c r="C9" s="1316">
        <f t="shared" ref="C9:C22" si="2">SUM(D9:F9)</f>
        <v>0</v>
      </c>
      <c r="D9" s="264">
        <v>0</v>
      </c>
      <c r="E9" s="264">
        <v>0</v>
      </c>
      <c r="F9" s="264">
        <v>0</v>
      </c>
      <c r="G9" s="1316">
        <f t="shared" ref="G9:G22" si="3">SUM(H9:J9)</f>
        <v>0</v>
      </c>
      <c r="H9" s="264">
        <v>0</v>
      </c>
      <c r="I9" s="264">
        <v>0</v>
      </c>
      <c r="J9" s="264">
        <v>0</v>
      </c>
    </row>
    <row r="10" spans="1:10">
      <c r="A10" s="117" t="s">
        <v>9</v>
      </c>
      <c r="B10" s="1316">
        <f t="shared" si="1"/>
        <v>0</v>
      </c>
      <c r="C10" s="1316">
        <f t="shared" si="2"/>
        <v>0</v>
      </c>
      <c r="D10" s="264">
        <v>0</v>
      </c>
      <c r="E10" s="264">
        <v>0</v>
      </c>
      <c r="F10" s="264">
        <v>0</v>
      </c>
      <c r="G10" s="1316">
        <f t="shared" si="3"/>
        <v>0</v>
      </c>
      <c r="H10" s="264">
        <v>0</v>
      </c>
      <c r="I10" s="264">
        <v>0</v>
      </c>
      <c r="J10" s="264">
        <v>0</v>
      </c>
    </row>
    <row r="11" spans="1:10">
      <c r="A11" s="117" t="s">
        <v>10</v>
      </c>
      <c r="B11" s="1316">
        <f t="shared" si="1"/>
        <v>0</v>
      </c>
      <c r="C11" s="1316">
        <f t="shared" si="2"/>
        <v>0</v>
      </c>
      <c r="D11" s="264">
        <v>0</v>
      </c>
      <c r="E11" s="264">
        <v>0</v>
      </c>
      <c r="F11" s="264">
        <v>0</v>
      </c>
      <c r="G11" s="1316">
        <f t="shared" si="3"/>
        <v>0</v>
      </c>
      <c r="H11" s="264">
        <v>0</v>
      </c>
      <c r="I11" s="264">
        <v>0</v>
      </c>
      <c r="J11" s="264">
        <v>0</v>
      </c>
    </row>
    <row r="12" spans="1:10">
      <c r="A12" s="117" t="s">
        <v>11</v>
      </c>
      <c r="B12" s="1316">
        <f t="shared" si="1"/>
        <v>0</v>
      </c>
      <c r="C12" s="1316">
        <f t="shared" si="2"/>
        <v>0</v>
      </c>
      <c r="D12" s="264">
        <v>0</v>
      </c>
      <c r="E12" s="264">
        <v>0</v>
      </c>
      <c r="F12" s="264">
        <v>0</v>
      </c>
      <c r="G12" s="1316">
        <f t="shared" si="3"/>
        <v>0</v>
      </c>
      <c r="H12" s="264">
        <v>0</v>
      </c>
      <c r="I12" s="264">
        <v>0</v>
      </c>
      <c r="J12" s="264">
        <v>0</v>
      </c>
    </row>
    <row r="13" spans="1:10">
      <c r="A13" s="117" t="s">
        <v>12</v>
      </c>
      <c r="B13" s="1316">
        <f t="shared" si="1"/>
        <v>2</v>
      </c>
      <c r="C13" s="1316">
        <f t="shared" si="2"/>
        <v>1</v>
      </c>
      <c r="D13" s="264">
        <v>0</v>
      </c>
      <c r="E13" s="264">
        <v>1</v>
      </c>
      <c r="F13" s="264">
        <v>0</v>
      </c>
      <c r="G13" s="1316">
        <f t="shared" si="3"/>
        <v>1</v>
      </c>
      <c r="H13" s="264">
        <v>0</v>
      </c>
      <c r="I13" s="264">
        <v>1</v>
      </c>
      <c r="J13" s="1316">
        <v>0</v>
      </c>
    </row>
    <row r="14" spans="1:10">
      <c r="A14" s="117" t="s">
        <v>13</v>
      </c>
      <c r="B14" s="1316">
        <f t="shared" si="1"/>
        <v>9</v>
      </c>
      <c r="C14" s="1316">
        <f t="shared" si="2"/>
        <v>9</v>
      </c>
      <c r="D14" s="264">
        <v>3</v>
      </c>
      <c r="E14" s="264">
        <v>5</v>
      </c>
      <c r="F14" s="264">
        <v>1</v>
      </c>
      <c r="G14" s="1316">
        <f t="shared" si="3"/>
        <v>0</v>
      </c>
      <c r="H14" s="264">
        <v>0</v>
      </c>
      <c r="I14" s="264">
        <v>0</v>
      </c>
      <c r="J14" s="1316">
        <v>0</v>
      </c>
    </row>
    <row r="15" spans="1:10">
      <c r="A15" s="117" t="s">
        <v>14</v>
      </c>
      <c r="B15" s="1316">
        <f t="shared" si="1"/>
        <v>0</v>
      </c>
      <c r="C15" s="1316">
        <f t="shared" si="2"/>
        <v>0</v>
      </c>
      <c r="D15" s="264">
        <v>0</v>
      </c>
      <c r="E15" s="264">
        <v>0</v>
      </c>
      <c r="F15" s="264">
        <v>0</v>
      </c>
      <c r="G15" s="1316">
        <f t="shared" si="3"/>
        <v>0</v>
      </c>
      <c r="H15" s="264">
        <v>0</v>
      </c>
      <c r="I15" s="264">
        <v>0</v>
      </c>
      <c r="J15" s="1316">
        <v>0</v>
      </c>
    </row>
    <row r="16" spans="1:10">
      <c r="A16" s="117" t="s">
        <v>15</v>
      </c>
      <c r="B16" s="1316">
        <f t="shared" si="1"/>
        <v>0</v>
      </c>
      <c r="C16" s="1316">
        <f t="shared" si="2"/>
        <v>0</v>
      </c>
      <c r="D16" s="264">
        <v>0</v>
      </c>
      <c r="E16" s="264">
        <v>0</v>
      </c>
      <c r="F16" s="264">
        <v>0</v>
      </c>
      <c r="G16" s="1316">
        <f t="shared" si="3"/>
        <v>0</v>
      </c>
      <c r="H16" s="264">
        <v>0</v>
      </c>
      <c r="I16" s="264">
        <v>0</v>
      </c>
      <c r="J16" s="1316">
        <v>0</v>
      </c>
    </row>
    <row r="17" spans="1:10">
      <c r="A17" s="117" t="s">
        <v>16</v>
      </c>
      <c r="B17" s="1316">
        <f t="shared" si="1"/>
        <v>0</v>
      </c>
      <c r="C17" s="1316">
        <f t="shared" si="2"/>
        <v>0</v>
      </c>
      <c r="D17" s="264">
        <v>0</v>
      </c>
      <c r="E17" s="264">
        <v>0</v>
      </c>
      <c r="F17" s="264">
        <v>0</v>
      </c>
      <c r="G17" s="1316">
        <f t="shared" si="3"/>
        <v>0</v>
      </c>
      <c r="H17" s="264">
        <v>0</v>
      </c>
      <c r="I17" s="264">
        <v>0</v>
      </c>
      <c r="J17" s="1316">
        <v>0</v>
      </c>
    </row>
    <row r="18" spans="1:10">
      <c r="A18" s="117" t="s">
        <v>17</v>
      </c>
      <c r="B18" s="1316">
        <f t="shared" si="1"/>
        <v>0</v>
      </c>
      <c r="C18" s="1316">
        <f t="shared" si="2"/>
        <v>0</v>
      </c>
      <c r="D18" s="264">
        <v>0</v>
      </c>
      <c r="E18" s="264">
        <v>0</v>
      </c>
      <c r="F18" s="264">
        <v>0</v>
      </c>
      <c r="G18" s="1316">
        <f t="shared" si="3"/>
        <v>0</v>
      </c>
      <c r="H18" s="264">
        <v>0</v>
      </c>
      <c r="I18" s="264">
        <v>0</v>
      </c>
      <c r="J18" s="1316">
        <v>0</v>
      </c>
    </row>
    <row r="19" spans="1:10">
      <c r="A19" s="117" t="s">
        <v>18</v>
      </c>
      <c r="B19" s="1316">
        <f t="shared" si="1"/>
        <v>0</v>
      </c>
      <c r="C19" s="1316">
        <f t="shared" si="2"/>
        <v>0</v>
      </c>
      <c r="D19" s="264">
        <v>0</v>
      </c>
      <c r="E19" s="264">
        <v>0</v>
      </c>
      <c r="F19" s="264">
        <v>0</v>
      </c>
      <c r="G19" s="1316">
        <f t="shared" si="3"/>
        <v>0</v>
      </c>
      <c r="H19" s="264">
        <v>0</v>
      </c>
      <c r="I19" s="264">
        <v>0</v>
      </c>
      <c r="J19" s="1316">
        <v>0</v>
      </c>
    </row>
    <row r="20" spans="1:10">
      <c r="A20" s="117" t="s">
        <v>19</v>
      </c>
      <c r="B20" s="1316">
        <f t="shared" si="1"/>
        <v>0</v>
      </c>
      <c r="C20" s="1316">
        <f t="shared" si="2"/>
        <v>0</v>
      </c>
      <c r="D20" s="264">
        <v>0</v>
      </c>
      <c r="E20" s="264">
        <v>0</v>
      </c>
      <c r="F20" s="264">
        <v>0</v>
      </c>
      <c r="G20" s="1316">
        <f t="shared" si="3"/>
        <v>0</v>
      </c>
      <c r="H20" s="264">
        <v>0</v>
      </c>
      <c r="I20" s="264">
        <v>0</v>
      </c>
      <c r="J20" s="1316">
        <v>0</v>
      </c>
    </row>
    <row r="21" spans="1:10">
      <c r="A21" s="117" t="s">
        <v>20</v>
      </c>
      <c r="B21" s="1316">
        <f t="shared" si="1"/>
        <v>0</v>
      </c>
      <c r="C21" s="1316">
        <f t="shared" si="2"/>
        <v>0</v>
      </c>
      <c r="D21" s="264">
        <v>0</v>
      </c>
      <c r="E21" s="264">
        <v>0</v>
      </c>
      <c r="F21" s="264">
        <v>0</v>
      </c>
      <c r="G21" s="1316">
        <f t="shared" si="3"/>
        <v>0</v>
      </c>
      <c r="H21" s="264">
        <v>0</v>
      </c>
      <c r="I21" s="264">
        <v>0</v>
      </c>
      <c r="J21" s="1316">
        <v>0</v>
      </c>
    </row>
    <row r="22" spans="1:10">
      <c r="A22" s="117" t="s">
        <v>21</v>
      </c>
      <c r="B22" s="1316">
        <f t="shared" si="1"/>
        <v>0</v>
      </c>
      <c r="C22" s="1316">
        <f t="shared" si="2"/>
        <v>0</v>
      </c>
      <c r="D22" s="264">
        <v>0</v>
      </c>
      <c r="E22" s="264">
        <v>0</v>
      </c>
      <c r="F22" s="264">
        <v>0</v>
      </c>
      <c r="G22" s="1316">
        <f t="shared" si="3"/>
        <v>0</v>
      </c>
      <c r="H22" s="264">
        <v>0</v>
      </c>
      <c r="I22" s="264">
        <v>0</v>
      </c>
      <c r="J22" s="1316">
        <v>0</v>
      </c>
    </row>
    <row r="23" spans="1:10" ht="6.75" customHeight="1"/>
    <row r="24" spans="1:10">
      <c r="A24" s="117" t="s">
        <v>22</v>
      </c>
    </row>
    <row r="25" spans="1:10">
      <c r="A25" s="2027" t="s">
        <v>195</v>
      </c>
      <c r="B25" s="2027"/>
      <c r="C25" s="2027"/>
      <c r="D25" s="2027"/>
      <c r="E25" s="2027"/>
      <c r="F25" s="2027"/>
      <c r="G25" s="2027"/>
      <c r="H25" s="2027"/>
      <c r="I25" s="2027"/>
      <c r="J25" s="2027"/>
    </row>
  </sheetData>
  <mergeCells count="9">
    <mergeCell ref="A25:J25"/>
    <mergeCell ref="A2:J2"/>
    <mergeCell ref="A4:A6"/>
    <mergeCell ref="B4:B6"/>
    <mergeCell ref="C4:J4"/>
    <mergeCell ref="C5:C6"/>
    <mergeCell ref="D5:F5"/>
    <mergeCell ref="G5:G6"/>
    <mergeCell ref="H5:J5"/>
  </mergeCells>
  <pageMargins left="0.7" right="0.7" top="0.75" bottom="0.75" header="0.3" footer="0.3"/>
</worksheet>
</file>

<file path=xl/worksheets/sheet59.xml><?xml version="1.0" encoding="utf-8"?>
<worksheet xmlns="http://schemas.openxmlformats.org/spreadsheetml/2006/main" xmlns:r="http://schemas.openxmlformats.org/officeDocument/2006/relationships">
  <dimension ref="A1:E25"/>
  <sheetViews>
    <sheetView zoomScaleNormal="100" workbookViewId="0"/>
  </sheetViews>
  <sheetFormatPr baseColWidth="10" defaultRowHeight="11.25"/>
  <cols>
    <col min="1" max="1" width="20.7109375" style="53" customWidth="1"/>
    <col min="2" max="2" width="15.28515625" style="53" customWidth="1"/>
    <col min="3" max="3" width="21.7109375" style="53" customWidth="1"/>
    <col min="4" max="4" width="21.85546875" style="53" customWidth="1"/>
    <col min="5" max="5" width="25.42578125" style="53" customWidth="1"/>
    <col min="6" max="16384" width="11.42578125" style="53"/>
  </cols>
  <sheetData>
    <row r="1" spans="1:5">
      <c r="A1" s="61"/>
    </row>
    <row r="2" spans="1:5" ht="27.75" customHeight="1">
      <c r="A2" s="2033" t="s">
        <v>972</v>
      </c>
      <c r="B2" s="2033"/>
      <c r="C2" s="2033"/>
      <c r="D2" s="2033"/>
      <c r="E2" s="2033"/>
    </row>
    <row r="3" spans="1:5">
      <c r="A3" s="117"/>
      <c r="B3" s="117"/>
      <c r="C3" s="117"/>
      <c r="D3" s="117"/>
      <c r="E3" s="117"/>
    </row>
    <row r="4" spans="1:5" ht="10.5" customHeight="1">
      <c r="A4" s="2041" t="s">
        <v>0</v>
      </c>
      <c r="B4" s="2041" t="s">
        <v>27</v>
      </c>
      <c r="C4" s="2041" t="s">
        <v>28</v>
      </c>
      <c r="D4" s="2041" t="s">
        <v>29</v>
      </c>
      <c r="E4" s="2041"/>
    </row>
    <row r="5" spans="1:5" ht="22.5">
      <c r="A5" s="2041"/>
      <c r="B5" s="2041"/>
      <c r="C5" s="2041"/>
      <c r="D5" s="1806" t="s">
        <v>30</v>
      </c>
      <c r="E5" s="1806" t="s">
        <v>31</v>
      </c>
    </row>
    <row r="6" spans="1:5">
      <c r="A6" s="115" t="s">
        <v>6</v>
      </c>
      <c r="B6" s="1314">
        <f>SUM(B7:B21)</f>
        <v>32</v>
      </c>
      <c r="C6" s="1314">
        <f>SUM(C7:C21)</f>
        <v>25</v>
      </c>
      <c r="D6" s="1314">
        <f>SUM(D7:D21)</f>
        <v>9</v>
      </c>
      <c r="E6" s="1314">
        <f>SUM(E7:E21)</f>
        <v>213</v>
      </c>
    </row>
    <row r="7" spans="1:5">
      <c r="A7" s="117" t="s">
        <v>7</v>
      </c>
      <c r="B7" s="1316">
        <v>1</v>
      </c>
      <c r="C7" s="1316">
        <v>3</v>
      </c>
      <c r="D7" s="1316">
        <v>1</v>
      </c>
      <c r="E7" s="1316">
        <v>2</v>
      </c>
    </row>
    <row r="8" spans="1:5">
      <c r="A8" s="117" t="s">
        <v>8</v>
      </c>
      <c r="B8" s="1316">
        <v>2</v>
      </c>
      <c r="C8" s="1316">
        <v>6</v>
      </c>
      <c r="D8" s="1316">
        <v>0</v>
      </c>
      <c r="E8" s="1316">
        <v>0</v>
      </c>
    </row>
    <row r="9" spans="1:5">
      <c r="A9" s="117" t="s">
        <v>9</v>
      </c>
      <c r="B9" s="1316">
        <v>4</v>
      </c>
      <c r="C9" s="1316">
        <v>0</v>
      </c>
      <c r="D9" s="1316">
        <v>0</v>
      </c>
      <c r="E9" s="1316">
        <v>0</v>
      </c>
    </row>
    <row r="10" spans="1:5">
      <c r="A10" s="117" t="s">
        <v>10</v>
      </c>
      <c r="B10" s="1316">
        <v>0</v>
      </c>
      <c r="C10" s="1316">
        <v>1</v>
      </c>
      <c r="D10" s="1316">
        <v>2</v>
      </c>
      <c r="E10" s="1316">
        <v>140</v>
      </c>
    </row>
    <row r="11" spans="1:5">
      <c r="A11" s="117" t="s">
        <v>11</v>
      </c>
      <c r="B11" s="1316">
        <v>0</v>
      </c>
      <c r="C11" s="1316">
        <v>0</v>
      </c>
      <c r="D11" s="1316">
        <v>0</v>
      </c>
      <c r="E11" s="1316">
        <v>0</v>
      </c>
    </row>
    <row r="12" spans="1:5">
      <c r="A12" s="117" t="s">
        <v>12</v>
      </c>
      <c r="B12" s="1316">
        <v>2</v>
      </c>
      <c r="C12" s="1316">
        <v>3</v>
      </c>
      <c r="D12" s="1316">
        <v>0</v>
      </c>
      <c r="E12" s="1316">
        <v>0</v>
      </c>
    </row>
    <row r="13" spans="1:5">
      <c r="A13" s="117" t="s">
        <v>13</v>
      </c>
      <c r="B13" s="1316">
        <v>18</v>
      </c>
      <c r="C13" s="1316">
        <v>1</v>
      </c>
      <c r="D13" s="1316">
        <v>0</v>
      </c>
      <c r="E13" s="1316">
        <v>0</v>
      </c>
    </row>
    <row r="14" spans="1:5">
      <c r="A14" s="117" t="s">
        <v>14</v>
      </c>
      <c r="B14" s="1316">
        <v>0</v>
      </c>
      <c r="C14" s="1316">
        <v>0</v>
      </c>
      <c r="D14" s="1316">
        <v>0</v>
      </c>
      <c r="E14" s="1316">
        <v>0</v>
      </c>
    </row>
    <row r="15" spans="1:5">
      <c r="A15" s="117" t="s">
        <v>15</v>
      </c>
      <c r="B15" s="1316">
        <v>0</v>
      </c>
      <c r="C15" s="1316">
        <v>0</v>
      </c>
      <c r="D15" s="1316">
        <v>0</v>
      </c>
      <c r="E15" s="1316">
        <v>0</v>
      </c>
    </row>
    <row r="16" spans="1:5">
      <c r="A16" s="117" t="s">
        <v>16</v>
      </c>
      <c r="B16" s="1316">
        <v>1</v>
      </c>
      <c r="C16" s="1316">
        <v>0</v>
      </c>
      <c r="D16" s="1316">
        <v>1</v>
      </c>
      <c r="E16" s="1316">
        <v>6</v>
      </c>
    </row>
    <row r="17" spans="1:5">
      <c r="A17" s="117" t="s">
        <v>17</v>
      </c>
      <c r="B17" s="1316">
        <v>0</v>
      </c>
      <c r="C17" s="1316">
        <v>6</v>
      </c>
      <c r="D17" s="1316">
        <v>2</v>
      </c>
      <c r="E17" s="1316">
        <v>5</v>
      </c>
    </row>
    <row r="18" spans="1:5">
      <c r="A18" s="117" t="s">
        <v>18</v>
      </c>
      <c r="B18" s="1316">
        <v>1</v>
      </c>
      <c r="C18" s="1316">
        <v>5</v>
      </c>
      <c r="D18" s="1316">
        <v>3</v>
      </c>
      <c r="E18" s="1316">
        <v>60</v>
      </c>
    </row>
    <row r="19" spans="1:5">
      <c r="A19" s="117" t="s">
        <v>19</v>
      </c>
      <c r="B19" s="1316">
        <v>2</v>
      </c>
      <c r="C19" s="1316">
        <v>0</v>
      </c>
      <c r="D19" s="1316">
        <v>0</v>
      </c>
      <c r="E19" s="1316">
        <v>0</v>
      </c>
    </row>
    <row r="20" spans="1:5">
      <c r="A20" s="117" t="s">
        <v>20</v>
      </c>
      <c r="B20" s="1316">
        <v>1</v>
      </c>
      <c r="C20" s="1316">
        <v>0</v>
      </c>
      <c r="D20" s="1316">
        <v>0</v>
      </c>
      <c r="E20" s="1316">
        <v>0</v>
      </c>
    </row>
    <row r="21" spans="1:5">
      <c r="A21" s="117" t="s">
        <v>21</v>
      </c>
      <c r="B21" s="1316">
        <v>0</v>
      </c>
      <c r="C21" s="1316">
        <v>0</v>
      </c>
      <c r="D21" s="1316">
        <v>0</v>
      </c>
      <c r="E21" s="1316">
        <v>0</v>
      </c>
    </row>
    <row r="24" spans="1:5">
      <c r="A24" s="53" t="s">
        <v>22</v>
      </c>
    </row>
    <row r="25" spans="1:5" ht="25.5" customHeight="1">
      <c r="A25" s="2106" t="s">
        <v>933</v>
      </c>
      <c r="B25" s="2106"/>
      <c r="C25" s="2106"/>
      <c r="D25" s="2106"/>
      <c r="E25" s="2106"/>
    </row>
  </sheetData>
  <mergeCells count="6">
    <mergeCell ref="A25:E25"/>
    <mergeCell ref="A2:E2"/>
    <mergeCell ref="A4:A5"/>
    <mergeCell ref="B4:B5"/>
    <mergeCell ref="C4:C5"/>
    <mergeCell ref="D4:E4"/>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2:G8"/>
  <sheetViews>
    <sheetView zoomScaleNormal="100" workbookViewId="0"/>
  </sheetViews>
  <sheetFormatPr baseColWidth="10" defaultColWidth="11.42578125" defaultRowHeight="11.25"/>
  <cols>
    <col min="1" max="1" width="19.42578125" style="117" customWidth="1"/>
    <col min="2" max="16384" width="11.42578125" style="117"/>
  </cols>
  <sheetData>
    <row r="2" spans="1:7" s="152" customFormat="1" ht="32.25" customHeight="1">
      <c r="A2" s="2028" t="s">
        <v>937</v>
      </c>
      <c r="B2" s="2028"/>
      <c r="C2" s="2028"/>
      <c r="D2" s="2028"/>
      <c r="E2" s="2028"/>
      <c r="F2" s="2028"/>
      <c r="G2" s="2028"/>
    </row>
    <row r="4" spans="1:7">
      <c r="A4" s="2026" t="s">
        <v>735</v>
      </c>
      <c r="B4" s="2031" t="s">
        <v>671</v>
      </c>
      <c r="C4" s="2032"/>
      <c r="D4" s="2032"/>
      <c r="E4" s="2032"/>
      <c r="F4" s="2032"/>
      <c r="G4" s="2032"/>
    </row>
    <row r="5" spans="1:7">
      <c r="A5" s="2026"/>
      <c r="B5" s="154">
        <v>2009</v>
      </c>
      <c r="C5" s="154">
        <v>2010</v>
      </c>
      <c r="D5" s="154">
        <v>2011</v>
      </c>
      <c r="E5" s="154">
        <v>2012</v>
      </c>
      <c r="F5" s="154">
        <v>2013</v>
      </c>
      <c r="G5" s="154">
        <v>2014</v>
      </c>
    </row>
    <row r="6" spans="1:7" ht="33.75">
      <c r="A6" s="1298" t="s">
        <v>736</v>
      </c>
      <c r="B6" s="1299">
        <v>259952</v>
      </c>
      <c r="C6" s="1299">
        <v>243152</v>
      </c>
      <c r="D6" s="1299">
        <v>273811</v>
      </c>
      <c r="E6" s="1299">
        <v>276682</v>
      </c>
      <c r="F6" s="1299">
        <v>448245</v>
      </c>
      <c r="G6" s="1249">
        <v>496555</v>
      </c>
    </row>
    <row r="8" spans="1:7">
      <c r="A8" s="2027" t="s">
        <v>680</v>
      </c>
      <c r="B8" s="2027"/>
      <c r="C8" s="2027"/>
      <c r="D8" s="2027"/>
      <c r="E8" s="2027"/>
      <c r="F8" s="2027"/>
    </row>
  </sheetData>
  <mergeCells count="4">
    <mergeCell ref="A2:G2"/>
    <mergeCell ref="A4:A5"/>
    <mergeCell ref="B4:G4"/>
    <mergeCell ref="A8:F8"/>
  </mergeCells>
  <pageMargins left="0.7" right="0.7" top="0.75" bottom="0.75" header="0.3" footer="0.3"/>
</worksheet>
</file>

<file path=xl/worksheets/sheet60.xml><?xml version="1.0" encoding="utf-8"?>
<worksheet xmlns="http://schemas.openxmlformats.org/spreadsheetml/2006/main" xmlns:r="http://schemas.openxmlformats.org/officeDocument/2006/relationships">
  <dimension ref="A1:B17"/>
  <sheetViews>
    <sheetView zoomScaleNormal="100" workbookViewId="0">
      <selection activeCell="A22" sqref="A22"/>
    </sheetView>
  </sheetViews>
  <sheetFormatPr baseColWidth="10" defaultRowHeight="11.25"/>
  <cols>
    <col min="1" max="1" width="35.85546875" style="53" customWidth="1"/>
    <col min="2" max="2" width="40.42578125" style="53" customWidth="1"/>
    <col min="3" max="16384" width="11.42578125" style="53"/>
  </cols>
  <sheetData>
    <row r="1" spans="1:2">
      <c r="A1" s="61"/>
    </row>
    <row r="2" spans="1:2" ht="30" customHeight="1">
      <c r="A2" s="2063" t="s">
        <v>973</v>
      </c>
      <c r="B2" s="2063"/>
    </row>
    <row r="4" spans="1:2" ht="12.75">
      <c r="A4" s="818" t="s">
        <v>3809</v>
      </c>
      <c r="B4" s="818" t="s">
        <v>32</v>
      </c>
    </row>
    <row r="5" spans="1:2">
      <c r="A5" s="150" t="s">
        <v>6</v>
      </c>
      <c r="B5" s="150">
        <f>+B6+B10+B13</f>
        <v>8</v>
      </c>
    </row>
    <row r="6" spans="1:2">
      <c r="A6" s="150" t="s">
        <v>33</v>
      </c>
      <c r="B6" s="150">
        <f>SUM(B7:B9)</f>
        <v>5</v>
      </c>
    </row>
    <row r="7" spans="1:2">
      <c r="A7" s="1830" t="s">
        <v>34</v>
      </c>
      <c r="B7" s="53">
        <v>1</v>
      </c>
    </row>
    <row r="8" spans="1:2">
      <c r="A8" s="1830" t="s">
        <v>34</v>
      </c>
      <c r="B8" s="53">
        <v>3</v>
      </c>
    </row>
    <row r="9" spans="1:2">
      <c r="A9" s="1830" t="s">
        <v>34</v>
      </c>
      <c r="B9" s="53">
        <v>1</v>
      </c>
    </row>
    <row r="10" spans="1:2">
      <c r="A10" s="150" t="s">
        <v>35</v>
      </c>
      <c r="B10" s="150">
        <f>SUM(B11:B12)</f>
        <v>2</v>
      </c>
    </row>
    <row r="11" spans="1:2">
      <c r="A11" s="1830" t="s">
        <v>39</v>
      </c>
      <c r="B11" s="53">
        <v>1</v>
      </c>
    </row>
    <row r="12" spans="1:2">
      <c r="A12" s="1830" t="s">
        <v>38</v>
      </c>
      <c r="B12" s="53">
        <v>1</v>
      </c>
    </row>
    <row r="13" spans="1:2">
      <c r="A13" s="150" t="s">
        <v>13</v>
      </c>
      <c r="B13" s="150">
        <f>SUM(B14)</f>
        <v>1</v>
      </c>
    </row>
    <row r="14" spans="1:2">
      <c r="A14" s="1830" t="s">
        <v>50</v>
      </c>
      <c r="B14" s="53">
        <v>1</v>
      </c>
    </row>
    <row r="16" spans="1:2" ht="25.5" customHeight="1">
      <c r="A16" s="2108" t="s">
        <v>3811</v>
      </c>
      <c r="B16" s="2108"/>
    </row>
    <row r="17" spans="1:2">
      <c r="A17" s="2108" t="s">
        <v>49</v>
      </c>
      <c r="B17" s="2108"/>
    </row>
  </sheetData>
  <mergeCells count="3">
    <mergeCell ref="A2:B2"/>
    <mergeCell ref="A16:B16"/>
    <mergeCell ref="A17:B17"/>
  </mergeCells>
  <pageMargins left="0.7" right="0.7" top="0.75" bottom="0.75" header="0.3" footer="0.3"/>
</worksheet>
</file>

<file path=xl/worksheets/sheet61.xml><?xml version="1.0" encoding="utf-8"?>
<worksheet xmlns="http://schemas.openxmlformats.org/spreadsheetml/2006/main" xmlns:r="http://schemas.openxmlformats.org/officeDocument/2006/relationships">
  <dimension ref="A1:E17"/>
  <sheetViews>
    <sheetView zoomScaleNormal="100" workbookViewId="0">
      <selection activeCell="A23" sqref="A23"/>
    </sheetView>
  </sheetViews>
  <sheetFormatPr baseColWidth="10" defaultRowHeight="11.25"/>
  <cols>
    <col min="1" max="1" width="36.140625" style="53" customWidth="1"/>
    <col min="2" max="2" width="35.42578125" style="53" customWidth="1"/>
    <col min="3" max="3" width="12.42578125" style="53" customWidth="1"/>
    <col min="4" max="4" width="11.42578125" style="298"/>
    <col min="5" max="5" width="11.42578125" style="53"/>
    <col min="6" max="6" width="6.42578125" style="53" customWidth="1"/>
    <col min="7" max="7" width="11.140625" style="53" customWidth="1"/>
    <col min="8" max="8" width="12.5703125" style="53" customWidth="1"/>
    <col min="9" max="9" width="10.42578125" style="53" customWidth="1"/>
    <col min="10" max="16384" width="11.42578125" style="53"/>
  </cols>
  <sheetData>
    <row r="1" spans="1:5">
      <c r="A1" s="61"/>
    </row>
    <row r="2" spans="1:5" s="148" customFormat="1" ht="17.25" customHeight="1">
      <c r="A2" s="2109" t="s">
        <v>974</v>
      </c>
      <c r="B2" s="2109"/>
      <c r="C2" s="2109"/>
      <c r="D2" s="2109"/>
      <c r="E2" s="2109"/>
    </row>
    <row r="4" spans="1:5" ht="12.75">
      <c r="A4" s="1831" t="s">
        <v>3813</v>
      </c>
      <c r="B4" s="1831" t="s">
        <v>51</v>
      </c>
      <c r="C4" s="1831" t="s">
        <v>52</v>
      </c>
      <c r="D4" s="1831" t="s">
        <v>53</v>
      </c>
      <c r="E4" s="1831" t="s">
        <v>54</v>
      </c>
    </row>
    <row r="5" spans="1:5" s="150" customFormat="1">
      <c r="A5" s="150" t="s">
        <v>33</v>
      </c>
      <c r="C5" s="150">
        <f>SUM(C6:C8)</f>
        <v>3</v>
      </c>
      <c r="D5" s="1832" t="s">
        <v>55</v>
      </c>
      <c r="E5" s="150">
        <f>SUM(E6:E8)</f>
        <v>5</v>
      </c>
    </row>
    <row r="6" spans="1:5">
      <c r="A6" s="1830" t="s">
        <v>34</v>
      </c>
      <c r="B6" s="1196" t="s">
        <v>56</v>
      </c>
      <c r="C6" s="53">
        <v>1</v>
      </c>
      <c r="D6" s="298" t="s">
        <v>55</v>
      </c>
      <c r="E6" s="53">
        <v>1</v>
      </c>
    </row>
    <row r="7" spans="1:5">
      <c r="A7" s="1830" t="s">
        <v>34</v>
      </c>
      <c r="B7" s="1196" t="s">
        <v>57</v>
      </c>
      <c r="C7" s="53">
        <v>1</v>
      </c>
      <c r="D7" s="298" t="s">
        <v>55</v>
      </c>
      <c r="E7" s="53">
        <v>3</v>
      </c>
    </row>
    <row r="8" spans="1:5">
      <c r="A8" s="1830" t="s">
        <v>34</v>
      </c>
      <c r="B8" s="1196" t="s">
        <v>58</v>
      </c>
      <c r="C8" s="53">
        <v>1</v>
      </c>
      <c r="D8" s="298" t="s">
        <v>55</v>
      </c>
      <c r="E8" s="53">
        <v>1</v>
      </c>
    </row>
    <row r="9" spans="1:5" s="150" customFormat="1">
      <c r="A9" s="150" t="s">
        <v>35</v>
      </c>
      <c r="B9" s="1183"/>
      <c r="C9" s="150">
        <f>SUM(C10:C11)</f>
        <v>2</v>
      </c>
      <c r="D9" s="1832" t="s">
        <v>55</v>
      </c>
      <c r="E9" s="150">
        <f>SUM(E10:E11)</f>
        <v>2</v>
      </c>
    </row>
    <row r="10" spans="1:5">
      <c r="A10" s="1833" t="s">
        <v>39</v>
      </c>
      <c r="B10" s="1834" t="s">
        <v>59</v>
      </c>
      <c r="C10" s="53">
        <v>1</v>
      </c>
      <c r="D10" s="298" t="s">
        <v>55</v>
      </c>
      <c r="E10" s="53">
        <v>1</v>
      </c>
    </row>
    <row r="11" spans="1:5">
      <c r="A11" s="1833" t="s">
        <v>38</v>
      </c>
      <c r="B11" s="1834" t="s">
        <v>60</v>
      </c>
      <c r="C11" s="53">
        <v>1</v>
      </c>
      <c r="D11" s="298" t="s">
        <v>55</v>
      </c>
      <c r="E11" s="53">
        <v>1</v>
      </c>
    </row>
    <row r="12" spans="1:5" s="150" customFormat="1">
      <c r="A12" s="150" t="s">
        <v>13</v>
      </c>
      <c r="C12" s="150">
        <f>SUM(C13:C13)</f>
        <v>1</v>
      </c>
      <c r="D12" s="1832" t="s">
        <v>55</v>
      </c>
      <c r="E12" s="150">
        <f>SUM(E13:E13)</f>
        <v>1</v>
      </c>
    </row>
    <row r="13" spans="1:5">
      <c r="A13" s="1830" t="s">
        <v>50</v>
      </c>
      <c r="B13" s="1834" t="s">
        <v>61</v>
      </c>
      <c r="C13" s="53">
        <v>1</v>
      </c>
      <c r="D13" s="298" t="s">
        <v>55</v>
      </c>
      <c r="E13" s="53">
        <v>1</v>
      </c>
    </row>
    <row r="15" spans="1:5" ht="27" customHeight="1">
      <c r="A15" s="2108" t="s">
        <v>3814</v>
      </c>
      <c r="B15" s="2108"/>
      <c r="C15" s="2108"/>
      <c r="D15" s="2108"/>
      <c r="E15" s="2108"/>
    </row>
    <row r="16" spans="1:5">
      <c r="A16" s="2655" t="s">
        <v>149</v>
      </c>
      <c r="B16" s="2655"/>
      <c r="C16" s="2655"/>
      <c r="D16" s="2655"/>
      <c r="E16" s="2655"/>
    </row>
    <row r="17" spans="1:5" ht="25.5" customHeight="1">
      <c r="A17" s="2108" t="s">
        <v>49</v>
      </c>
      <c r="B17" s="2108"/>
      <c r="C17" s="2108"/>
      <c r="D17" s="2108"/>
      <c r="E17" s="2108"/>
    </row>
  </sheetData>
  <mergeCells count="4">
    <mergeCell ref="A2:E2"/>
    <mergeCell ref="A15:E15"/>
    <mergeCell ref="A17:E17"/>
    <mergeCell ref="A16:E16"/>
  </mergeCells>
  <pageMargins left="0.7" right="0.7" top="0.75" bottom="0.75" header="0.3" footer="0.3"/>
</worksheet>
</file>

<file path=xl/worksheets/sheet62.xml><?xml version="1.0" encoding="utf-8"?>
<worksheet xmlns="http://schemas.openxmlformats.org/spreadsheetml/2006/main" xmlns:r="http://schemas.openxmlformats.org/officeDocument/2006/relationships">
  <dimension ref="A2:E30"/>
  <sheetViews>
    <sheetView zoomScaleNormal="100" workbookViewId="0">
      <selection activeCell="B33" sqref="B33"/>
    </sheetView>
  </sheetViews>
  <sheetFormatPr baseColWidth="10" defaultRowHeight="11.25"/>
  <cols>
    <col min="1" max="1" width="35" style="53" customWidth="1"/>
    <col min="2" max="2" width="27.42578125" style="53" customWidth="1"/>
    <col min="3" max="16384" width="11.42578125" style="53"/>
  </cols>
  <sheetData>
    <row r="2" spans="1:5" ht="45" customHeight="1">
      <c r="A2" s="2063" t="s">
        <v>975</v>
      </c>
      <c r="B2" s="2063"/>
    </row>
    <row r="4" spans="1:5" ht="30.75" customHeight="1">
      <c r="A4" s="818" t="s">
        <v>3809</v>
      </c>
      <c r="B4" s="818" t="s">
        <v>32</v>
      </c>
      <c r="C4" s="61"/>
      <c r="D4" s="61"/>
      <c r="E4" s="61"/>
    </row>
    <row r="5" spans="1:5" s="150" customFormat="1">
      <c r="A5" s="150" t="s">
        <v>6</v>
      </c>
      <c r="B5" s="150">
        <f>+B6+B8+B13+B17+B19+B21+B24</f>
        <v>194</v>
      </c>
      <c r="C5" s="60"/>
      <c r="D5" s="60"/>
      <c r="E5" s="60"/>
    </row>
    <row r="6" spans="1:5" s="150" customFormat="1">
      <c r="A6" s="150" t="s">
        <v>33</v>
      </c>
      <c r="B6" s="150">
        <f>SUM(B7:B7)</f>
        <v>7</v>
      </c>
      <c r="C6" s="60"/>
      <c r="D6" s="60"/>
      <c r="E6" s="60"/>
    </row>
    <row r="7" spans="1:5">
      <c r="A7" s="1830" t="s">
        <v>34</v>
      </c>
      <c r="B7" s="53">
        <v>7</v>
      </c>
      <c r="C7" s="61"/>
      <c r="D7" s="61"/>
      <c r="E7" s="61"/>
    </row>
    <row r="8" spans="1:5" s="150" customFormat="1">
      <c r="A8" s="150" t="s">
        <v>35</v>
      </c>
      <c r="B8" s="150">
        <f>SUM(B9:B12)</f>
        <v>9</v>
      </c>
      <c r="C8" s="60"/>
      <c r="D8" s="60"/>
      <c r="E8" s="60"/>
    </row>
    <row r="9" spans="1:5" s="150" customFormat="1">
      <c r="A9" s="1830" t="s">
        <v>36</v>
      </c>
      <c r="B9" s="53">
        <v>2</v>
      </c>
      <c r="C9" s="60"/>
      <c r="D9" s="60"/>
      <c r="E9" s="60"/>
    </row>
    <row r="10" spans="1:5">
      <c r="A10" s="1830" t="s">
        <v>37</v>
      </c>
      <c r="B10" s="53">
        <v>3</v>
      </c>
      <c r="C10" s="61"/>
      <c r="D10" s="61"/>
      <c r="E10" s="61"/>
    </row>
    <row r="11" spans="1:5">
      <c r="A11" s="1830" t="s">
        <v>38</v>
      </c>
      <c r="B11" s="53">
        <v>2</v>
      </c>
      <c r="C11" s="61"/>
      <c r="D11" s="61"/>
      <c r="E11" s="61"/>
    </row>
    <row r="12" spans="1:5">
      <c r="A12" s="1830" t="s">
        <v>39</v>
      </c>
      <c r="B12" s="53">
        <v>2</v>
      </c>
      <c r="C12" s="61"/>
      <c r="D12" s="61"/>
      <c r="E12" s="61"/>
    </row>
    <row r="13" spans="1:5" s="150" customFormat="1">
      <c r="A13" s="150" t="s">
        <v>9</v>
      </c>
      <c r="B13" s="150">
        <f>SUM(B14:B16)</f>
        <v>50</v>
      </c>
      <c r="C13" s="60"/>
      <c r="D13" s="60"/>
      <c r="E13" s="60"/>
    </row>
    <row r="14" spans="1:5">
      <c r="A14" s="1830" t="s">
        <v>40</v>
      </c>
      <c r="B14" s="53">
        <v>22</v>
      </c>
      <c r="C14" s="61"/>
      <c r="D14" s="61"/>
      <c r="E14" s="61"/>
    </row>
    <row r="15" spans="1:5">
      <c r="A15" s="1830" t="s">
        <v>41</v>
      </c>
      <c r="B15" s="53">
        <v>22</v>
      </c>
      <c r="C15" s="61"/>
      <c r="D15" s="61"/>
      <c r="E15" s="61"/>
    </row>
    <row r="16" spans="1:5" s="150" customFormat="1">
      <c r="A16" s="1830" t="s">
        <v>42</v>
      </c>
      <c r="B16" s="53">
        <v>6</v>
      </c>
      <c r="C16" s="60"/>
      <c r="D16" s="60"/>
      <c r="E16" s="60"/>
    </row>
    <row r="17" spans="1:5" s="150" customFormat="1">
      <c r="A17" s="150" t="s">
        <v>12</v>
      </c>
      <c r="B17" s="150">
        <f>SUM(B18)</f>
        <v>2</v>
      </c>
      <c r="C17" s="60"/>
      <c r="D17" s="60"/>
      <c r="E17" s="60"/>
    </row>
    <row r="18" spans="1:5" s="150" customFormat="1" ht="12.75">
      <c r="A18" s="1830" t="s">
        <v>3810</v>
      </c>
      <c r="B18" s="53">
        <v>2</v>
      </c>
      <c r="C18" s="60"/>
      <c r="D18" s="60"/>
      <c r="E18" s="60"/>
    </row>
    <row r="19" spans="1:5">
      <c r="A19" s="150" t="s">
        <v>43</v>
      </c>
      <c r="B19" s="150">
        <f>SUM(B20)</f>
        <v>6</v>
      </c>
      <c r="C19" s="61"/>
      <c r="D19" s="61"/>
      <c r="E19" s="61"/>
    </row>
    <row r="20" spans="1:5" s="150" customFormat="1">
      <c r="A20" s="1830" t="s">
        <v>44</v>
      </c>
      <c r="B20" s="53">
        <v>6</v>
      </c>
      <c r="C20" s="60"/>
      <c r="D20" s="60"/>
      <c r="E20" s="60"/>
    </row>
    <row r="21" spans="1:5">
      <c r="A21" s="150" t="s">
        <v>13</v>
      </c>
      <c r="B21" s="150">
        <f>SUM(B22:B23)</f>
        <v>94</v>
      </c>
      <c r="C21" s="61"/>
      <c r="D21" s="61"/>
      <c r="E21" s="61"/>
    </row>
    <row r="22" spans="1:5">
      <c r="A22" s="1830" t="s">
        <v>45</v>
      </c>
      <c r="B22" s="53">
        <v>1</v>
      </c>
      <c r="C22" s="61"/>
      <c r="D22" s="61"/>
      <c r="E22" s="61"/>
    </row>
    <row r="23" spans="1:5" s="150" customFormat="1">
      <c r="A23" s="1830" t="s">
        <v>46</v>
      </c>
      <c r="B23" s="53">
        <v>93</v>
      </c>
      <c r="C23" s="60"/>
      <c r="D23" s="60"/>
      <c r="E23" s="60"/>
    </row>
    <row r="24" spans="1:5">
      <c r="A24" s="150" t="s">
        <v>47</v>
      </c>
      <c r="B24" s="150">
        <f>SUM(B25)</f>
        <v>26</v>
      </c>
      <c r="C24" s="61"/>
      <c r="D24" s="61"/>
      <c r="E24" s="61"/>
    </row>
    <row r="25" spans="1:5">
      <c r="A25" s="1830" t="s">
        <v>48</v>
      </c>
      <c r="B25" s="53">
        <v>26</v>
      </c>
      <c r="C25" s="61"/>
      <c r="D25" s="61"/>
      <c r="E25" s="61"/>
    </row>
    <row r="26" spans="1:5" ht="13.5" customHeight="1">
      <c r="C26" s="61"/>
      <c r="D26" s="61"/>
      <c r="E26" s="61"/>
    </row>
    <row r="27" spans="1:5" ht="38.25" customHeight="1">
      <c r="A27" s="2067" t="s">
        <v>3811</v>
      </c>
      <c r="B27" s="2067"/>
      <c r="C27" s="61"/>
      <c r="D27" s="61"/>
      <c r="E27" s="61"/>
    </row>
    <row r="28" spans="1:5">
      <c r="A28" s="2067" t="s">
        <v>3812</v>
      </c>
      <c r="B28" s="2067"/>
      <c r="C28" s="61"/>
      <c r="D28" s="61"/>
      <c r="E28" s="61"/>
    </row>
    <row r="29" spans="1:5" ht="31.5" customHeight="1">
      <c r="A29" s="2067" t="s">
        <v>49</v>
      </c>
      <c r="B29" s="2067"/>
      <c r="C29" s="61"/>
      <c r="D29" s="61"/>
      <c r="E29" s="61"/>
    </row>
    <row r="30" spans="1:5">
      <c r="C30" s="61"/>
      <c r="D30" s="61"/>
      <c r="E30" s="61"/>
    </row>
  </sheetData>
  <mergeCells count="4">
    <mergeCell ref="A2:B2"/>
    <mergeCell ref="A27:B27"/>
    <mergeCell ref="A28:B28"/>
    <mergeCell ref="A29:B29"/>
  </mergeCells>
  <pageMargins left="0.7" right="0.7" top="0.75" bottom="0.75" header="0.3" footer="0.3"/>
</worksheet>
</file>

<file path=xl/worksheets/sheet63.xml><?xml version="1.0" encoding="utf-8"?>
<worksheet xmlns="http://schemas.openxmlformats.org/spreadsheetml/2006/main" xmlns:r="http://schemas.openxmlformats.org/officeDocument/2006/relationships">
  <dimension ref="A2:E138"/>
  <sheetViews>
    <sheetView topLeftCell="A97" zoomScaleNormal="100" workbookViewId="0">
      <selection activeCell="A144" sqref="A144"/>
    </sheetView>
  </sheetViews>
  <sheetFormatPr baseColWidth="10" defaultRowHeight="11.25"/>
  <cols>
    <col min="1" max="1" width="45" style="61" customWidth="1"/>
    <col min="2" max="2" width="13" style="61" customWidth="1"/>
    <col min="3" max="3" width="11.5703125" style="61" customWidth="1"/>
    <col min="4" max="4" width="14.140625" style="61" customWidth="1"/>
    <col min="5" max="5" width="8.85546875" style="53" customWidth="1"/>
    <col min="6" max="16384" width="11.42578125" style="53"/>
  </cols>
  <sheetData>
    <row r="2" spans="1:5" s="148" customFormat="1" ht="36" customHeight="1">
      <c r="A2" s="2128" t="s">
        <v>976</v>
      </c>
      <c r="B2" s="2128"/>
      <c r="C2" s="2128"/>
      <c r="D2" s="2128"/>
    </row>
    <row r="3" spans="1:5">
      <c r="C3" s="1819"/>
    </row>
    <row r="4" spans="1:5" s="1820" customFormat="1" ht="28.5" customHeight="1">
      <c r="A4" s="316" t="s">
        <v>62</v>
      </c>
      <c r="B4" s="316" t="s">
        <v>63</v>
      </c>
      <c r="C4" s="316" t="s">
        <v>64</v>
      </c>
      <c r="D4" s="316" t="s">
        <v>65</v>
      </c>
    </row>
    <row r="5" spans="1:5">
      <c r="A5" s="60" t="s">
        <v>6</v>
      </c>
      <c r="B5" s="1202">
        <f>SUM(C5:D5)</f>
        <v>194</v>
      </c>
      <c r="C5" s="1202">
        <f>+C6+C10+C21+C53+C56+C59+C127</f>
        <v>33</v>
      </c>
      <c r="D5" s="1202">
        <f>SUM(D6+D10+D21+D53+D59+D127)</f>
        <v>161</v>
      </c>
      <c r="E5" s="1821"/>
    </row>
    <row r="6" spans="1:5" s="150" customFormat="1">
      <c r="A6" s="60" t="s">
        <v>33</v>
      </c>
      <c r="B6" s="1202">
        <f t="shared" ref="B6:B69" si="0">SUM(C6:D6)</f>
        <v>7</v>
      </c>
      <c r="C6" s="1202">
        <f>+C7</f>
        <v>0</v>
      </c>
      <c r="D6" s="1202">
        <f>+D7</f>
        <v>7</v>
      </c>
      <c r="E6" s="1821"/>
    </row>
    <row r="7" spans="1:5">
      <c r="A7" s="1822" t="s">
        <v>34</v>
      </c>
      <c r="B7" s="1202">
        <f t="shared" si="0"/>
        <v>7</v>
      </c>
      <c r="C7" s="1202">
        <f>SUM(C8:C9)</f>
        <v>0</v>
      </c>
      <c r="D7" s="1202">
        <f>SUM(D8:D9)</f>
        <v>7</v>
      </c>
      <c r="E7" s="1821"/>
    </row>
    <row r="8" spans="1:5">
      <c r="A8" s="1823" t="s">
        <v>66</v>
      </c>
      <c r="B8" s="1202">
        <f t="shared" si="0"/>
        <v>1</v>
      </c>
      <c r="C8" s="1819"/>
      <c r="D8" s="1819">
        <v>1</v>
      </c>
      <c r="E8" s="1204"/>
    </row>
    <row r="9" spans="1:5">
      <c r="A9" s="1823" t="s">
        <v>67</v>
      </c>
      <c r="B9" s="1202">
        <f t="shared" si="0"/>
        <v>6</v>
      </c>
      <c r="C9" s="1819"/>
      <c r="D9" s="1819">
        <v>6</v>
      </c>
      <c r="E9" s="1204"/>
    </row>
    <row r="10" spans="1:5">
      <c r="A10" s="326" t="s">
        <v>35</v>
      </c>
      <c r="B10" s="1202">
        <f t="shared" si="0"/>
        <v>9</v>
      </c>
      <c r="C10" s="1202">
        <f>+C11+C14+C17+C19</f>
        <v>0</v>
      </c>
      <c r="D10" s="1202">
        <f>+D11+D14+D17+D19</f>
        <v>9</v>
      </c>
      <c r="E10" s="1204"/>
    </row>
    <row r="11" spans="1:5">
      <c r="A11" s="1824" t="s">
        <v>37</v>
      </c>
      <c r="B11" s="1202">
        <f t="shared" si="0"/>
        <v>3</v>
      </c>
      <c r="C11" s="1202">
        <f>SUM(C12:C13)</f>
        <v>0</v>
      </c>
      <c r="D11" s="1202">
        <f>SUM(D12:D13)</f>
        <v>3</v>
      </c>
      <c r="E11" s="1204"/>
    </row>
    <row r="12" spans="1:5">
      <c r="A12" s="1825" t="s">
        <v>68</v>
      </c>
      <c r="B12" s="1202">
        <f t="shared" si="0"/>
        <v>1</v>
      </c>
      <c r="C12" s="1819">
        <v>0</v>
      </c>
      <c r="D12" s="1819">
        <v>1</v>
      </c>
      <c r="E12" s="1204"/>
    </row>
    <row r="13" spans="1:5">
      <c r="A13" s="1825" t="s">
        <v>69</v>
      </c>
      <c r="B13" s="1202">
        <f t="shared" si="0"/>
        <v>2</v>
      </c>
      <c r="C13" s="1819">
        <v>0</v>
      </c>
      <c r="D13" s="1819">
        <v>2</v>
      </c>
      <c r="E13" s="1204"/>
    </row>
    <row r="14" spans="1:5" s="150" customFormat="1">
      <c r="A14" s="1824" t="s">
        <v>38</v>
      </c>
      <c r="B14" s="1202">
        <f t="shared" si="0"/>
        <v>2</v>
      </c>
      <c r="C14" s="1202">
        <f>SUM(C15:C16)</f>
        <v>0</v>
      </c>
      <c r="D14" s="1202">
        <f>SUM(D15:D16)</f>
        <v>2</v>
      </c>
      <c r="E14" s="1821"/>
    </row>
    <row r="15" spans="1:5" s="150" customFormat="1">
      <c r="A15" s="1825" t="s">
        <v>70</v>
      </c>
      <c r="B15" s="1202">
        <f t="shared" si="0"/>
        <v>1</v>
      </c>
      <c r="C15" s="1819">
        <v>0</v>
      </c>
      <c r="D15" s="1819">
        <v>1</v>
      </c>
      <c r="E15" s="1821"/>
    </row>
    <row r="16" spans="1:5">
      <c r="A16" s="1825" t="s">
        <v>71</v>
      </c>
      <c r="B16" s="1202">
        <f t="shared" si="0"/>
        <v>1</v>
      </c>
      <c r="C16" s="1819">
        <v>0</v>
      </c>
      <c r="D16" s="1819">
        <v>1</v>
      </c>
      <c r="E16" s="1819"/>
    </row>
    <row r="17" spans="1:5">
      <c r="A17" s="1824" t="s">
        <v>39</v>
      </c>
      <c r="B17" s="1202">
        <f t="shared" si="0"/>
        <v>2</v>
      </c>
      <c r="C17" s="1202">
        <f>SUM(C18:C18)</f>
        <v>0</v>
      </c>
      <c r="D17" s="1202">
        <f>SUM(D18:D18)</f>
        <v>2</v>
      </c>
      <c r="E17" s="1819"/>
    </row>
    <row r="18" spans="1:5" s="150" customFormat="1">
      <c r="A18" s="1825" t="s">
        <v>68</v>
      </c>
      <c r="B18" s="1202">
        <f t="shared" si="0"/>
        <v>2</v>
      </c>
      <c r="C18" s="1819">
        <v>0</v>
      </c>
      <c r="D18" s="1819">
        <v>2</v>
      </c>
      <c r="E18" s="1202"/>
    </row>
    <row r="19" spans="1:5">
      <c r="A19" s="1826" t="s">
        <v>72</v>
      </c>
      <c r="B19" s="1202">
        <f t="shared" si="0"/>
        <v>2</v>
      </c>
      <c r="C19" s="1202">
        <f>SUM(C20:C20)</f>
        <v>0</v>
      </c>
      <c r="D19" s="1202">
        <f>SUM(D20:D20)</f>
        <v>2</v>
      </c>
      <c r="E19" s="1819"/>
    </row>
    <row r="20" spans="1:5">
      <c r="A20" s="1825" t="s">
        <v>73</v>
      </c>
      <c r="B20" s="1202">
        <f t="shared" si="0"/>
        <v>2</v>
      </c>
      <c r="C20" s="1819"/>
      <c r="D20" s="1819">
        <v>2</v>
      </c>
      <c r="E20" s="1819"/>
    </row>
    <row r="21" spans="1:5" s="150" customFormat="1">
      <c r="A21" s="60" t="s">
        <v>9</v>
      </c>
      <c r="B21" s="1202">
        <f t="shared" si="0"/>
        <v>50</v>
      </c>
      <c r="C21" s="1202">
        <f>+C22+C26+C38</f>
        <v>31</v>
      </c>
      <c r="D21" s="1202">
        <f>+D22+D26+D38</f>
        <v>19</v>
      </c>
      <c r="E21" s="1202"/>
    </row>
    <row r="22" spans="1:5">
      <c r="A22" s="1824" t="s">
        <v>42</v>
      </c>
      <c r="B22" s="1202">
        <f t="shared" si="0"/>
        <v>6</v>
      </c>
      <c r="C22" s="1202">
        <f>SUM(C23:C25)</f>
        <v>2</v>
      </c>
      <c r="D22" s="1202">
        <f>SUM(D23:D25)</f>
        <v>4</v>
      </c>
      <c r="E22" s="1819"/>
    </row>
    <row r="23" spans="1:5">
      <c r="A23" s="1825" t="s">
        <v>74</v>
      </c>
      <c r="B23" s="1202">
        <f t="shared" si="0"/>
        <v>2</v>
      </c>
      <c r="C23" s="1819">
        <v>2</v>
      </c>
      <c r="D23" s="1819">
        <v>0</v>
      </c>
      <c r="E23" s="1819"/>
    </row>
    <row r="24" spans="1:5">
      <c r="A24" s="1825" t="s">
        <v>75</v>
      </c>
      <c r="B24" s="1202">
        <f t="shared" si="0"/>
        <v>3</v>
      </c>
      <c r="C24" s="1819">
        <v>0</v>
      </c>
      <c r="D24" s="1819">
        <v>3</v>
      </c>
      <c r="E24" s="1819"/>
    </row>
    <row r="25" spans="1:5" s="150" customFormat="1">
      <c r="A25" s="1825" t="s">
        <v>76</v>
      </c>
      <c r="B25" s="1202">
        <f t="shared" si="0"/>
        <v>1</v>
      </c>
      <c r="C25" s="1819">
        <v>0</v>
      </c>
      <c r="D25" s="1819">
        <v>1</v>
      </c>
      <c r="E25" s="1202"/>
    </row>
    <row r="26" spans="1:5" s="150" customFormat="1">
      <c r="A26" s="1826" t="s">
        <v>40</v>
      </c>
      <c r="B26" s="1202">
        <f t="shared" si="0"/>
        <v>22</v>
      </c>
      <c r="C26" s="1202">
        <f>SUM(C27:C37)</f>
        <v>22</v>
      </c>
      <c r="D26" s="1202">
        <f>SUM(D27:D37)</f>
        <v>0</v>
      </c>
      <c r="E26" s="1202"/>
    </row>
    <row r="27" spans="1:5">
      <c r="A27" s="1825" t="s">
        <v>77</v>
      </c>
      <c r="B27" s="1202">
        <f t="shared" si="0"/>
        <v>1</v>
      </c>
      <c r="C27" s="1819">
        <v>1</v>
      </c>
      <c r="D27" s="1819">
        <v>0</v>
      </c>
      <c r="E27" s="1819"/>
    </row>
    <row r="28" spans="1:5">
      <c r="A28" s="1825" t="s">
        <v>78</v>
      </c>
      <c r="B28" s="1202">
        <f t="shared" si="0"/>
        <v>1</v>
      </c>
      <c r="C28" s="1819">
        <v>1</v>
      </c>
      <c r="D28" s="1819">
        <v>0</v>
      </c>
      <c r="E28" s="1819"/>
    </row>
    <row r="29" spans="1:5" ht="22.5">
      <c r="A29" s="1825" t="s">
        <v>79</v>
      </c>
      <c r="B29" s="1202">
        <f t="shared" si="0"/>
        <v>3</v>
      </c>
      <c r="C29" s="1819">
        <v>3</v>
      </c>
      <c r="D29" s="1819">
        <v>0</v>
      </c>
      <c r="E29" s="1819"/>
    </row>
    <row r="30" spans="1:5" ht="22.5">
      <c r="A30" s="1825" t="s">
        <v>80</v>
      </c>
      <c r="B30" s="1202">
        <f t="shared" si="0"/>
        <v>2</v>
      </c>
      <c r="C30" s="1819">
        <v>2</v>
      </c>
      <c r="D30" s="1819">
        <v>0</v>
      </c>
      <c r="E30" s="1819"/>
    </row>
    <row r="31" spans="1:5">
      <c r="A31" s="1825" t="s">
        <v>81</v>
      </c>
      <c r="B31" s="1202">
        <f t="shared" si="0"/>
        <v>2</v>
      </c>
      <c r="C31" s="1819">
        <v>2</v>
      </c>
      <c r="D31" s="1819">
        <v>0</v>
      </c>
      <c r="E31" s="1819"/>
    </row>
    <row r="32" spans="1:5">
      <c r="A32" s="1825" t="s">
        <v>82</v>
      </c>
      <c r="B32" s="1202">
        <f t="shared" si="0"/>
        <v>2</v>
      </c>
      <c r="C32" s="1819">
        <v>2</v>
      </c>
      <c r="D32" s="1819">
        <v>0</v>
      </c>
      <c r="E32" s="1819"/>
    </row>
    <row r="33" spans="1:5">
      <c r="A33" s="1825" t="s">
        <v>83</v>
      </c>
      <c r="B33" s="1202">
        <f t="shared" si="0"/>
        <v>1</v>
      </c>
      <c r="C33" s="1819">
        <v>1</v>
      </c>
      <c r="D33" s="1819">
        <v>0</v>
      </c>
      <c r="E33" s="1819"/>
    </row>
    <row r="34" spans="1:5" ht="22.5">
      <c r="A34" s="1825" t="s">
        <v>84</v>
      </c>
      <c r="B34" s="1202">
        <f t="shared" si="0"/>
        <v>1</v>
      </c>
      <c r="C34" s="1819">
        <v>1</v>
      </c>
      <c r="D34" s="1819">
        <v>0</v>
      </c>
      <c r="E34" s="1819"/>
    </row>
    <row r="35" spans="1:5" ht="22.5">
      <c r="A35" s="1825" t="s">
        <v>85</v>
      </c>
      <c r="B35" s="1202">
        <f t="shared" si="0"/>
        <v>6</v>
      </c>
      <c r="C35" s="1819">
        <v>6</v>
      </c>
      <c r="D35" s="1819">
        <v>0</v>
      </c>
      <c r="E35" s="1819"/>
    </row>
    <row r="36" spans="1:5" ht="22.5">
      <c r="A36" s="1825" t="s">
        <v>86</v>
      </c>
      <c r="B36" s="1202">
        <f t="shared" si="0"/>
        <v>1</v>
      </c>
      <c r="C36" s="1819">
        <v>1</v>
      </c>
      <c r="D36" s="1819">
        <v>0</v>
      </c>
      <c r="E36" s="1819"/>
    </row>
    <row r="37" spans="1:5">
      <c r="A37" s="1825" t="s">
        <v>87</v>
      </c>
      <c r="B37" s="1202">
        <f t="shared" si="0"/>
        <v>2</v>
      </c>
      <c r="C37" s="1819">
        <v>2</v>
      </c>
      <c r="D37" s="1819">
        <v>0</v>
      </c>
      <c r="E37" s="1819"/>
    </row>
    <row r="38" spans="1:5">
      <c r="A38" s="1824" t="s">
        <v>41</v>
      </c>
      <c r="B38" s="1202">
        <f t="shared" si="0"/>
        <v>22</v>
      </c>
      <c r="C38" s="1202">
        <f>SUM(C39:C52)</f>
        <v>7</v>
      </c>
      <c r="D38" s="1202">
        <f>SUM(D39:D52)</f>
        <v>15</v>
      </c>
      <c r="E38" s="1819"/>
    </row>
    <row r="39" spans="1:5">
      <c r="A39" s="1825" t="s">
        <v>88</v>
      </c>
      <c r="B39" s="1202">
        <f t="shared" si="0"/>
        <v>1</v>
      </c>
      <c r="C39" s="1819">
        <v>0</v>
      </c>
      <c r="D39" s="1819">
        <v>1</v>
      </c>
      <c r="E39" s="1819"/>
    </row>
    <row r="40" spans="1:5">
      <c r="A40" s="1825" t="s">
        <v>89</v>
      </c>
      <c r="B40" s="1202">
        <f t="shared" si="0"/>
        <v>1</v>
      </c>
      <c r="C40" s="1819">
        <v>0</v>
      </c>
      <c r="D40" s="1819">
        <v>1</v>
      </c>
      <c r="E40" s="1819"/>
    </row>
    <row r="41" spans="1:5" ht="22.5">
      <c r="A41" s="1825" t="s">
        <v>90</v>
      </c>
      <c r="B41" s="1202">
        <f t="shared" si="0"/>
        <v>1</v>
      </c>
      <c r="C41" s="1819">
        <v>1</v>
      </c>
      <c r="D41" s="1819">
        <v>0</v>
      </c>
      <c r="E41" s="1819"/>
    </row>
    <row r="42" spans="1:5">
      <c r="A42" s="1825" t="s">
        <v>88</v>
      </c>
      <c r="B42" s="1202">
        <f t="shared" si="0"/>
        <v>1</v>
      </c>
      <c r="C42" s="1819">
        <v>0</v>
      </c>
      <c r="D42" s="1819">
        <v>1</v>
      </c>
      <c r="E42" s="1819"/>
    </row>
    <row r="43" spans="1:5">
      <c r="A43" s="1825" t="s">
        <v>91</v>
      </c>
      <c r="B43" s="1202">
        <f t="shared" si="0"/>
        <v>4</v>
      </c>
      <c r="C43" s="1819">
        <v>4</v>
      </c>
      <c r="D43" s="1819">
        <v>0</v>
      </c>
      <c r="E43" s="1202"/>
    </row>
    <row r="44" spans="1:5">
      <c r="A44" s="1825" t="s">
        <v>92</v>
      </c>
      <c r="B44" s="1202">
        <f t="shared" si="0"/>
        <v>1</v>
      </c>
      <c r="C44" s="1819">
        <v>0</v>
      </c>
      <c r="D44" s="1819">
        <v>1</v>
      </c>
      <c r="E44" s="1819"/>
    </row>
    <row r="45" spans="1:5" s="150" customFormat="1">
      <c r="A45" s="1825" t="s">
        <v>93</v>
      </c>
      <c r="B45" s="1202">
        <f t="shared" si="0"/>
        <v>1</v>
      </c>
      <c r="C45" s="1819">
        <v>0</v>
      </c>
      <c r="D45" s="1819">
        <v>1</v>
      </c>
      <c r="E45" s="1819"/>
    </row>
    <row r="46" spans="1:5">
      <c r="A46" s="1825" t="s">
        <v>94</v>
      </c>
      <c r="B46" s="1202">
        <f t="shared" si="0"/>
        <v>1</v>
      </c>
      <c r="C46" s="1819">
        <v>1</v>
      </c>
      <c r="D46" s="1819">
        <v>0</v>
      </c>
      <c r="E46" s="1202"/>
    </row>
    <row r="47" spans="1:5">
      <c r="A47" s="1825" t="s">
        <v>95</v>
      </c>
      <c r="B47" s="1202">
        <f t="shared" si="0"/>
        <v>1</v>
      </c>
      <c r="C47" s="1819">
        <v>1</v>
      </c>
      <c r="D47" s="1819">
        <v>0</v>
      </c>
      <c r="E47" s="1202"/>
    </row>
    <row r="48" spans="1:5" s="150" customFormat="1">
      <c r="A48" s="1825" t="s">
        <v>96</v>
      </c>
      <c r="B48" s="1202">
        <f t="shared" si="0"/>
        <v>4</v>
      </c>
      <c r="C48" s="1819">
        <v>0</v>
      </c>
      <c r="D48" s="1819">
        <v>4</v>
      </c>
      <c r="E48" s="1819"/>
    </row>
    <row r="49" spans="1:5" s="150" customFormat="1">
      <c r="A49" s="1825" t="s">
        <v>88</v>
      </c>
      <c r="B49" s="1202">
        <f t="shared" si="0"/>
        <v>1</v>
      </c>
      <c r="C49" s="1819">
        <v>0</v>
      </c>
      <c r="D49" s="1819">
        <v>1</v>
      </c>
      <c r="E49" s="1819"/>
    </row>
    <row r="50" spans="1:5">
      <c r="A50" s="1825" t="s">
        <v>88</v>
      </c>
      <c r="B50" s="1202">
        <f t="shared" si="0"/>
        <v>3</v>
      </c>
      <c r="C50" s="1819">
        <v>0</v>
      </c>
      <c r="D50" s="1819">
        <v>3</v>
      </c>
      <c r="E50" s="1819"/>
    </row>
    <row r="51" spans="1:5">
      <c r="A51" s="1825" t="s">
        <v>97</v>
      </c>
      <c r="B51" s="1202">
        <f t="shared" si="0"/>
        <v>1</v>
      </c>
      <c r="C51" s="1819">
        <v>0</v>
      </c>
      <c r="D51" s="1819">
        <v>1</v>
      </c>
      <c r="E51" s="1819"/>
    </row>
    <row r="52" spans="1:5">
      <c r="A52" s="1825" t="s">
        <v>98</v>
      </c>
      <c r="B52" s="1202">
        <f t="shared" si="0"/>
        <v>1</v>
      </c>
      <c r="C52" s="1819">
        <v>0</v>
      </c>
      <c r="D52" s="1819">
        <v>1</v>
      </c>
      <c r="E52" s="1202"/>
    </row>
    <row r="53" spans="1:5">
      <c r="A53" s="54" t="s">
        <v>43</v>
      </c>
      <c r="B53" s="1202">
        <f t="shared" si="0"/>
        <v>6</v>
      </c>
      <c r="C53" s="1202">
        <f>SUM(C54)</f>
        <v>0</v>
      </c>
      <c r="D53" s="1202">
        <f>SUM(D54)</f>
        <v>6</v>
      </c>
      <c r="E53" s="1202"/>
    </row>
    <row r="54" spans="1:5" s="150" customFormat="1">
      <c r="A54" s="1824" t="s">
        <v>44</v>
      </c>
      <c r="B54" s="1202">
        <f t="shared" si="0"/>
        <v>6</v>
      </c>
      <c r="C54" s="1202">
        <v>0</v>
      </c>
      <c r="D54" s="1202">
        <f>SUM(D55:D58)</f>
        <v>6</v>
      </c>
      <c r="E54" s="1819"/>
    </row>
    <row r="55" spans="1:5" s="150" customFormat="1">
      <c r="A55" s="1827" t="s">
        <v>99</v>
      </c>
      <c r="B55" s="1202">
        <f t="shared" si="0"/>
        <v>6</v>
      </c>
      <c r="C55" s="1819">
        <v>0</v>
      </c>
      <c r="D55" s="1819">
        <v>6</v>
      </c>
      <c r="E55" s="1819"/>
    </row>
    <row r="56" spans="1:5">
      <c r="A56" s="70" t="s">
        <v>12</v>
      </c>
      <c r="B56" s="1202">
        <f t="shared" si="0"/>
        <v>2</v>
      </c>
      <c r="C56" s="1202">
        <f>SUM(C57)</f>
        <v>2</v>
      </c>
      <c r="D56" s="1202">
        <f>SUM(D57)</f>
        <v>0</v>
      </c>
      <c r="E56" s="1819"/>
    </row>
    <row r="57" spans="1:5" ht="12.75">
      <c r="A57" s="1828" t="s">
        <v>3807</v>
      </c>
      <c r="B57" s="1202">
        <f t="shared" si="0"/>
        <v>2</v>
      </c>
      <c r="C57" s="1202">
        <f>SUM(C58)</f>
        <v>2</v>
      </c>
      <c r="D57" s="1202">
        <f>SUM(D58)</f>
        <v>0</v>
      </c>
      <c r="E57" s="1819"/>
    </row>
    <row r="58" spans="1:5">
      <c r="A58" s="1827" t="s">
        <v>100</v>
      </c>
      <c r="B58" s="1202">
        <f t="shared" si="0"/>
        <v>2</v>
      </c>
      <c r="C58" s="1819">
        <v>2</v>
      </c>
      <c r="D58" s="1819"/>
      <c r="E58" s="1819"/>
    </row>
    <row r="59" spans="1:5">
      <c r="A59" s="326" t="s">
        <v>13</v>
      </c>
      <c r="B59" s="1202">
        <f t="shared" si="0"/>
        <v>94</v>
      </c>
      <c r="C59" s="1202">
        <f>+C60+C62</f>
        <v>0</v>
      </c>
      <c r="D59" s="1202">
        <f>+D60+D62</f>
        <v>94</v>
      </c>
      <c r="E59" s="1819"/>
    </row>
    <row r="60" spans="1:5">
      <c r="A60" s="1824" t="s">
        <v>101</v>
      </c>
      <c r="B60" s="1202">
        <f t="shared" si="0"/>
        <v>1</v>
      </c>
      <c r="C60" s="1202">
        <f>SUM(C61:C61)</f>
        <v>0</v>
      </c>
      <c r="D60" s="1202">
        <f>SUM(D61:D61)</f>
        <v>1</v>
      </c>
      <c r="E60" s="1202"/>
    </row>
    <row r="61" spans="1:5">
      <c r="A61" s="1827" t="s">
        <v>102</v>
      </c>
      <c r="B61" s="1202">
        <f t="shared" si="0"/>
        <v>1</v>
      </c>
      <c r="C61" s="1819"/>
      <c r="D61" s="1819">
        <v>1</v>
      </c>
      <c r="E61" s="1819"/>
    </row>
    <row r="62" spans="1:5" s="150" customFormat="1">
      <c r="A62" s="1824" t="s">
        <v>46</v>
      </c>
      <c r="B62" s="1202">
        <f t="shared" si="0"/>
        <v>93</v>
      </c>
      <c r="C62" s="319">
        <f>SUM(C63:C126)</f>
        <v>0</v>
      </c>
      <c r="D62" s="319">
        <f>SUM(D63:D126)</f>
        <v>93</v>
      </c>
      <c r="E62" s="1819"/>
    </row>
    <row r="63" spans="1:5">
      <c r="A63" s="1825" t="s">
        <v>103</v>
      </c>
      <c r="B63" s="1202">
        <f t="shared" si="0"/>
        <v>1</v>
      </c>
      <c r="C63" s="1202">
        <v>0</v>
      </c>
      <c r="D63" s="63">
        <v>1</v>
      </c>
      <c r="E63" s="1819"/>
    </row>
    <row r="64" spans="1:5">
      <c r="A64" s="1825" t="s">
        <v>104</v>
      </c>
      <c r="B64" s="1202">
        <f t="shared" si="0"/>
        <v>1</v>
      </c>
      <c r="C64" s="1202">
        <v>0</v>
      </c>
      <c r="D64" s="1380">
        <v>1</v>
      </c>
      <c r="E64" s="1819"/>
    </row>
    <row r="65" spans="1:5">
      <c r="A65" s="1825" t="s">
        <v>105</v>
      </c>
      <c r="B65" s="1202">
        <f t="shared" si="0"/>
        <v>1</v>
      </c>
      <c r="C65" s="1202">
        <v>0</v>
      </c>
      <c r="D65" s="63">
        <v>1</v>
      </c>
      <c r="E65" s="1819"/>
    </row>
    <row r="66" spans="1:5">
      <c r="A66" s="1825" t="s">
        <v>105</v>
      </c>
      <c r="B66" s="1202">
        <f t="shared" si="0"/>
        <v>2</v>
      </c>
      <c r="C66" s="1202">
        <v>0</v>
      </c>
      <c r="D66" s="63">
        <v>2</v>
      </c>
      <c r="E66" s="1819"/>
    </row>
    <row r="67" spans="1:5">
      <c r="A67" s="1825" t="s">
        <v>106</v>
      </c>
      <c r="B67" s="1202">
        <f t="shared" si="0"/>
        <v>1</v>
      </c>
      <c r="C67" s="1202">
        <v>0</v>
      </c>
      <c r="D67" s="63">
        <v>1</v>
      </c>
      <c r="E67" s="1819"/>
    </row>
    <row r="68" spans="1:5">
      <c r="A68" s="1825" t="s">
        <v>105</v>
      </c>
      <c r="B68" s="1202">
        <f t="shared" si="0"/>
        <v>2</v>
      </c>
      <c r="C68" s="1202">
        <v>0</v>
      </c>
      <c r="D68" s="63">
        <v>2</v>
      </c>
      <c r="E68" s="1819"/>
    </row>
    <row r="69" spans="1:5">
      <c r="A69" s="1825" t="s">
        <v>105</v>
      </c>
      <c r="B69" s="1202">
        <f t="shared" si="0"/>
        <v>1</v>
      </c>
      <c r="C69" s="1202">
        <v>0</v>
      </c>
      <c r="D69" s="63">
        <v>1</v>
      </c>
      <c r="E69" s="1819"/>
    </row>
    <row r="70" spans="1:5">
      <c r="A70" s="1825" t="s">
        <v>105</v>
      </c>
      <c r="B70" s="1202">
        <f t="shared" ref="B70:B133" si="1">SUM(C70:D70)</f>
        <v>2</v>
      </c>
      <c r="C70" s="1202">
        <v>0</v>
      </c>
      <c r="D70" s="63">
        <v>2</v>
      </c>
      <c r="E70" s="1819"/>
    </row>
    <row r="71" spans="1:5">
      <c r="A71" s="1825" t="s">
        <v>105</v>
      </c>
      <c r="B71" s="1202">
        <f t="shared" si="1"/>
        <v>1</v>
      </c>
      <c r="C71" s="1202">
        <v>0</v>
      </c>
      <c r="D71" s="63">
        <v>1</v>
      </c>
      <c r="E71" s="1819"/>
    </row>
    <row r="72" spans="1:5">
      <c r="A72" s="1825" t="s">
        <v>105</v>
      </c>
      <c r="B72" s="1202">
        <f t="shared" si="1"/>
        <v>1</v>
      </c>
      <c r="C72" s="1202">
        <v>0</v>
      </c>
      <c r="D72" s="63">
        <v>1</v>
      </c>
      <c r="E72" s="1819"/>
    </row>
    <row r="73" spans="1:5">
      <c r="A73" s="1825" t="s">
        <v>105</v>
      </c>
      <c r="B73" s="1202">
        <f t="shared" si="1"/>
        <v>5</v>
      </c>
      <c r="C73" s="1202">
        <v>0</v>
      </c>
      <c r="D73" s="63">
        <v>5</v>
      </c>
      <c r="E73" s="1819"/>
    </row>
    <row r="74" spans="1:5">
      <c r="A74" s="1825" t="s">
        <v>106</v>
      </c>
      <c r="B74" s="1202">
        <f t="shared" si="1"/>
        <v>1</v>
      </c>
      <c r="C74" s="1202">
        <v>0</v>
      </c>
      <c r="D74" s="63">
        <v>1</v>
      </c>
      <c r="E74" s="1819"/>
    </row>
    <row r="75" spans="1:5">
      <c r="A75" s="1825" t="s">
        <v>107</v>
      </c>
      <c r="B75" s="1202">
        <f t="shared" si="1"/>
        <v>1</v>
      </c>
      <c r="C75" s="1202">
        <v>0</v>
      </c>
      <c r="D75" s="1380">
        <v>1</v>
      </c>
      <c r="E75" s="1819"/>
    </row>
    <row r="76" spans="1:5">
      <c r="A76" s="1825" t="s">
        <v>108</v>
      </c>
      <c r="B76" s="1202">
        <f t="shared" si="1"/>
        <v>2</v>
      </c>
      <c r="C76" s="1202">
        <v>0</v>
      </c>
      <c r="D76" s="63">
        <v>2</v>
      </c>
      <c r="E76" s="1819"/>
    </row>
    <row r="77" spans="1:5">
      <c r="A77" s="1825" t="s">
        <v>105</v>
      </c>
      <c r="B77" s="1202">
        <f t="shared" si="1"/>
        <v>2</v>
      </c>
      <c r="C77" s="1202">
        <v>0</v>
      </c>
      <c r="D77" s="63">
        <v>2</v>
      </c>
      <c r="E77" s="1819"/>
    </row>
    <row r="78" spans="1:5">
      <c r="A78" s="1825" t="s">
        <v>109</v>
      </c>
      <c r="B78" s="1202">
        <f t="shared" si="1"/>
        <v>1</v>
      </c>
      <c r="C78" s="1202">
        <v>0</v>
      </c>
      <c r="D78" s="63">
        <v>1</v>
      </c>
      <c r="E78" s="1819"/>
    </row>
    <row r="79" spans="1:5">
      <c r="A79" s="1825" t="s">
        <v>105</v>
      </c>
      <c r="B79" s="1202">
        <f t="shared" si="1"/>
        <v>1</v>
      </c>
      <c r="C79" s="1202">
        <v>0</v>
      </c>
      <c r="D79" s="63">
        <v>1</v>
      </c>
      <c r="E79" s="1819"/>
    </row>
    <row r="80" spans="1:5">
      <c r="A80" s="1825" t="s">
        <v>110</v>
      </c>
      <c r="B80" s="1202">
        <f t="shared" si="1"/>
        <v>1</v>
      </c>
      <c r="C80" s="1202">
        <v>0</v>
      </c>
      <c r="D80" s="63">
        <v>1</v>
      </c>
      <c r="E80" s="1819"/>
    </row>
    <row r="81" spans="1:5">
      <c r="A81" s="1825" t="s">
        <v>111</v>
      </c>
      <c r="B81" s="1202">
        <f t="shared" si="1"/>
        <v>1</v>
      </c>
      <c r="C81" s="1202">
        <v>0</v>
      </c>
      <c r="D81" s="63">
        <v>1</v>
      </c>
      <c r="E81" s="1202"/>
    </row>
    <row r="82" spans="1:5">
      <c r="A82" s="1825" t="s">
        <v>112</v>
      </c>
      <c r="B82" s="1202">
        <f t="shared" si="1"/>
        <v>1</v>
      </c>
      <c r="C82" s="1202">
        <v>0</v>
      </c>
      <c r="D82" s="63">
        <v>1</v>
      </c>
      <c r="E82" s="1819"/>
    </row>
    <row r="83" spans="1:5" s="150" customFormat="1">
      <c r="A83" s="1825" t="s">
        <v>112</v>
      </c>
      <c r="B83" s="1202">
        <f t="shared" si="1"/>
        <v>2</v>
      </c>
      <c r="C83" s="1202">
        <v>0</v>
      </c>
      <c r="D83" s="63">
        <v>2</v>
      </c>
      <c r="E83" s="1819"/>
    </row>
    <row r="84" spans="1:5">
      <c r="A84" s="1825" t="s">
        <v>112</v>
      </c>
      <c r="B84" s="1202">
        <f t="shared" si="1"/>
        <v>4</v>
      </c>
      <c r="C84" s="1202">
        <v>0</v>
      </c>
      <c r="D84" s="63">
        <v>4</v>
      </c>
      <c r="E84" s="1819"/>
    </row>
    <row r="85" spans="1:5">
      <c r="A85" s="1825" t="s">
        <v>113</v>
      </c>
      <c r="B85" s="1202">
        <f t="shared" si="1"/>
        <v>1</v>
      </c>
      <c r="C85" s="1202">
        <v>0</v>
      </c>
      <c r="D85" s="1829">
        <v>1</v>
      </c>
      <c r="E85" s="1819"/>
    </row>
    <row r="86" spans="1:5">
      <c r="A86" s="1825" t="s">
        <v>114</v>
      </c>
      <c r="B86" s="1202">
        <f t="shared" si="1"/>
        <v>1</v>
      </c>
      <c r="C86" s="1202">
        <v>0</v>
      </c>
      <c r="D86" s="63">
        <v>1</v>
      </c>
      <c r="E86" s="1819"/>
    </row>
    <row r="87" spans="1:5">
      <c r="A87" s="1825" t="s">
        <v>115</v>
      </c>
      <c r="B87" s="1202">
        <f t="shared" si="1"/>
        <v>1</v>
      </c>
      <c r="C87" s="1202">
        <v>0</v>
      </c>
      <c r="D87" s="1380">
        <v>1</v>
      </c>
      <c r="E87" s="1819"/>
    </row>
    <row r="88" spans="1:5">
      <c r="A88" s="1825" t="s">
        <v>116</v>
      </c>
      <c r="B88" s="1202">
        <f t="shared" si="1"/>
        <v>1</v>
      </c>
      <c r="C88" s="1202">
        <v>0</v>
      </c>
      <c r="D88" s="63">
        <v>1</v>
      </c>
      <c r="E88" s="1819"/>
    </row>
    <row r="89" spans="1:5">
      <c r="A89" s="1825" t="s">
        <v>105</v>
      </c>
      <c r="B89" s="1202">
        <f t="shared" si="1"/>
        <v>1</v>
      </c>
      <c r="C89" s="1202">
        <v>0</v>
      </c>
      <c r="D89" s="63">
        <v>1</v>
      </c>
      <c r="E89" s="1819"/>
    </row>
    <row r="90" spans="1:5">
      <c r="A90" s="1825" t="s">
        <v>117</v>
      </c>
      <c r="B90" s="1202">
        <f t="shared" si="1"/>
        <v>1</v>
      </c>
      <c r="C90" s="1202">
        <v>0</v>
      </c>
      <c r="D90" s="63">
        <v>1</v>
      </c>
      <c r="E90" s="1819"/>
    </row>
    <row r="91" spans="1:5">
      <c r="A91" s="1825" t="s">
        <v>75</v>
      </c>
      <c r="B91" s="1202">
        <f t="shared" si="1"/>
        <v>1</v>
      </c>
      <c r="C91" s="1202">
        <v>0</v>
      </c>
      <c r="D91" s="63">
        <v>1</v>
      </c>
      <c r="E91" s="1819"/>
    </row>
    <row r="92" spans="1:5">
      <c r="A92" s="1825" t="s">
        <v>118</v>
      </c>
      <c r="B92" s="1202">
        <f t="shared" si="1"/>
        <v>1</v>
      </c>
      <c r="C92" s="1202">
        <v>0</v>
      </c>
      <c r="D92" s="63">
        <v>1</v>
      </c>
      <c r="E92" s="1819"/>
    </row>
    <row r="93" spans="1:5">
      <c r="A93" s="1825" t="s">
        <v>104</v>
      </c>
      <c r="B93" s="1202">
        <f t="shared" si="1"/>
        <v>1</v>
      </c>
      <c r="C93" s="1202">
        <v>0</v>
      </c>
      <c r="D93" s="63">
        <v>1</v>
      </c>
      <c r="E93" s="1819"/>
    </row>
    <row r="94" spans="1:5">
      <c r="A94" s="1825" t="s">
        <v>104</v>
      </c>
      <c r="B94" s="1202">
        <f t="shared" si="1"/>
        <v>1</v>
      </c>
      <c r="C94" s="1202">
        <v>0</v>
      </c>
      <c r="D94" s="63">
        <v>1</v>
      </c>
      <c r="E94" s="1819"/>
    </row>
    <row r="95" spans="1:5">
      <c r="A95" s="1825" t="s">
        <v>119</v>
      </c>
      <c r="B95" s="1202">
        <f t="shared" si="1"/>
        <v>1</v>
      </c>
      <c r="C95" s="1202">
        <v>0</v>
      </c>
      <c r="D95" s="63">
        <v>1</v>
      </c>
      <c r="E95" s="1819"/>
    </row>
    <row r="96" spans="1:5">
      <c r="A96" s="1825" t="s">
        <v>105</v>
      </c>
      <c r="B96" s="1202">
        <f t="shared" si="1"/>
        <v>2</v>
      </c>
      <c r="C96" s="1202">
        <v>0</v>
      </c>
      <c r="D96" s="63">
        <v>2</v>
      </c>
      <c r="E96" s="1819"/>
    </row>
    <row r="97" spans="1:5">
      <c r="A97" s="1825" t="s">
        <v>120</v>
      </c>
      <c r="B97" s="1202">
        <f t="shared" si="1"/>
        <v>1</v>
      </c>
      <c r="C97" s="1202">
        <v>0</v>
      </c>
      <c r="D97" s="63">
        <v>1</v>
      </c>
      <c r="E97" s="1819"/>
    </row>
    <row r="98" spans="1:5">
      <c r="A98" s="1825" t="s">
        <v>121</v>
      </c>
      <c r="B98" s="1202">
        <f t="shared" si="1"/>
        <v>1</v>
      </c>
      <c r="C98" s="1202">
        <v>0</v>
      </c>
      <c r="D98" s="1380">
        <v>1</v>
      </c>
      <c r="E98" s="1819"/>
    </row>
    <row r="99" spans="1:5">
      <c r="A99" s="1825" t="s">
        <v>122</v>
      </c>
      <c r="B99" s="1202">
        <f t="shared" si="1"/>
        <v>2</v>
      </c>
      <c r="C99" s="1202">
        <v>0</v>
      </c>
      <c r="D99" s="63">
        <v>2</v>
      </c>
      <c r="E99" s="1819"/>
    </row>
    <row r="100" spans="1:5">
      <c r="A100" s="1825" t="s">
        <v>123</v>
      </c>
      <c r="B100" s="1202">
        <f t="shared" si="1"/>
        <v>1</v>
      </c>
      <c r="C100" s="1202">
        <v>0</v>
      </c>
      <c r="D100" s="63">
        <v>1</v>
      </c>
      <c r="E100" s="1819"/>
    </row>
    <row r="101" spans="1:5">
      <c r="A101" s="1825" t="s">
        <v>75</v>
      </c>
      <c r="B101" s="1202">
        <f t="shared" si="1"/>
        <v>1</v>
      </c>
      <c r="C101" s="1202">
        <v>0</v>
      </c>
      <c r="D101" s="63">
        <v>1</v>
      </c>
      <c r="E101" s="1819"/>
    </row>
    <row r="102" spans="1:5">
      <c r="A102" s="1825" t="s">
        <v>124</v>
      </c>
      <c r="B102" s="1202">
        <f t="shared" si="1"/>
        <v>1</v>
      </c>
      <c r="C102" s="1202">
        <v>0</v>
      </c>
      <c r="D102" s="63">
        <v>1</v>
      </c>
      <c r="E102" s="1819"/>
    </row>
    <row r="103" spans="1:5">
      <c r="A103" s="1825" t="s">
        <v>125</v>
      </c>
      <c r="B103" s="1202">
        <f t="shared" si="1"/>
        <v>1</v>
      </c>
      <c r="C103" s="1202">
        <v>0</v>
      </c>
      <c r="D103" s="63">
        <v>1</v>
      </c>
      <c r="E103" s="1819"/>
    </row>
    <row r="104" spans="1:5">
      <c r="A104" s="1825" t="s">
        <v>120</v>
      </c>
      <c r="B104" s="1202">
        <f t="shared" si="1"/>
        <v>1</v>
      </c>
      <c r="C104" s="1202">
        <v>0</v>
      </c>
      <c r="D104" s="63">
        <v>1</v>
      </c>
      <c r="E104" s="1819"/>
    </row>
    <row r="105" spans="1:5">
      <c r="A105" s="1825" t="s">
        <v>113</v>
      </c>
      <c r="B105" s="1202">
        <f t="shared" si="1"/>
        <v>2</v>
      </c>
      <c r="C105" s="1202">
        <v>0</v>
      </c>
      <c r="D105" s="63">
        <v>2</v>
      </c>
      <c r="E105" s="1819"/>
    </row>
    <row r="106" spans="1:5">
      <c r="A106" s="1825" t="s">
        <v>126</v>
      </c>
      <c r="B106" s="1202">
        <f t="shared" si="1"/>
        <v>1</v>
      </c>
      <c r="C106" s="1202">
        <v>0</v>
      </c>
      <c r="D106" s="63">
        <v>1</v>
      </c>
      <c r="E106" s="1819"/>
    </row>
    <row r="107" spans="1:5">
      <c r="A107" s="1825" t="s">
        <v>127</v>
      </c>
      <c r="B107" s="1202">
        <f t="shared" si="1"/>
        <v>1</v>
      </c>
      <c r="C107" s="1202">
        <v>0</v>
      </c>
      <c r="D107" s="63">
        <v>1</v>
      </c>
      <c r="E107" s="1202"/>
    </row>
    <row r="108" spans="1:5">
      <c r="A108" s="1825" t="s">
        <v>128</v>
      </c>
      <c r="B108" s="1202">
        <f t="shared" si="1"/>
        <v>10</v>
      </c>
      <c r="C108" s="1202">
        <v>0</v>
      </c>
      <c r="D108" s="63">
        <v>10</v>
      </c>
      <c r="E108" s="1202"/>
    </row>
    <row r="109" spans="1:5" s="150" customFormat="1">
      <c r="A109" s="1825" t="s">
        <v>129</v>
      </c>
      <c r="B109" s="1202">
        <f t="shared" si="1"/>
        <v>1</v>
      </c>
      <c r="C109" s="1202">
        <v>0</v>
      </c>
      <c r="D109" s="63">
        <v>1</v>
      </c>
      <c r="E109" s="1819"/>
    </row>
    <row r="110" spans="1:5" s="150" customFormat="1">
      <c r="A110" s="1825" t="s">
        <v>130</v>
      </c>
      <c r="B110" s="1202">
        <f t="shared" si="1"/>
        <v>2</v>
      </c>
      <c r="C110" s="1202">
        <v>0</v>
      </c>
      <c r="D110" s="63">
        <v>2</v>
      </c>
      <c r="E110" s="1819"/>
    </row>
    <row r="111" spans="1:5">
      <c r="A111" s="1825" t="s">
        <v>131</v>
      </c>
      <c r="B111" s="1202">
        <f t="shared" si="1"/>
        <v>1</v>
      </c>
      <c r="C111" s="1202">
        <v>0</v>
      </c>
      <c r="D111" s="63">
        <v>1</v>
      </c>
      <c r="E111" s="61"/>
    </row>
    <row r="112" spans="1:5">
      <c r="A112" s="1825" t="s">
        <v>118</v>
      </c>
      <c r="B112" s="1202">
        <f t="shared" si="1"/>
        <v>2</v>
      </c>
      <c r="C112" s="1202">
        <v>0</v>
      </c>
      <c r="D112" s="63">
        <v>2</v>
      </c>
      <c r="E112" s="61"/>
    </row>
    <row r="113" spans="1:5">
      <c r="A113" s="1825" t="s">
        <v>132</v>
      </c>
      <c r="B113" s="1202">
        <f t="shared" si="1"/>
        <v>1</v>
      </c>
      <c r="C113" s="1202">
        <v>0</v>
      </c>
      <c r="D113" s="63">
        <v>1</v>
      </c>
      <c r="E113" s="61"/>
    </row>
    <row r="114" spans="1:5">
      <c r="A114" s="1825" t="s">
        <v>119</v>
      </c>
      <c r="B114" s="1202">
        <f t="shared" si="1"/>
        <v>1</v>
      </c>
      <c r="C114" s="1202">
        <v>0</v>
      </c>
      <c r="D114" s="63">
        <v>1</v>
      </c>
      <c r="E114" s="449"/>
    </row>
    <row r="115" spans="1:5">
      <c r="A115" s="1825" t="s">
        <v>133</v>
      </c>
      <c r="B115" s="1202">
        <f t="shared" si="1"/>
        <v>1</v>
      </c>
      <c r="C115" s="1202">
        <v>0</v>
      </c>
      <c r="D115" s="63">
        <v>1</v>
      </c>
      <c r="E115" s="61"/>
    </row>
    <row r="116" spans="1:5">
      <c r="A116" s="1825" t="s">
        <v>134</v>
      </c>
      <c r="B116" s="1202">
        <f t="shared" si="1"/>
        <v>1</v>
      </c>
      <c r="C116" s="1202">
        <v>0</v>
      </c>
      <c r="D116" s="63">
        <v>1</v>
      </c>
      <c r="E116" s="61"/>
    </row>
    <row r="117" spans="1:5">
      <c r="A117" s="1825" t="s">
        <v>135</v>
      </c>
      <c r="B117" s="1202">
        <f t="shared" si="1"/>
        <v>1</v>
      </c>
      <c r="C117" s="1202">
        <v>0</v>
      </c>
      <c r="D117" s="63">
        <v>1</v>
      </c>
      <c r="E117" s="61"/>
    </row>
    <row r="118" spans="1:5">
      <c r="A118" s="1825" t="s">
        <v>136</v>
      </c>
      <c r="B118" s="1202">
        <f t="shared" si="1"/>
        <v>2</v>
      </c>
      <c r="C118" s="1202">
        <v>0</v>
      </c>
      <c r="D118" s="63">
        <v>2</v>
      </c>
      <c r="E118" s="61"/>
    </row>
    <row r="119" spans="1:5">
      <c r="A119" s="1825" t="s">
        <v>134</v>
      </c>
      <c r="B119" s="1202">
        <f t="shared" si="1"/>
        <v>1</v>
      </c>
      <c r="C119" s="1202">
        <v>0</v>
      </c>
      <c r="D119" s="63">
        <v>1</v>
      </c>
      <c r="E119" s="61"/>
    </row>
    <row r="120" spans="1:5">
      <c r="A120" s="1825" t="s">
        <v>137</v>
      </c>
      <c r="B120" s="1202">
        <f t="shared" si="1"/>
        <v>1</v>
      </c>
      <c r="C120" s="1202">
        <v>0</v>
      </c>
      <c r="D120" s="63">
        <v>1</v>
      </c>
      <c r="E120" s="61"/>
    </row>
    <row r="121" spans="1:5">
      <c r="A121" s="1825" t="s">
        <v>124</v>
      </c>
      <c r="B121" s="1202">
        <f t="shared" si="1"/>
        <v>1</v>
      </c>
      <c r="C121" s="1202">
        <v>0</v>
      </c>
      <c r="D121" s="63">
        <v>1</v>
      </c>
      <c r="E121" s="61"/>
    </row>
    <row r="122" spans="1:5">
      <c r="A122" s="1825" t="s">
        <v>134</v>
      </c>
      <c r="B122" s="1202">
        <f t="shared" si="1"/>
        <v>1</v>
      </c>
      <c r="C122" s="1202">
        <v>0</v>
      </c>
      <c r="D122" s="63">
        <v>1</v>
      </c>
      <c r="E122" s="61"/>
    </row>
    <row r="123" spans="1:5">
      <c r="A123" s="1825" t="s">
        <v>134</v>
      </c>
      <c r="B123" s="1202">
        <f t="shared" si="1"/>
        <v>1</v>
      </c>
      <c r="C123" s="1202">
        <v>0</v>
      </c>
      <c r="D123" s="63">
        <v>1</v>
      </c>
      <c r="E123" s="61"/>
    </row>
    <row r="124" spans="1:5">
      <c r="A124" s="1825" t="s">
        <v>104</v>
      </c>
      <c r="B124" s="1202">
        <f t="shared" si="1"/>
        <v>1</v>
      </c>
      <c r="C124" s="1202">
        <v>0</v>
      </c>
      <c r="D124" s="63">
        <v>1</v>
      </c>
      <c r="E124" s="61"/>
    </row>
    <row r="125" spans="1:5">
      <c r="A125" s="1825" t="s">
        <v>138</v>
      </c>
      <c r="B125" s="1202">
        <f t="shared" si="1"/>
        <v>2</v>
      </c>
      <c r="C125" s="1202">
        <v>0</v>
      </c>
      <c r="D125" s="63">
        <v>2</v>
      </c>
      <c r="E125" s="61"/>
    </row>
    <row r="126" spans="1:5">
      <c r="A126" s="1825" t="s">
        <v>105</v>
      </c>
      <c r="B126" s="1202">
        <f t="shared" si="1"/>
        <v>1</v>
      </c>
      <c r="C126" s="1202">
        <v>0</v>
      </c>
      <c r="D126" s="63">
        <v>1</v>
      </c>
      <c r="E126" s="61"/>
    </row>
    <row r="127" spans="1:5">
      <c r="A127" s="60" t="s">
        <v>47</v>
      </c>
      <c r="B127" s="1202">
        <f t="shared" si="1"/>
        <v>26</v>
      </c>
      <c r="C127" s="1202">
        <f>SUM(C128)</f>
        <v>0</v>
      </c>
      <c r="D127" s="1202">
        <f>SUM(D128)</f>
        <v>26</v>
      </c>
      <c r="E127" s="61"/>
    </row>
    <row r="128" spans="1:5">
      <c r="A128" s="1822" t="s">
        <v>139</v>
      </c>
      <c r="B128" s="1202">
        <f t="shared" si="1"/>
        <v>26</v>
      </c>
      <c r="C128" s="1202">
        <f>SUM(C129:C133)</f>
        <v>0</v>
      </c>
      <c r="D128" s="1202">
        <f>SUM(D129:D133)</f>
        <v>26</v>
      </c>
      <c r="E128" s="61"/>
    </row>
    <row r="129" spans="1:5" ht="22.5">
      <c r="A129" s="1825" t="s">
        <v>140</v>
      </c>
      <c r="B129" s="1202">
        <f t="shared" si="1"/>
        <v>21</v>
      </c>
      <c r="C129" s="1202">
        <v>0</v>
      </c>
      <c r="D129" s="63">
        <v>21</v>
      </c>
      <c r="E129" s="61"/>
    </row>
    <row r="130" spans="1:5" ht="22.5">
      <c r="A130" s="1825" t="s">
        <v>140</v>
      </c>
      <c r="B130" s="1202">
        <f t="shared" si="1"/>
        <v>2</v>
      </c>
      <c r="C130" s="1202">
        <v>0</v>
      </c>
      <c r="D130" s="63">
        <v>2</v>
      </c>
      <c r="E130" s="61"/>
    </row>
    <row r="131" spans="1:5">
      <c r="A131" s="1825" t="s">
        <v>141</v>
      </c>
      <c r="B131" s="1202">
        <f t="shared" si="1"/>
        <v>1</v>
      </c>
      <c r="C131" s="1202">
        <v>0</v>
      </c>
      <c r="D131" s="63">
        <v>1</v>
      </c>
      <c r="E131" s="61"/>
    </row>
    <row r="132" spans="1:5">
      <c r="A132" s="1825" t="s">
        <v>142</v>
      </c>
      <c r="B132" s="1202">
        <f t="shared" si="1"/>
        <v>1</v>
      </c>
      <c r="C132" s="1202">
        <v>0</v>
      </c>
      <c r="D132" s="63">
        <v>1</v>
      </c>
      <c r="E132" s="61"/>
    </row>
    <row r="133" spans="1:5">
      <c r="A133" s="1825" t="s">
        <v>143</v>
      </c>
      <c r="B133" s="1202">
        <f t="shared" si="1"/>
        <v>1</v>
      </c>
      <c r="C133" s="1202">
        <v>0</v>
      </c>
      <c r="D133" s="63">
        <v>1</v>
      </c>
      <c r="E133" s="61"/>
    </row>
    <row r="134" spans="1:5">
      <c r="E134" s="61"/>
    </row>
    <row r="135" spans="1:5">
      <c r="A135" s="2104" t="s">
        <v>3808</v>
      </c>
      <c r="B135" s="2104"/>
    </row>
    <row r="136" spans="1:5">
      <c r="A136" s="61" t="s">
        <v>22</v>
      </c>
    </row>
    <row r="137" spans="1:5" ht="22.5" customHeight="1">
      <c r="A137" s="2124" t="s">
        <v>49</v>
      </c>
      <c r="B137" s="2124"/>
      <c r="C137" s="2124"/>
      <c r="D137" s="2124"/>
    </row>
    <row r="138" spans="1:5">
      <c r="A138" s="53"/>
      <c r="B138" s="53"/>
      <c r="C138" s="53"/>
      <c r="D138" s="53"/>
    </row>
  </sheetData>
  <mergeCells count="3">
    <mergeCell ref="A2:D2"/>
    <mergeCell ref="A135:B135"/>
    <mergeCell ref="A137:D137"/>
  </mergeCells>
  <pageMargins left="0.7" right="0.7" top="0.75" bottom="0.75" header="0.3" footer="0.3"/>
</worksheet>
</file>

<file path=xl/worksheets/sheet64.xml><?xml version="1.0" encoding="utf-8"?>
<worksheet xmlns="http://schemas.openxmlformats.org/spreadsheetml/2006/main" xmlns:r="http://schemas.openxmlformats.org/officeDocument/2006/relationships">
  <dimension ref="A1:D28"/>
  <sheetViews>
    <sheetView zoomScaleNormal="100" workbookViewId="0">
      <selection activeCell="E2" sqref="E2"/>
    </sheetView>
  </sheetViews>
  <sheetFormatPr baseColWidth="10" defaultRowHeight="12"/>
  <cols>
    <col min="1" max="1" width="26.28515625" style="50" customWidth="1"/>
    <col min="2" max="2" width="26" style="50" customWidth="1"/>
    <col min="3" max="3" width="26.28515625" style="50" customWidth="1"/>
    <col min="4" max="16384" width="11.42578125" style="50"/>
  </cols>
  <sheetData>
    <row r="1" spans="1:4">
      <c r="A1" s="51"/>
    </row>
    <row r="2" spans="1:4" s="61" customFormat="1" ht="51" customHeight="1">
      <c r="A2" s="2656" t="s">
        <v>977</v>
      </c>
      <c r="B2" s="2656"/>
      <c r="C2" s="2656"/>
      <c r="D2" s="147"/>
    </row>
    <row r="3" spans="1:4" s="61" customFormat="1" ht="11.25">
      <c r="A3" s="185"/>
      <c r="B3" s="185"/>
      <c r="C3" s="185"/>
      <c r="D3" s="185"/>
    </row>
    <row r="4" spans="1:4" s="61" customFormat="1" ht="33.75" customHeight="1">
      <c r="A4" s="2129" t="s">
        <v>171</v>
      </c>
      <c r="B4" s="2119" t="s">
        <v>172</v>
      </c>
      <c r="C4" s="2119"/>
      <c r="D4" s="383"/>
    </row>
    <row r="5" spans="1:4" s="61" customFormat="1" ht="11.25">
      <c r="A5" s="2130"/>
      <c r="B5" s="316" t="s">
        <v>173</v>
      </c>
      <c r="C5" s="316" t="s">
        <v>174</v>
      </c>
      <c r="D5" s="1814"/>
    </row>
    <row r="6" spans="1:4" s="61" customFormat="1" ht="11.25">
      <c r="A6" s="1815" t="s">
        <v>6</v>
      </c>
      <c r="B6" s="1816">
        <f>SUM(B7:B23)</f>
        <v>36</v>
      </c>
      <c r="C6" s="1816">
        <f>SUM(C7:C23)</f>
        <v>48</v>
      </c>
      <c r="D6" s="1817"/>
    </row>
    <row r="7" spans="1:4" s="61" customFormat="1" ht="11.25">
      <c r="A7" s="185" t="s">
        <v>33</v>
      </c>
      <c r="B7" s="1818">
        <v>0</v>
      </c>
      <c r="C7" s="1818">
        <v>1</v>
      </c>
      <c r="D7" s="1813"/>
    </row>
    <row r="8" spans="1:4" s="61" customFormat="1" ht="11.25">
      <c r="A8" s="185" t="s">
        <v>35</v>
      </c>
      <c r="B8" s="1818">
        <v>0</v>
      </c>
      <c r="C8" s="1818">
        <v>1</v>
      </c>
      <c r="D8" s="1813"/>
    </row>
    <row r="9" spans="1:4" s="61" customFormat="1" ht="11.25">
      <c r="A9" s="185" t="s">
        <v>9</v>
      </c>
      <c r="B9" s="1818">
        <v>1</v>
      </c>
      <c r="C9" s="1818">
        <v>0</v>
      </c>
      <c r="D9" s="1813"/>
    </row>
    <row r="10" spans="1:4" s="61" customFormat="1" ht="11.25">
      <c r="A10" s="185" t="s">
        <v>175</v>
      </c>
      <c r="B10" s="1818">
        <v>2</v>
      </c>
      <c r="C10" s="1818">
        <v>4</v>
      </c>
      <c r="D10" s="1813"/>
    </row>
    <row r="11" spans="1:4" s="61" customFormat="1" ht="11.25">
      <c r="A11" s="185" t="s">
        <v>176</v>
      </c>
      <c r="B11" s="1818">
        <v>2</v>
      </c>
      <c r="C11" s="1818">
        <v>3</v>
      </c>
      <c r="D11" s="1813"/>
    </row>
    <row r="12" spans="1:4" s="61" customFormat="1" ht="11.25">
      <c r="A12" s="185" t="s">
        <v>12</v>
      </c>
      <c r="B12" s="1818">
        <v>9</v>
      </c>
      <c r="C12" s="1818">
        <v>12</v>
      </c>
      <c r="D12" s="1813"/>
    </row>
    <row r="13" spans="1:4" s="61" customFormat="1" ht="11.25">
      <c r="A13" s="185" t="s">
        <v>177</v>
      </c>
      <c r="B13" s="1818">
        <v>0</v>
      </c>
      <c r="C13" s="1818">
        <v>2</v>
      </c>
      <c r="D13" s="185"/>
    </row>
    <row r="14" spans="1:4" s="61" customFormat="1" ht="11.25">
      <c r="A14" s="185" t="s">
        <v>178</v>
      </c>
      <c r="B14" s="1818">
        <v>3</v>
      </c>
      <c r="C14" s="1818">
        <v>5</v>
      </c>
      <c r="D14" s="1813"/>
    </row>
    <row r="15" spans="1:4" s="61" customFormat="1" ht="11.25">
      <c r="A15" s="185" t="s">
        <v>179</v>
      </c>
      <c r="B15" s="1818">
        <v>1</v>
      </c>
      <c r="C15" s="1818">
        <v>0</v>
      </c>
      <c r="D15" s="185"/>
    </row>
    <row r="16" spans="1:4" s="61" customFormat="1" ht="11.25">
      <c r="A16" s="185" t="s">
        <v>180</v>
      </c>
      <c r="B16" s="1818">
        <v>2</v>
      </c>
      <c r="C16" s="1818">
        <v>2</v>
      </c>
      <c r="D16" s="1813"/>
    </row>
    <row r="17" spans="1:4" s="61" customFormat="1" ht="11.25">
      <c r="A17" s="185" t="s">
        <v>181</v>
      </c>
      <c r="B17" s="1818">
        <v>0</v>
      </c>
      <c r="C17" s="1818">
        <v>0</v>
      </c>
      <c r="D17" s="1813"/>
    </row>
    <row r="18" spans="1:4" s="61" customFormat="1" ht="11.25">
      <c r="A18" s="185" t="s">
        <v>182</v>
      </c>
      <c r="B18" s="1818">
        <v>1</v>
      </c>
      <c r="C18" s="1818">
        <v>0</v>
      </c>
      <c r="D18" s="1813"/>
    </row>
    <row r="19" spans="1:4" s="61" customFormat="1" ht="11.25">
      <c r="A19" s="185" t="s">
        <v>183</v>
      </c>
      <c r="B19" s="1818">
        <v>2</v>
      </c>
      <c r="C19" s="1818">
        <v>1</v>
      </c>
      <c r="D19" s="1813"/>
    </row>
    <row r="20" spans="1:4" s="61" customFormat="1" ht="11.25">
      <c r="A20" s="185" t="s">
        <v>184</v>
      </c>
      <c r="B20" s="1818">
        <v>1</v>
      </c>
      <c r="C20" s="1818">
        <v>2</v>
      </c>
      <c r="D20" s="185"/>
    </row>
    <row r="21" spans="1:4" s="61" customFormat="1" ht="11.25">
      <c r="A21" s="185" t="s">
        <v>185</v>
      </c>
      <c r="B21" s="1818">
        <v>0</v>
      </c>
      <c r="C21" s="1818">
        <v>1</v>
      </c>
      <c r="D21" s="1813"/>
    </row>
    <row r="22" spans="1:4" s="61" customFormat="1" ht="11.25">
      <c r="A22" s="185" t="s">
        <v>186</v>
      </c>
      <c r="B22" s="1818">
        <v>10</v>
      </c>
      <c r="C22" s="1818">
        <v>10</v>
      </c>
      <c r="D22" s="1813"/>
    </row>
    <row r="23" spans="1:4" s="61" customFormat="1" ht="11.25">
      <c r="A23" s="185" t="s">
        <v>187</v>
      </c>
      <c r="B23" s="1818">
        <v>2</v>
      </c>
      <c r="C23" s="1818">
        <v>4</v>
      </c>
      <c r="D23" s="1813"/>
    </row>
    <row r="24" spans="1:4" s="61" customFormat="1" ht="5.25" customHeight="1">
      <c r="A24" s="185"/>
      <c r="B24" s="1397"/>
      <c r="C24" s="1397"/>
      <c r="D24" s="1813"/>
    </row>
    <row r="25" spans="1:4" s="61" customFormat="1" ht="11.25">
      <c r="A25" s="2131" t="s">
        <v>22</v>
      </c>
      <c r="B25" s="2131"/>
      <c r="C25" s="2131"/>
      <c r="D25" s="1813"/>
    </row>
    <row r="26" spans="1:4" s="61" customFormat="1" ht="11.25">
      <c r="A26" s="2064" t="s">
        <v>188</v>
      </c>
      <c r="B26" s="2064"/>
      <c r="C26" s="2064"/>
      <c r="D26" s="185"/>
    </row>
    <row r="27" spans="1:4" s="61" customFormat="1" ht="11.25">
      <c r="B27" s="185"/>
      <c r="C27" s="185"/>
      <c r="D27" s="185"/>
    </row>
    <row r="28" spans="1:4" s="61" customFormat="1" ht="11.25"/>
  </sheetData>
  <mergeCells count="5">
    <mergeCell ref="A2:C2"/>
    <mergeCell ref="A4:A5"/>
    <mergeCell ref="B4:C4"/>
    <mergeCell ref="A25:C25"/>
    <mergeCell ref="A26:C26"/>
  </mergeCells>
  <pageMargins left="0.7" right="0.7" top="0.75" bottom="0.75" header="0.3" footer="0.3"/>
</worksheet>
</file>

<file path=xl/worksheets/sheet65.xml><?xml version="1.0" encoding="utf-8"?>
<worksheet xmlns="http://schemas.openxmlformats.org/spreadsheetml/2006/main" xmlns:r="http://schemas.openxmlformats.org/officeDocument/2006/relationships">
  <dimension ref="A1:D25"/>
  <sheetViews>
    <sheetView zoomScaleNormal="100" workbookViewId="0">
      <selection activeCell="A29" sqref="A29"/>
    </sheetView>
  </sheetViews>
  <sheetFormatPr baseColWidth="10" defaultRowHeight="11.25"/>
  <cols>
    <col min="1" max="1" width="37.140625" style="117" customWidth="1"/>
    <col min="2" max="2" width="23.7109375" style="117" customWidth="1"/>
    <col min="3" max="16384" width="11.42578125" style="117"/>
  </cols>
  <sheetData>
    <row r="1" spans="1:2">
      <c r="A1" s="134"/>
    </row>
    <row r="2" spans="1:2" ht="25.5" customHeight="1">
      <c r="A2" s="2033" t="s">
        <v>4616</v>
      </c>
      <c r="B2" s="2033"/>
    </row>
    <row r="4" spans="1:2" ht="33.75" customHeight="1">
      <c r="A4" s="1806" t="s">
        <v>171</v>
      </c>
      <c r="B4" s="1806" t="s">
        <v>189</v>
      </c>
    </row>
    <row r="5" spans="1:2" s="115" customFormat="1">
      <c r="A5" s="115" t="s">
        <v>6</v>
      </c>
      <c r="B5" s="1314">
        <f>SUM(B6:B22)</f>
        <v>46</v>
      </c>
    </row>
    <row r="6" spans="1:2">
      <c r="A6" s="117" t="s">
        <v>33</v>
      </c>
      <c r="B6" s="1807">
        <v>0</v>
      </c>
    </row>
    <row r="7" spans="1:2">
      <c r="A7" s="117" t="s">
        <v>35</v>
      </c>
      <c r="B7" s="1807">
        <v>0</v>
      </c>
    </row>
    <row r="8" spans="1:2">
      <c r="A8" s="117" t="s">
        <v>9</v>
      </c>
      <c r="B8" s="1807">
        <v>4</v>
      </c>
    </row>
    <row r="9" spans="1:2">
      <c r="A9" s="117" t="s">
        <v>175</v>
      </c>
      <c r="B9" s="1807">
        <v>2</v>
      </c>
    </row>
    <row r="10" spans="1:2">
      <c r="A10" s="117" t="s">
        <v>176</v>
      </c>
      <c r="B10" s="1807">
        <v>2</v>
      </c>
    </row>
    <row r="11" spans="1:2">
      <c r="A11" s="117" t="s">
        <v>12</v>
      </c>
      <c r="B11" s="1807">
        <v>11</v>
      </c>
    </row>
    <row r="12" spans="1:2">
      <c r="A12" s="117" t="s">
        <v>186</v>
      </c>
      <c r="B12" s="1807">
        <v>15</v>
      </c>
    </row>
    <row r="13" spans="1:2">
      <c r="A13" s="117" t="s">
        <v>187</v>
      </c>
      <c r="B13" s="1807">
        <v>2</v>
      </c>
    </row>
    <row r="14" spans="1:2">
      <c r="A14" s="117" t="s">
        <v>177</v>
      </c>
      <c r="B14" s="1807">
        <v>0</v>
      </c>
    </row>
    <row r="15" spans="1:2">
      <c r="A15" s="117" t="s">
        <v>178</v>
      </c>
      <c r="B15" s="1807">
        <v>2</v>
      </c>
    </row>
    <row r="16" spans="1:2">
      <c r="A16" s="117" t="s">
        <v>179</v>
      </c>
      <c r="B16" s="1807">
        <v>1</v>
      </c>
    </row>
    <row r="17" spans="1:4">
      <c r="A17" s="117" t="s">
        <v>180</v>
      </c>
      <c r="B17" s="1807">
        <v>2</v>
      </c>
    </row>
    <row r="18" spans="1:4">
      <c r="A18" s="117" t="s">
        <v>181</v>
      </c>
      <c r="B18" s="1807">
        <v>0</v>
      </c>
    </row>
    <row r="19" spans="1:4">
      <c r="A19" s="117" t="s">
        <v>182</v>
      </c>
      <c r="B19" s="1807">
        <v>1</v>
      </c>
    </row>
    <row r="20" spans="1:4">
      <c r="A20" s="117" t="s">
        <v>183</v>
      </c>
      <c r="B20" s="1807">
        <v>3</v>
      </c>
    </row>
    <row r="21" spans="1:4">
      <c r="A21" s="117" t="s">
        <v>184</v>
      </c>
      <c r="B21" s="1807">
        <v>1</v>
      </c>
    </row>
    <row r="22" spans="1:4">
      <c r="A22" s="117" t="s">
        <v>185</v>
      </c>
      <c r="B22" s="1807">
        <v>0</v>
      </c>
    </row>
    <row r="24" spans="1:4" s="61" customFormat="1">
      <c r="A24" s="2131" t="s">
        <v>22</v>
      </c>
      <c r="B24" s="2131"/>
      <c r="C24" s="2131"/>
      <c r="D24" s="1813"/>
    </row>
    <row r="25" spans="1:4">
      <c r="A25" s="117" t="s">
        <v>188</v>
      </c>
    </row>
  </sheetData>
  <mergeCells count="2">
    <mergeCell ref="A2:B2"/>
    <mergeCell ref="A24:C24"/>
  </mergeCells>
  <pageMargins left="0.7" right="0.7" top="0.75" bottom="0.75" header="0.3" footer="0.3"/>
</worksheet>
</file>

<file path=xl/worksheets/sheet66.xml><?xml version="1.0" encoding="utf-8"?>
<worksheet xmlns="http://schemas.openxmlformats.org/spreadsheetml/2006/main" xmlns:r="http://schemas.openxmlformats.org/officeDocument/2006/relationships">
  <dimension ref="A2:G31"/>
  <sheetViews>
    <sheetView zoomScaleNormal="100" workbookViewId="0"/>
  </sheetViews>
  <sheetFormatPr baseColWidth="10" defaultRowHeight="11.25"/>
  <cols>
    <col min="1" max="1" width="27.42578125" style="117" customWidth="1"/>
    <col min="2" max="16384" width="11.42578125" style="117"/>
  </cols>
  <sheetData>
    <row r="2" spans="1:7" ht="33" customHeight="1">
      <c r="A2" s="2028" t="s">
        <v>978</v>
      </c>
      <c r="B2" s="2028"/>
      <c r="C2" s="2028"/>
      <c r="D2" s="2028"/>
      <c r="E2" s="2028"/>
      <c r="F2" s="2028"/>
      <c r="G2" s="2028"/>
    </row>
    <row r="3" spans="1:7" ht="10.5" customHeight="1">
      <c r="B3" s="2027"/>
      <c r="C3" s="2027"/>
      <c r="D3" s="2027"/>
    </row>
    <row r="4" spans="1:7" ht="25.5" customHeight="1">
      <c r="A4" s="154" t="s">
        <v>676</v>
      </c>
      <c r="B4" s="154" t="s">
        <v>3314</v>
      </c>
      <c r="C4" s="154" t="s">
        <v>3315</v>
      </c>
      <c r="D4" s="154" t="s">
        <v>3316</v>
      </c>
      <c r="E4" s="154" t="s">
        <v>3317</v>
      </c>
      <c r="F4" s="1812" t="s">
        <v>3318</v>
      </c>
      <c r="G4" s="154">
        <v>2014</v>
      </c>
    </row>
    <row r="5" spans="1:7" s="115" customFormat="1">
      <c r="A5" s="115" t="s">
        <v>6</v>
      </c>
      <c r="B5" s="1809">
        <f t="shared" ref="B5:G5" si="0">SUM(B6:B23)</f>
        <v>33</v>
      </c>
      <c r="C5" s="1809">
        <f t="shared" si="0"/>
        <v>31</v>
      </c>
      <c r="D5" s="1809">
        <f t="shared" si="0"/>
        <v>123</v>
      </c>
      <c r="E5" s="1809">
        <f t="shared" si="0"/>
        <v>119</v>
      </c>
      <c r="F5" s="1809">
        <f t="shared" si="0"/>
        <v>129</v>
      </c>
      <c r="G5" s="1809">
        <f t="shared" si="0"/>
        <v>139</v>
      </c>
    </row>
    <row r="6" spans="1:7" ht="10.5" customHeight="1">
      <c r="A6" s="117" t="s">
        <v>7</v>
      </c>
      <c r="B6" s="1810">
        <v>4</v>
      </c>
      <c r="C6" s="1810">
        <v>8</v>
      </c>
      <c r="D6" s="1811">
        <v>8</v>
      </c>
      <c r="E6" s="1811">
        <v>11</v>
      </c>
      <c r="F6" s="1811">
        <v>8</v>
      </c>
      <c r="G6" s="1811">
        <v>7</v>
      </c>
    </row>
    <row r="7" spans="1:7" ht="10.5" customHeight="1">
      <c r="A7" s="117" t="s">
        <v>8</v>
      </c>
      <c r="B7" s="1810">
        <v>10</v>
      </c>
      <c r="C7" s="1810">
        <v>0</v>
      </c>
      <c r="D7" s="1811">
        <v>2</v>
      </c>
      <c r="E7" s="1811">
        <v>1</v>
      </c>
      <c r="F7" s="1811">
        <v>3</v>
      </c>
      <c r="G7" s="1811">
        <v>0</v>
      </c>
    </row>
    <row r="8" spans="1:7" ht="10.5" customHeight="1">
      <c r="A8" s="117" t="s">
        <v>9</v>
      </c>
      <c r="B8" s="1810">
        <v>1</v>
      </c>
      <c r="C8" s="1810">
        <v>6</v>
      </c>
      <c r="D8" s="1811">
        <v>11</v>
      </c>
      <c r="E8" s="1811">
        <v>3</v>
      </c>
      <c r="F8" s="1811">
        <v>5</v>
      </c>
      <c r="G8" s="1811">
        <v>4</v>
      </c>
    </row>
    <row r="9" spans="1:7" ht="10.5" customHeight="1">
      <c r="A9" s="117" t="s">
        <v>10</v>
      </c>
      <c r="B9" s="1810">
        <v>4</v>
      </c>
      <c r="C9" s="1810">
        <v>2</v>
      </c>
      <c r="D9" s="1811">
        <v>7</v>
      </c>
      <c r="E9" s="1811">
        <v>3</v>
      </c>
      <c r="F9" s="1811">
        <v>9</v>
      </c>
      <c r="G9" s="1811">
        <v>14</v>
      </c>
    </row>
    <row r="10" spans="1:7" ht="10.5" customHeight="1">
      <c r="A10" s="117" t="s">
        <v>11</v>
      </c>
      <c r="B10" s="1810">
        <v>1</v>
      </c>
      <c r="C10" s="1810">
        <v>3</v>
      </c>
      <c r="D10" s="1811">
        <v>14</v>
      </c>
      <c r="E10" s="1811">
        <v>11</v>
      </c>
      <c r="F10" s="1811">
        <v>23</v>
      </c>
      <c r="G10" s="1811">
        <v>9</v>
      </c>
    </row>
    <row r="11" spans="1:7" ht="10.5" customHeight="1">
      <c r="A11" s="117" t="s">
        <v>12</v>
      </c>
      <c r="B11" s="1810">
        <v>3</v>
      </c>
      <c r="C11" s="1810">
        <v>4</v>
      </c>
      <c r="D11" s="1811">
        <v>21</v>
      </c>
      <c r="E11" s="1811">
        <v>22</v>
      </c>
      <c r="F11" s="1811">
        <v>19</v>
      </c>
      <c r="G11" s="1811">
        <v>20</v>
      </c>
    </row>
    <row r="12" spans="1:7" ht="10.5" customHeight="1">
      <c r="A12" s="117" t="s">
        <v>3306</v>
      </c>
      <c r="B12" s="1810">
        <v>0</v>
      </c>
      <c r="C12" s="1810">
        <v>1</v>
      </c>
      <c r="D12" s="1811">
        <v>8</v>
      </c>
      <c r="E12" s="1811">
        <v>10</v>
      </c>
      <c r="F12" s="1811">
        <v>15</v>
      </c>
      <c r="G12" s="1811">
        <v>40</v>
      </c>
    </row>
    <row r="13" spans="1:7" ht="10.5" customHeight="1">
      <c r="A13" s="117" t="s">
        <v>3307</v>
      </c>
      <c r="B13" s="1810">
        <v>2</v>
      </c>
      <c r="C13" s="1810">
        <v>4</v>
      </c>
      <c r="D13" s="1811">
        <v>12</v>
      </c>
      <c r="E13" s="1811">
        <v>12</v>
      </c>
      <c r="F13" s="1811">
        <v>8</v>
      </c>
      <c r="G13" s="1811">
        <v>10</v>
      </c>
    </row>
    <row r="14" spans="1:7" ht="10.5" customHeight="1">
      <c r="A14" s="117" t="s">
        <v>3308</v>
      </c>
      <c r="B14" s="1810">
        <v>1</v>
      </c>
      <c r="C14" s="1810">
        <v>0</v>
      </c>
      <c r="D14" s="1811">
        <v>3</v>
      </c>
      <c r="E14" s="1811">
        <v>7</v>
      </c>
      <c r="F14" s="1811">
        <v>5</v>
      </c>
      <c r="G14" s="1811">
        <v>2</v>
      </c>
    </row>
    <row r="15" spans="1:7" ht="10.5" customHeight="1">
      <c r="A15" s="117" t="s">
        <v>3309</v>
      </c>
      <c r="B15" s="1810">
        <v>3</v>
      </c>
      <c r="C15" s="1810">
        <v>0</v>
      </c>
      <c r="D15" s="1811">
        <v>3</v>
      </c>
      <c r="E15" s="1811">
        <v>2</v>
      </c>
      <c r="F15" s="1811">
        <v>4</v>
      </c>
      <c r="G15" s="1811">
        <v>2</v>
      </c>
    </row>
    <row r="16" spans="1:7" ht="12" customHeight="1">
      <c r="A16" s="117" t="s">
        <v>14</v>
      </c>
      <c r="B16" s="1810">
        <v>1</v>
      </c>
      <c r="C16" s="1810">
        <v>0</v>
      </c>
      <c r="D16" s="1811">
        <v>3</v>
      </c>
      <c r="E16" s="1811">
        <v>5</v>
      </c>
      <c r="F16" s="1811">
        <v>1</v>
      </c>
      <c r="G16" s="1811">
        <v>2</v>
      </c>
    </row>
    <row r="17" spans="1:7" ht="10.5" customHeight="1">
      <c r="A17" s="117" t="s">
        <v>15</v>
      </c>
      <c r="B17" s="1810">
        <v>1</v>
      </c>
      <c r="C17" s="1810">
        <v>0</v>
      </c>
      <c r="D17" s="1811">
        <v>5</v>
      </c>
      <c r="E17" s="1811">
        <v>7</v>
      </c>
      <c r="F17" s="1811">
        <v>11</v>
      </c>
      <c r="G17" s="1811">
        <v>9</v>
      </c>
    </row>
    <row r="18" spans="1:7" ht="10.5" customHeight="1">
      <c r="A18" s="117" t="s">
        <v>16</v>
      </c>
      <c r="B18" s="1810">
        <v>0</v>
      </c>
      <c r="C18" s="1810">
        <v>1</v>
      </c>
      <c r="D18" s="1811">
        <v>8</v>
      </c>
      <c r="E18" s="1811">
        <v>6</v>
      </c>
      <c r="F18" s="1811">
        <v>4</v>
      </c>
      <c r="G18" s="1811">
        <v>9</v>
      </c>
    </row>
    <row r="19" spans="1:7" ht="10.5" customHeight="1">
      <c r="A19" s="117" t="s">
        <v>379</v>
      </c>
      <c r="B19" s="1810">
        <v>1</v>
      </c>
      <c r="C19" s="1810">
        <v>1</v>
      </c>
      <c r="D19" s="1811">
        <v>6</v>
      </c>
      <c r="E19" s="1811">
        <v>4</v>
      </c>
      <c r="F19" s="1811">
        <v>3</v>
      </c>
      <c r="G19" s="1811">
        <v>4</v>
      </c>
    </row>
    <row r="20" spans="1:7" ht="10.5" customHeight="1">
      <c r="A20" s="117" t="s">
        <v>18</v>
      </c>
      <c r="B20" s="1810">
        <v>1</v>
      </c>
      <c r="C20" s="1810">
        <v>0</v>
      </c>
      <c r="D20" s="1811">
        <v>8</v>
      </c>
      <c r="E20" s="1811">
        <v>6</v>
      </c>
      <c r="F20" s="1811">
        <v>4</v>
      </c>
      <c r="G20" s="1811">
        <v>2</v>
      </c>
    </row>
    <row r="21" spans="1:7" ht="10.5" customHeight="1">
      <c r="A21" s="117" t="s">
        <v>19</v>
      </c>
      <c r="B21" s="1810">
        <v>0</v>
      </c>
      <c r="C21" s="1810">
        <v>0</v>
      </c>
      <c r="D21" s="1811">
        <v>1</v>
      </c>
      <c r="E21" s="1811">
        <v>6</v>
      </c>
      <c r="F21" s="1811">
        <v>1</v>
      </c>
      <c r="G21" s="1811">
        <v>4</v>
      </c>
    </row>
    <row r="22" spans="1:7" ht="10.5" customHeight="1">
      <c r="A22" s="117" t="s">
        <v>20</v>
      </c>
      <c r="B22" s="1810">
        <v>0</v>
      </c>
      <c r="C22" s="1810">
        <v>1</v>
      </c>
      <c r="D22" s="1811">
        <v>1</v>
      </c>
      <c r="E22" s="1811">
        <v>0</v>
      </c>
      <c r="F22" s="1811">
        <v>1</v>
      </c>
      <c r="G22" s="1811">
        <v>1</v>
      </c>
    </row>
    <row r="23" spans="1:7" ht="10.5" customHeight="1">
      <c r="A23" s="117" t="s">
        <v>21</v>
      </c>
      <c r="B23" s="1810">
        <v>0</v>
      </c>
      <c r="C23" s="1810">
        <v>0</v>
      </c>
      <c r="D23" s="1811">
        <v>2</v>
      </c>
      <c r="E23" s="1811">
        <v>3</v>
      </c>
      <c r="F23" s="1811">
        <v>5</v>
      </c>
      <c r="G23" s="1811">
        <v>0</v>
      </c>
    </row>
    <row r="24" spans="1:7" ht="5.25" customHeight="1"/>
    <row r="25" spans="1:7">
      <c r="A25" s="2027" t="s">
        <v>3806</v>
      </c>
      <c r="B25" s="2027"/>
      <c r="C25" s="2027"/>
      <c r="D25" s="2027"/>
      <c r="E25" s="2027"/>
      <c r="F25" s="2027"/>
    </row>
    <row r="26" spans="1:7">
      <c r="A26" s="117" t="s">
        <v>3802</v>
      </c>
    </row>
    <row r="27" spans="1:7">
      <c r="A27" s="117" t="s">
        <v>3803</v>
      </c>
    </row>
    <row r="28" spans="1:7">
      <c r="A28" s="117" t="s">
        <v>3804</v>
      </c>
    </row>
    <row r="29" spans="1:7">
      <c r="A29" s="117" t="s">
        <v>3805</v>
      </c>
    </row>
    <row r="30" spans="1:7">
      <c r="A30" s="2027" t="s">
        <v>22</v>
      </c>
      <c r="B30" s="2027"/>
      <c r="C30" s="2027"/>
      <c r="D30" s="2027"/>
      <c r="E30" s="2027"/>
      <c r="F30" s="2027"/>
    </row>
    <row r="31" spans="1:7">
      <c r="A31" s="2027" t="s">
        <v>677</v>
      </c>
      <c r="B31" s="2027"/>
      <c r="C31" s="2027"/>
      <c r="D31" s="2027"/>
      <c r="E31" s="2027"/>
      <c r="F31" s="2027"/>
    </row>
  </sheetData>
  <mergeCells count="5">
    <mergeCell ref="A2:G2"/>
    <mergeCell ref="B3:D3"/>
    <mergeCell ref="A25:F25"/>
    <mergeCell ref="A30:F30"/>
    <mergeCell ref="A31:F31"/>
  </mergeCells>
  <pageMargins left="0.7" right="0.7" top="0.75" bottom="0.75" header="0.3" footer="0.3"/>
</worksheet>
</file>

<file path=xl/worksheets/sheet67.xml><?xml version="1.0" encoding="utf-8"?>
<worksheet xmlns="http://schemas.openxmlformats.org/spreadsheetml/2006/main" xmlns:r="http://schemas.openxmlformats.org/officeDocument/2006/relationships">
  <dimension ref="A2:G31"/>
  <sheetViews>
    <sheetView zoomScaleNormal="100" workbookViewId="0"/>
  </sheetViews>
  <sheetFormatPr baseColWidth="10" defaultRowHeight="11.25"/>
  <cols>
    <col min="1" max="1" width="24.42578125" style="117" customWidth="1"/>
    <col min="2" max="16384" width="11.42578125" style="117"/>
  </cols>
  <sheetData>
    <row r="2" spans="1:7" ht="39" customHeight="1">
      <c r="A2" s="2033" t="s">
        <v>979</v>
      </c>
      <c r="B2" s="2033"/>
      <c r="C2" s="2033"/>
      <c r="D2" s="2033"/>
      <c r="E2" s="2033"/>
      <c r="F2" s="2033"/>
      <c r="G2" s="2033"/>
    </row>
    <row r="3" spans="1:7">
      <c r="B3" s="2027"/>
      <c r="C3" s="2027"/>
      <c r="D3" s="2027"/>
    </row>
    <row r="4" spans="1:7" ht="22.5" customHeight="1">
      <c r="A4" s="1806" t="s">
        <v>676</v>
      </c>
      <c r="B4" s="1806" t="s">
        <v>3314</v>
      </c>
      <c r="C4" s="1806" t="s">
        <v>3315</v>
      </c>
      <c r="D4" s="1806" t="s">
        <v>3316</v>
      </c>
      <c r="E4" s="1806" t="s">
        <v>3317</v>
      </c>
      <c r="F4" s="1808" t="s">
        <v>3318</v>
      </c>
      <c r="G4" s="1806">
        <v>2014</v>
      </c>
    </row>
    <row r="5" spans="1:7" s="115" customFormat="1">
      <c r="A5" s="115" t="s">
        <v>6</v>
      </c>
      <c r="B5" s="1809">
        <f t="shared" ref="B5:G5" si="0">SUM(B6:B23)</f>
        <v>60</v>
      </c>
      <c r="C5" s="1809">
        <f t="shared" si="0"/>
        <v>46</v>
      </c>
      <c r="D5" s="1809">
        <f t="shared" si="0"/>
        <v>162</v>
      </c>
      <c r="E5" s="1809">
        <f t="shared" si="0"/>
        <v>140</v>
      </c>
      <c r="F5" s="1809">
        <f t="shared" si="0"/>
        <v>145</v>
      </c>
      <c r="G5" s="1809">
        <f t="shared" si="0"/>
        <v>145</v>
      </c>
    </row>
    <row r="6" spans="1:7">
      <c r="A6" s="117" t="s">
        <v>7</v>
      </c>
      <c r="B6" s="1810">
        <v>6</v>
      </c>
      <c r="C6" s="1810">
        <v>7</v>
      </c>
      <c r="D6" s="1811">
        <v>7</v>
      </c>
      <c r="E6" s="1811">
        <v>10</v>
      </c>
      <c r="F6" s="1811">
        <v>5</v>
      </c>
      <c r="G6" s="1811">
        <v>3</v>
      </c>
    </row>
    <row r="7" spans="1:7">
      <c r="A7" s="117" t="s">
        <v>8</v>
      </c>
      <c r="B7" s="1810">
        <v>10</v>
      </c>
      <c r="C7" s="1810">
        <v>0</v>
      </c>
      <c r="D7" s="1811">
        <v>2</v>
      </c>
      <c r="E7" s="1811">
        <v>1</v>
      </c>
      <c r="F7" s="1811">
        <v>3</v>
      </c>
      <c r="G7" s="1811">
        <v>0</v>
      </c>
    </row>
    <row r="8" spans="1:7">
      <c r="A8" s="117" t="s">
        <v>9</v>
      </c>
      <c r="B8" s="1810">
        <v>7</v>
      </c>
      <c r="C8" s="1810">
        <v>7</v>
      </c>
      <c r="D8" s="1811">
        <v>13</v>
      </c>
      <c r="E8" s="1811">
        <v>4</v>
      </c>
      <c r="F8" s="1811">
        <v>6</v>
      </c>
      <c r="G8" s="1811">
        <v>6</v>
      </c>
    </row>
    <row r="9" spans="1:7">
      <c r="A9" s="117" t="s">
        <v>10</v>
      </c>
      <c r="B9" s="1810">
        <v>10</v>
      </c>
      <c r="C9" s="1810">
        <v>7</v>
      </c>
      <c r="D9" s="1811">
        <v>7</v>
      </c>
      <c r="E9" s="1811">
        <v>4</v>
      </c>
      <c r="F9" s="1811">
        <v>7</v>
      </c>
      <c r="G9" s="1811">
        <v>10</v>
      </c>
    </row>
    <row r="10" spans="1:7">
      <c r="A10" s="117" t="s">
        <v>11</v>
      </c>
      <c r="B10" s="1810">
        <v>4</v>
      </c>
      <c r="C10" s="1810">
        <v>4</v>
      </c>
      <c r="D10" s="1811">
        <v>21</v>
      </c>
      <c r="E10" s="1811">
        <v>11</v>
      </c>
      <c r="F10" s="1811">
        <v>25</v>
      </c>
      <c r="G10" s="1811">
        <v>11</v>
      </c>
    </row>
    <row r="11" spans="1:7">
      <c r="A11" s="117" t="s">
        <v>12</v>
      </c>
      <c r="B11" s="1810">
        <v>6</v>
      </c>
      <c r="C11" s="1810">
        <v>4</v>
      </c>
      <c r="D11" s="1811">
        <v>34</v>
      </c>
      <c r="E11" s="1811">
        <v>25</v>
      </c>
      <c r="F11" s="1811">
        <v>21</v>
      </c>
      <c r="G11" s="1811">
        <v>33</v>
      </c>
    </row>
    <row r="12" spans="1:7" ht="10.5" customHeight="1">
      <c r="A12" s="117" t="s">
        <v>3306</v>
      </c>
      <c r="B12" s="1810">
        <v>1</v>
      </c>
      <c r="C12" s="1810">
        <v>2</v>
      </c>
      <c r="D12" s="1811">
        <v>16</v>
      </c>
      <c r="E12" s="1811">
        <v>12</v>
      </c>
      <c r="F12" s="1811">
        <v>18</v>
      </c>
      <c r="G12" s="1811">
        <v>39</v>
      </c>
    </row>
    <row r="13" spans="1:7" ht="10.5" customHeight="1">
      <c r="A13" s="117" t="s">
        <v>3307</v>
      </c>
      <c r="B13" s="1810">
        <v>5</v>
      </c>
      <c r="C13" s="1810">
        <v>4</v>
      </c>
      <c r="D13" s="1811">
        <v>14</v>
      </c>
      <c r="E13" s="1811">
        <v>19</v>
      </c>
      <c r="F13" s="1811">
        <v>8</v>
      </c>
      <c r="G13" s="1811">
        <v>15</v>
      </c>
    </row>
    <row r="14" spans="1:7" ht="10.5" customHeight="1">
      <c r="A14" s="117" t="s">
        <v>3308</v>
      </c>
      <c r="B14" s="1810">
        <v>1</v>
      </c>
      <c r="C14" s="1810">
        <v>0</v>
      </c>
      <c r="D14" s="1811">
        <v>3</v>
      </c>
      <c r="E14" s="1811">
        <v>9</v>
      </c>
      <c r="F14" s="1811">
        <v>16</v>
      </c>
      <c r="G14" s="1811">
        <v>2</v>
      </c>
    </row>
    <row r="15" spans="1:7" ht="10.5" customHeight="1">
      <c r="A15" s="117" t="s">
        <v>3309</v>
      </c>
      <c r="B15" s="1810">
        <v>4</v>
      </c>
      <c r="C15" s="1810">
        <v>1</v>
      </c>
      <c r="D15" s="1811">
        <v>3</v>
      </c>
      <c r="E15" s="1811">
        <v>2</v>
      </c>
      <c r="F15" s="1811">
        <v>5</v>
      </c>
      <c r="G15" s="1811">
        <v>3</v>
      </c>
    </row>
    <row r="16" spans="1:7">
      <c r="A16" s="117" t="s">
        <v>14</v>
      </c>
      <c r="B16" s="1810">
        <v>3</v>
      </c>
      <c r="C16" s="1810">
        <v>0</v>
      </c>
      <c r="D16" s="1811">
        <v>3</v>
      </c>
      <c r="E16" s="1811">
        <v>7</v>
      </c>
      <c r="F16" s="1811">
        <v>1</v>
      </c>
      <c r="G16" s="1811">
        <v>1</v>
      </c>
    </row>
    <row r="17" spans="1:7">
      <c r="A17" s="117" t="s">
        <v>15</v>
      </c>
      <c r="B17" s="1810">
        <v>1</v>
      </c>
      <c r="C17" s="1810">
        <v>0</v>
      </c>
      <c r="D17" s="1811">
        <v>7</v>
      </c>
      <c r="E17" s="1811">
        <v>11</v>
      </c>
      <c r="F17" s="1811">
        <v>11</v>
      </c>
      <c r="G17" s="1811">
        <v>7</v>
      </c>
    </row>
    <row r="18" spans="1:7">
      <c r="A18" s="117" t="s">
        <v>16</v>
      </c>
      <c r="B18" s="1810">
        <v>0</v>
      </c>
      <c r="C18" s="1810">
        <v>1</v>
      </c>
      <c r="D18" s="1811">
        <v>10</v>
      </c>
      <c r="E18" s="1811">
        <v>6</v>
      </c>
      <c r="F18" s="1811">
        <v>3</v>
      </c>
      <c r="G18" s="1811">
        <v>7</v>
      </c>
    </row>
    <row r="19" spans="1:7">
      <c r="A19" s="117" t="s">
        <v>379</v>
      </c>
      <c r="B19" s="1810">
        <v>1</v>
      </c>
      <c r="C19" s="1810">
        <v>7</v>
      </c>
      <c r="D19" s="1811">
        <v>8</v>
      </c>
      <c r="E19" s="1811">
        <v>4</v>
      </c>
      <c r="F19" s="1811">
        <v>5</v>
      </c>
      <c r="G19" s="1811">
        <v>3</v>
      </c>
    </row>
    <row r="20" spans="1:7">
      <c r="A20" s="117" t="s">
        <v>18</v>
      </c>
      <c r="B20" s="1810">
        <v>1</v>
      </c>
      <c r="C20" s="1810">
        <v>1</v>
      </c>
      <c r="D20" s="1811">
        <v>10</v>
      </c>
      <c r="E20" s="1811">
        <v>6</v>
      </c>
      <c r="F20" s="1811">
        <v>4</v>
      </c>
      <c r="G20" s="1811">
        <v>0</v>
      </c>
    </row>
    <row r="21" spans="1:7">
      <c r="A21" s="117" t="s">
        <v>19</v>
      </c>
      <c r="B21" s="1810">
        <v>0</v>
      </c>
      <c r="C21" s="1810">
        <v>0</v>
      </c>
      <c r="D21" s="1811">
        <v>1</v>
      </c>
      <c r="E21" s="1811">
        <v>6</v>
      </c>
      <c r="F21" s="1811">
        <v>1</v>
      </c>
      <c r="G21" s="1811">
        <v>4</v>
      </c>
    </row>
    <row r="22" spans="1:7" ht="10.5" customHeight="1">
      <c r="A22" s="117" t="s">
        <v>20</v>
      </c>
      <c r="B22" s="1810">
        <v>0</v>
      </c>
      <c r="C22" s="1810">
        <v>1</v>
      </c>
      <c r="D22" s="1811">
        <v>1</v>
      </c>
      <c r="E22" s="1811">
        <v>0</v>
      </c>
      <c r="F22" s="1811">
        <v>1</v>
      </c>
      <c r="G22" s="1811">
        <v>1</v>
      </c>
    </row>
    <row r="23" spans="1:7" ht="10.5" customHeight="1">
      <c r="A23" s="117" t="s">
        <v>21</v>
      </c>
      <c r="B23" s="1810">
        <v>0</v>
      </c>
      <c r="C23" s="1810">
        <v>0</v>
      </c>
      <c r="D23" s="1811">
        <v>2</v>
      </c>
      <c r="E23" s="1811">
        <v>3</v>
      </c>
      <c r="F23" s="1811">
        <v>5</v>
      </c>
      <c r="G23" s="1811">
        <v>0</v>
      </c>
    </row>
    <row r="24" spans="1:7" ht="7.5" customHeight="1"/>
    <row r="25" spans="1:7">
      <c r="A25" s="2027" t="s">
        <v>3319</v>
      </c>
      <c r="B25" s="2027"/>
      <c r="C25" s="2027"/>
      <c r="D25" s="2027"/>
      <c r="E25" s="2027"/>
      <c r="F25" s="2027"/>
    </row>
    <row r="26" spans="1:7">
      <c r="A26" s="117" t="s">
        <v>3802</v>
      </c>
    </row>
    <row r="27" spans="1:7">
      <c r="A27" s="117" t="s">
        <v>3803</v>
      </c>
    </row>
    <row r="28" spans="1:7">
      <c r="A28" s="117" t="s">
        <v>3804</v>
      </c>
    </row>
    <row r="29" spans="1:7">
      <c r="A29" s="117" t="s">
        <v>3805</v>
      </c>
    </row>
    <row r="30" spans="1:7">
      <c r="A30" s="2027" t="s">
        <v>22</v>
      </c>
      <c r="B30" s="2027"/>
      <c r="C30" s="2027"/>
      <c r="D30" s="2027"/>
      <c r="E30" s="2027"/>
      <c r="F30" s="2027"/>
    </row>
    <row r="31" spans="1:7">
      <c r="A31" s="2027" t="s">
        <v>677</v>
      </c>
      <c r="B31" s="2027"/>
      <c r="C31" s="2027"/>
      <c r="D31" s="2027"/>
      <c r="E31" s="2027"/>
      <c r="F31" s="2027"/>
    </row>
  </sheetData>
  <mergeCells count="5">
    <mergeCell ref="A2:G2"/>
    <mergeCell ref="B3:D3"/>
    <mergeCell ref="A25:F25"/>
    <mergeCell ref="A30:F30"/>
    <mergeCell ref="A31:F31"/>
  </mergeCells>
  <pageMargins left="0.7" right="0.7" top="0.75" bottom="0.75" header="0.3" footer="0.3"/>
</worksheet>
</file>

<file path=xl/worksheets/sheet68.xml><?xml version="1.0" encoding="utf-8"?>
<worksheet xmlns="http://schemas.openxmlformats.org/spreadsheetml/2006/main" xmlns:r="http://schemas.openxmlformats.org/officeDocument/2006/relationships">
  <dimension ref="A2:G32"/>
  <sheetViews>
    <sheetView zoomScaleNormal="100" workbookViewId="0"/>
  </sheetViews>
  <sheetFormatPr baseColWidth="10" defaultRowHeight="11.25"/>
  <cols>
    <col min="1" max="1" width="26.42578125" style="117" customWidth="1"/>
    <col min="2" max="16384" width="11.42578125" style="117"/>
  </cols>
  <sheetData>
    <row r="2" spans="1:7" ht="23.25" customHeight="1">
      <c r="A2" s="2033" t="s">
        <v>980</v>
      </c>
      <c r="B2" s="2033"/>
      <c r="C2" s="2033"/>
      <c r="D2" s="2033"/>
      <c r="E2" s="2033"/>
      <c r="F2" s="2033"/>
      <c r="G2" s="2033"/>
    </row>
    <row r="4" spans="1:7" ht="37.5" customHeight="1">
      <c r="A4" s="2041" t="s">
        <v>676</v>
      </c>
      <c r="B4" s="2041" t="s">
        <v>678</v>
      </c>
      <c r="C4" s="2041"/>
      <c r="D4" s="2041"/>
      <c r="E4" s="2041"/>
      <c r="F4" s="2041"/>
      <c r="G4" s="2041"/>
    </row>
    <row r="5" spans="1:7" ht="18" customHeight="1">
      <c r="A5" s="2041"/>
      <c r="B5" s="1806">
        <v>2009</v>
      </c>
      <c r="C5" s="1806">
        <v>2010</v>
      </c>
      <c r="D5" s="1806" t="s">
        <v>3316</v>
      </c>
      <c r="E5" s="1806">
        <v>2012</v>
      </c>
      <c r="F5" s="1806">
        <v>2013</v>
      </c>
      <c r="G5" s="1806">
        <v>2014</v>
      </c>
    </row>
    <row r="6" spans="1:7" s="115" customFormat="1">
      <c r="A6" s="115" t="s">
        <v>6</v>
      </c>
      <c r="B6" s="1314">
        <f t="shared" ref="B6:G6" si="0">SUM(B7:B24)</f>
        <v>3</v>
      </c>
      <c r="C6" s="1314">
        <f t="shared" si="0"/>
        <v>0</v>
      </c>
      <c r="D6" s="1314">
        <f>SUM(D7:D24)</f>
        <v>17</v>
      </c>
      <c r="E6" s="1314">
        <f t="shared" si="0"/>
        <v>14</v>
      </c>
      <c r="F6" s="1314">
        <f t="shared" si="0"/>
        <v>14</v>
      </c>
      <c r="G6" s="1314">
        <f t="shared" si="0"/>
        <v>11</v>
      </c>
    </row>
    <row r="7" spans="1:7">
      <c r="A7" s="117" t="s">
        <v>7</v>
      </c>
      <c r="B7" s="1807">
        <v>0</v>
      </c>
      <c r="C7" s="1807">
        <v>0</v>
      </c>
      <c r="D7" s="1807">
        <v>0</v>
      </c>
      <c r="E7" s="1807">
        <v>2</v>
      </c>
      <c r="F7" s="1807">
        <v>0</v>
      </c>
      <c r="G7" s="1807">
        <v>0</v>
      </c>
    </row>
    <row r="8" spans="1:7">
      <c r="A8" s="117" t="s">
        <v>8</v>
      </c>
      <c r="B8" s="1807">
        <v>0</v>
      </c>
      <c r="C8" s="1807">
        <v>0</v>
      </c>
      <c r="D8" s="1807">
        <v>0</v>
      </c>
      <c r="E8" s="1807">
        <v>0</v>
      </c>
      <c r="F8" s="1807">
        <v>0</v>
      </c>
      <c r="G8" s="1807">
        <v>0</v>
      </c>
    </row>
    <row r="9" spans="1:7">
      <c r="A9" s="117" t="s">
        <v>9</v>
      </c>
      <c r="B9" s="1807">
        <v>0</v>
      </c>
      <c r="C9" s="1807">
        <v>0</v>
      </c>
      <c r="D9" s="1807">
        <v>0</v>
      </c>
      <c r="E9" s="1807">
        <v>0</v>
      </c>
      <c r="F9" s="1807">
        <v>0</v>
      </c>
      <c r="G9" s="1807">
        <v>0</v>
      </c>
    </row>
    <row r="10" spans="1:7">
      <c r="A10" s="117" t="s">
        <v>10</v>
      </c>
      <c r="B10" s="1807">
        <v>0</v>
      </c>
      <c r="C10" s="1807">
        <v>0</v>
      </c>
      <c r="D10" s="1807">
        <v>0</v>
      </c>
      <c r="E10" s="1807">
        <v>0</v>
      </c>
      <c r="F10" s="1807">
        <v>0</v>
      </c>
      <c r="G10" s="1807">
        <v>0</v>
      </c>
    </row>
    <row r="11" spans="1:7">
      <c r="A11" s="117" t="s">
        <v>11</v>
      </c>
      <c r="B11" s="1807">
        <v>0</v>
      </c>
      <c r="C11" s="1807">
        <v>0</v>
      </c>
      <c r="D11" s="1807">
        <v>6</v>
      </c>
      <c r="E11" s="1807">
        <v>3</v>
      </c>
      <c r="F11" s="1807">
        <v>6</v>
      </c>
      <c r="G11" s="1807">
        <v>0</v>
      </c>
    </row>
    <row r="12" spans="1:7">
      <c r="A12" s="117" t="s">
        <v>12</v>
      </c>
      <c r="B12" s="1807">
        <v>0</v>
      </c>
      <c r="C12" s="1807">
        <v>0</v>
      </c>
      <c r="D12" s="1807">
        <v>1</v>
      </c>
      <c r="E12" s="1807">
        <v>1</v>
      </c>
      <c r="F12" s="1807">
        <v>0</v>
      </c>
      <c r="G12" s="1807">
        <v>0</v>
      </c>
    </row>
    <row r="13" spans="1:7" ht="12.75">
      <c r="A13" s="117" t="s">
        <v>3306</v>
      </c>
      <c r="B13" s="1807">
        <v>0</v>
      </c>
      <c r="C13" s="1807">
        <v>0</v>
      </c>
      <c r="D13" s="1807">
        <v>1</v>
      </c>
      <c r="E13" s="1807">
        <v>0</v>
      </c>
      <c r="F13" s="1807">
        <v>0</v>
      </c>
      <c r="G13" s="1807">
        <v>4</v>
      </c>
    </row>
    <row r="14" spans="1:7" ht="12.75">
      <c r="A14" s="117" t="s">
        <v>3307</v>
      </c>
      <c r="B14" s="1807">
        <v>0</v>
      </c>
      <c r="C14" s="1807">
        <v>0</v>
      </c>
      <c r="D14" s="1807">
        <v>8</v>
      </c>
      <c r="E14" s="1807">
        <v>0</v>
      </c>
      <c r="F14" s="1807">
        <v>1</v>
      </c>
      <c r="G14" s="1807">
        <v>6</v>
      </c>
    </row>
    <row r="15" spans="1:7" ht="12.75">
      <c r="A15" s="117" t="s">
        <v>3308</v>
      </c>
      <c r="B15" s="1807">
        <v>0</v>
      </c>
      <c r="C15" s="1807">
        <v>0</v>
      </c>
      <c r="D15" s="1807">
        <v>0</v>
      </c>
      <c r="E15" s="1807">
        <v>0</v>
      </c>
      <c r="F15" s="1807">
        <v>0</v>
      </c>
      <c r="G15" s="1807">
        <v>0</v>
      </c>
    </row>
    <row r="16" spans="1:7" ht="12.75">
      <c r="A16" s="117" t="s">
        <v>3309</v>
      </c>
      <c r="B16" s="1807">
        <v>0</v>
      </c>
      <c r="C16" s="1807">
        <v>0</v>
      </c>
      <c r="D16" s="1807">
        <v>0</v>
      </c>
      <c r="E16" s="1807">
        <v>0</v>
      </c>
      <c r="F16" s="1807">
        <v>0</v>
      </c>
      <c r="G16" s="1807">
        <v>0</v>
      </c>
    </row>
    <row r="17" spans="1:7">
      <c r="A17" s="117" t="s">
        <v>14</v>
      </c>
      <c r="B17" s="1807">
        <v>3</v>
      </c>
      <c r="C17" s="1807">
        <v>0</v>
      </c>
      <c r="D17" s="1807">
        <v>1</v>
      </c>
      <c r="E17" s="1807">
        <v>1</v>
      </c>
      <c r="F17" s="1807">
        <v>0</v>
      </c>
      <c r="G17" s="1807">
        <v>0</v>
      </c>
    </row>
    <row r="18" spans="1:7">
      <c r="A18" s="117" t="s">
        <v>15</v>
      </c>
      <c r="B18" s="1807">
        <v>0</v>
      </c>
      <c r="C18" s="1807">
        <v>0</v>
      </c>
      <c r="D18" s="1807">
        <v>0</v>
      </c>
      <c r="E18" s="1807">
        <v>6</v>
      </c>
      <c r="F18" s="1807">
        <v>2</v>
      </c>
      <c r="G18" s="1807">
        <v>1</v>
      </c>
    </row>
    <row r="19" spans="1:7">
      <c r="A19" s="117" t="s">
        <v>16</v>
      </c>
      <c r="B19" s="1807">
        <v>0</v>
      </c>
      <c r="C19" s="1807">
        <v>0</v>
      </c>
      <c r="D19" s="1807">
        <v>0</v>
      </c>
      <c r="E19" s="1807">
        <v>1</v>
      </c>
      <c r="F19" s="1807">
        <v>0</v>
      </c>
      <c r="G19" s="1807">
        <v>0</v>
      </c>
    </row>
    <row r="20" spans="1:7">
      <c r="A20" s="117" t="s">
        <v>379</v>
      </c>
      <c r="B20" s="1807">
        <v>0</v>
      </c>
      <c r="C20" s="1807">
        <v>0</v>
      </c>
      <c r="D20" s="1807">
        <v>0</v>
      </c>
      <c r="E20" s="1807">
        <v>0</v>
      </c>
      <c r="F20" s="1807">
        <v>0</v>
      </c>
      <c r="G20" s="1807">
        <v>0</v>
      </c>
    </row>
    <row r="21" spans="1:7">
      <c r="A21" s="117" t="s">
        <v>18</v>
      </c>
      <c r="B21" s="1807">
        <v>0</v>
      </c>
      <c r="C21" s="1807">
        <v>0</v>
      </c>
      <c r="D21" s="1807">
        <v>0</v>
      </c>
      <c r="E21" s="1807">
        <v>0</v>
      </c>
      <c r="F21" s="1807">
        <v>1</v>
      </c>
      <c r="G21" s="1807">
        <v>0</v>
      </c>
    </row>
    <row r="22" spans="1:7">
      <c r="A22" s="117" t="s">
        <v>19</v>
      </c>
      <c r="B22" s="1807">
        <v>0</v>
      </c>
      <c r="C22" s="1807">
        <v>0</v>
      </c>
      <c r="D22" s="1807">
        <v>0</v>
      </c>
      <c r="E22" s="1807">
        <v>0</v>
      </c>
      <c r="F22" s="1807">
        <v>1</v>
      </c>
      <c r="G22" s="1807">
        <v>0</v>
      </c>
    </row>
    <row r="23" spans="1:7">
      <c r="A23" s="117" t="s">
        <v>20</v>
      </c>
      <c r="B23" s="1807">
        <v>0</v>
      </c>
      <c r="C23" s="1807">
        <v>0</v>
      </c>
      <c r="D23" s="1807">
        <v>0</v>
      </c>
      <c r="E23" s="1807">
        <v>0</v>
      </c>
      <c r="F23" s="1807">
        <v>0</v>
      </c>
      <c r="G23" s="1807">
        <v>0</v>
      </c>
    </row>
    <row r="24" spans="1:7">
      <c r="A24" s="117" t="s">
        <v>21</v>
      </c>
      <c r="B24" s="1807">
        <v>0</v>
      </c>
      <c r="C24" s="1807">
        <v>0</v>
      </c>
      <c r="D24" s="1807">
        <v>0</v>
      </c>
      <c r="E24" s="1807">
        <v>0</v>
      </c>
      <c r="F24" s="1807">
        <v>3</v>
      </c>
      <c r="G24" s="1807">
        <v>0</v>
      </c>
    </row>
    <row r="25" spans="1:7" ht="6" customHeight="1"/>
    <row r="26" spans="1:7" ht="11.25" customHeight="1">
      <c r="A26" s="117" t="s">
        <v>3319</v>
      </c>
    </row>
    <row r="27" spans="1:7" ht="11.25" customHeight="1">
      <c r="A27" s="117" t="s">
        <v>3802</v>
      </c>
    </row>
    <row r="28" spans="1:7" ht="11.25" customHeight="1">
      <c r="A28" s="117" t="s">
        <v>3803</v>
      </c>
    </row>
    <row r="29" spans="1:7" ht="11.25" customHeight="1">
      <c r="A29" s="117" t="s">
        <v>3804</v>
      </c>
    </row>
    <row r="30" spans="1:7" ht="11.25" customHeight="1">
      <c r="A30" s="117" t="s">
        <v>3805</v>
      </c>
    </row>
    <row r="31" spans="1:7">
      <c r="A31" s="117" t="s">
        <v>22</v>
      </c>
    </row>
    <row r="32" spans="1:7">
      <c r="A32" s="117" t="s">
        <v>677</v>
      </c>
    </row>
  </sheetData>
  <mergeCells count="3">
    <mergeCell ref="A2:G2"/>
    <mergeCell ref="A4:A5"/>
    <mergeCell ref="B4:G4"/>
  </mergeCells>
  <pageMargins left="0.7" right="0.7" top="0.75" bottom="0.75" header="0.3" footer="0.3"/>
</worksheet>
</file>

<file path=xl/worksheets/sheet69.xml><?xml version="1.0" encoding="utf-8"?>
<worksheet xmlns="http://schemas.openxmlformats.org/spreadsheetml/2006/main" xmlns:r="http://schemas.openxmlformats.org/officeDocument/2006/relationships">
  <dimension ref="A2:F27"/>
  <sheetViews>
    <sheetView zoomScaleNormal="100" workbookViewId="0">
      <selection activeCell="B33" sqref="B33"/>
    </sheetView>
  </sheetViews>
  <sheetFormatPr baseColWidth="10" defaultRowHeight="12"/>
  <cols>
    <col min="1" max="1" width="20.5703125" style="143" customWidth="1"/>
    <col min="2" max="3" width="16.7109375" style="143" customWidth="1"/>
    <col min="4" max="4" width="15.7109375" style="143" customWidth="1"/>
    <col min="5" max="5" width="14.28515625" style="143" customWidth="1"/>
    <col min="6" max="6" width="14.42578125" style="143" customWidth="1"/>
    <col min="7" max="16384" width="11.42578125" style="143"/>
  </cols>
  <sheetData>
    <row r="2" spans="1:6" s="146" customFormat="1">
      <c r="A2" s="2132" t="s">
        <v>3175</v>
      </c>
      <c r="B2" s="2132"/>
      <c r="C2" s="2132"/>
      <c r="D2" s="2132"/>
      <c r="E2" s="2132"/>
      <c r="F2" s="145"/>
    </row>
    <row r="3" spans="1:6" s="1801" customFormat="1" ht="6.75" customHeight="1"/>
    <row r="4" spans="1:6" s="1723" customFormat="1" ht="11.25">
      <c r="A4" s="2134" t="s">
        <v>0</v>
      </c>
      <c r="B4" s="2662" t="s">
        <v>846</v>
      </c>
      <c r="C4" s="2663"/>
      <c r="D4" s="2663"/>
      <c r="E4" s="2664"/>
    </row>
    <row r="5" spans="1:6" s="1723" customFormat="1" ht="12.75" customHeight="1">
      <c r="A5" s="2135"/>
      <c r="B5" s="2137" t="s">
        <v>26</v>
      </c>
      <c r="C5" s="2657" t="s">
        <v>998</v>
      </c>
      <c r="D5" s="2657" t="s">
        <v>999</v>
      </c>
      <c r="E5" s="2658" t="s">
        <v>3800</v>
      </c>
    </row>
    <row r="6" spans="1:6" s="1723" customFormat="1" ht="15" customHeight="1">
      <c r="A6" s="2135"/>
      <c r="B6" s="2135"/>
      <c r="C6" s="2659"/>
      <c r="D6" s="2659"/>
      <c r="E6" s="2660"/>
    </row>
    <row r="7" spans="1:6" s="1723" customFormat="1" ht="18" customHeight="1">
      <c r="A7" s="2136"/>
      <c r="B7" s="2136"/>
      <c r="C7" s="2661"/>
      <c r="D7" s="2661"/>
      <c r="E7" s="2140"/>
    </row>
    <row r="8" spans="1:6" s="1723" customFormat="1" ht="11.25">
      <c r="A8" s="1802" t="s">
        <v>6</v>
      </c>
      <c r="B8" s="1803">
        <f>SUM(B9:B23)</f>
        <v>5780</v>
      </c>
      <c r="C8" s="1803">
        <f>SUM(C9:C23)</f>
        <v>1417</v>
      </c>
      <c r="D8" s="1803">
        <f>SUM(D9:D23)</f>
        <v>489</v>
      </c>
      <c r="E8" s="1803">
        <f>SUM(E9:E23)</f>
        <v>3874</v>
      </c>
    </row>
    <row r="9" spans="1:6" s="1723" customFormat="1" ht="11.25">
      <c r="A9" s="1801" t="s">
        <v>7</v>
      </c>
      <c r="B9" s="1804">
        <f>SUM(C9:E9)</f>
        <v>93</v>
      </c>
      <c r="C9" s="1805">
        <v>53</v>
      </c>
      <c r="D9" s="1805">
        <v>6</v>
      </c>
      <c r="E9" s="1717">
        <v>34</v>
      </c>
    </row>
    <row r="10" spans="1:6" s="1723" customFormat="1" ht="11.25">
      <c r="A10" s="1801" t="s">
        <v>8</v>
      </c>
      <c r="B10" s="1804">
        <f t="shared" ref="B10:B23" si="0">SUM(C10:E10)</f>
        <v>194</v>
      </c>
      <c r="C10" s="1805">
        <v>132</v>
      </c>
      <c r="D10" s="1805">
        <v>19</v>
      </c>
      <c r="E10" s="1717">
        <v>43</v>
      </c>
    </row>
    <row r="11" spans="1:6" s="1723" customFormat="1" ht="11.25">
      <c r="A11" s="1801" t="s">
        <v>9</v>
      </c>
      <c r="B11" s="1804">
        <f t="shared" si="0"/>
        <v>98</v>
      </c>
      <c r="C11" s="1805">
        <v>54</v>
      </c>
      <c r="D11" s="1805">
        <v>22</v>
      </c>
      <c r="E11" s="1717">
        <v>22</v>
      </c>
    </row>
    <row r="12" spans="1:6" s="1723" customFormat="1" ht="11.25">
      <c r="A12" s="1801" t="s">
        <v>10</v>
      </c>
      <c r="B12" s="1804">
        <f t="shared" si="0"/>
        <v>46</v>
      </c>
      <c r="C12" s="1805">
        <v>24</v>
      </c>
      <c r="D12" s="1805">
        <v>9</v>
      </c>
      <c r="E12" s="1717">
        <v>13</v>
      </c>
    </row>
    <row r="13" spans="1:6" s="1723" customFormat="1" ht="11.25">
      <c r="A13" s="1801" t="s">
        <v>11</v>
      </c>
      <c r="B13" s="1804">
        <f t="shared" si="0"/>
        <v>126</v>
      </c>
      <c r="C13" s="1805">
        <v>107</v>
      </c>
      <c r="D13" s="1805">
        <v>15</v>
      </c>
      <c r="E13" s="1717">
        <v>4</v>
      </c>
    </row>
    <row r="14" spans="1:6" s="1723" customFormat="1" ht="11.25">
      <c r="A14" s="1801" t="s">
        <v>12</v>
      </c>
      <c r="B14" s="1804">
        <f t="shared" si="0"/>
        <v>157</v>
      </c>
      <c r="C14" s="1805">
        <v>106</v>
      </c>
      <c r="D14" s="1805">
        <v>29</v>
      </c>
      <c r="E14" s="1717">
        <v>22</v>
      </c>
    </row>
    <row r="15" spans="1:6" s="1723" customFormat="1" ht="11.25">
      <c r="A15" s="1801" t="s">
        <v>13</v>
      </c>
      <c r="B15" s="1804">
        <f t="shared" si="0"/>
        <v>319</v>
      </c>
      <c r="C15" s="1805">
        <v>248</v>
      </c>
      <c r="D15" s="1805">
        <v>65</v>
      </c>
      <c r="E15" s="1717">
        <v>6</v>
      </c>
    </row>
    <row r="16" spans="1:6" s="1723" customFormat="1" ht="11.25">
      <c r="A16" s="1801" t="s">
        <v>14</v>
      </c>
      <c r="B16" s="1804">
        <f t="shared" si="0"/>
        <v>145</v>
      </c>
      <c r="C16" s="1805">
        <v>72</v>
      </c>
      <c r="D16" s="1805">
        <v>30</v>
      </c>
      <c r="E16" s="1717">
        <v>43</v>
      </c>
    </row>
    <row r="17" spans="1:6" s="1723" customFormat="1" ht="11.25">
      <c r="A17" s="1801" t="s">
        <v>15</v>
      </c>
      <c r="B17" s="1804">
        <f t="shared" si="0"/>
        <v>729</v>
      </c>
      <c r="C17" s="1805">
        <v>109</v>
      </c>
      <c r="D17" s="1805">
        <v>34</v>
      </c>
      <c r="E17" s="1717">
        <v>586</v>
      </c>
    </row>
    <row r="18" spans="1:6" s="1723" customFormat="1" ht="11.25">
      <c r="A18" s="1801" t="s">
        <v>16</v>
      </c>
      <c r="B18" s="1804">
        <f t="shared" si="0"/>
        <v>802</v>
      </c>
      <c r="C18" s="1805">
        <v>157</v>
      </c>
      <c r="D18" s="1805">
        <v>38</v>
      </c>
      <c r="E18" s="1717">
        <v>607</v>
      </c>
    </row>
    <row r="19" spans="1:6" s="1723" customFormat="1" ht="11.25">
      <c r="A19" s="1801" t="s">
        <v>17</v>
      </c>
      <c r="B19" s="1804">
        <f t="shared" si="0"/>
        <v>1393</v>
      </c>
      <c r="C19" s="1805">
        <v>115</v>
      </c>
      <c r="D19" s="1805">
        <v>50</v>
      </c>
      <c r="E19" s="1717">
        <v>1228</v>
      </c>
    </row>
    <row r="20" spans="1:6" s="1723" customFormat="1" ht="11.25">
      <c r="A20" s="1801" t="s">
        <v>18</v>
      </c>
      <c r="B20" s="1804">
        <f t="shared" si="0"/>
        <v>582</v>
      </c>
      <c r="C20" s="1805">
        <v>75</v>
      </c>
      <c r="D20" s="1805">
        <v>69</v>
      </c>
      <c r="E20" s="1717">
        <v>438</v>
      </c>
    </row>
    <row r="21" spans="1:6" s="1723" customFormat="1" ht="11.25">
      <c r="A21" s="1801" t="s">
        <v>19</v>
      </c>
      <c r="B21" s="1804">
        <f t="shared" si="0"/>
        <v>983</v>
      </c>
      <c r="C21" s="1805">
        <v>115</v>
      </c>
      <c r="D21" s="1805">
        <v>87</v>
      </c>
      <c r="E21" s="1717">
        <v>781</v>
      </c>
    </row>
    <row r="22" spans="1:6" s="1723" customFormat="1" ht="11.25">
      <c r="A22" s="1801" t="s">
        <v>20</v>
      </c>
      <c r="B22" s="1804">
        <f t="shared" si="0"/>
        <v>75</v>
      </c>
      <c r="C22" s="1805">
        <v>26</v>
      </c>
      <c r="D22" s="1805">
        <v>10</v>
      </c>
      <c r="E22" s="1717">
        <v>39</v>
      </c>
    </row>
    <row r="23" spans="1:6" s="1723" customFormat="1" ht="11.25">
      <c r="A23" s="1801" t="s">
        <v>21</v>
      </c>
      <c r="B23" s="1804">
        <f t="shared" si="0"/>
        <v>38</v>
      </c>
      <c r="C23" s="1805">
        <v>24</v>
      </c>
      <c r="D23" s="1805">
        <v>6</v>
      </c>
      <c r="E23" s="1717">
        <v>8</v>
      </c>
    </row>
    <row r="25" spans="1:6" ht="48" customHeight="1">
      <c r="A25" s="2665" t="s">
        <v>3801</v>
      </c>
      <c r="B25" s="2665"/>
      <c r="C25" s="2665"/>
      <c r="D25" s="2665"/>
      <c r="E25" s="2665"/>
      <c r="F25" s="1733"/>
    </row>
    <row r="26" spans="1:6" ht="51.75" customHeight="1">
      <c r="A26" s="2666" t="s">
        <v>1000</v>
      </c>
      <c r="B26" s="2666"/>
      <c r="C26" s="2666"/>
      <c r="D26" s="2666"/>
      <c r="E26" s="2666"/>
      <c r="F26" s="1730"/>
    </row>
    <row r="27" spans="1:6">
      <c r="D27" s="1595"/>
      <c r="E27" s="1595"/>
      <c r="F27" s="1595"/>
    </row>
  </sheetData>
  <mergeCells count="9">
    <mergeCell ref="A2:E2"/>
    <mergeCell ref="A25:E25"/>
    <mergeCell ref="A26:E26"/>
    <mergeCell ref="A4:A7"/>
    <mergeCell ref="B5:B7"/>
    <mergeCell ref="C5:C7"/>
    <mergeCell ref="D5:D7"/>
    <mergeCell ref="E5:E7"/>
    <mergeCell ref="B4:E4"/>
  </mergeCells>
  <pageMargins left="0.7" right="0.7" top="0.75" bottom="0.75" header="0.3" footer="0.3"/>
  <pageSetup paperSize="14" orientation="portrait" r:id="rId1"/>
</worksheet>
</file>

<file path=xl/worksheets/sheet7.xml><?xml version="1.0" encoding="utf-8"?>
<worksheet xmlns="http://schemas.openxmlformats.org/spreadsheetml/2006/main" xmlns:r="http://schemas.openxmlformats.org/officeDocument/2006/relationships">
  <dimension ref="A1:G29"/>
  <sheetViews>
    <sheetView zoomScaleNormal="100" workbookViewId="0">
      <selection sqref="A1:G1"/>
    </sheetView>
  </sheetViews>
  <sheetFormatPr baseColWidth="10" defaultRowHeight="12"/>
  <cols>
    <col min="1" max="1" width="25.7109375" style="50" customWidth="1"/>
    <col min="2" max="6" width="11.42578125" style="50"/>
    <col min="7" max="7" width="11.42578125" style="50" customWidth="1"/>
    <col min="8" max="16384" width="11.42578125" style="50"/>
  </cols>
  <sheetData>
    <row r="1" spans="1:7">
      <c r="A1" s="2033"/>
      <c r="B1" s="2033"/>
      <c r="C1" s="2033"/>
      <c r="D1" s="2033"/>
      <c r="E1" s="2033"/>
      <c r="F1" s="2033"/>
      <c r="G1" s="2033"/>
    </row>
    <row r="2" spans="1:7" ht="29.25" customHeight="1">
      <c r="A2" s="2033" t="s">
        <v>4611</v>
      </c>
      <c r="B2" s="2033"/>
      <c r="C2" s="2033"/>
      <c r="D2" s="2033"/>
      <c r="E2" s="2033"/>
      <c r="F2" s="2033"/>
      <c r="G2" s="2033"/>
    </row>
    <row r="3" spans="1:7" ht="4.5" customHeight="1">
      <c r="A3" s="117"/>
      <c r="B3" s="117"/>
      <c r="C3" s="117"/>
      <c r="D3" s="117"/>
      <c r="E3" s="117"/>
      <c r="F3" s="117"/>
      <c r="G3" s="117"/>
    </row>
    <row r="4" spans="1:7" ht="12.75">
      <c r="A4" s="2026" t="s">
        <v>0</v>
      </c>
      <c r="B4" s="2026" t="s">
        <v>3940</v>
      </c>
      <c r="C4" s="2026"/>
      <c r="D4" s="2026"/>
      <c r="E4" s="2026"/>
      <c r="F4" s="2026"/>
      <c r="G4" s="2026"/>
    </row>
    <row r="5" spans="1:7" ht="12.75">
      <c r="A5" s="2026"/>
      <c r="B5" s="154">
        <v>2009</v>
      </c>
      <c r="C5" s="154">
        <v>2010</v>
      </c>
      <c r="D5" s="154">
        <v>2011</v>
      </c>
      <c r="E5" s="154">
        <v>2012</v>
      </c>
      <c r="F5" s="154">
        <v>2013</v>
      </c>
      <c r="G5" s="1923" t="s">
        <v>3891</v>
      </c>
    </row>
    <row r="6" spans="1:7">
      <c r="A6" s="115" t="s">
        <v>679</v>
      </c>
      <c r="B6" s="1314">
        <f t="shared" ref="B6:G6" si="0">SUM(B7:B22)</f>
        <v>63671</v>
      </c>
      <c r="C6" s="1314">
        <f t="shared" si="0"/>
        <v>35280</v>
      </c>
      <c r="D6" s="1314">
        <f t="shared" si="0"/>
        <v>47206</v>
      </c>
      <c r="E6" s="1314">
        <f t="shared" si="0"/>
        <v>65329</v>
      </c>
      <c r="F6" s="1924">
        <f t="shared" si="0"/>
        <v>79989</v>
      </c>
      <c r="G6" s="1924">
        <f t="shared" si="0"/>
        <v>37674</v>
      </c>
    </row>
    <row r="7" spans="1:7">
      <c r="A7" s="117" t="s">
        <v>7</v>
      </c>
      <c r="B7" s="1316">
        <v>0</v>
      </c>
      <c r="C7" s="1316">
        <v>0</v>
      </c>
      <c r="D7" s="1316">
        <v>0</v>
      </c>
      <c r="E7" s="1316">
        <v>0</v>
      </c>
      <c r="F7" s="1925">
        <v>0</v>
      </c>
      <c r="G7" s="1926">
        <v>0</v>
      </c>
    </row>
    <row r="8" spans="1:7">
      <c r="A8" s="117" t="s">
        <v>8</v>
      </c>
      <c r="B8" s="1316">
        <v>1127</v>
      </c>
      <c r="C8" s="1316">
        <v>1330</v>
      </c>
      <c r="D8" s="1316">
        <v>1534</v>
      </c>
      <c r="E8" s="1316">
        <v>1635</v>
      </c>
      <c r="F8" s="1925">
        <v>2307</v>
      </c>
      <c r="G8" s="1926">
        <v>2819</v>
      </c>
    </row>
    <row r="9" spans="1:7">
      <c r="A9" s="117" t="s">
        <v>9</v>
      </c>
      <c r="B9" s="1316">
        <v>0</v>
      </c>
      <c r="C9" s="1316">
        <v>0</v>
      </c>
      <c r="D9" s="1316">
        <v>0</v>
      </c>
      <c r="E9" s="1316">
        <v>0</v>
      </c>
      <c r="F9" s="1925">
        <v>0</v>
      </c>
      <c r="G9" s="1926">
        <v>0</v>
      </c>
    </row>
    <row r="10" spans="1:7">
      <c r="A10" s="117" t="s">
        <v>10</v>
      </c>
      <c r="B10" s="1316">
        <v>0</v>
      </c>
      <c r="C10" s="1316">
        <v>0</v>
      </c>
      <c r="D10" s="1316">
        <v>0</v>
      </c>
      <c r="E10" s="1316">
        <v>0</v>
      </c>
      <c r="F10" s="1925">
        <v>0</v>
      </c>
      <c r="G10" s="1926">
        <v>0</v>
      </c>
    </row>
    <row r="11" spans="1:7">
      <c r="A11" s="117" t="s">
        <v>11</v>
      </c>
      <c r="B11" s="1316">
        <v>0</v>
      </c>
      <c r="C11" s="1316">
        <v>0</v>
      </c>
      <c r="D11" s="1316">
        <v>0</v>
      </c>
      <c r="E11" s="1316">
        <v>0</v>
      </c>
      <c r="F11" s="1925">
        <v>0</v>
      </c>
      <c r="G11" s="1926">
        <v>0</v>
      </c>
    </row>
    <row r="12" spans="1:7">
      <c r="A12" s="117" t="s">
        <v>12</v>
      </c>
      <c r="B12" s="1316">
        <v>0</v>
      </c>
      <c r="C12" s="1316">
        <v>0</v>
      </c>
      <c r="D12" s="1316">
        <v>0</v>
      </c>
      <c r="E12" s="1316">
        <v>0</v>
      </c>
      <c r="F12" s="1925">
        <v>0</v>
      </c>
      <c r="G12" s="1926">
        <v>0</v>
      </c>
    </row>
    <row r="13" spans="1:7" ht="13.5">
      <c r="A13" s="117" t="s">
        <v>3307</v>
      </c>
      <c r="B13" s="1316">
        <v>32560</v>
      </c>
      <c r="C13" s="1316">
        <v>19615</v>
      </c>
      <c r="D13" s="1316">
        <v>29713</v>
      </c>
      <c r="E13" s="1316">
        <v>47145</v>
      </c>
      <c r="F13" s="1925">
        <v>60749</v>
      </c>
      <c r="G13" s="1926">
        <v>22880</v>
      </c>
    </row>
    <row r="14" spans="1:7" ht="13.5">
      <c r="A14" s="117" t="s">
        <v>3308</v>
      </c>
      <c r="B14" s="1316">
        <v>27502</v>
      </c>
      <c r="C14" s="1316">
        <v>13050</v>
      </c>
      <c r="D14" s="1316">
        <v>13025</v>
      </c>
      <c r="E14" s="1316">
        <v>14527</v>
      </c>
      <c r="F14" s="1925">
        <v>15628</v>
      </c>
      <c r="G14" s="1926">
        <v>10640</v>
      </c>
    </row>
    <row r="15" spans="1:7">
      <c r="A15" s="117" t="s">
        <v>14</v>
      </c>
      <c r="B15" s="1316">
        <v>0</v>
      </c>
      <c r="C15" s="1316">
        <v>0</v>
      </c>
      <c r="D15" s="1316">
        <v>0</v>
      </c>
      <c r="E15" s="1316">
        <v>0</v>
      </c>
      <c r="F15" s="1316">
        <v>0</v>
      </c>
      <c r="G15" s="1277">
        <v>0</v>
      </c>
    </row>
    <row r="16" spans="1:7">
      <c r="A16" s="117" t="s">
        <v>15</v>
      </c>
      <c r="B16" s="1316">
        <v>0</v>
      </c>
      <c r="C16" s="1316">
        <v>0</v>
      </c>
      <c r="D16" s="1316">
        <v>0</v>
      </c>
      <c r="E16" s="1316">
        <v>0</v>
      </c>
      <c r="F16" s="1316">
        <v>0</v>
      </c>
      <c r="G16" s="1277">
        <v>0</v>
      </c>
    </row>
    <row r="17" spans="1:7">
      <c r="A17" s="117" t="s">
        <v>16</v>
      </c>
      <c r="B17" s="1316">
        <v>0</v>
      </c>
      <c r="C17" s="1316">
        <v>0</v>
      </c>
      <c r="D17" s="1316">
        <v>0</v>
      </c>
      <c r="E17" s="1316">
        <v>0</v>
      </c>
      <c r="F17" s="1316">
        <v>0</v>
      </c>
      <c r="G17" s="1277">
        <v>0</v>
      </c>
    </row>
    <row r="18" spans="1:7">
      <c r="A18" s="117" t="s">
        <v>17</v>
      </c>
      <c r="B18" s="1316">
        <v>2482</v>
      </c>
      <c r="C18" s="1316">
        <v>1285</v>
      </c>
      <c r="D18" s="1316">
        <v>2934</v>
      </c>
      <c r="E18" s="1316">
        <v>2022</v>
      </c>
      <c r="F18" s="1316">
        <v>1305</v>
      </c>
      <c r="G18" s="1277">
        <v>1335</v>
      </c>
    </row>
    <row r="19" spans="1:7">
      <c r="A19" s="117" t="s">
        <v>18</v>
      </c>
      <c r="B19" s="1316">
        <v>0</v>
      </c>
      <c r="C19" s="1316">
        <v>0</v>
      </c>
      <c r="D19" s="1316">
        <v>0</v>
      </c>
      <c r="E19" s="1316">
        <v>0</v>
      </c>
      <c r="F19" s="1316">
        <v>0</v>
      </c>
      <c r="G19" s="1277">
        <v>0</v>
      </c>
    </row>
    <row r="20" spans="1:7">
      <c r="A20" s="117" t="s">
        <v>19</v>
      </c>
      <c r="B20" s="1316">
        <v>0</v>
      </c>
      <c r="C20" s="1316">
        <v>0</v>
      </c>
      <c r="D20" s="1316">
        <v>0</v>
      </c>
      <c r="E20" s="1316">
        <v>0</v>
      </c>
      <c r="F20" s="1316">
        <v>0</v>
      </c>
      <c r="G20" s="1277">
        <v>0</v>
      </c>
    </row>
    <row r="21" spans="1:7">
      <c r="A21" s="117" t="s">
        <v>20</v>
      </c>
      <c r="B21" s="1316">
        <v>0</v>
      </c>
      <c r="C21" s="1316">
        <v>0</v>
      </c>
      <c r="D21" s="1316">
        <v>0</v>
      </c>
      <c r="E21" s="1316">
        <v>0</v>
      </c>
      <c r="F21" s="1316">
        <v>0</v>
      </c>
      <c r="G21" s="1277">
        <v>0</v>
      </c>
    </row>
    <row r="22" spans="1:7">
      <c r="A22" s="117" t="s">
        <v>21</v>
      </c>
      <c r="B22" s="1316">
        <v>0</v>
      </c>
      <c r="C22" s="1316">
        <v>0</v>
      </c>
      <c r="D22" s="1316">
        <v>0</v>
      </c>
      <c r="E22" s="1316">
        <v>0</v>
      </c>
      <c r="F22" s="1316">
        <v>0</v>
      </c>
      <c r="G22" s="1277">
        <v>0</v>
      </c>
    </row>
    <row r="23" spans="1:7">
      <c r="A23" s="117"/>
      <c r="B23" s="117"/>
      <c r="C23" s="117"/>
      <c r="D23" s="117"/>
      <c r="E23" s="117"/>
      <c r="F23" s="117"/>
      <c r="G23" s="117"/>
    </row>
    <row r="24" spans="1:7" ht="25.5" customHeight="1">
      <c r="A24" s="2036" t="s">
        <v>3941</v>
      </c>
      <c r="B24" s="2036"/>
      <c r="C24" s="2036"/>
      <c r="D24" s="2036"/>
      <c r="E24" s="2036"/>
      <c r="F24" s="2036"/>
      <c r="G24" s="2036"/>
    </row>
    <row r="25" spans="1:7">
      <c r="A25" s="2036" t="s">
        <v>3942</v>
      </c>
      <c r="B25" s="2036"/>
      <c r="C25" s="2036"/>
      <c r="D25" s="2036"/>
      <c r="E25" s="2036"/>
      <c r="F25" s="2036"/>
      <c r="G25" s="2036"/>
    </row>
    <row r="26" spans="1:7" ht="33" customHeight="1">
      <c r="A26" s="2036" t="s">
        <v>3943</v>
      </c>
      <c r="B26" s="2036"/>
      <c r="C26" s="2036"/>
      <c r="D26" s="2036"/>
      <c r="E26" s="2036"/>
      <c r="F26" s="2036"/>
      <c r="G26" s="2036"/>
    </row>
    <row r="27" spans="1:7" ht="39" customHeight="1">
      <c r="A27" s="2034" t="s">
        <v>3944</v>
      </c>
      <c r="B27" s="2034"/>
      <c r="C27" s="2034"/>
      <c r="D27" s="2034"/>
      <c r="E27" s="2034"/>
      <c r="F27" s="2034"/>
      <c r="G27" s="2034"/>
    </row>
    <row r="28" spans="1:7">
      <c r="A28" s="2035" t="s">
        <v>734</v>
      </c>
      <c r="B28" s="2035"/>
      <c r="C28" s="2035"/>
      <c r="D28" s="2035"/>
      <c r="E28" s="2035"/>
      <c r="F28" s="2035"/>
      <c r="G28" s="2035"/>
    </row>
    <row r="29" spans="1:7">
      <c r="A29" s="2035" t="s">
        <v>680</v>
      </c>
      <c r="B29" s="2035"/>
      <c r="C29" s="2035"/>
      <c r="D29" s="2035"/>
      <c r="E29" s="2035"/>
      <c r="F29" s="2035"/>
      <c r="G29" s="2035"/>
    </row>
  </sheetData>
  <mergeCells count="10">
    <mergeCell ref="A27:G27"/>
    <mergeCell ref="A28:G28"/>
    <mergeCell ref="A29:G29"/>
    <mergeCell ref="A1:G1"/>
    <mergeCell ref="A2:G2"/>
    <mergeCell ref="A4:A5"/>
    <mergeCell ref="B4:G4"/>
    <mergeCell ref="A24:G24"/>
    <mergeCell ref="A25:G25"/>
    <mergeCell ref="A26:G2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dimension ref="A1:P38"/>
  <sheetViews>
    <sheetView zoomScaleNormal="100" workbookViewId="0">
      <selection activeCell="A24" sqref="A24"/>
    </sheetView>
  </sheetViews>
  <sheetFormatPr baseColWidth="10" defaultRowHeight="12"/>
  <cols>
    <col min="1" max="1" width="19.85546875" style="143" customWidth="1"/>
    <col min="2" max="2" width="11.42578125" style="143"/>
    <col min="3" max="3" width="12.28515625" style="143" customWidth="1"/>
    <col min="4" max="11" width="11.42578125" style="143"/>
    <col min="12" max="12" width="14" style="143" customWidth="1"/>
    <col min="13" max="15" width="11.42578125" style="143"/>
    <col min="16" max="16" width="16.140625" style="143" customWidth="1"/>
    <col min="17" max="17" width="30.140625" style="143" bestFit="1" customWidth="1"/>
    <col min="18" max="16384" width="11.42578125" style="143"/>
  </cols>
  <sheetData>
    <row r="1" spans="1:16">
      <c r="A1" s="1793"/>
      <c r="B1" s="1711"/>
      <c r="C1" s="1711"/>
      <c r="D1" s="1711"/>
      <c r="E1" s="1711"/>
      <c r="F1" s="1711"/>
      <c r="G1" s="1711"/>
      <c r="H1" s="1711"/>
      <c r="I1" s="1711"/>
      <c r="J1" s="1711"/>
      <c r="K1" s="1711"/>
      <c r="L1" s="1711"/>
      <c r="M1" s="1711"/>
      <c r="N1" s="1711"/>
      <c r="O1" s="1711"/>
    </row>
    <row r="2" spans="1:16" ht="30.75" customHeight="1">
      <c r="A2" s="2144" t="s">
        <v>1001</v>
      </c>
      <c r="B2" s="2144"/>
      <c r="C2" s="2144"/>
      <c r="D2" s="2144"/>
      <c r="E2" s="2144"/>
      <c r="F2" s="2144"/>
      <c r="G2" s="2144"/>
      <c r="H2" s="2144"/>
      <c r="I2" s="2144"/>
      <c r="J2" s="2144"/>
      <c r="K2" s="2144"/>
      <c r="L2" s="2144"/>
      <c r="M2" s="1794"/>
      <c r="N2" s="1794"/>
      <c r="O2" s="1794"/>
      <c r="P2" s="1794"/>
    </row>
    <row r="3" spans="1:16" ht="9" customHeight="1">
      <c r="A3" s="1715"/>
      <c r="B3" s="1715"/>
      <c r="C3" s="1715"/>
      <c r="D3" s="1715"/>
      <c r="E3" s="1715"/>
      <c r="F3" s="1715"/>
      <c r="G3" s="1715"/>
      <c r="H3" s="1715"/>
      <c r="I3" s="1715"/>
      <c r="J3" s="1715"/>
      <c r="K3" s="1715"/>
      <c r="L3" s="1715"/>
      <c r="M3" s="1715"/>
      <c r="N3" s="1715"/>
      <c r="O3" s="1715"/>
    </row>
    <row r="4" spans="1:16" ht="24" customHeight="1">
      <c r="A4" s="2138" t="s">
        <v>0</v>
      </c>
      <c r="B4" s="2139" t="s">
        <v>26</v>
      </c>
      <c r="C4" s="2141" t="s">
        <v>1002</v>
      </c>
      <c r="D4" s="2142"/>
      <c r="E4" s="2142"/>
      <c r="F4" s="2142"/>
      <c r="G4" s="2142"/>
      <c r="H4" s="2142"/>
      <c r="I4" s="2142"/>
      <c r="J4" s="2142"/>
      <c r="K4" s="2142"/>
      <c r="L4" s="1795"/>
    </row>
    <row r="5" spans="1:16" ht="50.25" customHeight="1">
      <c r="A5" s="2138"/>
      <c r="B5" s="2140"/>
      <c r="C5" s="1768" t="s">
        <v>1003</v>
      </c>
      <c r="D5" s="1768" t="s">
        <v>1004</v>
      </c>
      <c r="E5" s="1768" t="s">
        <v>1005</v>
      </c>
      <c r="F5" s="1768" t="s">
        <v>1006</v>
      </c>
      <c r="G5" s="1768" t="s">
        <v>1007</v>
      </c>
      <c r="H5" s="1768" t="s">
        <v>1008</v>
      </c>
      <c r="I5" s="1768" t="s">
        <v>1009</v>
      </c>
      <c r="J5" s="1768" t="s">
        <v>1010</v>
      </c>
      <c r="K5" s="1768" t="s">
        <v>1011</v>
      </c>
      <c r="L5" s="1768" t="s">
        <v>1012</v>
      </c>
    </row>
    <row r="6" spans="1:16">
      <c r="A6" s="1784" t="s">
        <v>6</v>
      </c>
      <c r="B6" s="1796">
        <f>SUM(B7:B21)</f>
        <v>1411</v>
      </c>
      <c r="C6" s="1796">
        <f t="shared" ref="C6:L6" si="0">SUM(C7:C21)</f>
        <v>37</v>
      </c>
      <c r="D6" s="1796">
        <f t="shared" si="0"/>
        <v>159</v>
      </c>
      <c r="E6" s="1796">
        <f t="shared" si="0"/>
        <v>4</v>
      </c>
      <c r="F6" s="1796">
        <f t="shared" si="0"/>
        <v>20</v>
      </c>
      <c r="G6" s="1796">
        <f t="shared" si="0"/>
        <v>3</v>
      </c>
      <c r="H6" s="1796">
        <f t="shared" si="0"/>
        <v>226</v>
      </c>
      <c r="I6" s="1796">
        <f t="shared" si="0"/>
        <v>5</v>
      </c>
      <c r="J6" s="1796">
        <f t="shared" si="0"/>
        <v>9</v>
      </c>
      <c r="K6" s="1796">
        <f t="shared" si="0"/>
        <v>4</v>
      </c>
      <c r="L6" s="1796">
        <f t="shared" si="0"/>
        <v>944</v>
      </c>
      <c r="M6" s="1797"/>
    </row>
    <row r="7" spans="1:16">
      <c r="A7" s="1719" t="s">
        <v>7</v>
      </c>
      <c r="B7" s="1796">
        <f>SUM(C7:L7)</f>
        <v>53</v>
      </c>
      <c r="C7" s="1798">
        <v>0</v>
      </c>
      <c r="D7" s="1798">
        <v>35</v>
      </c>
      <c r="E7" s="1798">
        <v>0</v>
      </c>
      <c r="F7" s="1798">
        <v>0</v>
      </c>
      <c r="G7" s="1798">
        <v>0</v>
      </c>
      <c r="H7" s="1798">
        <v>0</v>
      </c>
      <c r="I7" s="1798">
        <v>0</v>
      </c>
      <c r="J7" s="1798">
        <v>0</v>
      </c>
      <c r="K7" s="1798">
        <v>0</v>
      </c>
      <c r="L7" s="1798">
        <v>18</v>
      </c>
    </row>
    <row r="8" spans="1:16">
      <c r="A8" s="1719" t="s">
        <v>8</v>
      </c>
      <c r="B8" s="1796">
        <f t="shared" ref="B8:B21" si="1">SUM(C8:L8)</f>
        <v>132</v>
      </c>
      <c r="C8" s="1798">
        <v>0</v>
      </c>
      <c r="D8" s="1798">
        <v>116</v>
      </c>
      <c r="E8" s="1798">
        <v>0</v>
      </c>
      <c r="F8" s="1798">
        <v>0</v>
      </c>
      <c r="G8" s="1798">
        <v>0</v>
      </c>
      <c r="H8" s="1798">
        <v>2</v>
      </c>
      <c r="I8" s="1798">
        <v>1</v>
      </c>
      <c r="J8" s="1798">
        <v>0</v>
      </c>
      <c r="K8" s="1798">
        <v>0</v>
      </c>
      <c r="L8" s="1798">
        <v>13</v>
      </c>
    </row>
    <row r="9" spans="1:16">
      <c r="A9" s="1719" t="s">
        <v>9</v>
      </c>
      <c r="B9" s="1796">
        <f t="shared" si="1"/>
        <v>54</v>
      </c>
      <c r="C9" s="1798">
        <v>23</v>
      </c>
      <c r="D9" s="1798">
        <v>1</v>
      </c>
      <c r="E9" s="1798">
        <v>1</v>
      </c>
      <c r="F9" s="1798">
        <v>0</v>
      </c>
      <c r="G9" s="1798">
        <v>0</v>
      </c>
      <c r="H9" s="1798">
        <v>5</v>
      </c>
      <c r="I9" s="1798">
        <v>1</v>
      </c>
      <c r="J9" s="1798">
        <v>1</v>
      </c>
      <c r="K9" s="1798">
        <v>0</v>
      </c>
      <c r="L9" s="1798">
        <v>22</v>
      </c>
    </row>
    <row r="10" spans="1:16">
      <c r="A10" s="1719" t="s">
        <v>10</v>
      </c>
      <c r="B10" s="1796">
        <f t="shared" si="1"/>
        <v>24</v>
      </c>
      <c r="C10" s="1798">
        <v>1</v>
      </c>
      <c r="D10" s="1798">
        <v>0</v>
      </c>
      <c r="E10" s="1798">
        <v>3</v>
      </c>
      <c r="F10" s="1798">
        <v>3</v>
      </c>
      <c r="G10" s="1798">
        <v>0</v>
      </c>
      <c r="H10" s="1798">
        <v>0</v>
      </c>
      <c r="I10" s="1798">
        <v>0</v>
      </c>
      <c r="J10" s="1798">
        <v>0</v>
      </c>
      <c r="K10" s="1798">
        <v>0</v>
      </c>
      <c r="L10" s="1798">
        <v>17</v>
      </c>
    </row>
    <row r="11" spans="1:16">
      <c r="A11" s="1719" t="s">
        <v>11</v>
      </c>
      <c r="B11" s="1796">
        <f t="shared" si="1"/>
        <v>107</v>
      </c>
      <c r="C11" s="1798">
        <v>3</v>
      </c>
      <c r="D11" s="1798">
        <v>1</v>
      </c>
      <c r="E11" s="1798">
        <v>0</v>
      </c>
      <c r="F11" s="1798">
        <v>8</v>
      </c>
      <c r="G11" s="1798">
        <v>0</v>
      </c>
      <c r="H11" s="1798">
        <v>5</v>
      </c>
      <c r="I11" s="1798">
        <v>0</v>
      </c>
      <c r="J11" s="1798">
        <v>0</v>
      </c>
      <c r="K11" s="1798">
        <v>0</v>
      </c>
      <c r="L11" s="1798">
        <v>90</v>
      </c>
    </row>
    <row r="12" spans="1:16">
      <c r="A12" s="1719" t="s">
        <v>12</v>
      </c>
      <c r="B12" s="1796">
        <f t="shared" si="1"/>
        <v>106</v>
      </c>
      <c r="C12" s="1798">
        <v>4</v>
      </c>
      <c r="D12" s="1798">
        <v>1</v>
      </c>
      <c r="E12" s="1798">
        <v>0</v>
      </c>
      <c r="F12" s="1798">
        <v>4</v>
      </c>
      <c r="G12" s="1798">
        <v>0</v>
      </c>
      <c r="H12" s="1798">
        <v>8</v>
      </c>
      <c r="I12" s="1798">
        <v>1</v>
      </c>
      <c r="J12" s="1798">
        <v>1</v>
      </c>
      <c r="K12" s="1798">
        <v>0</v>
      </c>
      <c r="L12" s="1798">
        <v>87</v>
      </c>
    </row>
    <row r="13" spans="1:16">
      <c r="A13" s="1719" t="s">
        <v>13</v>
      </c>
      <c r="B13" s="1796">
        <f t="shared" si="1"/>
        <v>245</v>
      </c>
      <c r="C13" s="1798">
        <v>3</v>
      </c>
      <c r="D13" s="1798">
        <v>5</v>
      </c>
      <c r="E13" s="1798">
        <v>0</v>
      </c>
      <c r="F13" s="1798">
        <v>5</v>
      </c>
      <c r="G13" s="1798">
        <v>2</v>
      </c>
      <c r="H13" s="1798">
        <v>24</v>
      </c>
      <c r="I13" s="1798">
        <v>1</v>
      </c>
      <c r="J13" s="1798">
        <v>6</v>
      </c>
      <c r="K13" s="1798">
        <v>0</v>
      </c>
      <c r="L13" s="1798">
        <v>199</v>
      </c>
    </row>
    <row r="14" spans="1:16">
      <c r="A14" s="1719" t="s">
        <v>14</v>
      </c>
      <c r="B14" s="1796">
        <f t="shared" si="1"/>
        <v>72</v>
      </c>
      <c r="C14" s="1798">
        <v>0</v>
      </c>
      <c r="D14" s="1798">
        <v>0</v>
      </c>
      <c r="E14" s="1798">
        <v>0</v>
      </c>
      <c r="F14" s="1798">
        <v>0</v>
      </c>
      <c r="G14" s="1798">
        <v>0</v>
      </c>
      <c r="H14" s="1798">
        <v>2</v>
      </c>
      <c r="I14" s="1798">
        <v>0</v>
      </c>
      <c r="J14" s="1798">
        <v>0</v>
      </c>
      <c r="K14" s="1798">
        <v>0</v>
      </c>
      <c r="L14" s="1798">
        <v>70</v>
      </c>
    </row>
    <row r="15" spans="1:16">
      <c r="A15" s="1719" t="s">
        <v>15</v>
      </c>
      <c r="B15" s="1796">
        <f t="shared" si="1"/>
        <v>109</v>
      </c>
      <c r="C15" s="1798">
        <v>1</v>
      </c>
      <c r="D15" s="1798">
        <v>0</v>
      </c>
      <c r="E15" s="1798">
        <v>0</v>
      </c>
      <c r="F15" s="1798">
        <v>0</v>
      </c>
      <c r="G15" s="1798">
        <v>0</v>
      </c>
      <c r="H15" s="1798">
        <v>0</v>
      </c>
      <c r="I15" s="1798">
        <v>0</v>
      </c>
      <c r="J15" s="1798">
        <v>0</v>
      </c>
      <c r="K15" s="1798">
        <v>0</v>
      </c>
      <c r="L15" s="1798">
        <v>108</v>
      </c>
    </row>
    <row r="16" spans="1:16">
      <c r="A16" s="1719" t="s">
        <v>16</v>
      </c>
      <c r="B16" s="1796">
        <f t="shared" si="1"/>
        <v>157</v>
      </c>
      <c r="C16" s="1798">
        <v>0</v>
      </c>
      <c r="D16" s="1798">
        <v>0</v>
      </c>
      <c r="E16" s="1798">
        <v>0</v>
      </c>
      <c r="F16" s="1798">
        <v>0</v>
      </c>
      <c r="G16" s="1798">
        <v>0</v>
      </c>
      <c r="H16" s="1798">
        <v>17</v>
      </c>
      <c r="I16" s="1798">
        <v>0</v>
      </c>
      <c r="J16" s="1798">
        <v>1</v>
      </c>
      <c r="K16" s="1798">
        <v>0</v>
      </c>
      <c r="L16" s="1798">
        <v>139</v>
      </c>
    </row>
    <row r="17" spans="1:16">
      <c r="A17" s="1719" t="s">
        <v>17</v>
      </c>
      <c r="B17" s="1796">
        <f t="shared" si="1"/>
        <v>115</v>
      </c>
      <c r="C17" s="1798">
        <v>1</v>
      </c>
      <c r="D17" s="1798">
        <v>0</v>
      </c>
      <c r="E17" s="1798">
        <v>0</v>
      </c>
      <c r="F17" s="1798">
        <v>0</v>
      </c>
      <c r="G17" s="1798">
        <v>0</v>
      </c>
      <c r="H17" s="1798">
        <v>90</v>
      </c>
      <c r="I17" s="1798">
        <v>0</v>
      </c>
      <c r="J17" s="1798">
        <v>0</v>
      </c>
      <c r="K17" s="1798">
        <v>0</v>
      </c>
      <c r="L17" s="1798">
        <v>24</v>
      </c>
    </row>
    <row r="18" spans="1:16">
      <c r="A18" s="1719" t="s">
        <v>18</v>
      </c>
      <c r="B18" s="1796">
        <f t="shared" si="1"/>
        <v>75</v>
      </c>
      <c r="C18" s="1798">
        <v>0</v>
      </c>
      <c r="D18" s="1798">
        <v>0</v>
      </c>
      <c r="E18" s="1798">
        <v>0</v>
      </c>
      <c r="F18" s="1798">
        <v>0</v>
      </c>
      <c r="G18" s="1798">
        <v>0</v>
      </c>
      <c r="H18" s="1798">
        <v>37</v>
      </c>
      <c r="I18" s="1798">
        <v>0</v>
      </c>
      <c r="J18" s="1798">
        <v>0</v>
      </c>
      <c r="K18" s="1798">
        <v>0</v>
      </c>
      <c r="L18" s="1798">
        <v>38</v>
      </c>
    </row>
    <row r="19" spans="1:16">
      <c r="A19" s="1719" t="s">
        <v>19</v>
      </c>
      <c r="B19" s="1796">
        <f t="shared" si="1"/>
        <v>113</v>
      </c>
      <c r="C19" s="1798">
        <v>1</v>
      </c>
      <c r="D19" s="1798">
        <v>0</v>
      </c>
      <c r="E19" s="1798">
        <v>0</v>
      </c>
      <c r="F19" s="1798">
        <v>0</v>
      </c>
      <c r="G19" s="1798">
        <v>0</v>
      </c>
      <c r="H19" s="1798">
        <v>26</v>
      </c>
      <c r="I19" s="1798">
        <v>1</v>
      </c>
      <c r="J19" s="1798">
        <v>0</v>
      </c>
      <c r="K19" s="1798">
        <v>0</v>
      </c>
      <c r="L19" s="1798">
        <v>85</v>
      </c>
    </row>
    <row r="20" spans="1:16">
      <c r="A20" s="1719" t="s">
        <v>20</v>
      </c>
      <c r="B20" s="1796">
        <f t="shared" si="1"/>
        <v>26</v>
      </c>
      <c r="C20" s="1798">
        <v>0</v>
      </c>
      <c r="D20" s="1798">
        <v>0</v>
      </c>
      <c r="E20" s="1798">
        <v>0</v>
      </c>
      <c r="F20" s="1798">
        <v>0</v>
      </c>
      <c r="G20" s="1798">
        <v>0</v>
      </c>
      <c r="H20" s="1798">
        <v>6</v>
      </c>
      <c r="I20" s="1798">
        <v>0</v>
      </c>
      <c r="J20" s="1798">
        <v>0</v>
      </c>
      <c r="K20" s="1798">
        <v>0</v>
      </c>
      <c r="L20" s="1798">
        <v>20</v>
      </c>
    </row>
    <row r="21" spans="1:16">
      <c r="A21" s="1719" t="s">
        <v>21</v>
      </c>
      <c r="B21" s="1796">
        <f t="shared" si="1"/>
        <v>23</v>
      </c>
      <c r="C21" s="1798">
        <v>0</v>
      </c>
      <c r="D21" s="1798">
        <v>0</v>
      </c>
      <c r="E21" s="1798">
        <v>0</v>
      </c>
      <c r="F21" s="1798">
        <v>0</v>
      </c>
      <c r="G21" s="1798">
        <v>1</v>
      </c>
      <c r="H21" s="1798">
        <v>4</v>
      </c>
      <c r="I21" s="1798">
        <v>0</v>
      </c>
      <c r="J21" s="1798">
        <v>0</v>
      </c>
      <c r="K21" s="1798">
        <v>4</v>
      </c>
      <c r="L21" s="1798">
        <v>14</v>
      </c>
    </row>
    <row r="22" spans="1:16">
      <c r="A22" s="1719"/>
      <c r="B22" s="1168"/>
      <c r="C22" s="1168"/>
      <c r="D22" s="1168"/>
      <c r="E22" s="1168"/>
      <c r="F22" s="1168"/>
      <c r="G22" s="1168"/>
      <c r="H22" s="1168"/>
      <c r="I22" s="1168"/>
      <c r="J22" s="1168"/>
      <c r="K22" s="1168"/>
      <c r="L22" s="1168"/>
      <c r="M22" s="1168"/>
      <c r="N22" s="1168"/>
      <c r="O22" s="1168"/>
      <c r="P22" s="1799"/>
    </row>
    <row r="23" spans="1:16">
      <c r="A23" s="117" t="s">
        <v>22</v>
      </c>
    </row>
    <row r="24" spans="1:16">
      <c r="A24" s="144" t="s">
        <v>1014</v>
      </c>
      <c r="B24" s="1711"/>
      <c r="C24" s="1711"/>
      <c r="D24" s="1711"/>
      <c r="E24" s="1711"/>
      <c r="F24" s="1711"/>
      <c r="G24" s="1711"/>
      <c r="H24" s="1711"/>
      <c r="I24" s="1711"/>
      <c r="J24" s="1711"/>
      <c r="K24" s="1711"/>
      <c r="L24" s="1711"/>
      <c r="M24" s="1711"/>
      <c r="N24" s="1711"/>
      <c r="O24" s="1711"/>
    </row>
    <row r="25" spans="1:16" ht="12.75" customHeight="1">
      <c r="A25" s="2143" t="s">
        <v>1013</v>
      </c>
      <c r="B25" s="2143"/>
      <c r="C25" s="2143"/>
      <c r="D25" s="2143"/>
      <c r="E25" s="2143"/>
      <c r="F25" s="2143"/>
      <c r="G25" s="2143"/>
      <c r="H25" s="2143"/>
      <c r="I25" s="2143"/>
      <c r="J25" s="2143"/>
      <c r="K25" s="2143"/>
      <c r="L25" s="2143"/>
      <c r="M25" s="2143"/>
      <c r="N25" s="2143"/>
      <c r="O25" s="2143"/>
    </row>
    <row r="26" spans="1:16">
      <c r="D26" s="1800"/>
    </row>
    <row r="27" spans="1:16">
      <c r="D27" s="1800"/>
    </row>
    <row r="28" spans="1:16">
      <c r="D28" s="1800"/>
    </row>
    <row r="29" spans="1:16">
      <c r="D29" s="1800"/>
    </row>
    <row r="30" spans="1:16">
      <c r="D30" s="1800"/>
    </row>
    <row r="31" spans="1:16">
      <c r="D31" s="1800"/>
    </row>
    <row r="32" spans="1:16">
      <c r="D32" s="1800"/>
    </row>
    <row r="33" spans="4:4">
      <c r="D33" s="1800"/>
    </row>
    <row r="34" spans="4:4">
      <c r="D34" s="1800"/>
    </row>
    <row r="35" spans="4:4">
      <c r="D35" s="1800"/>
    </row>
    <row r="36" spans="4:4">
      <c r="D36" s="1800"/>
    </row>
    <row r="37" spans="4:4">
      <c r="D37" s="1800"/>
    </row>
    <row r="38" spans="4:4">
      <c r="D38" s="1800"/>
    </row>
  </sheetData>
  <mergeCells count="5">
    <mergeCell ref="A4:A5"/>
    <mergeCell ref="B4:B5"/>
    <mergeCell ref="C4:K4"/>
    <mergeCell ref="A25:O25"/>
    <mergeCell ref="A2:L2"/>
  </mergeCells>
  <pageMargins left="0.7" right="0.7" top="0.75" bottom="0.75" header="0.3" footer="0.3"/>
  <pageSetup paperSize="14" scale="59" orientation="landscape" r:id="rId1"/>
</worksheet>
</file>

<file path=xl/worksheets/sheet71.xml><?xml version="1.0" encoding="utf-8"?>
<worksheet xmlns="http://schemas.openxmlformats.org/spreadsheetml/2006/main" xmlns:r="http://schemas.openxmlformats.org/officeDocument/2006/relationships">
  <dimension ref="A2:Q27"/>
  <sheetViews>
    <sheetView zoomScaleNormal="100" workbookViewId="0"/>
  </sheetViews>
  <sheetFormatPr baseColWidth="10" defaultRowHeight="12"/>
  <cols>
    <col min="1" max="1" width="17.7109375" style="1711" customWidth="1"/>
    <col min="2" max="2" width="10.42578125" style="1711" customWidth="1"/>
    <col min="3" max="7" width="11.42578125" style="1711"/>
    <col min="8" max="8" width="11.85546875" style="1711" customWidth="1"/>
    <col min="9" max="10" width="11.42578125" style="1711"/>
    <col min="11" max="11" width="13.7109375" style="1711" customWidth="1"/>
    <col min="12" max="12" width="13.42578125" style="1711" customWidth="1"/>
    <col min="13" max="13" width="9.5703125" style="1711" customWidth="1"/>
    <col min="14" max="16384" width="11.42578125" style="1711"/>
  </cols>
  <sheetData>
    <row r="2" spans="1:17" ht="17.25" customHeight="1">
      <c r="A2" s="2144" t="s">
        <v>1015</v>
      </c>
      <c r="B2" s="2144"/>
      <c r="C2" s="2144"/>
      <c r="D2" s="2144"/>
      <c r="E2" s="2144"/>
      <c r="F2" s="2144"/>
      <c r="G2" s="2144"/>
      <c r="H2" s="2144"/>
      <c r="I2" s="2144"/>
      <c r="J2" s="2144"/>
      <c r="K2" s="2144"/>
      <c r="L2" s="2144"/>
      <c r="M2" s="2144"/>
      <c r="N2" s="2144"/>
      <c r="O2" s="2144"/>
      <c r="P2" s="2144"/>
      <c r="Q2" s="2144"/>
    </row>
    <row r="3" spans="1:17">
      <c r="A3" s="1715"/>
      <c r="B3" s="1715"/>
      <c r="C3" s="1715"/>
      <c r="D3" s="1715"/>
      <c r="E3" s="1715"/>
      <c r="F3" s="1715"/>
      <c r="G3" s="1715"/>
      <c r="H3" s="1715"/>
      <c r="I3" s="1715"/>
      <c r="J3" s="1715"/>
      <c r="K3" s="1715"/>
      <c r="L3" s="1715"/>
      <c r="M3" s="1715"/>
      <c r="N3" s="1715"/>
      <c r="O3" s="1715"/>
      <c r="P3" s="1715"/>
      <c r="Q3" s="1715"/>
    </row>
    <row r="4" spans="1:17" ht="15.75" customHeight="1">
      <c r="A4" s="2138" t="s">
        <v>0</v>
      </c>
      <c r="B4" s="2139" t="s">
        <v>26</v>
      </c>
      <c r="C4" s="2141" t="s">
        <v>1016</v>
      </c>
      <c r="D4" s="2142"/>
      <c r="E4" s="2142"/>
      <c r="F4" s="2142"/>
      <c r="G4" s="2142"/>
      <c r="H4" s="2142"/>
      <c r="I4" s="2142"/>
      <c r="J4" s="2142"/>
      <c r="K4" s="2142"/>
      <c r="L4" s="2142"/>
      <c r="M4" s="2142"/>
      <c r="N4" s="2142"/>
      <c r="O4" s="2142"/>
      <c r="P4" s="2142"/>
      <c r="Q4" s="2145"/>
    </row>
    <row r="5" spans="1:17" ht="44.25" customHeight="1">
      <c r="A5" s="2138"/>
      <c r="B5" s="2140"/>
      <c r="C5" s="1768" t="s">
        <v>1017</v>
      </c>
      <c r="D5" s="1768" t="s">
        <v>1018</v>
      </c>
      <c r="E5" s="1768" t="s">
        <v>1019</v>
      </c>
      <c r="F5" s="1768" t="s">
        <v>1020</v>
      </c>
      <c r="G5" s="1768" t="s">
        <v>1021</v>
      </c>
      <c r="H5" s="1768" t="s">
        <v>1022</v>
      </c>
      <c r="I5" s="1768" t="s">
        <v>1023</v>
      </c>
      <c r="J5" s="1768" t="s">
        <v>1024</v>
      </c>
      <c r="K5" s="1768" t="s">
        <v>1025</v>
      </c>
      <c r="L5" s="1768" t="s">
        <v>1026</v>
      </c>
      <c r="M5" s="1768" t="s">
        <v>1027</v>
      </c>
      <c r="N5" s="1768" t="s">
        <v>1028</v>
      </c>
      <c r="O5" s="1768" t="s">
        <v>1029</v>
      </c>
      <c r="P5" s="1768" t="s">
        <v>1030</v>
      </c>
      <c r="Q5" s="1783" t="s">
        <v>1031</v>
      </c>
    </row>
    <row r="6" spans="1:17">
      <c r="A6" s="1784" t="s">
        <v>6</v>
      </c>
      <c r="B6" s="1785">
        <f>SUM(B7:B21)</f>
        <v>5777</v>
      </c>
      <c r="C6" s="1785">
        <f t="shared" ref="C6:Q6" si="0">SUM(C7:C21)</f>
        <v>315</v>
      </c>
      <c r="D6" s="1785">
        <f t="shared" si="0"/>
        <v>41</v>
      </c>
      <c r="E6" s="1785">
        <f t="shared" si="0"/>
        <v>620</v>
      </c>
      <c r="F6" s="1785">
        <f t="shared" si="0"/>
        <v>357</v>
      </c>
      <c r="G6" s="1785">
        <f t="shared" si="0"/>
        <v>1</v>
      </c>
      <c r="H6" s="1785">
        <f t="shared" si="0"/>
        <v>143</v>
      </c>
      <c r="I6" s="1785">
        <f t="shared" si="0"/>
        <v>1</v>
      </c>
      <c r="J6" s="1785">
        <f t="shared" si="0"/>
        <v>12</v>
      </c>
      <c r="K6" s="1785">
        <f t="shared" si="0"/>
        <v>9</v>
      </c>
      <c r="L6" s="1785">
        <f t="shared" si="0"/>
        <v>1</v>
      </c>
      <c r="M6" s="1785">
        <f t="shared" si="0"/>
        <v>619</v>
      </c>
      <c r="N6" s="1785">
        <f t="shared" si="0"/>
        <v>4</v>
      </c>
      <c r="O6" s="1785">
        <f t="shared" si="0"/>
        <v>3637</v>
      </c>
      <c r="P6" s="1785">
        <f t="shared" si="0"/>
        <v>6</v>
      </c>
      <c r="Q6" s="1785">
        <f t="shared" si="0"/>
        <v>11</v>
      </c>
    </row>
    <row r="7" spans="1:17">
      <c r="A7" s="1719" t="s">
        <v>7</v>
      </c>
      <c r="B7" s="1785">
        <f t="shared" ref="B7:B21" si="1">SUM(C7:Q7)</f>
        <v>93</v>
      </c>
      <c r="C7" s="1786">
        <v>6</v>
      </c>
      <c r="D7" s="1786">
        <v>2</v>
      </c>
      <c r="E7" s="1786">
        <v>2</v>
      </c>
      <c r="F7" s="1786">
        <v>7</v>
      </c>
      <c r="G7" s="1786">
        <v>0</v>
      </c>
      <c r="H7" s="1786">
        <v>1</v>
      </c>
      <c r="I7" s="1786">
        <v>0</v>
      </c>
      <c r="J7" s="1786">
        <v>1</v>
      </c>
      <c r="K7" s="1786">
        <v>1</v>
      </c>
      <c r="L7" s="1786">
        <v>0</v>
      </c>
      <c r="M7" s="1786">
        <v>0</v>
      </c>
      <c r="N7" s="1786">
        <v>2</v>
      </c>
      <c r="O7" s="1786">
        <v>70</v>
      </c>
      <c r="P7" s="1786">
        <v>0</v>
      </c>
      <c r="Q7" s="1786">
        <v>1</v>
      </c>
    </row>
    <row r="8" spans="1:17">
      <c r="A8" s="1719" t="s">
        <v>8</v>
      </c>
      <c r="B8" s="1785">
        <f t="shared" si="1"/>
        <v>194</v>
      </c>
      <c r="C8" s="1786">
        <v>1</v>
      </c>
      <c r="D8" s="1786">
        <v>1</v>
      </c>
      <c r="E8" s="1786">
        <v>2</v>
      </c>
      <c r="F8" s="1786">
        <v>3</v>
      </c>
      <c r="G8" s="1786">
        <v>0</v>
      </c>
      <c r="H8" s="1786">
        <v>1</v>
      </c>
      <c r="I8" s="1786">
        <v>0</v>
      </c>
      <c r="J8" s="1786">
        <v>0</v>
      </c>
      <c r="K8" s="1786">
        <v>0</v>
      </c>
      <c r="L8" s="1786">
        <v>0</v>
      </c>
      <c r="M8" s="1786">
        <v>5</v>
      </c>
      <c r="N8" s="1786">
        <v>0</v>
      </c>
      <c r="O8" s="1786">
        <v>181</v>
      </c>
      <c r="P8" s="1786">
        <v>0</v>
      </c>
      <c r="Q8" s="1786">
        <v>0</v>
      </c>
    </row>
    <row r="9" spans="1:17">
      <c r="A9" s="1719" t="s">
        <v>9</v>
      </c>
      <c r="B9" s="1785">
        <f t="shared" si="1"/>
        <v>98</v>
      </c>
      <c r="C9" s="1786">
        <v>10</v>
      </c>
      <c r="D9" s="1786">
        <v>6</v>
      </c>
      <c r="E9" s="1786">
        <v>5</v>
      </c>
      <c r="F9" s="1786">
        <v>21</v>
      </c>
      <c r="G9" s="1786">
        <v>1</v>
      </c>
      <c r="H9" s="1786">
        <v>1</v>
      </c>
      <c r="I9" s="1786">
        <v>0</v>
      </c>
      <c r="J9" s="1786">
        <v>0</v>
      </c>
      <c r="K9" s="1786">
        <v>0</v>
      </c>
      <c r="L9" s="1786">
        <v>0</v>
      </c>
      <c r="M9" s="1786">
        <v>8</v>
      </c>
      <c r="N9" s="1786">
        <v>0</v>
      </c>
      <c r="O9" s="1786">
        <v>44</v>
      </c>
      <c r="P9" s="1786">
        <v>0</v>
      </c>
      <c r="Q9" s="1786">
        <v>2</v>
      </c>
    </row>
    <row r="10" spans="1:17">
      <c r="A10" s="1719" t="s">
        <v>10</v>
      </c>
      <c r="B10" s="1785">
        <f t="shared" si="1"/>
        <v>46</v>
      </c>
      <c r="C10" s="1786">
        <v>10</v>
      </c>
      <c r="D10" s="1786">
        <v>0</v>
      </c>
      <c r="E10" s="1786">
        <v>10</v>
      </c>
      <c r="F10" s="1786">
        <v>4</v>
      </c>
      <c r="G10" s="1786">
        <v>0</v>
      </c>
      <c r="H10" s="1786">
        <v>5</v>
      </c>
      <c r="I10" s="1786">
        <v>0</v>
      </c>
      <c r="J10" s="1786">
        <v>2</v>
      </c>
      <c r="K10" s="1786">
        <v>0</v>
      </c>
      <c r="L10" s="1786">
        <v>0</v>
      </c>
      <c r="M10" s="1786">
        <v>1</v>
      </c>
      <c r="N10" s="1786">
        <v>0</v>
      </c>
      <c r="O10" s="1786">
        <v>14</v>
      </c>
      <c r="P10" s="1786">
        <v>0</v>
      </c>
      <c r="Q10" s="1786">
        <v>0</v>
      </c>
    </row>
    <row r="11" spans="1:17">
      <c r="A11" s="1719" t="s">
        <v>11</v>
      </c>
      <c r="B11" s="1785">
        <f t="shared" si="1"/>
        <v>126</v>
      </c>
      <c r="C11" s="1786">
        <v>11</v>
      </c>
      <c r="D11" s="1786">
        <v>17</v>
      </c>
      <c r="E11" s="1786">
        <v>9</v>
      </c>
      <c r="F11" s="1786">
        <v>40</v>
      </c>
      <c r="G11" s="1786">
        <v>0</v>
      </c>
      <c r="H11" s="1786">
        <v>7</v>
      </c>
      <c r="I11" s="1786">
        <v>0</v>
      </c>
      <c r="J11" s="1786">
        <v>1</v>
      </c>
      <c r="K11" s="1786">
        <v>2</v>
      </c>
      <c r="L11" s="1786">
        <v>0</v>
      </c>
      <c r="M11" s="1786">
        <v>6</v>
      </c>
      <c r="N11" s="1786">
        <v>0</v>
      </c>
      <c r="O11" s="1786">
        <v>33</v>
      </c>
      <c r="P11" s="1786">
        <v>0</v>
      </c>
      <c r="Q11" s="1786">
        <v>0</v>
      </c>
    </row>
    <row r="12" spans="1:17">
      <c r="A12" s="1719" t="s">
        <v>12</v>
      </c>
      <c r="B12" s="1785">
        <f t="shared" si="1"/>
        <v>157</v>
      </c>
      <c r="C12" s="1786">
        <v>16</v>
      </c>
      <c r="D12" s="1786">
        <v>1</v>
      </c>
      <c r="E12" s="1786">
        <v>3</v>
      </c>
      <c r="F12" s="1786">
        <v>53</v>
      </c>
      <c r="G12" s="1786">
        <v>0</v>
      </c>
      <c r="H12" s="1786">
        <v>9</v>
      </c>
      <c r="I12" s="1786">
        <v>0</v>
      </c>
      <c r="J12" s="1786">
        <v>2</v>
      </c>
      <c r="K12" s="1786">
        <v>0</v>
      </c>
      <c r="L12" s="1786">
        <v>0</v>
      </c>
      <c r="M12" s="1786">
        <v>33</v>
      </c>
      <c r="N12" s="1786">
        <v>1</v>
      </c>
      <c r="O12" s="1786">
        <v>36</v>
      </c>
      <c r="P12" s="1786">
        <v>3</v>
      </c>
      <c r="Q12" s="1786">
        <v>0</v>
      </c>
    </row>
    <row r="13" spans="1:17">
      <c r="A13" s="1719" t="s">
        <v>13</v>
      </c>
      <c r="B13" s="1785">
        <f t="shared" si="1"/>
        <v>318</v>
      </c>
      <c r="C13" s="1786">
        <v>54</v>
      </c>
      <c r="D13" s="1786">
        <v>3</v>
      </c>
      <c r="E13" s="1786">
        <v>28</v>
      </c>
      <c r="F13" s="1786">
        <v>98</v>
      </c>
      <c r="G13" s="1786">
        <v>0</v>
      </c>
      <c r="H13" s="1786">
        <v>17</v>
      </c>
      <c r="I13" s="1786">
        <v>1</v>
      </c>
      <c r="J13" s="1786">
        <v>4</v>
      </c>
      <c r="K13" s="1786">
        <v>4</v>
      </c>
      <c r="L13" s="1786">
        <v>0</v>
      </c>
      <c r="M13" s="1786">
        <v>41</v>
      </c>
      <c r="N13" s="1786">
        <v>1</v>
      </c>
      <c r="O13" s="1786">
        <v>59</v>
      </c>
      <c r="P13" s="1786">
        <v>3</v>
      </c>
      <c r="Q13" s="1786">
        <v>5</v>
      </c>
    </row>
    <row r="14" spans="1:17">
      <c r="A14" s="1719" t="s">
        <v>14</v>
      </c>
      <c r="B14" s="1785">
        <f t="shared" si="1"/>
        <v>145</v>
      </c>
      <c r="C14" s="1786">
        <v>18</v>
      </c>
      <c r="D14" s="1786">
        <v>0</v>
      </c>
      <c r="E14" s="1786">
        <v>46</v>
      </c>
      <c r="F14" s="1786">
        <v>19</v>
      </c>
      <c r="G14" s="1786">
        <v>0</v>
      </c>
      <c r="H14" s="1786">
        <v>3</v>
      </c>
      <c r="I14" s="1786">
        <v>0</v>
      </c>
      <c r="J14" s="1786">
        <v>0</v>
      </c>
      <c r="K14" s="1786">
        <v>0</v>
      </c>
      <c r="L14" s="1786">
        <v>0</v>
      </c>
      <c r="M14" s="1786">
        <v>4</v>
      </c>
      <c r="N14" s="1786">
        <v>0</v>
      </c>
      <c r="O14" s="1786">
        <v>55</v>
      </c>
      <c r="P14" s="1786">
        <v>0</v>
      </c>
      <c r="Q14" s="1786">
        <v>0</v>
      </c>
    </row>
    <row r="15" spans="1:17">
      <c r="A15" s="1719" t="s">
        <v>15</v>
      </c>
      <c r="B15" s="1785">
        <f t="shared" si="1"/>
        <v>729</v>
      </c>
      <c r="C15" s="1786">
        <v>32</v>
      </c>
      <c r="D15" s="1786">
        <v>4</v>
      </c>
      <c r="E15" s="1786">
        <v>95</v>
      </c>
      <c r="F15" s="1786">
        <v>2</v>
      </c>
      <c r="G15" s="1786">
        <v>0</v>
      </c>
      <c r="H15" s="1786">
        <v>14</v>
      </c>
      <c r="I15" s="1786">
        <v>0</v>
      </c>
      <c r="J15" s="1786">
        <v>0</v>
      </c>
      <c r="K15" s="1786">
        <v>0</v>
      </c>
      <c r="L15" s="1786">
        <v>0</v>
      </c>
      <c r="M15" s="1786">
        <v>33</v>
      </c>
      <c r="N15" s="1786">
        <v>0</v>
      </c>
      <c r="O15" s="1786">
        <v>548</v>
      </c>
      <c r="P15" s="1786">
        <v>0</v>
      </c>
      <c r="Q15" s="1786">
        <v>1</v>
      </c>
    </row>
    <row r="16" spans="1:17">
      <c r="A16" s="1719" t="s">
        <v>16</v>
      </c>
      <c r="B16" s="1785">
        <f t="shared" si="1"/>
        <v>802</v>
      </c>
      <c r="C16" s="1786">
        <v>120</v>
      </c>
      <c r="D16" s="1786">
        <v>1</v>
      </c>
      <c r="E16" s="1786">
        <v>220</v>
      </c>
      <c r="F16" s="1786">
        <v>43</v>
      </c>
      <c r="G16" s="1786">
        <v>0</v>
      </c>
      <c r="H16" s="1786">
        <v>27</v>
      </c>
      <c r="I16" s="1786">
        <v>0</v>
      </c>
      <c r="J16" s="1786">
        <v>0</v>
      </c>
      <c r="K16" s="1786">
        <v>0</v>
      </c>
      <c r="L16" s="1786">
        <v>0</v>
      </c>
      <c r="M16" s="1786">
        <v>52</v>
      </c>
      <c r="N16" s="1786">
        <v>0</v>
      </c>
      <c r="O16" s="1786">
        <v>338</v>
      </c>
      <c r="P16" s="1786">
        <v>0</v>
      </c>
      <c r="Q16" s="1786">
        <v>1</v>
      </c>
    </row>
    <row r="17" spans="1:17">
      <c r="A17" s="1719" t="s">
        <v>17</v>
      </c>
      <c r="B17" s="1785">
        <f t="shared" si="1"/>
        <v>1392</v>
      </c>
      <c r="C17" s="1786">
        <v>16</v>
      </c>
      <c r="D17" s="1786">
        <v>1</v>
      </c>
      <c r="E17" s="1786">
        <v>33</v>
      </c>
      <c r="F17" s="1786">
        <v>36</v>
      </c>
      <c r="G17" s="1786">
        <v>0</v>
      </c>
      <c r="H17" s="1786">
        <v>28</v>
      </c>
      <c r="I17" s="1786">
        <v>0</v>
      </c>
      <c r="J17" s="1786">
        <v>0</v>
      </c>
      <c r="K17" s="1786">
        <v>0</v>
      </c>
      <c r="L17" s="1786">
        <v>0</v>
      </c>
      <c r="M17" s="1786">
        <v>192</v>
      </c>
      <c r="N17" s="1786">
        <v>0</v>
      </c>
      <c r="O17" s="1786">
        <v>1086</v>
      </c>
      <c r="P17" s="1786">
        <v>0</v>
      </c>
      <c r="Q17" s="1786">
        <v>0</v>
      </c>
    </row>
    <row r="18" spans="1:17">
      <c r="A18" s="1719" t="s">
        <v>18</v>
      </c>
      <c r="B18" s="1785">
        <f t="shared" si="1"/>
        <v>582</v>
      </c>
      <c r="C18" s="1786">
        <v>7</v>
      </c>
      <c r="D18" s="1786">
        <v>3</v>
      </c>
      <c r="E18" s="1786">
        <v>38</v>
      </c>
      <c r="F18" s="1786">
        <v>9</v>
      </c>
      <c r="G18" s="1786">
        <v>0</v>
      </c>
      <c r="H18" s="1786">
        <v>7</v>
      </c>
      <c r="I18" s="1786">
        <v>0</v>
      </c>
      <c r="J18" s="1786">
        <v>1</v>
      </c>
      <c r="K18" s="1786">
        <v>1</v>
      </c>
      <c r="L18" s="1786">
        <v>1</v>
      </c>
      <c r="M18" s="1786">
        <v>156</v>
      </c>
      <c r="N18" s="1786">
        <v>0</v>
      </c>
      <c r="O18" s="1786">
        <v>359</v>
      </c>
      <c r="P18" s="1786">
        <v>0</v>
      </c>
      <c r="Q18" s="1786">
        <v>0</v>
      </c>
    </row>
    <row r="19" spans="1:17">
      <c r="A19" s="1719" t="s">
        <v>19</v>
      </c>
      <c r="B19" s="1785">
        <f t="shared" si="1"/>
        <v>982</v>
      </c>
      <c r="C19" s="1786">
        <v>3</v>
      </c>
      <c r="D19" s="1786">
        <v>2</v>
      </c>
      <c r="E19" s="1786">
        <v>120</v>
      </c>
      <c r="F19" s="1786">
        <v>13</v>
      </c>
      <c r="G19" s="1786">
        <v>0</v>
      </c>
      <c r="H19" s="1786">
        <v>11</v>
      </c>
      <c r="I19" s="1786">
        <v>0</v>
      </c>
      <c r="J19" s="1786">
        <v>0</v>
      </c>
      <c r="K19" s="1786">
        <v>1</v>
      </c>
      <c r="L19" s="1786">
        <v>0</v>
      </c>
      <c r="M19" s="1786">
        <v>65</v>
      </c>
      <c r="N19" s="1786">
        <v>0</v>
      </c>
      <c r="O19" s="1786">
        <v>766</v>
      </c>
      <c r="P19" s="1786">
        <v>0</v>
      </c>
      <c r="Q19" s="1786">
        <v>1</v>
      </c>
    </row>
    <row r="20" spans="1:17">
      <c r="A20" s="1719" t="s">
        <v>20</v>
      </c>
      <c r="B20" s="1785">
        <f t="shared" si="1"/>
        <v>75</v>
      </c>
      <c r="C20" s="1786">
        <v>9</v>
      </c>
      <c r="D20" s="1786">
        <v>0</v>
      </c>
      <c r="E20" s="1786">
        <v>1</v>
      </c>
      <c r="F20" s="1786">
        <v>4</v>
      </c>
      <c r="G20" s="1786">
        <v>0</v>
      </c>
      <c r="H20" s="1786">
        <v>9</v>
      </c>
      <c r="I20" s="1786">
        <v>0</v>
      </c>
      <c r="J20" s="1786">
        <v>0</v>
      </c>
      <c r="K20" s="1786">
        <v>0</v>
      </c>
      <c r="L20" s="1786">
        <v>0</v>
      </c>
      <c r="M20" s="1786">
        <v>15</v>
      </c>
      <c r="N20" s="1786">
        <v>0</v>
      </c>
      <c r="O20" s="1786">
        <v>37</v>
      </c>
      <c r="P20" s="1786">
        <v>0</v>
      </c>
      <c r="Q20" s="1786">
        <v>0</v>
      </c>
    </row>
    <row r="21" spans="1:17">
      <c r="A21" s="1719" t="s">
        <v>21</v>
      </c>
      <c r="B21" s="1785">
        <f t="shared" si="1"/>
        <v>38</v>
      </c>
      <c r="C21" s="1786">
        <v>2</v>
      </c>
      <c r="D21" s="1786">
        <v>0</v>
      </c>
      <c r="E21" s="1786">
        <v>8</v>
      </c>
      <c r="F21" s="1786">
        <v>5</v>
      </c>
      <c r="G21" s="1786">
        <v>0</v>
      </c>
      <c r="H21" s="1786">
        <v>3</v>
      </c>
      <c r="I21" s="1786">
        <v>0</v>
      </c>
      <c r="J21" s="1786">
        <v>1</v>
      </c>
      <c r="K21" s="1786">
        <v>0</v>
      </c>
      <c r="L21" s="1786">
        <v>0</v>
      </c>
      <c r="M21" s="1786">
        <v>8</v>
      </c>
      <c r="N21" s="1786">
        <v>0</v>
      </c>
      <c r="O21" s="1786">
        <v>11</v>
      </c>
      <c r="P21" s="1786">
        <v>0</v>
      </c>
      <c r="Q21" s="1786">
        <v>0</v>
      </c>
    </row>
    <row r="22" spans="1:17">
      <c r="A22" s="1719"/>
      <c r="B22" s="1787"/>
      <c r="C22" s="1788"/>
      <c r="D22" s="1788"/>
      <c r="E22" s="1788"/>
      <c r="F22" s="1788"/>
      <c r="G22" s="1788"/>
      <c r="H22" s="1788"/>
      <c r="I22" s="1788"/>
      <c r="J22" s="1788"/>
      <c r="K22" s="1788"/>
      <c r="L22" s="1788"/>
      <c r="M22" s="1788"/>
      <c r="N22" s="1788"/>
      <c r="O22" s="1788"/>
      <c r="P22" s="1788"/>
      <c r="Q22" s="1788"/>
    </row>
    <row r="23" spans="1:17" s="143" customFormat="1">
      <c r="A23" s="117" t="s">
        <v>22</v>
      </c>
    </row>
    <row r="24" spans="1:17">
      <c r="A24" s="1789" t="s">
        <v>1032</v>
      </c>
      <c r="B24" s="1790"/>
      <c r="C24" s="1791"/>
      <c r="D24" s="1791"/>
      <c r="E24" s="1791"/>
      <c r="F24" s="1791"/>
      <c r="G24" s="1791"/>
      <c r="H24" s="1791"/>
      <c r="I24" s="1791"/>
      <c r="J24" s="1791"/>
      <c r="K24" s="1791"/>
      <c r="L24" s="1791"/>
      <c r="M24" s="1791"/>
      <c r="N24" s="1791"/>
      <c r="O24" s="1791"/>
      <c r="P24" s="1791"/>
      <c r="Q24" s="1791"/>
    </row>
    <row r="25" spans="1:17" ht="24" customHeight="1">
      <c r="A25" s="2133" t="s">
        <v>1000</v>
      </c>
      <c r="B25" s="2133"/>
      <c r="C25" s="2133"/>
      <c r="D25" s="2133"/>
      <c r="E25" s="2133"/>
      <c r="F25" s="2133"/>
      <c r="G25" s="2133"/>
      <c r="H25" s="2133"/>
      <c r="I25" s="2133"/>
      <c r="J25" s="2133"/>
      <c r="K25" s="2133"/>
      <c r="L25" s="2133"/>
      <c r="M25" s="2133"/>
      <c r="N25" s="2133"/>
      <c r="O25" s="2133"/>
      <c r="P25" s="2133"/>
      <c r="Q25" s="2133"/>
    </row>
    <row r="26" spans="1:17">
      <c r="B26" s="144"/>
      <c r="C26" s="144"/>
      <c r="D26" s="144"/>
      <c r="E26" s="144"/>
      <c r="F26" s="144"/>
      <c r="G26" s="144"/>
      <c r="H26" s="144"/>
      <c r="I26" s="144"/>
      <c r="J26" s="144"/>
      <c r="K26" s="144"/>
      <c r="L26" s="144"/>
      <c r="M26" s="144"/>
      <c r="N26" s="144"/>
      <c r="O26" s="144"/>
      <c r="P26" s="144"/>
      <c r="Q26" s="144"/>
    </row>
    <row r="27" spans="1:17">
      <c r="B27" s="1792"/>
    </row>
  </sheetData>
  <mergeCells count="5">
    <mergeCell ref="A4:A5"/>
    <mergeCell ref="B4:B5"/>
    <mergeCell ref="A2:Q2"/>
    <mergeCell ref="C4:Q4"/>
    <mergeCell ref="A25:Q25"/>
  </mergeCells>
  <pageMargins left="0.7" right="0.7" top="0.75" bottom="0.75" header="0.3" footer="0.3"/>
  <pageSetup paperSize="14" scale="91" orientation="landscape" r:id="rId1"/>
</worksheet>
</file>

<file path=xl/worksheets/sheet72.xml><?xml version="1.0" encoding="utf-8"?>
<worksheet xmlns="http://schemas.openxmlformats.org/spreadsheetml/2006/main" xmlns:r="http://schemas.openxmlformats.org/officeDocument/2006/relationships">
  <dimension ref="A1:XEZ29"/>
  <sheetViews>
    <sheetView zoomScaleNormal="100" workbookViewId="0">
      <selection activeCell="H31" sqref="H31"/>
    </sheetView>
  </sheetViews>
  <sheetFormatPr baseColWidth="10" defaultRowHeight="12"/>
  <cols>
    <col min="1" max="1" width="27.5703125" style="1715" customWidth="1"/>
    <col min="2" max="7" width="11.42578125" style="1715"/>
    <col min="8" max="8" width="9.85546875" style="1715" customWidth="1"/>
    <col min="9" max="10" width="12.5703125" style="1715" customWidth="1"/>
    <col min="11" max="11" width="12.5703125" style="1711" customWidth="1"/>
    <col min="12" max="12" width="12.5703125" style="1715" customWidth="1"/>
    <col min="13" max="16384" width="11.42578125" style="1715"/>
  </cols>
  <sheetData>
    <row r="1" spans="1:16380" ht="12.75" customHeight="1">
      <c r="A1" s="2144"/>
      <c r="B1" s="2144"/>
      <c r="C1" s="2144"/>
      <c r="D1" s="2144"/>
      <c r="E1" s="2144"/>
      <c r="F1" s="2144"/>
      <c r="G1" s="2144"/>
      <c r="H1" s="2144"/>
      <c r="I1" s="2144"/>
      <c r="J1" s="2144"/>
      <c r="K1" s="2144"/>
      <c r="L1" s="1755"/>
      <c r="M1" s="1755"/>
      <c r="N1" s="1755"/>
      <c r="O1" s="1755"/>
      <c r="P1" s="1755"/>
      <c r="Q1" s="1755"/>
      <c r="R1" s="1755"/>
      <c r="S1" s="1755"/>
      <c r="T1" s="1755"/>
      <c r="U1" s="1755"/>
      <c r="V1" s="1755"/>
      <c r="W1" s="1755"/>
      <c r="X1" s="1755"/>
      <c r="Y1" s="1755"/>
      <c r="Z1" s="1755"/>
      <c r="AA1" s="1755"/>
      <c r="AB1" s="1755"/>
      <c r="AC1" s="1755"/>
      <c r="AD1" s="1755"/>
      <c r="AE1" s="1755"/>
      <c r="AF1" s="1755"/>
      <c r="AG1" s="1755"/>
      <c r="AH1" s="1755"/>
      <c r="AI1" s="1755"/>
      <c r="AJ1" s="1755"/>
      <c r="AK1" s="1755"/>
      <c r="AL1" s="1755"/>
      <c r="AM1" s="1755"/>
      <c r="AN1" s="1755"/>
      <c r="AO1" s="1755"/>
      <c r="AP1" s="1755"/>
      <c r="AQ1" s="1755"/>
      <c r="AR1" s="1755"/>
      <c r="AS1" s="1755"/>
      <c r="AT1" s="1755"/>
      <c r="AU1" s="1755"/>
      <c r="AV1" s="1755"/>
      <c r="AW1" s="1755"/>
      <c r="AX1" s="1755"/>
      <c r="AY1" s="1755"/>
      <c r="AZ1" s="1755"/>
      <c r="BA1" s="1755"/>
      <c r="BB1" s="1755"/>
      <c r="BC1" s="1755"/>
      <c r="BD1" s="1755"/>
      <c r="BE1" s="1755"/>
      <c r="BF1" s="1755"/>
      <c r="BG1" s="1755"/>
      <c r="BH1" s="1755"/>
      <c r="BI1" s="1755"/>
      <c r="BJ1" s="1755"/>
      <c r="BK1" s="1755"/>
      <c r="BL1" s="1755"/>
      <c r="BM1" s="1755"/>
      <c r="BN1" s="1755"/>
      <c r="BO1" s="1755"/>
      <c r="BP1" s="1755"/>
      <c r="BQ1" s="1755"/>
      <c r="BR1" s="1755"/>
      <c r="BS1" s="1755"/>
      <c r="BT1" s="1755"/>
      <c r="BU1" s="1755"/>
      <c r="BV1" s="1755"/>
      <c r="BW1" s="1755"/>
      <c r="BX1" s="1755"/>
      <c r="BY1" s="1755"/>
      <c r="BZ1" s="1755"/>
      <c r="CA1" s="1755"/>
      <c r="CB1" s="1755"/>
      <c r="CC1" s="1755"/>
      <c r="CD1" s="1755"/>
      <c r="CE1" s="1755"/>
      <c r="CF1" s="1755"/>
      <c r="CG1" s="1755"/>
      <c r="CH1" s="1755"/>
      <c r="CI1" s="1755"/>
      <c r="CJ1" s="1755"/>
      <c r="CK1" s="1755"/>
      <c r="CL1" s="1755"/>
      <c r="CM1" s="1755"/>
      <c r="CN1" s="1755"/>
      <c r="CO1" s="1755"/>
      <c r="CP1" s="1755"/>
      <c r="CQ1" s="1755"/>
      <c r="CR1" s="1755"/>
      <c r="CS1" s="1755"/>
      <c r="CT1" s="1755"/>
      <c r="CU1" s="1755"/>
      <c r="CV1" s="1755"/>
      <c r="CW1" s="1755"/>
      <c r="CX1" s="1755"/>
      <c r="CY1" s="1755"/>
      <c r="CZ1" s="1755"/>
      <c r="DA1" s="1755"/>
      <c r="DB1" s="1755"/>
      <c r="DC1" s="1755"/>
      <c r="DD1" s="1755"/>
      <c r="DE1" s="1755"/>
      <c r="DF1" s="1755"/>
      <c r="DG1" s="1755"/>
      <c r="DH1" s="1755"/>
      <c r="DI1" s="1755"/>
      <c r="DJ1" s="1755"/>
      <c r="DK1" s="1755"/>
      <c r="DL1" s="1755"/>
      <c r="DM1" s="1755"/>
      <c r="DN1" s="1755"/>
      <c r="DO1" s="1755"/>
      <c r="DP1" s="1755"/>
      <c r="DQ1" s="1755"/>
      <c r="DR1" s="1755"/>
      <c r="DS1" s="1755"/>
      <c r="DT1" s="1755"/>
      <c r="DU1" s="1755"/>
      <c r="DV1" s="1755"/>
      <c r="DW1" s="1755"/>
      <c r="DX1" s="1755"/>
      <c r="DY1" s="1755"/>
      <c r="DZ1" s="1755"/>
      <c r="EA1" s="1755"/>
      <c r="EB1" s="1755"/>
      <c r="EC1" s="1755"/>
      <c r="ED1" s="1755"/>
      <c r="EE1" s="1755"/>
      <c r="EF1" s="1755"/>
      <c r="EG1" s="1755"/>
      <c r="EH1" s="1755"/>
      <c r="EI1" s="1755"/>
      <c r="EJ1" s="1755"/>
      <c r="EK1" s="1755"/>
      <c r="EL1" s="1755"/>
      <c r="EM1" s="1755"/>
      <c r="EN1" s="1755"/>
      <c r="EO1" s="1755"/>
      <c r="EP1" s="1755"/>
      <c r="EQ1" s="1755"/>
      <c r="ER1" s="1755"/>
      <c r="ES1" s="1755"/>
      <c r="ET1" s="1755"/>
      <c r="EU1" s="1755"/>
      <c r="EV1" s="1755"/>
      <c r="EW1" s="1755"/>
      <c r="EX1" s="1755"/>
      <c r="EY1" s="1755"/>
      <c r="EZ1" s="1755"/>
      <c r="FA1" s="1755"/>
      <c r="FB1" s="1755"/>
      <c r="FC1" s="1755"/>
      <c r="FD1" s="1755"/>
      <c r="FE1" s="1755"/>
      <c r="FF1" s="1755"/>
      <c r="FG1" s="1755"/>
      <c r="FH1" s="1755"/>
      <c r="FI1" s="1755"/>
      <c r="FJ1" s="1755"/>
      <c r="FK1" s="1755"/>
      <c r="FL1" s="1755"/>
      <c r="FM1" s="1755"/>
      <c r="FN1" s="1755"/>
      <c r="FO1" s="1755"/>
      <c r="FP1" s="1755"/>
      <c r="FQ1" s="1755"/>
      <c r="FR1" s="1755"/>
      <c r="FS1" s="1755"/>
      <c r="FT1" s="1755"/>
      <c r="FU1" s="1755"/>
      <c r="FV1" s="1755"/>
      <c r="FW1" s="1755"/>
      <c r="FX1" s="1755"/>
      <c r="FY1" s="1755"/>
      <c r="FZ1" s="1755"/>
      <c r="GA1" s="1755"/>
      <c r="GB1" s="1755"/>
      <c r="GC1" s="1755"/>
      <c r="GD1" s="1755"/>
      <c r="GE1" s="1755"/>
      <c r="GF1" s="1755"/>
      <c r="GG1" s="1755"/>
      <c r="GH1" s="1755"/>
      <c r="GI1" s="1755"/>
      <c r="GJ1" s="1755"/>
      <c r="GK1" s="1755"/>
      <c r="GL1" s="1755"/>
      <c r="GM1" s="1755"/>
      <c r="GN1" s="1755"/>
      <c r="GO1" s="1755"/>
      <c r="GP1" s="1755"/>
      <c r="GQ1" s="1755"/>
      <c r="GR1" s="1755"/>
      <c r="GS1" s="1755"/>
      <c r="GT1" s="1755"/>
      <c r="GU1" s="1755"/>
      <c r="GV1" s="1755"/>
      <c r="GW1" s="1755"/>
      <c r="GX1" s="1755"/>
      <c r="GY1" s="1755"/>
      <c r="GZ1" s="1755"/>
      <c r="HA1" s="1755"/>
      <c r="HB1" s="1755"/>
      <c r="HC1" s="1755"/>
      <c r="HD1" s="1755"/>
      <c r="HE1" s="1755"/>
      <c r="HF1" s="1755"/>
      <c r="HG1" s="1755"/>
      <c r="HH1" s="1755"/>
      <c r="HI1" s="1755"/>
      <c r="HJ1" s="1755"/>
      <c r="HK1" s="1755"/>
      <c r="HL1" s="1755"/>
      <c r="HM1" s="1755"/>
      <c r="HN1" s="1755"/>
      <c r="HO1" s="1755"/>
      <c r="HP1" s="1755"/>
      <c r="HQ1" s="1755"/>
      <c r="HR1" s="1755"/>
      <c r="HS1" s="1755"/>
      <c r="HT1" s="1755"/>
      <c r="HU1" s="1755"/>
      <c r="HV1" s="1755"/>
      <c r="HW1" s="1755"/>
      <c r="HX1" s="1755"/>
      <c r="HY1" s="1755"/>
      <c r="HZ1" s="1755"/>
      <c r="IA1" s="1755"/>
      <c r="IB1" s="1755"/>
      <c r="IC1" s="1755"/>
      <c r="ID1" s="1755"/>
      <c r="IE1" s="1755"/>
      <c r="IF1" s="1755"/>
      <c r="IG1" s="1755"/>
      <c r="IH1" s="1755"/>
      <c r="II1" s="1755"/>
      <c r="IJ1" s="1755"/>
      <c r="IK1" s="1755"/>
      <c r="IL1" s="1755"/>
      <c r="IM1" s="1755"/>
      <c r="IN1" s="1755"/>
      <c r="IO1" s="1755"/>
      <c r="IP1" s="1755"/>
      <c r="IQ1" s="1755"/>
      <c r="IR1" s="1755"/>
      <c r="IS1" s="1755"/>
      <c r="IT1" s="1755"/>
      <c r="IU1" s="1755"/>
      <c r="IV1" s="1755"/>
      <c r="IW1" s="1755"/>
      <c r="IX1" s="1755"/>
      <c r="IY1" s="1755"/>
      <c r="IZ1" s="1755"/>
      <c r="JA1" s="1755"/>
      <c r="JB1" s="1755"/>
      <c r="JC1" s="1755"/>
      <c r="JD1" s="1755"/>
      <c r="JE1" s="1755"/>
      <c r="JF1" s="1755"/>
      <c r="JG1" s="1755"/>
      <c r="JH1" s="1755"/>
      <c r="JI1" s="1755"/>
      <c r="JJ1" s="1755"/>
      <c r="JK1" s="1755"/>
      <c r="JL1" s="1755"/>
      <c r="JM1" s="1755"/>
      <c r="JN1" s="1755"/>
      <c r="JO1" s="1755"/>
      <c r="JP1" s="1755"/>
      <c r="JQ1" s="1755"/>
      <c r="JR1" s="1755"/>
      <c r="JS1" s="1755"/>
      <c r="JT1" s="1755"/>
      <c r="JU1" s="1755"/>
      <c r="JV1" s="1755"/>
      <c r="JW1" s="1755"/>
      <c r="JX1" s="1755"/>
      <c r="JY1" s="1755"/>
      <c r="JZ1" s="1755"/>
      <c r="KA1" s="1755"/>
      <c r="KB1" s="1755"/>
      <c r="KC1" s="1755"/>
      <c r="KD1" s="1755"/>
      <c r="KE1" s="1755"/>
      <c r="KF1" s="1755"/>
      <c r="KG1" s="1755"/>
      <c r="KH1" s="1755"/>
      <c r="KI1" s="1755"/>
      <c r="KJ1" s="1755"/>
      <c r="KK1" s="1755"/>
      <c r="KL1" s="1755"/>
      <c r="KM1" s="1755"/>
      <c r="KN1" s="1755"/>
      <c r="KO1" s="1755"/>
      <c r="KP1" s="1755"/>
      <c r="KQ1" s="1755"/>
      <c r="KR1" s="1755"/>
      <c r="KS1" s="1755"/>
      <c r="KT1" s="1755"/>
      <c r="KU1" s="1755"/>
      <c r="KV1" s="1755"/>
      <c r="KW1" s="1755"/>
      <c r="KX1" s="1755"/>
      <c r="KY1" s="1755"/>
      <c r="KZ1" s="1755"/>
      <c r="LA1" s="1755"/>
      <c r="LB1" s="1755"/>
      <c r="LC1" s="1755"/>
      <c r="LD1" s="1755"/>
      <c r="LE1" s="1755"/>
      <c r="LF1" s="1755"/>
      <c r="LG1" s="1755"/>
      <c r="LH1" s="1755"/>
      <c r="LI1" s="1755"/>
      <c r="LJ1" s="1755"/>
      <c r="LK1" s="1755"/>
      <c r="LL1" s="1755"/>
      <c r="LM1" s="1755"/>
      <c r="LN1" s="1755"/>
      <c r="LO1" s="1755"/>
      <c r="LP1" s="1755"/>
      <c r="LQ1" s="1755"/>
      <c r="LR1" s="1755"/>
      <c r="LS1" s="1755"/>
      <c r="LT1" s="1755"/>
      <c r="LU1" s="1755"/>
      <c r="LV1" s="1755"/>
      <c r="LW1" s="1755"/>
      <c r="LX1" s="1755"/>
      <c r="LY1" s="1755"/>
      <c r="LZ1" s="1755"/>
      <c r="MA1" s="1755"/>
      <c r="MB1" s="1755"/>
      <c r="MC1" s="1755"/>
      <c r="MD1" s="1755"/>
      <c r="ME1" s="1755"/>
      <c r="MF1" s="1755"/>
      <c r="MG1" s="1755"/>
      <c r="MH1" s="1755"/>
      <c r="MI1" s="1755"/>
      <c r="MJ1" s="1755"/>
      <c r="MK1" s="1755"/>
      <c r="ML1" s="1755"/>
      <c r="MM1" s="1755"/>
      <c r="MN1" s="1755"/>
      <c r="MO1" s="1755"/>
      <c r="MP1" s="1755"/>
      <c r="MQ1" s="1755"/>
      <c r="MR1" s="1755"/>
      <c r="MS1" s="1755"/>
      <c r="MT1" s="1755"/>
      <c r="MU1" s="1755"/>
      <c r="MV1" s="1755"/>
      <c r="MW1" s="1755"/>
      <c r="MX1" s="1755"/>
      <c r="MY1" s="1755"/>
      <c r="MZ1" s="1755"/>
      <c r="NA1" s="1755"/>
      <c r="NB1" s="1755"/>
      <c r="NC1" s="1755"/>
      <c r="ND1" s="1755"/>
      <c r="NE1" s="1755"/>
      <c r="NF1" s="1755"/>
      <c r="NG1" s="1755"/>
      <c r="NH1" s="1755"/>
      <c r="NI1" s="1755"/>
      <c r="NJ1" s="1755"/>
      <c r="NK1" s="1755"/>
      <c r="NL1" s="1755"/>
      <c r="NM1" s="1755"/>
      <c r="NN1" s="1755"/>
      <c r="NO1" s="1755"/>
      <c r="NP1" s="1755"/>
      <c r="NQ1" s="1755"/>
      <c r="NR1" s="1755"/>
      <c r="NS1" s="1755"/>
      <c r="NT1" s="1755"/>
      <c r="NU1" s="1755"/>
      <c r="NV1" s="1755"/>
      <c r="NW1" s="1755"/>
      <c r="NX1" s="1755"/>
      <c r="NY1" s="1755"/>
      <c r="NZ1" s="1755"/>
      <c r="OA1" s="1755"/>
      <c r="OB1" s="1755"/>
      <c r="OC1" s="1755"/>
      <c r="OD1" s="1755"/>
      <c r="OE1" s="1755"/>
      <c r="OF1" s="1755"/>
      <c r="OG1" s="1755"/>
      <c r="OH1" s="1755"/>
      <c r="OI1" s="1755"/>
      <c r="OJ1" s="1755"/>
      <c r="OK1" s="1755"/>
      <c r="OL1" s="1755"/>
      <c r="OM1" s="1755"/>
      <c r="ON1" s="1755"/>
      <c r="OO1" s="1755"/>
      <c r="OP1" s="1755"/>
      <c r="OQ1" s="1755"/>
      <c r="OR1" s="1755"/>
      <c r="OS1" s="1755"/>
      <c r="OT1" s="1755"/>
      <c r="OU1" s="1755"/>
      <c r="OV1" s="1755"/>
      <c r="OW1" s="1755"/>
      <c r="OX1" s="1755"/>
      <c r="OY1" s="1755"/>
      <c r="OZ1" s="1755"/>
      <c r="PA1" s="1755"/>
      <c r="PB1" s="1755"/>
      <c r="PC1" s="1755"/>
      <c r="PD1" s="1755"/>
      <c r="PE1" s="1755"/>
      <c r="PF1" s="1755"/>
      <c r="PG1" s="1755"/>
      <c r="PH1" s="1755"/>
      <c r="PI1" s="1755"/>
      <c r="PJ1" s="1755"/>
      <c r="PK1" s="1755"/>
      <c r="PL1" s="1755"/>
      <c r="PM1" s="1755"/>
      <c r="PN1" s="1755"/>
      <c r="PO1" s="1755"/>
      <c r="PP1" s="1755"/>
      <c r="PQ1" s="1755"/>
      <c r="PR1" s="1755"/>
      <c r="PS1" s="1755"/>
      <c r="PT1" s="1755"/>
      <c r="PU1" s="1755"/>
      <c r="PV1" s="1755"/>
      <c r="PW1" s="1755"/>
      <c r="PX1" s="1755"/>
      <c r="PY1" s="1755"/>
      <c r="PZ1" s="1755"/>
      <c r="QA1" s="1755"/>
      <c r="QB1" s="1755"/>
      <c r="QC1" s="1755"/>
      <c r="QD1" s="1755"/>
      <c r="QE1" s="1755"/>
      <c r="QF1" s="1755"/>
      <c r="QG1" s="1755"/>
      <c r="QH1" s="1755"/>
      <c r="QI1" s="1755"/>
      <c r="QJ1" s="1755"/>
      <c r="QK1" s="1755"/>
      <c r="QL1" s="1755"/>
      <c r="QM1" s="1755"/>
      <c r="QN1" s="1755"/>
      <c r="QO1" s="1755"/>
      <c r="QP1" s="1755"/>
      <c r="QQ1" s="1755"/>
      <c r="QR1" s="1755"/>
      <c r="QS1" s="1755"/>
      <c r="QT1" s="1755"/>
      <c r="QU1" s="1755"/>
      <c r="QV1" s="1755"/>
      <c r="QW1" s="1755"/>
      <c r="QX1" s="1755"/>
      <c r="QY1" s="1755"/>
      <c r="QZ1" s="1755"/>
      <c r="RA1" s="1755"/>
      <c r="RB1" s="1755"/>
      <c r="RC1" s="1755"/>
      <c r="RD1" s="1755"/>
      <c r="RE1" s="1755"/>
      <c r="RF1" s="1755"/>
      <c r="RG1" s="1755"/>
      <c r="RH1" s="1755"/>
      <c r="RI1" s="1755"/>
      <c r="RJ1" s="1755"/>
      <c r="RK1" s="1755"/>
      <c r="RL1" s="1755"/>
      <c r="RM1" s="1755"/>
      <c r="RN1" s="1755"/>
      <c r="RO1" s="1755"/>
      <c r="RP1" s="1755"/>
      <c r="RQ1" s="1755"/>
      <c r="RR1" s="1755"/>
      <c r="RS1" s="1755"/>
      <c r="RT1" s="1755"/>
      <c r="RU1" s="1755"/>
      <c r="RV1" s="1755"/>
      <c r="RW1" s="1755"/>
      <c r="RX1" s="1755"/>
      <c r="RY1" s="1755"/>
      <c r="RZ1" s="1755"/>
      <c r="SA1" s="1755"/>
      <c r="SB1" s="1755"/>
      <c r="SC1" s="1755"/>
      <c r="SD1" s="1755"/>
      <c r="SE1" s="1755"/>
      <c r="SF1" s="1755"/>
      <c r="SG1" s="1755"/>
      <c r="SH1" s="1755"/>
      <c r="SI1" s="1755"/>
      <c r="SJ1" s="1755"/>
      <c r="SK1" s="1755"/>
      <c r="SL1" s="1755"/>
      <c r="SM1" s="1755"/>
      <c r="SN1" s="1755"/>
      <c r="SO1" s="1755"/>
      <c r="SP1" s="1755"/>
      <c r="SQ1" s="1755"/>
      <c r="SR1" s="1755"/>
      <c r="SS1" s="1755"/>
      <c r="ST1" s="1755"/>
      <c r="SU1" s="1755"/>
      <c r="SV1" s="1755"/>
      <c r="SW1" s="1755"/>
      <c r="SX1" s="1755"/>
      <c r="SY1" s="1755"/>
      <c r="SZ1" s="1755"/>
      <c r="TA1" s="1755"/>
      <c r="TB1" s="1755"/>
      <c r="TC1" s="1755"/>
      <c r="TD1" s="1755"/>
      <c r="TE1" s="1755"/>
      <c r="TF1" s="1755"/>
      <c r="TG1" s="1755"/>
      <c r="TH1" s="1755"/>
      <c r="TI1" s="1755"/>
      <c r="TJ1" s="1755"/>
      <c r="TK1" s="1755"/>
      <c r="TL1" s="1755"/>
      <c r="TM1" s="1755"/>
      <c r="TN1" s="1755"/>
      <c r="TO1" s="1755"/>
      <c r="TP1" s="1755"/>
      <c r="TQ1" s="1755"/>
      <c r="TR1" s="1755"/>
      <c r="TS1" s="1755"/>
      <c r="TT1" s="1755"/>
      <c r="TU1" s="1755"/>
      <c r="TV1" s="1755"/>
      <c r="TW1" s="1755"/>
      <c r="TX1" s="1755"/>
      <c r="TY1" s="1755"/>
      <c r="TZ1" s="1755"/>
      <c r="UA1" s="1755"/>
      <c r="UB1" s="1755"/>
      <c r="UC1" s="1755"/>
      <c r="UD1" s="1755"/>
      <c r="UE1" s="1755"/>
      <c r="UF1" s="1755"/>
      <c r="UG1" s="1755"/>
      <c r="UH1" s="1755"/>
      <c r="UI1" s="1755"/>
      <c r="UJ1" s="1755"/>
      <c r="UK1" s="1755"/>
      <c r="UL1" s="1755"/>
      <c r="UM1" s="1755"/>
      <c r="UN1" s="1755"/>
      <c r="UO1" s="1755"/>
      <c r="UP1" s="1755"/>
      <c r="UQ1" s="1755"/>
      <c r="UR1" s="1755"/>
      <c r="US1" s="1755"/>
      <c r="UT1" s="1755"/>
      <c r="UU1" s="1755"/>
      <c r="UV1" s="1755"/>
      <c r="UW1" s="1755"/>
      <c r="UX1" s="1755"/>
      <c r="UY1" s="1755"/>
      <c r="UZ1" s="1755"/>
      <c r="VA1" s="1755"/>
      <c r="VB1" s="1755"/>
      <c r="VC1" s="1755"/>
      <c r="VD1" s="1755"/>
      <c r="VE1" s="1755"/>
      <c r="VF1" s="1755"/>
      <c r="VG1" s="1755"/>
      <c r="VH1" s="1755"/>
      <c r="VI1" s="1755"/>
      <c r="VJ1" s="1755"/>
      <c r="VK1" s="1755"/>
      <c r="VL1" s="1755"/>
      <c r="VM1" s="1755"/>
      <c r="VN1" s="1755"/>
      <c r="VO1" s="1755"/>
      <c r="VP1" s="1755"/>
      <c r="VQ1" s="1755"/>
      <c r="VR1" s="1755"/>
      <c r="VS1" s="1755"/>
      <c r="VT1" s="1755"/>
      <c r="VU1" s="1755"/>
      <c r="VV1" s="1755"/>
      <c r="VW1" s="1755"/>
      <c r="VX1" s="1755"/>
      <c r="VY1" s="1755"/>
      <c r="VZ1" s="1755"/>
      <c r="WA1" s="1755"/>
      <c r="WB1" s="1755"/>
      <c r="WC1" s="1755"/>
      <c r="WD1" s="1755"/>
      <c r="WE1" s="1755"/>
      <c r="WF1" s="1755"/>
      <c r="WG1" s="1755"/>
      <c r="WH1" s="1755"/>
      <c r="WI1" s="1755"/>
      <c r="WJ1" s="1755"/>
      <c r="WK1" s="1755"/>
      <c r="WL1" s="1755"/>
      <c r="WM1" s="1755"/>
      <c r="WN1" s="1755"/>
      <c r="WO1" s="1755"/>
      <c r="WP1" s="1755"/>
      <c r="WQ1" s="1755"/>
      <c r="WR1" s="1755"/>
      <c r="WS1" s="1755"/>
      <c r="WT1" s="1755"/>
      <c r="WU1" s="1755"/>
      <c r="WV1" s="1755"/>
      <c r="WW1" s="1755"/>
      <c r="WX1" s="1755"/>
      <c r="WY1" s="1755"/>
      <c r="WZ1" s="1755"/>
      <c r="XA1" s="1755"/>
      <c r="XB1" s="1755"/>
      <c r="XC1" s="1755"/>
      <c r="XD1" s="1755"/>
      <c r="XE1" s="1755"/>
      <c r="XF1" s="1755"/>
      <c r="XG1" s="1755"/>
      <c r="XH1" s="1755"/>
      <c r="XI1" s="1755"/>
      <c r="XJ1" s="1755"/>
      <c r="XK1" s="1755"/>
      <c r="XL1" s="1755"/>
      <c r="XM1" s="1755"/>
      <c r="XN1" s="1755"/>
      <c r="XO1" s="1755"/>
      <c r="XP1" s="1755"/>
      <c r="XQ1" s="1755"/>
      <c r="XR1" s="1755"/>
      <c r="XS1" s="1755"/>
      <c r="XT1" s="1755"/>
      <c r="XU1" s="1755"/>
      <c r="XV1" s="1755"/>
      <c r="XW1" s="1755"/>
      <c r="XX1" s="1755"/>
      <c r="XY1" s="1755"/>
      <c r="XZ1" s="1755"/>
      <c r="YA1" s="1755"/>
      <c r="YB1" s="1755"/>
      <c r="YC1" s="1755"/>
      <c r="YD1" s="1755"/>
      <c r="YE1" s="1755"/>
      <c r="YF1" s="1755"/>
      <c r="YG1" s="1755"/>
      <c r="YH1" s="1755"/>
      <c r="YI1" s="1755"/>
      <c r="YJ1" s="1755"/>
      <c r="YK1" s="1755"/>
      <c r="YL1" s="1755"/>
      <c r="YM1" s="1755"/>
      <c r="YN1" s="1755"/>
      <c r="YO1" s="1755"/>
      <c r="YP1" s="1755"/>
      <c r="YQ1" s="1755"/>
      <c r="YR1" s="1755"/>
      <c r="YS1" s="1755"/>
      <c r="YT1" s="1755"/>
      <c r="YU1" s="1755"/>
      <c r="YV1" s="1755"/>
      <c r="YW1" s="1755"/>
      <c r="YX1" s="1755"/>
      <c r="YY1" s="1755"/>
      <c r="YZ1" s="1755"/>
      <c r="ZA1" s="1755"/>
      <c r="ZB1" s="1755"/>
      <c r="ZC1" s="1755"/>
      <c r="ZD1" s="1755"/>
      <c r="ZE1" s="1755"/>
      <c r="ZF1" s="1755"/>
      <c r="ZG1" s="1755"/>
      <c r="ZH1" s="1755"/>
      <c r="ZI1" s="1755"/>
      <c r="ZJ1" s="1755"/>
      <c r="ZK1" s="1755"/>
      <c r="ZL1" s="1755"/>
      <c r="ZM1" s="1755"/>
      <c r="ZN1" s="1755"/>
      <c r="ZO1" s="1755"/>
      <c r="ZP1" s="1755"/>
      <c r="ZQ1" s="1755"/>
      <c r="ZR1" s="1755"/>
      <c r="ZS1" s="1755"/>
      <c r="ZT1" s="1755"/>
      <c r="ZU1" s="1755"/>
      <c r="ZV1" s="1755"/>
      <c r="ZW1" s="1755"/>
      <c r="ZX1" s="1755"/>
      <c r="ZY1" s="1755"/>
      <c r="ZZ1" s="1755"/>
      <c r="AAA1" s="1755"/>
      <c r="AAB1" s="1755"/>
      <c r="AAC1" s="1755"/>
      <c r="AAD1" s="1755"/>
      <c r="AAE1" s="1755"/>
      <c r="AAF1" s="1755"/>
      <c r="AAG1" s="1755"/>
      <c r="AAH1" s="1755"/>
      <c r="AAI1" s="1755"/>
      <c r="AAJ1" s="1755"/>
      <c r="AAK1" s="1755"/>
      <c r="AAL1" s="1755"/>
      <c r="AAM1" s="1755"/>
      <c r="AAN1" s="1755"/>
      <c r="AAO1" s="1755"/>
      <c r="AAP1" s="1755"/>
      <c r="AAQ1" s="1755"/>
      <c r="AAR1" s="1755"/>
      <c r="AAS1" s="1755"/>
      <c r="AAT1" s="1755"/>
      <c r="AAU1" s="1755"/>
      <c r="AAV1" s="1755"/>
      <c r="AAW1" s="1755"/>
      <c r="AAX1" s="1755"/>
      <c r="AAY1" s="1755"/>
      <c r="AAZ1" s="1755"/>
      <c r="ABA1" s="1755"/>
      <c r="ABB1" s="1755"/>
      <c r="ABC1" s="1755"/>
      <c r="ABD1" s="1755"/>
      <c r="ABE1" s="1755"/>
      <c r="ABF1" s="1755"/>
      <c r="ABG1" s="1755"/>
      <c r="ABH1" s="1755"/>
      <c r="ABI1" s="1755"/>
      <c r="ABJ1" s="1755"/>
      <c r="ABK1" s="1755"/>
      <c r="ABL1" s="1755"/>
      <c r="ABM1" s="1755"/>
      <c r="ABN1" s="1755"/>
      <c r="ABO1" s="1755"/>
      <c r="ABP1" s="1755"/>
      <c r="ABQ1" s="1755"/>
      <c r="ABR1" s="1755"/>
      <c r="ABS1" s="1755"/>
      <c r="ABT1" s="1755"/>
      <c r="ABU1" s="1755"/>
      <c r="ABV1" s="1755"/>
      <c r="ABW1" s="1755"/>
      <c r="ABX1" s="1755"/>
      <c r="ABY1" s="1755"/>
      <c r="ABZ1" s="1755"/>
      <c r="ACA1" s="1755"/>
      <c r="ACB1" s="1755"/>
      <c r="ACC1" s="1755"/>
      <c r="ACD1" s="1755"/>
      <c r="ACE1" s="1755"/>
      <c r="ACF1" s="1755"/>
      <c r="ACG1" s="1755"/>
      <c r="ACH1" s="1755"/>
      <c r="ACI1" s="1755"/>
      <c r="ACJ1" s="1755"/>
      <c r="ACK1" s="1755"/>
      <c r="ACL1" s="1755"/>
      <c r="ACM1" s="1755"/>
      <c r="ACN1" s="1755"/>
      <c r="ACO1" s="1755"/>
      <c r="ACP1" s="1755"/>
      <c r="ACQ1" s="1755"/>
      <c r="ACR1" s="1755"/>
      <c r="ACS1" s="1755"/>
      <c r="ACT1" s="1755"/>
      <c r="ACU1" s="1755"/>
      <c r="ACV1" s="1755"/>
      <c r="ACW1" s="1755"/>
      <c r="ACX1" s="1755"/>
      <c r="ACY1" s="1755"/>
      <c r="ACZ1" s="1755"/>
      <c r="ADA1" s="1755"/>
      <c r="ADB1" s="1755"/>
      <c r="ADC1" s="1755"/>
      <c r="ADD1" s="1755"/>
      <c r="ADE1" s="1755"/>
      <c r="ADF1" s="1755"/>
      <c r="ADG1" s="1755"/>
      <c r="ADH1" s="1755"/>
      <c r="ADI1" s="1755"/>
      <c r="ADJ1" s="1755"/>
      <c r="ADK1" s="1755"/>
      <c r="ADL1" s="1755"/>
      <c r="ADM1" s="1755"/>
      <c r="ADN1" s="1755"/>
      <c r="ADO1" s="1755"/>
      <c r="ADP1" s="1755"/>
      <c r="ADQ1" s="1755"/>
      <c r="ADR1" s="1755"/>
      <c r="ADS1" s="1755"/>
      <c r="ADT1" s="1755"/>
      <c r="ADU1" s="1755"/>
      <c r="ADV1" s="1755"/>
      <c r="ADW1" s="1755"/>
      <c r="ADX1" s="1755"/>
      <c r="ADY1" s="1755"/>
      <c r="ADZ1" s="1755"/>
      <c r="AEA1" s="1755"/>
      <c r="AEB1" s="1755"/>
      <c r="AEC1" s="1755"/>
      <c r="AED1" s="1755"/>
      <c r="AEE1" s="1755"/>
      <c r="AEF1" s="1755"/>
      <c r="AEG1" s="1755"/>
      <c r="AEH1" s="1755"/>
      <c r="AEI1" s="1755"/>
      <c r="AEJ1" s="1755"/>
      <c r="AEK1" s="1755"/>
      <c r="AEL1" s="1755"/>
      <c r="AEM1" s="1755"/>
      <c r="AEN1" s="1755"/>
      <c r="AEO1" s="1755"/>
      <c r="AEP1" s="1755"/>
      <c r="AEQ1" s="1755"/>
      <c r="AER1" s="1755"/>
      <c r="AES1" s="1755"/>
      <c r="AET1" s="1755"/>
      <c r="AEU1" s="1755"/>
      <c r="AEV1" s="1755"/>
      <c r="AEW1" s="1755"/>
      <c r="AEX1" s="1755"/>
      <c r="AEY1" s="1755"/>
      <c r="AEZ1" s="1755"/>
      <c r="AFA1" s="1755"/>
      <c r="AFB1" s="1755"/>
      <c r="AFC1" s="1755"/>
      <c r="AFD1" s="1755"/>
      <c r="AFE1" s="1755"/>
      <c r="AFF1" s="1755"/>
      <c r="AFG1" s="1755"/>
      <c r="AFH1" s="1755"/>
      <c r="AFI1" s="1755"/>
      <c r="AFJ1" s="1755"/>
      <c r="AFK1" s="1755"/>
      <c r="AFL1" s="1755"/>
      <c r="AFM1" s="1755"/>
      <c r="AFN1" s="1755"/>
      <c r="AFO1" s="1755"/>
      <c r="AFP1" s="1755"/>
      <c r="AFQ1" s="1755"/>
      <c r="AFR1" s="1755"/>
      <c r="AFS1" s="1755"/>
      <c r="AFT1" s="1755"/>
      <c r="AFU1" s="1755"/>
      <c r="AFV1" s="1755"/>
      <c r="AFW1" s="1755"/>
      <c r="AFX1" s="1755"/>
      <c r="AFY1" s="1755"/>
      <c r="AFZ1" s="1755"/>
      <c r="AGA1" s="1755"/>
      <c r="AGB1" s="1755"/>
      <c r="AGC1" s="1755"/>
      <c r="AGD1" s="1755"/>
      <c r="AGE1" s="1755"/>
      <c r="AGF1" s="1755"/>
      <c r="AGG1" s="1755"/>
      <c r="AGH1" s="1755"/>
      <c r="AGI1" s="1755"/>
      <c r="AGJ1" s="1755"/>
      <c r="AGK1" s="1755"/>
      <c r="AGL1" s="1755"/>
      <c r="AGM1" s="1755"/>
      <c r="AGN1" s="1755"/>
      <c r="AGO1" s="1755"/>
      <c r="AGP1" s="1755"/>
      <c r="AGQ1" s="1755"/>
      <c r="AGR1" s="1755"/>
      <c r="AGS1" s="1755"/>
      <c r="AGT1" s="1755"/>
      <c r="AGU1" s="1755"/>
      <c r="AGV1" s="1755"/>
      <c r="AGW1" s="1755"/>
      <c r="AGX1" s="1755"/>
      <c r="AGY1" s="1755"/>
      <c r="AGZ1" s="1755"/>
      <c r="AHA1" s="1755"/>
      <c r="AHB1" s="1755"/>
      <c r="AHC1" s="1755"/>
      <c r="AHD1" s="1755"/>
      <c r="AHE1" s="1755"/>
      <c r="AHF1" s="1755"/>
      <c r="AHG1" s="1755"/>
      <c r="AHH1" s="1755"/>
      <c r="AHI1" s="1755"/>
      <c r="AHJ1" s="1755"/>
      <c r="AHK1" s="1755"/>
      <c r="AHL1" s="1755"/>
      <c r="AHM1" s="1755"/>
      <c r="AHN1" s="1755"/>
      <c r="AHO1" s="1755"/>
      <c r="AHP1" s="1755"/>
      <c r="AHQ1" s="1755"/>
      <c r="AHR1" s="1755"/>
      <c r="AHS1" s="1755"/>
      <c r="AHT1" s="1755"/>
      <c r="AHU1" s="1755"/>
      <c r="AHV1" s="1755"/>
      <c r="AHW1" s="1755"/>
      <c r="AHX1" s="1755"/>
      <c r="AHY1" s="1755"/>
      <c r="AHZ1" s="1755"/>
      <c r="AIA1" s="1755"/>
      <c r="AIB1" s="1755"/>
      <c r="AIC1" s="1755"/>
      <c r="AID1" s="1755"/>
      <c r="AIE1" s="1755"/>
      <c r="AIF1" s="1755"/>
      <c r="AIG1" s="1755"/>
      <c r="AIH1" s="1755"/>
      <c r="AII1" s="1755"/>
      <c r="AIJ1" s="1755"/>
      <c r="AIK1" s="1755"/>
      <c r="AIL1" s="1755"/>
      <c r="AIM1" s="1755"/>
      <c r="AIN1" s="1755"/>
      <c r="AIO1" s="1755"/>
      <c r="AIP1" s="1755"/>
      <c r="AIQ1" s="1755"/>
      <c r="AIR1" s="1755"/>
      <c r="AIS1" s="1755"/>
      <c r="AIT1" s="1755"/>
      <c r="AIU1" s="1755"/>
      <c r="AIV1" s="1755"/>
      <c r="AIW1" s="1755"/>
      <c r="AIX1" s="1755"/>
      <c r="AIY1" s="1755"/>
      <c r="AIZ1" s="1755"/>
      <c r="AJA1" s="1755"/>
      <c r="AJB1" s="1755"/>
      <c r="AJC1" s="1755"/>
      <c r="AJD1" s="1755"/>
      <c r="AJE1" s="1755"/>
      <c r="AJF1" s="1755"/>
      <c r="AJG1" s="1755"/>
      <c r="AJH1" s="1755"/>
      <c r="AJI1" s="1755"/>
      <c r="AJJ1" s="1755"/>
      <c r="AJK1" s="1755"/>
      <c r="AJL1" s="1755"/>
      <c r="AJM1" s="1755"/>
      <c r="AJN1" s="1755"/>
      <c r="AJO1" s="1755"/>
      <c r="AJP1" s="1755"/>
      <c r="AJQ1" s="1755"/>
      <c r="AJR1" s="1755"/>
      <c r="AJS1" s="1755"/>
      <c r="AJT1" s="1755"/>
      <c r="AJU1" s="1755"/>
      <c r="AJV1" s="1755"/>
      <c r="AJW1" s="1755"/>
      <c r="AJX1" s="1755"/>
      <c r="AJY1" s="1755"/>
      <c r="AJZ1" s="1755"/>
      <c r="AKA1" s="1755"/>
      <c r="AKB1" s="1755"/>
      <c r="AKC1" s="1755"/>
      <c r="AKD1" s="1755"/>
      <c r="AKE1" s="1755"/>
      <c r="AKF1" s="1755"/>
      <c r="AKG1" s="1755"/>
      <c r="AKH1" s="1755"/>
      <c r="AKI1" s="1755"/>
      <c r="AKJ1" s="1755"/>
      <c r="AKK1" s="1755"/>
      <c r="AKL1" s="1755"/>
      <c r="AKM1" s="1755"/>
      <c r="AKN1" s="1755"/>
      <c r="AKO1" s="1755"/>
      <c r="AKP1" s="1755"/>
      <c r="AKQ1" s="1755"/>
      <c r="AKR1" s="1755"/>
      <c r="AKS1" s="1755"/>
      <c r="AKT1" s="1755"/>
      <c r="AKU1" s="1755"/>
      <c r="AKV1" s="1755"/>
      <c r="AKW1" s="1755"/>
      <c r="AKX1" s="1755"/>
      <c r="AKY1" s="1755"/>
      <c r="AKZ1" s="1755"/>
      <c r="ALA1" s="1755"/>
      <c r="ALB1" s="1755"/>
      <c r="ALC1" s="1755"/>
      <c r="ALD1" s="1755"/>
      <c r="ALE1" s="1755"/>
      <c r="ALF1" s="1755"/>
      <c r="ALG1" s="1755"/>
      <c r="ALH1" s="1755"/>
      <c r="ALI1" s="1755"/>
      <c r="ALJ1" s="1755"/>
      <c r="ALK1" s="1755"/>
      <c r="ALL1" s="1755"/>
      <c r="ALM1" s="1755"/>
      <c r="ALN1" s="1755"/>
      <c r="ALO1" s="1755"/>
      <c r="ALP1" s="1755"/>
      <c r="ALQ1" s="1755"/>
      <c r="ALR1" s="1755"/>
      <c r="ALS1" s="1755"/>
      <c r="ALT1" s="1755"/>
      <c r="ALU1" s="1755"/>
      <c r="ALV1" s="1755"/>
      <c r="ALW1" s="1755"/>
      <c r="ALX1" s="1755"/>
      <c r="ALY1" s="1755"/>
      <c r="ALZ1" s="1755"/>
      <c r="AMA1" s="1755"/>
      <c r="AMB1" s="1755"/>
      <c r="AMC1" s="1755"/>
      <c r="AMD1" s="1755"/>
      <c r="AME1" s="1755"/>
      <c r="AMF1" s="1755"/>
      <c r="AMG1" s="1755"/>
      <c r="AMH1" s="1755"/>
      <c r="AMI1" s="1755"/>
      <c r="AMJ1" s="1755"/>
      <c r="AMK1" s="1755"/>
      <c r="AML1" s="1755"/>
      <c r="AMM1" s="1755"/>
      <c r="AMN1" s="1755"/>
      <c r="AMO1" s="1755"/>
      <c r="AMP1" s="1755"/>
      <c r="AMQ1" s="1755"/>
      <c r="AMR1" s="1755"/>
      <c r="AMS1" s="1755"/>
      <c r="AMT1" s="1755"/>
      <c r="AMU1" s="1755"/>
      <c r="AMV1" s="1755"/>
      <c r="AMW1" s="1755"/>
      <c r="AMX1" s="1755"/>
      <c r="AMY1" s="1755"/>
      <c r="AMZ1" s="1755"/>
      <c r="ANA1" s="1755"/>
      <c r="ANB1" s="1755"/>
      <c r="ANC1" s="1755"/>
      <c r="AND1" s="1755"/>
      <c r="ANE1" s="1755"/>
      <c r="ANF1" s="1755"/>
      <c r="ANG1" s="1755"/>
      <c r="ANH1" s="1755"/>
      <c r="ANI1" s="1755"/>
      <c r="ANJ1" s="1755"/>
      <c r="ANK1" s="1755"/>
      <c r="ANL1" s="1755"/>
      <c r="ANM1" s="1755"/>
      <c r="ANN1" s="1755"/>
      <c r="ANO1" s="1755"/>
      <c r="ANP1" s="1755"/>
      <c r="ANQ1" s="1755"/>
      <c r="ANR1" s="1755"/>
      <c r="ANS1" s="1755"/>
      <c r="ANT1" s="1755"/>
      <c r="ANU1" s="1755"/>
      <c r="ANV1" s="1755"/>
      <c r="ANW1" s="1755"/>
      <c r="ANX1" s="1755"/>
      <c r="ANY1" s="1755"/>
      <c r="ANZ1" s="1755"/>
      <c r="AOA1" s="1755"/>
      <c r="AOB1" s="1755"/>
      <c r="AOC1" s="1755"/>
      <c r="AOD1" s="1755"/>
      <c r="AOE1" s="1755"/>
      <c r="AOF1" s="1755"/>
      <c r="AOG1" s="1755"/>
      <c r="AOH1" s="1755"/>
      <c r="AOI1" s="1755"/>
      <c r="AOJ1" s="1755"/>
      <c r="AOK1" s="1755"/>
      <c r="AOL1" s="1755"/>
      <c r="AOM1" s="1755"/>
      <c r="AON1" s="1755"/>
      <c r="AOO1" s="1755"/>
      <c r="AOP1" s="1755"/>
      <c r="AOQ1" s="1755"/>
      <c r="AOR1" s="1755"/>
      <c r="AOS1" s="1755"/>
      <c r="AOT1" s="1755"/>
      <c r="AOU1" s="1755"/>
      <c r="AOV1" s="1755"/>
      <c r="AOW1" s="1755"/>
      <c r="AOX1" s="1755"/>
      <c r="AOY1" s="1755"/>
      <c r="AOZ1" s="1755"/>
      <c r="APA1" s="1755"/>
      <c r="APB1" s="1755"/>
      <c r="APC1" s="1755"/>
      <c r="APD1" s="1755"/>
      <c r="APE1" s="1755"/>
      <c r="APF1" s="1755"/>
      <c r="APG1" s="1755"/>
      <c r="APH1" s="1755"/>
      <c r="API1" s="1755"/>
      <c r="APJ1" s="1755"/>
      <c r="APK1" s="1755"/>
      <c r="APL1" s="1755"/>
      <c r="APM1" s="1755"/>
      <c r="APN1" s="1755"/>
      <c r="APO1" s="1755"/>
      <c r="APP1" s="1755"/>
      <c r="APQ1" s="1755"/>
      <c r="APR1" s="1755"/>
      <c r="APS1" s="1755"/>
      <c r="APT1" s="1755"/>
      <c r="APU1" s="1755"/>
      <c r="APV1" s="1755"/>
      <c r="APW1" s="1755"/>
      <c r="APX1" s="1755"/>
      <c r="APY1" s="1755"/>
      <c r="APZ1" s="1755"/>
      <c r="AQA1" s="1755"/>
      <c r="AQB1" s="1755"/>
      <c r="AQC1" s="1755"/>
      <c r="AQD1" s="1755"/>
      <c r="AQE1" s="1755"/>
      <c r="AQF1" s="1755"/>
      <c r="AQG1" s="1755"/>
      <c r="AQH1" s="1755"/>
      <c r="AQI1" s="1755"/>
      <c r="AQJ1" s="1755"/>
      <c r="AQK1" s="1755"/>
      <c r="AQL1" s="1755"/>
      <c r="AQM1" s="1755"/>
      <c r="AQN1" s="1755"/>
      <c r="AQO1" s="1755"/>
      <c r="AQP1" s="1755"/>
      <c r="AQQ1" s="1755"/>
      <c r="AQR1" s="1755"/>
      <c r="AQS1" s="1755"/>
      <c r="AQT1" s="1755"/>
      <c r="AQU1" s="1755"/>
      <c r="AQV1" s="1755"/>
      <c r="AQW1" s="1755"/>
      <c r="AQX1" s="1755"/>
      <c r="AQY1" s="1755"/>
      <c r="AQZ1" s="1755"/>
      <c r="ARA1" s="1755"/>
      <c r="ARB1" s="1755"/>
      <c r="ARC1" s="1755"/>
      <c r="ARD1" s="1755"/>
      <c r="ARE1" s="1755"/>
      <c r="ARF1" s="1755"/>
      <c r="ARG1" s="1755"/>
      <c r="ARH1" s="1755"/>
      <c r="ARI1" s="1755"/>
      <c r="ARJ1" s="1755"/>
      <c r="ARK1" s="1755"/>
      <c r="ARL1" s="1755"/>
      <c r="ARM1" s="1755"/>
      <c r="ARN1" s="1755"/>
      <c r="ARO1" s="1755"/>
      <c r="ARP1" s="1755"/>
      <c r="ARQ1" s="1755"/>
      <c r="ARR1" s="1755"/>
      <c r="ARS1" s="1755"/>
      <c r="ART1" s="1755"/>
      <c r="ARU1" s="1755"/>
      <c r="ARV1" s="1755"/>
      <c r="ARW1" s="1755"/>
      <c r="ARX1" s="1755"/>
      <c r="ARY1" s="1755"/>
      <c r="ARZ1" s="1755"/>
      <c r="ASA1" s="1755"/>
      <c r="ASB1" s="1755"/>
      <c r="ASC1" s="1755"/>
      <c r="ASD1" s="1755"/>
      <c r="ASE1" s="1755"/>
      <c r="ASF1" s="1755"/>
      <c r="ASG1" s="1755"/>
      <c r="ASH1" s="1755"/>
      <c r="ASI1" s="1755"/>
      <c r="ASJ1" s="1755"/>
      <c r="ASK1" s="1755"/>
      <c r="ASL1" s="1755"/>
      <c r="ASM1" s="1755"/>
      <c r="ASN1" s="1755"/>
      <c r="ASO1" s="1755"/>
      <c r="ASP1" s="1755"/>
      <c r="ASQ1" s="1755"/>
      <c r="ASR1" s="1755"/>
      <c r="ASS1" s="1755"/>
      <c r="AST1" s="1755"/>
      <c r="ASU1" s="1755"/>
      <c r="ASV1" s="1755"/>
      <c r="ASW1" s="1755"/>
      <c r="ASX1" s="1755"/>
      <c r="ASY1" s="1755"/>
      <c r="ASZ1" s="1755"/>
      <c r="ATA1" s="1755"/>
      <c r="ATB1" s="1755"/>
      <c r="ATC1" s="1755"/>
      <c r="ATD1" s="1755"/>
      <c r="ATE1" s="1755"/>
      <c r="ATF1" s="1755"/>
      <c r="ATG1" s="1755"/>
      <c r="ATH1" s="1755"/>
      <c r="ATI1" s="1755"/>
      <c r="ATJ1" s="1755"/>
      <c r="ATK1" s="1755"/>
      <c r="ATL1" s="1755"/>
      <c r="ATM1" s="1755"/>
      <c r="ATN1" s="1755"/>
      <c r="ATO1" s="1755"/>
      <c r="ATP1" s="1755"/>
      <c r="ATQ1" s="1755"/>
      <c r="ATR1" s="1755"/>
      <c r="ATS1" s="1755"/>
      <c r="ATT1" s="1755"/>
      <c r="ATU1" s="1755"/>
      <c r="ATV1" s="1755"/>
      <c r="ATW1" s="1755"/>
      <c r="ATX1" s="1755"/>
      <c r="ATY1" s="1755"/>
      <c r="ATZ1" s="1755"/>
      <c r="AUA1" s="1755"/>
      <c r="AUB1" s="1755"/>
      <c r="AUC1" s="1755"/>
      <c r="AUD1" s="1755"/>
      <c r="AUE1" s="1755"/>
      <c r="AUF1" s="1755"/>
      <c r="AUG1" s="1755"/>
      <c r="AUH1" s="1755"/>
      <c r="AUI1" s="1755"/>
      <c r="AUJ1" s="1755"/>
      <c r="AUK1" s="1755"/>
      <c r="AUL1" s="1755"/>
      <c r="AUM1" s="1755"/>
      <c r="AUN1" s="1755"/>
      <c r="AUO1" s="1755"/>
      <c r="AUP1" s="1755"/>
      <c r="AUQ1" s="1755"/>
      <c r="AUR1" s="1755"/>
      <c r="AUS1" s="1755"/>
      <c r="AUT1" s="1755"/>
      <c r="AUU1" s="1755"/>
      <c r="AUV1" s="1755"/>
      <c r="AUW1" s="1755"/>
      <c r="AUX1" s="1755"/>
      <c r="AUY1" s="1755"/>
      <c r="AUZ1" s="1755"/>
      <c r="AVA1" s="1755"/>
      <c r="AVB1" s="1755"/>
      <c r="AVC1" s="1755"/>
      <c r="AVD1" s="1755"/>
      <c r="AVE1" s="1755"/>
      <c r="AVF1" s="1755"/>
      <c r="AVG1" s="1755"/>
      <c r="AVH1" s="1755"/>
      <c r="AVI1" s="1755"/>
      <c r="AVJ1" s="1755"/>
      <c r="AVK1" s="1755"/>
      <c r="AVL1" s="1755"/>
      <c r="AVM1" s="1755"/>
      <c r="AVN1" s="1755"/>
      <c r="AVO1" s="1755"/>
      <c r="AVP1" s="1755"/>
      <c r="AVQ1" s="1755"/>
      <c r="AVR1" s="1755"/>
      <c r="AVS1" s="1755"/>
      <c r="AVT1" s="1755"/>
      <c r="AVU1" s="1755"/>
      <c r="AVV1" s="1755"/>
      <c r="AVW1" s="1755"/>
      <c r="AVX1" s="1755"/>
      <c r="AVY1" s="1755"/>
      <c r="AVZ1" s="1755"/>
      <c r="AWA1" s="1755"/>
      <c r="AWB1" s="1755"/>
      <c r="AWC1" s="1755"/>
      <c r="AWD1" s="1755"/>
      <c r="AWE1" s="1755"/>
      <c r="AWF1" s="1755"/>
      <c r="AWG1" s="1755"/>
      <c r="AWH1" s="1755"/>
      <c r="AWI1" s="1755"/>
      <c r="AWJ1" s="1755"/>
      <c r="AWK1" s="1755"/>
      <c r="AWL1" s="1755"/>
      <c r="AWM1" s="1755"/>
      <c r="AWN1" s="1755"/>
      <c r="AWO1" s="1755"/>
      <c r="AWP1" s="1755"/>
      <c r="AWQ1" s="1755"/>
      <c r="AWR1" s="1755"/>
      <c r="AWS1" s="1755"/>
      <c r="AWT1" s="1755"/>
      <c r="AWU1" s="1755"/>
      <c r="AWV1" s="1755"/>
      <c r="AWW1" s="1755"/>
      <c r="AWX1" s="1755"/>
      <c r="AWY1" s="1755"/>
      <c r="AWZ1" s="1755"/>
      <c r="AXA1" s="1755"/>
      <c r="AXB1" s="1755"/>
      <c r="AXC1" s="1755"/>
      <c r="AXD1" s="1755"/>
      <c r="AXE1" s="1755"/>
      <c r="AXF1" s="1755"/>
      <c r="AXG1" s="1755"/>
      <c r="AXH1" s="1755"/>
      <c r="AXI1" s="1755"/>
      <c r="AXJ1" s="1755"/>
      <c r="AXK1" s="1755"/>
      <c r="AXL1" s="1755"/>
      <c r="AXM1" s="1755"/>
      <c r="AXN1" s="1755"/>
      <c r="AXO1" s="1755"/>
      <c r="AXP1" s="1755"/>
      <c r="AXQ1" s="1755"/>
      <c r="AXR1" s="1755"/>
      <c r="AXS1" s="1755"/>
      <c r="AXT1" s="1755"/>
      <c r="AXU1" s="1755"/>
      <c r="AXV1" s="1755"/>
      <c r="AXW1" s="1755"/>
      <c r="AXX1" s="1755"/>
      <c r="AXY1" s="1755"/>
      <c r="AXZ1" s="1755"/>
      <c r="AYA1" s="1755"/>
      <c r="AYB1" s="1755"/>
      <c r="AYC1" s="1755"/>
      <c r="AYD1" s="1755"/>
      <c r="AYE1" s="1755"/>
      <c r="AYF1" s="1755"/>
      <c r="AYG1" s="1755"/>
      <c r="AYH1" s="1755"/>
      <c r="AYI1" s="1755"/>
      <c r="AYJ1" s="1755"/>
      <c r="AYK1" s="1755"/>
      <c r="AYL1" s="1755"/>
      <c r="AYM1" s="1755"/>
      <c r="AYN1" s="1755"/>
      <c r="AYO1" s="1755"/>
      <c r="AYP1" s="1755"/>
      <c r="AYQ1" s="1755"/>
      <c r="AYR1" s="1755"/>
      <c r="AYS1" s="1755"/>
      <c r="AYT1" s="1755"/>
      <c r="AYU1" s="1755"/>
      <c r="AYV1" s="1755"/>
      <c r="AYW1" s="1755"/>
      <c r="AYX1" s="1755"/>
      <c r="AYY1" s="1755"/>
      <c r="AYZ1" s="1755"/>
      <c r="AZA1" s="1755"/>
      <c r="AZB1" s="1755"/>
      <c r="AZC1" s="1755"/>
      <c r="AZD1" s="1755"/>
      <c r="AZE1" s="1755"/>
      <c r="AZF1" s="1755"/>
      <c r="AZG1" s="1755"/>
      <c r="AZH1" s="1755"/>
      <c r="AZI1" s="1755"/>
      <c r="AZJ1" s="1755"/>
      <c r="AZK1" s="1755"/>
      <c r="AZL1" s="1755"/>
      <c r="AZM1" s="1755"/>
      <c r="AZN1" s="1755"/>
      <c r="AZO1" s="1755"/>
      <c r="AZP1" s="1755"/>
      <c r="AZQ1" s="1755"/>
      <c r="AZR1" s="1755"/>
      <c r="AZS1" s="1755"/>
      <c r="AZT1" s="1755"/>
      <c r="AZU1" s="1755"/>
      <c r="AZV1" s="1755"/>
      <c r="AZW1" s="1755"/>
      <c r="AZX1" s="1755"/>
      <c r="AZY1" s="1755"/>
      <c r="AZZ1" s="1755"/>
      <c r="BAA1" s="1755"/>
      <c r="BAB1" s="1755"/>
      <c r="BAC1" s="1755"/>
      <c r="BAD1" s="1755"/>
      <c r="BAE1" s="1755"/>
      <c r="BAF1" s="1755"/>
      <c r="BAG1" s="1755"/>
      <c r="BAH1" s="1755"/>
      <c r="BAI1" s="1755"/>
      <c r="BAJ1" s="1755"/>
      <c r="BAK1" s="1755"/>
      <c r="BAL1" s="1755"/>
      <c r="BAM1" s="1755"/>
      <c r="BAN1" s="1755"/>
      <c r="BAO1" s="1755"/>
      <c r="BAP1" s="1755"/>
      <c r="BAQ1" s="1755"/>
      <c r="BAR1" s="1755"/>
      <c r="BAS1" s="1755"/>
      <c r="BAT1" s="1755"/>
      <c r="BAU1" s="1755"/>
      <c r="BAV1" s="1755"/>
      <c r="BAW1" s="1755"/>
      <c r="BAX1" s="1755"/>
      <c r="BAY1" s="1755"/>
      <c r="BAZ1" s="1755"/>
      <c r="BBA1" s="1755"/>
      <c r="BBB1" s="1755"/>
      <c r="BBC1" s="1755"/>
      <c r="BBD1" s="1755"/>
      <c r="BBE1" s="1755"/>
      <c r="BBF1" s="1755"/>
      <c r="BBG1" s="1755"/>
      <c r="BBH1" s="1755"/>
      <c r="BBI1" s="1755"/>
      <c r="BBJ1" s="1755"/>
      <c r="BBK1" s="1755"/>
      <c r="BBL1" s="1755"/>
      <c r="BBM1" s="1755"/>
      <c r="BBN1" s="1755"/>
      <c r="BBO1" s="1755"/>
      <c r="BBP1" s="1755"/>
      <c r="BBQ1" s="1755"/>
      <c r="BBR1" s="1755"/>
      <c r="BBS1" s="1755"/>
      <c r="BBT1" s="1755"/>
      <c r="BBU1" s="1755"/>
      <c r="BBV1" s="1755"/>
      <c r="BBW1" s="1755"/>
      <c r="BBX1" s="1755"/>
      <c r="BBY1" s="1755"/>
      <c r="BBZ1" s="1755"/>
      <c r="BCA1" s="1755"/>
      <c r="BCB1" s="1755"/>
      <c r="BCC1" s="1755"/>
      <c r="BCD1" s="1755"/>
      <c r="BCE1" s="1755"/>
      <c r="BCF1" s="1755"/>
      <c r="BCG1" s="1755"/>
      <c r="BCH1" s="1755"/>
      <c r="BCI1" s="1755"/>
      <c r="BCJ1" s="1755"/>
      <c r="BCK1" s="1755"/>
      <c r="BCL1" s="1755"/>
      <c r="BCM1" s="1755"/>
      <c r="BCN1" s="1755"/>
      <c r="BCO1" s="1755"/>
      <c r="BCP1" s="1755"/>
      <c r="BCQ1" s="1755"/>
      <c r="BCR1" s="1755"/>
      <c r="BCS1" s="1755"/>
      <c r="BCT1" s="1755"/>
      <c r="BCU1" s="1755"/>
      <c r="BCV1" s="1755"/>
      <c r="BCW1" s="1755"/>
      <c r="BCX1" s="1755"/>
      <c r="BCY1" s="1755"/>
      <c r="BCZ1" s="1755"/>
      <c r="BDA1" s="1755"/>
      <c r="BDB1" s="1755"/>
      <c r="BDC1" s="1755"/>
      <c r="BDD1" s="1755"/>
      <c r="BDE1" s="1755"/>
      <c r="BDF1" s="1755"/>
      <c r="BDG1" s="1755"/>
      <c r="BDH1" s="1755"/>
      <c r="BDI1" s="1755"/>
      <c r="BDJ1" s="1755"/>
      <c r="BDK1" s="1755"/>
      <c r="BDL1" s="1755"/>
      <c r="BDM1" s="1755"/>
      <c r="BDN1" s="1755"/>
      <c r="BDO1" s="1755"/>
      <c r="BDP1" s="1755"/>
      <c r="BDQ1" s="1755"/>
      <c r="BDR1" s="1755"/>
      <c r="BDS1" s="1755"/>
      <c r="BDT1" s="1755"/>
      <c r="BDU1" s="1755"/>
      <c r="BDV1" s="1755"/>
      <c r="BDW1" s="1755"/>
      <c r="BDX1" s="1755"/>
      <c r="BDY1" s="1755"/>
      <c r="BDZ1" s="1755"/>
      <c r="BEA1" s="1755"/>
      <c r="BEB1" s="1755"/>
      <c r="BEC1" s="1755"/>
      <c r="BED1" s="1755"/>
      <c r="BEE1" s="1755"/>
      <c r="BEF1" s="1755"/>
      <c r="BEG1" s="1755"/>
      <c r="BEH1" s="1755"/>
      <c r="BEI1" s="1755"/>
      <c r="BEJ1" s="1755"/>
      <c r="BEK1" s="1755"/>
      <c r="BEL1" s="1755"/>
      <c r="BEM1" s="1755"/>
      <c r="BEN1" s="1755"/>
      <c r="BEO1" s="1755"/>
      <c r="BEP1" s="1755"/>
      <c r="BEQ1" s="1755"/>
      <c r="BER1" s="1755"/>
      <c r="BES1" s="1755"/>
      <c r="BET1" s="1755"/>
      <c r="BEU1" s="1755"/>
      <c r="BEV1" s="1755"/>
      <c r="BEW1" s="1755"/>
      <c r="BEX1" s="1755"/>
      <c r="BEY1" s="1755"/>
      <c r="BEZ1" s="1755"/>
      <c r="BFA1" s="1755"/>
      <c r="BFB1" s="1755"/>
      <c r="BFC1" s="1755"/>
      <c r="BFD1" s="1755"/>
      <c r="BFE1" s="1755"/>
      <c r="BFF1" s="1755"/>
      <c r="BFG1" s="1755"/>
      <c r="BFH1" s="1755"/>
      <c r="BFI1" s="1755"/>
      <c r="BFJ1" s="1755"/>
      <c r="BFK1" s="1755"/>
      <c r="BFL1" s="1755"/>
      <c r="BFM1" s="1755"/>
      <c r="BFN1" s="1755"/>
      <c r="BFO1" s="1755"/>
      <c r="BFP1" s="1755"/>
      <c r="BFQ1" s="1755"/>
      <c r="BFR1" s="1755"/>
      <c r="BFS1" s="1755"/>
      <c r="BFT1" s="1755"/>
      <c r="BFU1" s="1755"/>
      <c r="BFV1" s="1755"/>
      <c r="BFW1" s="1755"/>
      <c r="BFX1" s="1755"/>
      <c r="BFY1" s="1755"/>
      <c r="BFZ1" s="1755"/>
      <c r="BGA1" s="1755"/>
      <c r="BGB1" s="1755"/>
      <c r="BGC1" s="1755"/>
      <c r="BGD1" s="1755"/>
      <c r="BGE1" s="1755"/>
      <c r="BGF1" s="1755"/>
      <c r="BGG1" s="1755"/>
      <c r="BGH1" s="1755"/>
      <c r="BGI1" s="1755"/>
      <c r="BGJ1" s="1755"/>
      <c r="BGK1" s="1755"/>
      <c r="BGL1" s="1755"/>
      <c r="BGM1" s="1755"/>
      <c r="BGN1" s="1755"/>
      <c r="BGO1" s="1755"/>
      <c r="BGP1" s="1755"/>
      <c r="BGQ1" s="1755"/>
      <c r="BGR1" s="1755"/>
      <c r="BGS1" s="1755"/>
      <c r="BGT1" s="1755"/>
      <c r="BGU1" s="1755"/>
      <c r="BGV1" s="1755"/>
      <c r="BGW1" s="1755"/>
      <c r="BGX1" s="1755"/>
      <c r="BGY1" s="1755"/>
      <c r="BGZ1" s="1755"/>
      <c r="BHA1" s="1755"/>
      <c r="BHB1" s="1755"/>
      <c r="BHC1" s="1755"/>
      <c r="BHD1" s="1755"/>
      <c r="BHE1" s="1755"/>
      <c r="BHF1" s="1755"/>
      <c r="BHG1" s="1755"/>
      <c r="BHH1" s="1755"/>
      <c r="BHI1" s="1755"/>
      <c r="BHJ1" s="1755"/>
      <c r="BHK1" s="1755"/>
      <c r="BHL1" s="1755"/>
      <c r="BHM1" s="1755"/>
      <c r="BHN1" s="1755"/>
      <c r="BHO1" s="1755"/>
      <c r="BHP1" s="1755"/>
      <c r="BHQ1" s="1755"/>
      <c r="BHR1" s="1755"/>
      <c r="BHS1" s="1755"/>
      <c r="BHT1" s="1755"/>
      <c r="BHU1" s="1755"/>
      <c r="BHV1" s="1755"/>
      <c r="BHW1" s="1755"/>
      <c r="BHX1" s="1755"/>
      <c r="BHY1" s="1755"/>
      <c r="BHZ1" s="1755"/>
      <c r="BIA1" s="1755"/>
      <c r="BIB1" s="1755"/>
      <c r="BIC1" s="1755"/>
      <c r="BID1" s="1755"/>
      <c r="BIE1" s="1755"/>
      <c r="BIF1" s="1755"/>
      <c r="BIG1" s="1755"/>
      <c r="BIH1" s="1755"/>
      <c r="BII1" s="1755"/>
      <c r="BIJ1" s="1755"/>
      <c r="BIK1" s="1755"/>
      <c r="BIL1" s="1755"/>
      <c r="BIM1" s="1755"/>
      <c r="BIN1" s="1755"/>
      <c r="BIO1" s="1755"/>
      <c r="BIP1" s="1755"/>
      <c r="BIQ1" s="1755"/>
      <c r="BIR1" s="1755"/>
      <c r="BIS1" s="1755"/>
      <c r="BIT1" s="1755"/>
      <c r="BIU1" s="1755"/>
      <c r="BIV1" s="1755"/>
      <c r="BIW1" s="1755"/>
      <c r="BIX1" s="1755"/>
      <c r="BIY1" s="1755"/>
      <c r="BIZ1" s="1755"/>
      <c r="BJA1" s="1755"/>
      <c r="BJB1" s="1755"/>
      <c r="BJC1" s="1755"/>
      <c r="BJD1" s="1755"/>
      <c r="BJE1" s="1755"/>
      <c r="BJF1" s="1755"/>
      <c r="BJG1" s="1755"/>
      <c r="BJH1" s="1755"/>
      <c r="BJI1" s="1755"/>
      <c r="BJJ1" s="1755"/>
      <c r="BJK1" s="1755"/>
      <c r="BJL1" s="1755"/>
      <c r="BJM1" s="1755"/>
      <c r="BJN1" s="1755"/>
      <c r="BJO1" s="1755"/>
      <c r="BJP1" s="1755"/>
      <c r="BJQ1" s="1755"/>
      <c r="BJR1" s="1755"/>
      <c r="BJS1" s="1755"/>
      <c r="BJT1" s="1755"/>
      <c r="BJU1" s="1755"/>
      <c r="BJV1" s="1755"/>
      <c r="BJW1" s="1755"/>
      <c r="BJX1" s="1755"/>
      <c r="BJY1" s="1755"/>
      <c r="BJZ1" s="1755"/>
      <c r="BKA1" s="1755"/>
      <c r="BKB1" s="1755"/>
      <c r="BKC1" s="1755"/>
      <c r="BKD1" s="1755"/>
      <c r="BKE1" s="1755"/>
      <c r="BKF1" s="1755"/>
      <c r="BKG1" s="1755"/>
      <c r="BKH1" s="1755"/>
      <c r="BKI1" s="1755"/>
      <c r="BKJ1" s="1755"/>
      <c r="BKK1" s="1755"/>
      <c r="BKL1" s="1755"/>
      <c r="BKM1" s="1755"/>
      <c r="BKN1" s="1755"/>
      <c r="BKO1" s="1755"/>
      <c r="BKP1" s="1755"/>
      <c r="BKQ1" s="1755"/>
      <c r="BKR1" s="1755"/>
      <c r="BKS1" s="1755"/>
      <c r="BKT1" s="1755"/>
      <c r="BKU1" s="1755"/>
      <c r="BKV1" s="1755"/>
      <c r="BKW1" s="1755"/>
      <c r="BKX1" s="1755"/>
      <c r="BKY1" s="1755"/>
      <c r="BKZ1" s="1755"/>
      <c r="BLA1" s="1755"/>
      <c r="BLB1" s="1755"/>
      <c r="BLC1" s="1755"/>
      <c r="BLD1" s="1755"/>
      <c r="BLE1" s="1755"/>
      <c r="BLF1" s="1755"/>
      <c r="BLG1" s="1755"/>
      <c r="BLH1" s="1755"/>
      <c r="BLI1" s="1755"/>
      <c r="BLJ1" s="1755"/>
      <c r="BLK1" s="1755"/>
      <c r="BLL1" s="1755"/>
      <c r="BLM1" s="1755"/>
      <c r="BLN1" s="1755"/>
      <c r="BLO1" s="1755"/>
      <c r="BLP1" s="1755"/>
      <c r="BLQ1" s="1755"/>
      <c r="BLR1" s="1755"/>
      <c r="BLS1" s="1755"/>
      <c r="BLT1" s="1755"/>
      <c r="BLU1" s="1755"/>
      <c r="BLV1" s="1755"/>
      <c r="BLW1" s="1755"/>
      <c r="BLX1" s="1755"/>
      <c r="BLY1" s="1755"/>
      <c r="BLZ1" s="1755"/>
      <c r="BMA1" s="1755"/>
      <c r="BMB1" s="1755"/>
      <c r="BMC1" s="1755"/>
      <c r="BMD1" s="1755"/>
      <c r="BME1" s="1755"/>
      <c r="BMF1" s="1755"/>
      <c r="BMG1" s="1755"/>
      <c r="BMH1" s="1755"/>
      <c r="BMI1" s="1755"/>
      <c r="BMJ1" s="1755"/>
      <c r="BMK1" s="1755"/>
      <c r="BML1" s="1755"/>
      <c r="BMM1" s="1755"/>
      <c r="BMN1" s="1755"/>
      <c r="BMO1" s="1755"/>
      <c r="BMP1" s="1755"/>
      <c r="BMQ1" s="1755"/>
      <c r="BMR1" s="1755"/>
      <c r="BMS1" s="1755"/>
      <c r="BMT1" s="1755"/>
      <c r="BMU1" s="1755"/>
      <c r="BMV1" s="1755"/>
      <c r="BMW1" s="1755"/>
      <c r="BMX1" s="1755"/>
      <c r="BMY1" s="1755"/>
      <c r="BMZ1" s="1755"/>
      <c r="BNA1" s="1755"/>
      <c r="BNB1" s="1755"/>
      <c r="BNC1" s="1755"/>
      <c r="BND1" s="1755"/>
      <c r="BNE1" s="1755"/>
      <c r="BNF1" s="1755"/>
      <c r="BNG1" s="1755"/>
      <c r="BNH1" s="1755"/>
      <c r="BNI1" s="1755"/>
      <c r="BNJ1" s="1755"/>
      <c r="BNK1" s="1755"/>
      <c r="BNL1" s="1755"/>
      <c r="BNM1" s="1755"/>
      <c r="BNN1" s="1755"/>
      <c r="BNO1" s="1755"/>
      <c r="BNP1" s="1755"/>
      <c r="BNQ1" s="1755"/>
      <c r="BNR1" s="1755"/>
      <c r="BNS1" s="1755"/>
      <c r="BNT1" s="1755"/>
      <c r="BNU1" s="1755"/>
      <c r="BNV1" s="1755"/>
      <c r="BNW1" s="1755"/>
      <c r="BNX1" s="1755"/>
      <c r="BNY1" s="1755"/>
      <c r="BNZ1" s="1755"/>
      <c r="BOA1" s="1755"/>
      <c r="BOB1" s="1755"/>
      <c r="BOC1" s="1755"/>
      <c r="BOD1" s="1755"/>
      <c r="BOE1" s="1755"/>
      <c r="BOF1" s="1755"/>
      <c r="BOG1" s="1755"/>
      <c r="BOH1" s="1755"/>
      <c r="BOI1" s="1755"/>
      <c r="BOJ1" s="1755"/>
      <c r="BOK1" s="1755"/>
      <c r="BOL1" s="1755"/>
      <c r="BOM1" s="1755"/>
      <c r="BON1" s="1755"/>
      <c r="BOO1" s="1755"/>
      <c r="BOP1" s="1755"/>
      <c r="BOQ1" s="1755"/>
      <c r="BOR1" s="1755"/>
      <c r="BOS1" s="1755"/>
      <c r="BOT1" s="1755"/>
      <c r="BOU1" s="1755"/>
      <c r="BOV1" s="1755"/>
      <c r="BOW1" s="1755"/>
      <c r="BOX1" s="1755"/>
      <c r="BOY1" s="1755"/>
      <c r="BOZ1" s="1755"/>
      <c r="BPA1" s="1755"/>
      <c r="BPB1" s="1755"/>
      <c r="BPC1" s="1755"/>
      <c r="BPD1" s="1755"/>
      <c r="BPE1" s="1755"/>
      <c r="BPF1" s="1755"/>
      <c r="BPG1" s="1755"/>
      <c r="BPH1" s="1755"/>
      <c r="BPI1" s="1755"/>
      <c r="BPJ1" s="1755"/>
      <c r="BPK1" s="1755"/>
      <c r="BPL1" s="1755"/>
      <c r="BPM1" s="1755"/>
      <c r="BPN1" s="1755"/>
      <c r="BPO1" s="1755"/>
      <c r="BPP1" s="1755"/>
      <c r="BPQ1" s="1755"/>
      <c r="BPR1" s="1755"/>
      <c r="BPS1" s="1755"/>
      <c r="BPT1" s="1755"/>
      <c r="BPU1" s="1755"/>
      <c r="BPV1" s="1755"/>
      <c r="BPW1" s="1755"/>
      <c r="BPX1" s="1755"/>
      <c r="BPY1" s="1755"/>
      <c r="BPZ1" s="1755"/>
      <c r="BQA1" s="1755"/>
      <c r="BQB1" s="1755"/>
      <c r="BQC1" s="1755"/>
      <c r="BQD1" s="1755"/>
      <c r="BQE1" s="1755"/>
      <c r="BQF1" s="1755"/>
      <c r="BQG1" s="1755"/>
      <c r="BQH1" s="1755"/>
      <c r="BQI1" s="1755"/>
      <c r="BQJ1" s="1755"/>
      <c r="BQK1" s="1755"/>
      <c r="BQL1" s="1755"/>
      <c r="BQM1" s="1755"/>
      <c r="BQN1" s="1755"/>
      <c r="BQO1" s="1755"/>
      <c r="BQP1" s="1755"/>
      <c r="BQQ1" s="1755"/>
      <c r="BQR1" s="1755"/>
      <c r="BQS1" s="1755"/>
      <c r="BQT1" s="1755"/>
      <c r="BQU1" s="1755"/>
      <c r="BQV1" s="1755"/>
      <c r="BQW1" s="1755"/>
      <c r="BQX1" s="1755"/>
      <c r="BQY1" s="1755"/>
      <c r="BQZ1" s="1755"/>
      <c r="BRA1" s="1755"/>
      <c r="BRB1" s="1755"/>
      <c r="BRC1" s="1755"/>
      <c r="BRD1" s="1755"/>
      <c r="BRE1" s="1755"/>
      <c r="BRF1" s="1755"/>
      <c r="BRG1" s="1755"/>
      <c r="BRH1" s="1755"/>
      <c r="BRI1" s="1755"/>
      <c r="BRJ1" s="1755"/>
      <c r="BRK1" s="1755"/>
      <c r="BRL1" s="1755"/>
      <c r="BRM1" s="1755"/>
      <c r="BRN1" s="1755"/>
      <c r="BRO1" s="1755"/>
      <c r="BRP1" s="1755"/>
      <c r="BRQ1" s="1755"/>
      <c r="BRR1" s="1755"/>
      <c r="BRS1" s="1755"/>
      <c r="BRT1" s="1755"/>
      <c r="BRU1" s="1755"/>
      <c r="BRV1" s="1755"/>
      <c r="BRW1" s="1755"/>
      <c r="BRX1" s="1755"/>
      <c r="BRY1" s="1755"/>
      <c r="BRZ1" s="1755"/>
      <c r="BSA1" s="1755"/>
      <c r="BSB1" s="1755"/>
      <c r="BSC1" s="1755"/>
      <c r="BSD1" s="1755"/>
      <c r="BSE1" s="1755"/>
      <c r="BSF1" s="1755"/>
      <c r="BSG1" s="1755"/>
      <c r="BSH1" s="1755"/>
      <c r="BSI1" s="1755"/>
      <c r="BSJ1" s="1755"/>
      <c r="BSK1" s="1755"/>
      <c r="BSL1" s="1755"/>
      <c r="BSM1" s="1755"/>
      <c r="BSN1" s="1755"/>
      <c r="BSO1" s="1755"/>
      <c r="BSP1" s="1755"/>
      <c r="BSQ1" s="1755"/>
      <c r="BSR1" s="1755"/>
      <c r="BSS1" s="1755"/>
      <c r="BST1" s="1755"/>
      <c r="BSU1" s="1755"/>
      <c r="BSV1" s="1755"/>
      <c r="BSW1" s="1755"/>
      <c r="BSX1" s="1755"/>
      <c r="BSY1" s="1755"/>
      <c r="BSZ1" s="1755"/>
      <c r="BTA1" s="1755"/>
      <c r="BTB1" s="1755"/>
      <c r="BTC1" s="1755"/>
      <c r="BTD1" s="1755"/>
      <c r="BTE1" s="1755"/>
      <c r="BTF1" s="1755"/>
      <c r="BTG1" s="1755"/>
      <c r="BTH1" s="1755"/>
      <c r="BTI1" s="1755"/>
      <c r="BTJ1" s="1755"/>
      <c r="BTK1" s="1755"/>
      <c r="BTL1" s="1755"/>
      <c r="BTM1" s="1755"/>
      <c r="BTN1" s="1755"/>
      <c r="BTO1" s="1755"/>
      <c r="BTP1" s="1755"/>
      <c r="BTQ1" s="1755"/>
      <c r="BTR1" s="1755"/>
      <c r="BTS1" s="1755"/>
      <c r="BTT1" s="1755"/>
      <c r="BTU1" s="1755"/>
      <c r="BTV1" s="1755"/>
      <c r="BTW1" s="1755"/>
      <c r="BTX1" s="1755"/>
      <c r="BTY1" s="1755"/>
      <c r="BTZ1" s="1755"/>
      <c r="BUA1" s="1755"/>
      <c r="BUB1" s="1755"/>
      <c r="BUC1" s="1755"/>
      <c r="BUD1" s="1755"/>
      <c r="BUE1" s="1755"/>
      <c r="BUF1" s="1755"/>
      <c r="BUG1" s="1755"/>
      <c r="BUH1" s="1755"/>
      <c r="BUI1" s="1755"/>
      <c r="BUJ1" s="1755"/>
      <c r="BUK1" s="1755"/>
      <c r="BUL1" s="1755"/>
      <c r="BUM1" s="1755"/>
      <c r="BUN1" s="1755"/>
      <c r="BUO1" s="1755"/>
      <c r="BUP1" s="1755"/>
      <c r="BUQ1" s="1755"/>
      <c r="BUR1" s="1755"/>
      <c r="BUS1" s="1755"/>
      <c r="BUT1" s="1755"/>
      <c r="BUU1" s="1755"/>
      <c r="BUV1" s="1755"/>
      <c r="BUW1" s="1755"/>
      <c r="BUX1" s="1755"/>
      <c r="BUY1" s="1755"/>
      <c r="BUZ1" s="1755"/>
      <c r="BVA1" s="1755"/>
      <c r="BVB1" s="1755"/>
      <c r="BVC1" s="1755"/>
      <c r="BVD1" s="1755"/>
      <c r="BVE1" s="1755"/>
      <c r="BVF1" s="1755"/>
      <c r="BVG1" s="1755"/>
      <c r="BVH1" s="1755"/>
      <c r="BVI1" s="1755"/>
      <c r="BVJ1" s="1755"/>
      <c r="BVK1" s="1755"/>
      <c r="BVL1" s="1755"/>
      <c r="BVM1" s="1755"/>
      <c r="BVN1" s="1755"/>
      <c r="BVO1" s="1755"/>
      <c r="BVP1" s="1755"/>
      <c r="BVQ1" s="1755"/>
      <c r="BVR1" s="1755"/>
      <c r="BVS1" s="1755"/>
      <c r="BVT1" s="1755"/>
      <c r="BVU1" s="1755"/>
      <c r="BVV1" s="1755"/>
      <c r="BVW1" s="1755"/>
      <c r="BVX1" s="1755"/>
      <c r="BVY1" s="1755"/>
      <c r="BVZ1" s="1755"/>
      <c r="BWA1" s="1755"/>
      <c r="BWB1" s="1755"/>
      <c r="BWC1" s="1755"/>
      <c r="BWD1" s="1755"/>
      <c r="BWE1" s="1755"/>
      <c r="BWF1" s="1755"/>
      <c r="BWG1" s="1755"/>
      <c r="BWH1" s="1755"/>
      <c r="BWI1" s="1755"/>
      <c r="BWJ1" s="1755"/>
      <c r="BWK1" s="1755"/>
      <c r="BWL1" s="1755"/>
      <c r="BWM1" s="1755"/>
      <c r="BWN1" s="1755"/>
      <c r="BWO1" s="1755"/>
      <c r="BWP1" s="1755"/>
      <c r="BWQ1" s="1755"/>
      <c r="BWR1" s="1755"/>
      <c r="BWS1" s="1755"/>
      <c r="BWT1" s="1755"/>
      <c r="BWU1" s="1755"/>
      <c r="BWV1" s="1755"/>
      <c r="BWW1" s="1755"/>
      <c r="BWX1" s="1755"/>
      <c r="BWY1" s="1755"/>
      <c r="BWZ1" s="1755"/>
      <c r="BXA1" s="1755"/>
      <c r="BXB1" s="1755"/>
      <c r="BXC1" s="1755"/>
      <c r="BXD1" s="1755"/>
      <c r="BXE1" s="1755"/>
      <c r="BXF1" s="1755"/>
      <c r="BXG1" s="1755"/>
      <c r="BXH1" s="1755"/>
      <c r="BXI1" s="1755"/>
      <c r="BXJ1" s="1755"/>
      <c r="BXK1" s="1755"/>
      <c r="BXL1" s="1755"/>
      <c r="BXM1" s="1755"/>
      <c r="BXN1" s="1755"/>
      <c r="BXO1" s="1755"/>
      <c r="BXP1" s="1755"/>
      <c r="BXQ1" s="1755"/>
      <c r="BXR1" s="1755"/>
      <c r="BXS1" s="1755"/>
      <c r="BXT1" s="1755"/>
      <c r="BXU1" s="1755"/>
      <c r="BXV1" s="1755"/>
      <c r="BXW1" s="1755"/>
      <c r="BXX1" s="1755"/>
      <c r="BXY1" s="1755"/>
      <c r="BXZ1" s="1755"/>
      <c r="BYA1" s="1755"/>
      <c r="BYB1" s="1755"/>
      <c r="BYC1" s="1755"/>
      <c r="BYD1" s="1755"/>
      <c r="BYE1" s="1755"/>
      <c r="BYF1" s="1755"/>
      <c r="BYG1" s="1755"/>
      <c r="BYH1" s="1755"/>
      <c r="BYI1" s="1755"/>
      <c r="BYJ1" s="1755"/>
      <c r="BYK1" s="1755"/>
      <c r="BYL1" s="1755"/>
      <c r="BYM1" s="1755"/>
      <c r="BYN1" s="1755"/>
      <c r="BYO1" s="1755"/>
      <c r="BYP1" s="1755"/>
      <c r="BYQ1" s="1755"/>
      <c r="BYR1" s="1755"/>
      <c r="BYS1" s="1755"/>
      <c r="BYT1" s="1755"/>
      <c r="BYU1" s="1755"/>
      <c r="BYV1" s="1755"/>
      <c r="BYW1" s="1755"/>
      <c r="BYX1" s="1755"/>
      <c r="BYY1" s="1755"/>
      <c r="BYZ1" s="1755"/>
      <c r="BZA1" s="1755"/>
      <c r="BZB1" s="1755"/>
      <c r="BZC1" s="1755"/>
      <c r="BZD1" s="1755"/>
      <c r="BZE1" s="1755"/>
      <c r="BZF1" s="1755"/>
      <c r="BZG1" s="1755"/>
      <c r="BZH1" s="1755"/>
      <c r="BZI1" s="1755"/>
      <c r="BZJ1" s="1755"/>
      <c r="BZK1" s="1755"/>
      <c r="BZL1" s="1755"/>
      <c r="BZM1" s="1755"/>
      <c r="BZN1" s="1755"/>
      <c r="BZO1" s="1755"/>
      <c r="BZP1" s="1755"/>
      <c r="BZQ1" s="1755"/>
      <c r="BZR1" s="1755"/>
      <c r="BZS1" s="1755"/>
      <c r="BZT1" s="1755"/>
      <c r="BZU1" s="1755"/>
      <c r="BZV1" s="1755"/>
      <c r="BZW1" s="1755"/>
      <c r="BZX1" s="1755"/>
      <c r="BZY1" s="1755"/>
      <c r="BZZ1" s="1755"/>
      <c r="CAA1" s="1755"/>
      <c r="CAB1" s="1755"/>
      <c r="CAC1" s="1755"/>
      <c r="CAD1" s="1755"/>
      <c r="CAE1" s="1755"/>
      <c r="CAF1" s="1755"/>
      <c r="CAG1" s="1755"/>
      <c r="CAH1" s="1755"/>
      <c r="CAI1" s="1755"/>
      <c r="CAJ1" s="1755"/>
      <c r="CAK1" s="1755"/>
      <c r="CAL1" s="1755"/>
      <c r="CAM1" s="1755"/>
      <c r="CAN1" s="1755"/>
      <c r="CAO1" s="1755"/>
      <c r="CAP1" s="1755"/>
      <c r="CAQ1" s="1755"/>
      <c r="CAR1" s="1755"/>
      <c r="CAS1" s="1755"/>
      <c r="CAT1" s="1755"/>
      <c r="CAU1" s="1755"/>
      <c r="CAV1" s="1755"/>
      <c r="CAW1" s="1755"/>
      <c r="CAX1" s="1755"/>
      <c r="CAY1" s="1755"/>
      <c r="CAZ1" s="1755"/>
      <c r="CBA1" s="1755"/>
      <c r="CBB1" s="1755"/>
      <c r="CBC1" s="1755"/>
      <c r="CBD1" s="1755"/>
      <c r="CBE1" s="1755"/>
      <c r="CBF1" s="1755"/>
      <c r="CBG1" s="1755"/>
      <c r="CBH1" s="1755"/>
      <c r="CBI1" s="1755"/>
      <c r="CBJ1" s="1755"/>
      <c r="CBK1" s="1755"/>
      <c r="CBL1" s="1755"/>
      <c r="CBM1" s="1755"/>
      <c r="CBN1" s="1755"/>
      <c r="CBO1" s="1755"/>
      <c r="CBP1" s="1755"/>
      <c r="CBQ1" s="1755"/>
      <c r="CBR1" s="1755"/>
      <c r="CBS1" s="1755"/>
      <c r="CBT1" s="1755"/>
      <c r="CBU1" s="1755"/>
      <c r="CBV1" s="1755"/>
      <c r="CBW1" s="1755"/>
      <c r="CBX1" s="1755"/>
      <c r="CBY1" s="1755"/>
      <c r="CBZ1" s="1755"/>
      <c r="CCA1" s="1755"/>
      <c r="CCB1" s="1755"/>
      <c r="CCC1" s="1755"/>
      <c r="CCD1" s="1755"/>
      <c r="CCE1" s="1755"/>
      <c r="CCF1" s="1755"/>
      <c r="CCG1" s="1755"/>
      <c r="CCH1" s="1755"/>
      <c r="CCI1" s="1755"/>
      <c r="CCJ1" s="1755"/>
      <c r="CCK1" s="1755"/>
      <c r="CCL1" s="1755"/>
      <c r="CCM1" s="1755"/>
      <c r="CCN1" s="1755"/>
      <c r="CCO1" s="1755"/>
      <c r="CCP1" s="1755"/>
      <c r="CCQ1" s="1755"/>
      <c r="CCR1" s="1755"/>
      <c r="CCS1" s="1755"/>
      <c r="CCT1" s="1755"/>
      <c r="CCU1" s="1755"/>
      <c r="CCV1" s="1755"/>
      <c r="CCW1" s="1755"/>
      <c r="CCX1" s="1755"/>
      <c r="CCY1" s="1755"/>
      <c r="CCZ1" s="1755"/>
      <c r="CDA1" s="1755"/>
      <c r="CDB1" s="1755"/>
      <c r="CDC1" s="1755"/>
      <c r="CDD1" s="1755"/>
      <c r="CDE1" s="1755"/>
      <c r="CDF1" s="1755"/>
      <c r="CDG1" s="1755"/>
      <c r="CDH1" s="1755"/>
      <c r="CDI1" s="1755"/>
      <c r="CDJ1" s="1755"/>
      <c r="CDK1" s="1755"/>
      <c r="CDL1" s="1755"/>
      <c r="CDM1" s="1755"/>
      <c r="CDN1" s="1755"/>
      <c r="CDO1" s="1755"/>
      <c r="CDP1" s="1755"/>
      <c r="CDQ1" s="1755"/>
      <c r="CDR1" s="1755"/>
      <c r="CDS1" s="1755"/>
      <c r="CDT1" s="1755"/>
      <c r="CDU1" s="1755"/>
      <c r="CDV1" s="1755"/>
      <c r="CDW1" s="1755"/>
      <c r="CDX1" s="1755"/>
      <c r="CDY1" s="1755"/>
      <c r="CDZ1" s="1755"/>
      <c r="CEA1" s="1755"/>
      <c r="CEB1" s="1755"/>
      <c r="CEC1" s="1755"/>
      <c r="CED1" s="1755"/>
      <c r="CEE1" s="1755"/>
      <c r="CEF1" s="1755"/>
      <c r="CEG1" s="1755"/>
      <c r="CEH1" s="1755"/>
      <c r="CEI1" s="1755"/>
      <c r="CEJ1" s="1755"/>
      <c r="CEK1" s="1755"/>
      <c r="CEL1" s="1755"/>
      <c r="CEM1" s="1755"/>
      <c r="CEN1" s="1755"/>
      <c r="CEO1" s="1755"/>
      <c r="CEP1" s="1755"/>
      <c r="CEQ1" s="1755"/>
      <c r="CER1" s="1755"/>
      <c r="CES1" s="1755"/>
      <c r="CET1" s="1755"/>
      <c r="CEU1" s="1755"/>
      <c r="CEV1" s="1755"/>
      <c r="CEW1" s="1755"/>
      <c r="CEX1" s="1755"/>
      <c r="CEY1" s="1755"/>
      <c r="CEZ1" s="1755"/>
      <c r="CFA1" s="1755"/>
      <c r="CFB1" s="1755"/>
      <c r="CFC1" s="1755"/>
      <c r="CFD1" s="1755"/>
      <c r="CFE1" s="1755"/>
      <c r="CFF1" s="1755"/>
      <c r="CFG1" s="1755"/>
      <c r="CFH1" s="1755"/>
      <c r="CFI1" s="1755"/>
      <c r="CFJ1" s="1755"/>
      <c r="CFK1" s="1755"/>
      <c r="CFL1" s="1755"/>
      <c r="CFM1" s="1755"/>
      <c r="CFN1" s="1755"/>
      <c r="CFO1" s="1755"/>
      <c r="CFP1" s="1755"/>
      <c r="CFQ1" s="1755"/>
      <c r="CFR1" s="1755"/>
      <c r="CFS1" s="1755"/>
      <c r="CFT1" s="1755"/>
      <c r="CFU1" s="1755"/>
      <c r="CFV1" s="1755"/>
      <c r="CFW1" s="1755"/>
      <c r="CFX1" s="1755"/>
      <c r="CFY1" s="1755"/>
      <c r="CFZ1" s="1755"/>
      <c r="CGA1" s="1755"/>
      <c r="CGB1" s="1755"/>
      <c r="CGC1" s="1755"/>
      <c r="CGD1" s="1755"/>
      <c r="CGE1" s="1755"/>
      <c r="CGF1" s="1755"/>
      <c r="CGG1" s="1755"/>
      <c r="CGH1" s="1755"/>
      <c r="CGI1" s="1755"/>
      <c r="CGJ1" s="1755"/>
      <c r="CGK1" s="1755"/>
      <c r="CGL1" s="1755"/>
      <c r="CGM1" s="1755"/>
      <c r="CGN1" s="1755"/>
      <c r="CGO1" s="1755"/>
      <c r="CGP1" s="1755"/>
      <c r="CGQ1" s="1755"/>
      <c r="CGR1" s="1755"/>
      <c r="CGS1" s="1755"/>
      <c r="CGT1" s="1755"/>
      <c r="CGU1" s="1755"/>
      <c r="CGV1" s="1755"/>
      <c r="CGW1" s="1755"/>
      <c r="CGX1" s="1755"/>
      <c r="CGY1" s="1755"/>
      <c r="CGZ1" s="1755"/>
      <c r="CHA1" s="1755"/>
      <c r="CHB1" s="1755"/>
      <c r="CHC1" s="1755"/>
      <c r="CHD1" s="1755"/>
      <c r="CHE1" s="1755"/>
      <c r="CHF1" s="1755"/>
      <c r="CHG1" s="1755"/>
      <c r="CHH1" s="1755"/>
      <c r="CHI1" s="1755"/>
      <c r="CHJ1" s="1755"/>
      <c r="CHK1" s="1755"/>
      <c r="CHL1" s="1755"/>
      <c r="CHM1" s="1755"/>
      <c r="CHN1" s="1755"/>
      <c r="CHO1" s="1755"/>
      <c r="CHP1" s="1755"/>
      <c r="CHQ1" s="1755"/>
      <c r="CHR1" s="1755"/>
      <c r="CHS1" s="1755"/>
      <c r="CHT1" s="1755"/>
      <c r="CHU1" s="1755"/>
      <c r="CHV1" s="1755"/>
      <c r="CHW1" s="1755"/>
      <c r="CHX1" s="1755"/>
      <c r="CHY1" s="1755"/>
      <c r="CHZ1" s="1755"/>
      <c r="CIA1" s="1755"/>
      <c r="CIB1" s="1755"/>
      <c r="CIC1" s="1755"/>
      <c r="CID1" s="1755"/>
      <c r="CIE1" s="1755"/>
      <c r="CIF1" s="1755"/>
      <c r="CIG1" s="1755"/>
      <c r="CIH1" s="1755"/>
      <c r="CII1" s="1755"/>
      <c r="CIJ1" s="1755"/>
      <c r="CIK1" s="1755"/>
      <c r="CIL1" s="1755"/>
      <c r="CIM1" s="1755"/>
      <c r="CIN1" s="1755"/>
      <c r="CIO1" s="1755"/>
      <c r="CIP1" s="1755"/>
      <c r="CIQ1" s="1755"/>
      <c r="CIR1" s="1755"/>
      <c r="CIS1" s="1755"/>
      <c r="CIT1" s="1755"/>
      <c r="CIU1" s="1755"/>
      <c r="CIV1" s="1755"/>
      <c r="CIW1" s="1755"/>
      <c r="CIX1" s="1755"/>
      <c r="CIY1" s="1755"/>
      <c r="CIZ1" s="1755"/>
      <c r="CJA1" s="1755"/>
      <c r="CJB1" s="1755"/>
      <c r="CJC1" s="1755"/>
      <c r="CJD1" s="1755"/>
      <c r="CJE1" s="1755"/>
      <c r="CJF1" s="1755"/>
      <c r="CJG1" s="1755"/>
      <c r="CJH1" s="1755"/>
      <c r="CJI1" s="1755"/>
      <c r="CJJ1" s="1755"/>
      <c r="CJK1" s="1755"/>
      <c r="CJL1" s="1755"/>
      <c r="CJM1" s="1755"/>
      <c r="CJN1" s="1755"/>
      <c r="CJO1" s="1755"/>
      <c r="CJP1" s="1755"/>
      <c r="CJQ1" s="1755"/>
      <c r="CJR1" s="1755"/>
      <c r="CJS1" s="1755"/>
      <c r="CJT1" s="1755"/>
      <c r="CJU1" s="1755"/>
      <c r="CJV1" s="1755"/>
      <c r="CJW1" s="1755"/>
      <c r="CJX1" s="1755"/>
      <c r="CJY1" s="1755"/>
      <c r="CJZ1" s="1755"/>
      <c r="CKA1" s="1755"/>
      <c r="CKB1" s="1755"/>
      <c r="CKC1" s="1755"/>
      <c r="CKD1" s="1755"/>
      <c r="CKE1" s="1755"/>
      <c r="CKF1" s="1755"/>
      <c r="CKG1" s="1755"/>
      <c r="CKH1" s="1755"/>
      <c r="CKI1" s="1755"/>
      <c r="CKJ1" s="1755"/>
      <c r="CKK1" s="1755"/>
      <c r="CKL1" s="1755"/>
      <c r="CKM1" s="1755"/>
      <c r="CKN1" s="1755"/>
      <c r="CKO1" s="1755"/>
      <c r="CKP1" s="1755"/>
      <c r="CKQ1" s="1755"/>
      <c r="CKR1" s="1755"/>
      <c r="CKS1" s="1755"/>
      <c r="CKT1" s="1755"/>
      <c r="CKU1" s="1755"/>
      <c r="CKV1" s="1755"/>
      <c r="CKW1" s="1755"/>
      <c r="CKX1" s="1755"/>
      <c r="CKY1" s="1755"/>
      <c r="CKZ1" s="1755"/>
      <c r="CLA1" s="1755"/>
      <c r="CLB1" s="1755"/>
      <c r="CLC1" s="1755"/>
      <c r="CLD1" s="1755"/>
      <c r="CLE1" s="1755"/>
      <c r="CLF1" s="1755"/>
      <c r="CLG1" s="1755"/>
      <c r="CLH1" s="1755"/>
      <c r="CLI1" s="1755"/>
      <c r="CLJ1" s="1755"/>
      <c r="CLK1" s="1755"/>
      <c r="CLL1" s="1755"/>
      <c r="CLM1" s="1755"/>
      <c r="CLN1" s="1755"/>
      <c r="CLO1" s="1755"/>
      <c r="CLP1" s="1755"/>
      <c r="CLQ1" s="1755"/>
      <c r="CLR1" s="1755"/>
      <c r="CLS1" s="1755"/>
      <c r="CLT1" s="1755"/>
      <c r="CLU1" s="1755"/>
      <c r="CLV1" s="1755"/>
      <c r="CLW1" s="1755"/>
      <c r="CLX1" s="1755"/>
      <c r="CLY1" s="1755"/>
      <c r="CLZ1" s="1755"/>
      <c r="CMA1" s="1755"/>
      <c r="CMB1" s="1755"/>
      <c r="CMC1" s="1755"/>
      <c r="CMD1" s="1755"/>
      <c r="CME1" s="1755"/>
      <c r="CMF1" s="1755"/>
      <c r="CMG1" s="1755"/>
      <c r="CMH1" s="1755"/>
      <c r="CMI1" s="1755"/>
      <c r="CMJ1" s="1755"/>
      <c r="CMK1" s="1755"/>
      <c r="CML1" s="1755"/>
      <c r="CMM1" s="1755"/>
      <c r="CMN1" s="1755"/>
      <c r="CMO1" s="1755"/>
      <c r="CMP1" s="1755"/>
      <c r="CMQ1" s="1755"/>
      <c r="CMR1" s="1755"/>
      <c r="CMS1" s="1755"/>
      <c r="CMT1" s="1755"/>
      <c r="CMU1" s="1755"/>
      <c r="CMV1" s="1755"/>
      <c r="CMW1" s="1755"/>
      <c r="CMX1" s="1755"/>
      <c r="CMY1" s="1755"/>
      <c r="CMZ1" s="1755"/>
      <c r="CNA1" s="1755"/>
      <c r="CNB1" s="1755"/>
      <c r="CNC1" s="1755"/>
      <c r="CND1" s="1755"/>
      <c r="CNE1" s="1755"/>
      <c r="CNF1" s="1755"/>
      <c r="CNG1" s="1755"/>
      <c r="CNH1" s="1755"/>
      <c r="CNI1" s="1755"/>
      <c r="CNJ1" s="1755"/>
      <c r="CNK1" s="1755"/>
      <c r="CNL1" s="1755"/>
      <c r="CNM1" s="1755"/>
      <c r="CNN1" s="1755"/>
      <c r="CNO1" s="1755"/>
      <c r="CNP1" s="1755"/>
      <c r="CNQ1" s="1755"/>
      <c r="CNR1" s="1755"/>
      <c r="CNS1" s="1755"/>
      <c r="CNT1" s="1755"/>
      <c r="CNU1" s="1755"/>
      <c r="CNV1" s="1755"/>
      <c r="CNW1" s="1755"/>
      <c r="CNX1" s="1755"/>
      <c r="CNY1" s="1755"/>
      <c r="CNZ1" s="1755"/>
      <c r="COA1" s="1755"/>
      <c r="COB1" s="1755"/>
      <c r="COC1" s="1755"/>
      <c r="COD1" s="1755"/>
      <c r="COE1" s="1755"/>
      <c r="COF1" s="1755"/>
      <c r="COG1" s="1755"/>
      <c r="COH1" s="1755"/>
      <c r="COI1" s="1755"/>
      <c r="COJ1" s="1755"/>
      <c r="COK1" s="1755"/>
      <c r="COL1" s="1755"/>
      <c r="COM1" s="1755"/>
      <c r="CON1" s="1755"/>
      <c r="COO1" s="1755"/>
      <c r="COP1" s="1755"/>
      <c r="COQ1" s="1755"/>
      <c r="COR1" s="1755"/>
      <c r="COS1" s="1755"/>
      <c r="COT1" s="1755"/>
      <c r="COU1" s="1755"/>
      <c r="COV1" s="1755"/>
      <c r="COW1" s="1755"/>
      <c r="COX1" s="1755"/>
      <c r="COY1" s="1755"/>
      <c r="COZ1" s="1755"/>
      <c r="CPA1" s="1755"/>
      <c r="CPB1" s="1755"/>
      <c r="CPC1" s="1755"/>
      <c r="CPD1" s="1755"/>
      <c r="CPE1" s="1755"/>
      <c r="CPF1" s="1755"/>
      <c r="CPG1" s="1755"/>
      <c r="CPH1" s="1755"/>
      <c r="CPI1" s="1755"/>
      <c r="CPJ1" s="1755"/>
      <c r="CPK1" s="1755"/>
      <c r="CPL1" s="1755"/>
      <c r="CPM1" s="1755"/>
      <c r="CPN1" s="1755"/>
      <c r="CPO1" s="1755"/>
      <c r="CPP1" s="1755"/>
      <c r="CPQ1" s="1755"/>
      <c r="CPR1" s="1755"/>
      <c r="CPS1" s="1755"/>
      <c r="CPT1" s="1755"/>
      <c r="CPU1" s="1755"/>
      <c r="CPV1" s="1755"/>
      <c r="CPW1" s="1755"/>
      <c r="CPX1" s="1755"/>
      <c r="CPY1" s="1755"/>
      <c r="CPZ1" s="1755"/>
      <c r="CQA1" s="1755"/>
      <c r="CQB1" s="1755"/>
      <c r="CQC1" s="1755"/>
      <c r="CQD1" s="1755"/>
      <c r="CQE1" s="1755"/>
      <c r="CQF1" s="1755"/>
      <c r="CQG1" s="1755"/>
      <c r="CQH1" s="1755"/>
      <c r="CQI1" s="1755"/>
      <c r="CQJ1" s="1755"/>
      <c r="CQK1" s="1755"/>
      <c r="CQL1" s="1755"/>
      <c r="CQM1" s="1755"/>
      <c r="CQN1" s="1755"/>
      <c r="CQO1" s="1755"/>
      <c r="CQP1" s="1755"/>
      <c r="CQQ1" s="1755"/>
      <c r="CQR1" s="1755"/>
      <c r="CQS1" s="1755"/>
      <c r="CQT1" s="1755"/>
      <c r="CQU1" s="1755"/>
      <c r="CQV1" s="1755"/>
      <c r="CQW1" s="1755"/>
      <c r="CQX1" s="1755"/>
      <c r="CQY1" s="1755"/>
      <c r="CQZ1" s="1755"/>
      <c r="CRA1" s="1755"/>
      <c r="CRB1" s="1755"/>
      <c r="CRC1" s="1755"/>
      <c r="CRD1" s="1755"/>
      <c r="CRE1" s="1755"/>
      <c r="CRF1" s="1755"/>
      <c r="CRG1" s="1755"/>
      <c r="CRH1" s="1755"/>
      <c r="CRI1" s="1755"/>
      <c r="CRJ1" s="1755"/>
      <c r="CRK1" s="1755"/>
      <c r="CRL1" s="1755"/>
      <c r="CRM1" s="1755"/>
      <c r="CRN1" s="1755"/>
      <c r="CRO1" s="1755"/>
      <c r="CRP1" s="1755"/>
      <c r="CRQ1" s="1755"/>
      <c r="CRR1" s="1755"/>
      <c r="CRS1" s="1755"/>
      <c r="CRT1" s="1755"/>
      <c r="CRU1" s="1755"/>
      <c r="CRV1" s="1755"/>
      <c r="CRW1" s="1755"/>
      <c r="CRX1" s="1755"/>
      <c r="CRY1" s="1755"/>
      <c r="CRZ1" s="1755"/>
      <c r="CSA1" s="1755"/>
      <c r="CSB1" s="1755"/>
      <c r="CSC1" s="1755"/>
      <c r="CSD1" s="1755"/>
      <c r="CSE1" s="1755"/>
      <c r="CSF1" s="1755"/>
      <c r="CSG1" s="1755"/>
      <c r="CSH1" s="1755"/>
      <c r="CSI1" s="1755"/>
      <c r="CSJ1" s="1755"/>
      <c r="CSK1" s="1755"/>
      <c r="CSL1" s="1755"/>
      <c r="CSM1" s="1755"/>
      <c r="CSN1" s="1755"/>
      <c r="CSO1" s="1755"/>
      <c r="CSP1" s="1755"/>
      <c r="CSQ1" s="1755"/>
      <c r="CSR1" s="1755"/>
      <c r="CSS1" s="1755"/>
      <c r="CST1" s="1755"/>
      <c r="CSU1" s="1755"/>
      <c r="CSV1" s="1755"/>
      <c r="CSW1" s="1755"/>
      <c r="CSX1" s="1755"/>
      <c r="CSY1" s="1755"/>
      <c r="CSZ1" s="1755"/>
      <c r="CTA1" s="1755"/>
      <c r="CTB1" s="1755"/>
      <c r="CTC1" s="1755"/>
      <c r="CTD1" s="1755"/>
      <c r="CTE1" s="1755"/>
      <c r="CTF1" s="1755"/>
      <c r="CTG1" s="1755"/>
      <c r="CTH1" s="1755"/>
      <c r="CTI1" s="1755"/>
      <c r="CTJ1" s="1755"/>
      <c r="CTK1" s="1755"/>
      <c r="CTL1" s="1755"/>
      <c r="CTM1" s="1755"/>
      <c r="CTN1" s="1755"/>
      <c r="CTO1" s="1755"/>
      <c r="CTP1" s="1755"/>
      <c r="CTQ1" s="1755"/>
      <c r="CTR1" s="1755"/>
      <c r="CTS1" s="1755"/>
      <c r="CTT1" s="1755"/>
      <c r="CTU1" s="1755"/>
      <c r="CTV1" s="1755"/>
      <c r="CTW1" s="1755"/>
      <c r="CTX1" s="1755"/>
      <c r="CTY1" s="1755"/>
      <c r="CTZ1" s="1755"/>
      <c r="CUA1" s="1755"/>
      <c r="CUB1" s="1755"/>
      <c r="CUC1" s="1755"/>
      <c r="CUD1" s="1755"/>
      <c r="CUE1" s="1755"/>
      <c r="CUF1" s="1755"/>
      <c r="CUG1" s="1755"/>
      <c r="CUH1" s="1755"/>
      <c r="CUI1" s="1755"/>
      <c r="CUJ1" s="1755"/>
      <c r="CUK1" s="1755"/>
      <c r="CUL1" s="1755"/>
      <c r="CUM1" s="1755"/>
      <c r="CUN1" s="1755"/>
      <c r="CUO1" s="1755"/>
      <c r="CUP1" s="1755"/>
      <c r="CUQ1" s="1755"/>
      <c r="CUR1" s="1755"/>
      <c r="CUS1" s="1755"/>
      <c r="CUT1" s="1755"/>
      <c r="CUU1" s="1755"/>
      <c r="CUV1" s="1755"/>
      <c r="CUW1" s="1755"/>
      <c r="CUX1" s="1755"/>
      <c r="CUY1" s="1755"/>
      <c r="CUZ1" s="1755"/>
      <c r="CVA1" s="1755"/>
      <c r="CVB1" s="1755"/>
      <c r="CVC1" s="1755"/>
      <c r="CVD1" s="1755"/>
      <c r="CVE1" s="1755"/>
      <c r="CVF1" s="1755"/>
      <c r="CVG1" s="1755"/>
      <c r="CVH1" s="1755"/>
      <c r="CVI1" s="1755"/>
      <c r="CVJ1" s="1755"/>
      <c r="CVK1" s="1755"/>
      <c r="CVL1" s="1755"/>
      <c r="CVM1" s="1755"/>
      <c r="CVN1" s="1755"/>
      <c r="CVO1" s="1755"/>
      <c r="CVP1" s="1755"/>
      <c r="CVQ1" s="1755"/>
      <c r="CVR1" s="1755"/>
      <c r="CVS1" s="1755"/>
      <c r="CVT1" s="1755"/>
      <c r="CVU1" s="1755"/>
      <c r="CVV1" s="1755"/>
      <c r="CVW1" s="1755"/>
      <c r="CVX1" s="1755"/>
      <c r="CVY1" s="1755"/>
      <c r="CVZ1" s="1755"/>
      <c r="CWA1" s="1755"/>
      <c r="CWB1" s="1755"/>
      <c r="CWC1" s="1755"/>
      <c r="CWD1" s="1755"/>
      <c r="CWE1" s="1755"/>
      <c r="CWF1" s="1755"/>
      <c r="CWG1" s="1755"/>
      <c r="CWH1" s="1755"/>
      <c r="CWI1" s="1755"/>
      <c r="CWJ1" s="1755"/>
      <c r="CWK1" s="1755"/>
      <c r="CWL1" s="1755"/>
      <c r="CWM1" s="1755"/>
      <c r="CWN1" s="1755"/>
      <c r="CWO1" s="1755"/>
      <c r="CWP1" s="1755"/>
      <c r="CWQ1" s="1755"/>
      <c r="CWR1" s="1755"/>
      <c r="CWS1" s="1755"/>
      <c r="CWT1" s="1755"/>
      <c r="CWU1" s="1755"/>
      <c r="CWV1" s="1755"/>
      <c r="CWW1" s="1755"/>
      <c r="CWX1" s="1755"/>
      <c r="CWY1" s="1755"/>
      <c r="CWZ1" s="1755"/>
      <c r="CXA1" s="1755"/>
      <c r="CXB1" s="1755"/>
      <c r="CXC1" s="1755"/>
      <c r="CXD1" s="1755"/>
      <c r="CXE1" s="1755"/>
      <c r="CXF1" s="1755"/>
      <c r="CXG1" s="1755"/>
      <c r="CXH1" s="1755"/>
      <c r="CXI1" s="1755"/>
      <c r="CXJ1" s="1755"/>
      <c r="CXK1" s="1755"/>
      <c r="CXL1" s="1755"/>
      <c r="CXM1" s="1755"/>
      <c r="CXN1" s="1755"/>
      <c r="CXO1" s="1755"/>
      <c r="CXP1" s="1755"/>
      <c r="CXQ1" s="1755"/>
      <c r="CXR1" s="1755"/>
      <c r="CXS1" s="1755"/>
      <c r="CXT1" s="1755"/>
      <c r="CXU1" s="1755"/>
      <c r="CXV1" s="1755"/>
      <c r="CXW1" s="1755"/>
      <c r="CXX1" s="1755"/>
      <c r="CXY1" s="1755"/>
      <c r="CXZ1" s="1755"/>
      <c r="CYA1" s="1755"/>
      <c r="CYB1" s="1755"/>
      <c r="CYC1" s="1755"/>
      <c r="CYD1" s="1755"/>
      <c r="CYE1" s="1755"/>
      <c r="CYF1" s="1755"/>
      <c r="CYG1" s="1755"/>
      <c r="CYH1" s="1755"/>
      <c r="CYI1" s="1755"/>
      <c r="CYJ1" s="1755"/>
      <c r="CYK1" s="1755"/>
      <c r="CYL1" s="1755"/>
      <c r="CYM1" s="1755"/>
      <c r="CYN1" s="1755"/>
      <c r="CYO1" s="1755"/>
      <c r="CYP1" s="1755"/>
      <c r="CYQ1" s="1755"/>
      <c r="CYR1" s="1755"/>
      <c r="CYS1" s="1755"/>
      <c r="CYT1" s="1755"/>
      <c r="CYU1" s="1755"/>
      <c r="CYV1" s="1755"/>
      <c r="CYW1" s="1755"/>
      <c r="CYX1" s="1755"/>
      <c r="CYY1" s="1755"/>
      <c r="CYZ1" s="1755"/>
      <c r="CZA1" s="1755"/>
      <c r="CZB1" s="1755"/>
      <c r="CZC1" s="1755"/>
      <c r="CZD1" s="1755"/>
      <c r="CZE1" s="1755"/>
      <c r="CZF1" s="1755"/>
      <c r="CZG1" s="1755"/>
      <c r="CZH1" s="1755"/>
      <c r="CZI1" s="1755"/>
      <c r="CZJ1" s="1755"/>
      <c r="CZK1" s="1755"/>
      <c r="CZL1" s="1755"/>
      <c r="CZM1" s="1755"/>
      <c r="CZN1" s="1755"/>
      <c r="CZO1" s="1755"/>
      <c r="CZP1" s="1755"/>
      <c r="CZQ1" s="1755"/>
      <c r="CZR1" s="1755"/>
      <c r="CZS1" s="1755"/>
      <c r="CZT1" s="1755"/>
      <c r="CZU1" s="1755"/>
      <c r="CZV1" s="1755"/>
      <c r="CZW1" s="1755"/>
      <c r="CZX1" s="1755"/>
      <c r="CZY1" s="1755"/>
      <c r="CZZ1" s="1755"/>
      <c r="DAA1" s="1755"/>
      <c r="DAB1" s="1755"/>
      <c r="DAC1" s="1755"/>
      <c r="DAD1" s="1755"/>
      <c r="DAE1" s="1755"/>
      <c r="DAF1" s="1755"/>
      <c r="DAG1" s="1755"/>
      <c r="DAH1" s="1755"/>
      <c r="DAI1" s="1755"/>
      <c r="DAJ1" s="1755"/>
      <c r="DAK1" s="1755"/>
      <c r="DAL1" s="1755"/>
      <c r="DAM1" s="1755"/>
      <c r="DAN1" s="1755"/>
      <c r="DAO1" s="1755"/>
      <c r="DAP1" s="1755"/>
      <c r="DAQ1" s="1755"/>
      <c r="DAR1" s="1755"/>
      <c r="DAS1" s="1755"/>
      <c r="DAT1" s="1755"/>
      <c r="DAU1" s="1755"/>
      <c r="DAV1" s="1755"/>
      <c r="DAW1" s="1755"/>
      <c r="DAX1" s="1755"/>
      <c r="DAY1" s="1755"/>
      <c r="DAZ1" s="1755"/>
      <c r="DBA1" s="1755"/>
      <c r="DBB1" s="1755"/>
      <c r="DBC1" s="1755"/>
      <c r="DBD1" s="1755"/>
      <c r="DBE1" s="1755"/>
      <c r="DBF1" s="1755"/>
      <c r="DBG1" s="1755"/>
      <c r="DBH1" s="1755"/>
      <c r="DBI1" s="1755"/>
      <c r="DBJ1" s="1755"/>
      <c r="DBK1" s="1755"/>
      <c r="DBL1" s="1755"/>
      <c r="DBM1" s="1755"/>
      <c r="DBN1" s="1755"/>
      <c r="DBO1" s="1755"/>
      <c r="DBP1" s="1755"/>
      <c r="DBQ1" s="1755"/>
      <c r="DBR1" s="1755"/>
      <c r="DBS1" s="1755"/>
      <c r="DBT1" s="1755"/>
      <c r="DBU1" s="1755"/>
      <c r="DBV1" s="1755"/>
      <c r="DBW1" s="1755"/>
      <c r="DBX1" s="1755"/>
      <c r="DBY1" s="1755"/>
      <c r="DBZ1" s="1755"/>
      <c r="DCA1" s="1755"/>
      <c r="DCB1" s="1755"/>
      <c r="DCC1" s="1755"/>
      <c r="DCD1" s="1755"/>
      <c r="DCE1" s="1755"/>
      <c r="DCF1" s="1755"/>
      <c r="DCG1" s="1755"/>
      <c r="DCH1" s="1755"/>
      <c r="DCI1" s="1755"/>
      <c r="DCJ1" s="1755"/>
      <c r="DCK1" s="1755"/>
      <c r="DCL1" s="1755"/>
      <c r="DCM1" s="1755"/>
      <c r="DCN1" s="1755"/>
      <c r="DCO1" s="1755"/>
      <c r="DCP1" s="1755"/>
      <c r="DCQ1" s="1755"/>
      <c r="DCR1" s="1755"/>
      <c r="DCS1" s="1755"/>
      <c r="DCT1" s="1755"/>
      <c r="DCU1" s="1755"/>
      <c r="DCV1" s="1755"/>
      <c r="DCW1" s="1755"/>
      <c r="DCX1" s="1755"/>
      <c r="DCY1" s="1755"/>
      <c r="DCZ1" s="1755"/>
      <c r="DDA1" s="1755"/>
      <c r="DDB1" s="1755"/>
      <c r="DDC1" s="1755"/>
      <c r="DDD1" s="1755"/>
      <c r="DDE1" s="1755"/>
      <c r="DDF1" s="1755"/>
      <c r="DDG1" s="1755"/>
      <c r="DDH1" s="1755"/>
      <c r="DDI1" s="1755"/>
      <c r="DDJ1" s="1755"/>
      <c r="DDK1" s="1755"/>
      <c r="DDL1" s="1755"/>
      <c r="DDM1" s="1755"/>
      <c r="DDN1" s="1755"/>
      <c r="DDO1" s="1755"/>
      <c r="DDP1" s="1755"/>
      <c r="DDQ1" s="1755"/>
      <c r="DDR1" s="1755"/>
      <c r="DDS1" s="1755"/>
      <c r="DDT1" s="1755"/>
      <c r="DDU1" s="1755"/>
      <c r="DDV1" s="1755"/>
      <c r="DDW1" s="1755"/>
      <c r="DDX1" s="1755"/>
      <c r="DDY1" s="1755"/>
      <c r="DDZ1" s="1755"/>
      <c r="DEA1" s="1755"/>
      <c r="DEB1" s="1755"/>
      <c r="DEC1" s="1755"/>
      <c r="DED1" s="1755"/>
      <c r="DEE1" s="1755"/>
      <c r="DEF1" s="1755"/>
      <c r="DEG1" s="1755"/>
      <c r="DEH1" s="1755"/>
      <c r="DEI1" s="1755"/>
      <c r="DEJ1" s="1755"/>
      <c r="DEK1" s="1755"/>
      <c r="DEL1" s="1755"/>
      <c r="DEM1" s="1755"/>
      <c r="DEN1" s="1755"/>
      <c r="DEO1" s="1755"/>
      <c r="DEP1" s="1755"/>
      <c r="DEQ1" s="1755"/>
      <c r="DER1" s="1755"/>
      <c r="DES1" s="1755"/>
      <c r="DET1" s="1755"/>
      <c r="DEU1" s="1755"/>
      <c r="DEV1" s="1755"/>
      <c r="DEW1" s="1755"/>
      <c r="DEX1" s="1755"/>
      <c r="DEY1" s="1755"/>
      <c r="DEZ1" s="1755"/>
      <c r="DFA1" s="1755"/>
      <c r="DFB1" s="1755"/>
      <c r="DFC1" s="1755"/>
      <c r="DFD1" s="1755"/>
      <c r="DFE1" s="1755"/>
      <c r="DFF1" s="1755"/>
      <c r="DFG1" s="1755"/>
      <c r="DFH1" s="1755"/>
      <c r="DFI1" s="1755"/>
      <c r="DFJ1" s="1755"/>
      <c r="DFK1" s="1755"/>
      <c r="DFL1" s="1755"/>
      <c r="DFM1" s="1755"/>
      <c r="DFN1" s="1755"/>
      <c r="DFO1" s="1755"/>
      <c r="DFP1" s="1755"/>
      <c r="DFQ1" s="1755"/>
      <c r="DFR1" s="1755"/>
      <c r="DFS1" s="1755"/>
      <c r="DFT1" s="1755"/>
      <c r="DFU1" s="1755"/>
      <c r="DFV1" s="1755"/>
      <c r="DFW1" s="1755"/>
      <c r="DFX1" s="1755"/>
      <c r="DFY1" s="1755"/>
      <c r="DFZ1" s="1755"/>
      <c r="DGA1" s="1755"/>
      <c r="DGB1" s="1755"/>
      <c r="DGC1" s="1755"/>
      <c r="DGD1" s="1755"/>
      <c r="DGE1" s="1755"/>
      <c r="DGF1" s="1755"/>
      <c r="DGG1" s="1755"/>
      <c r="DGH1" s="1755"/>
      <c r="DGI1" s="1755"/>
      <c r="DGJ1" s="1755"/>
      <c r="DGK1" s="1755"/>
      <c r="DGL1" s="1755"/>
      <c r="DGM1" s="1755"/>
      <c r="DGN1" s="1755"/>
      <c r="DGO1" s="1755"/>
      <c r="DGP1" s="1755"/>
      <c r="DGQ1" s="1755"/>
      <c r="DGR1" s="1755"/>
      <c r="DGS1" s="1755"/>
      <c r="DGT1" s="1755"/>
      <c r="DGU1" s="1755"/>
      <c r="DGV1" s="1755"/>
      <c r="DGW1" s="1755"/>
      <c r="DGX1" s="1755"/>
      <c r="DGY1" s="1755"/>
      <c r="DGZ1" s="1755"/>
      <c r="DHA1" s="1755"/>
      <c r="DHB1" s="1755"/>
      <c r="DHC1" s="1755"/>
      <c r="DHD1" s="1755"/>
      <c r="DHE1" s="1755"/>
      <c r="DHF1" s="1755"/>
      <c r="DHG1" s="1755"/>
      <c r="DHH1" s="1755"/>
      <c r="DHI1" s="1755"/>
      <c r="DHJ1" s="1755"/>
      <c r="DHK1" s="1755"/>
      <c r="DHL1" s="1755"/>
      <c r="DHM1" s="1755"/>
      <c r="DHN1" s="1755"/>
      <c r="DHO1" s="1755"/>
      <c r="DHP1" s="1755"/>
      <c r="DHQ1" s="1755"/>
      <c r="DHR1" s="1755"/>
      <c r="DHS1" s="1755"/>
      <c r="DHT1" s="1755"/>
      <c r="DHU1" s="1755"/>
      <c r="DHV1" s="1755"/>
      <c r="DHW1" s="1755"/>
      <c r="DHX1" s="1755"/>
      <c r="DHY1" s="1755"/>
      <c r="DHZ1" s="1755"/>
      <c r="DIA1" s="1755"/>
      <c r="DIB1" s="1755"/>
      <c r="DIC1" s="1755"/>
      <c r="DID1" s="1755"/>
      <c r="DIE1" s="1755"/>
      <c r="DIF1" s="1755"/>
      <c r="DIG1" s="1755"/>
      <c r="DIH1" s="1755"/>
      <c r="DII1" s="1755"/>
      <c r="DIJ1" s="1755"/>
      <c r="DIK1" s="1755"/>
      <c r="DIL1" s="1755"/>
      <c r="DIM1" s="1755"/>
      <c r="DIN1" s="1755"/>
      <c r="DIO1" s="1755"/>
      <c r="DIP1" s="1755"/>
      <c r="DIQ1" s="1755"/>
      <c r="DIR1" s="1755"/>
      <c r="DIS1" s="1755"/>
      <c r="DIT1" s="1755"/>
      <c r="DIU1" s="1755"/>
      <c r="DIV1" s="1755"/>
      <c r="DIW1" s="1755"/>
      <c r="DIX1" s="1755"/>
      <c r="DIY1" s="1755"/>
      <c r="DIZ1" s="1755"/>
      <c r="DJA1" s="1755"/>
      <c r="DJB1" s="1755"/>
      <c r="DJC1" s="1755"/>
      <c r="DJD1" s="1755"/>
      <c r="DJE1" s="1755"/>
      <c r="DJF1" s="1755"/>
      <c r="DJG1" s="1755"/>
      <c r="DJH1" s="1755"/>
      <c r="DJI1" s="1755"/>
      <c r="DJJ1" s="1755"/>
      <c r="DJK1" s="1755"/>
      <c r="DJL1" s="1755"/>
      <c r="DJM1" s="1755"/>
      <c r="DJN1" s="1755"/>
      <c r="DJO1" s="1755"/>
      <c r="DJP1" s="1755"/>
      <c r="DJQ1" s="1755"/>
      <c r="DJR1" s="1755"/>
      <c r="DJS1" s="1755"/>
      <c r="DJT1" s="1755"/>
      <c r="DJU1" s="1755"/>
      <c r="DJV1" s="1755"/>
      <c r="DJW1" s="1755"/>
      <c r="DJX1" s="1755"/>
      <c r="DJY1" s="1755"/>
      <c r="DJZ1" s="1755"/>
      <c r="DKA1" s="1755"/>
      <c r="DKB1" s="1755"/>
      <c r="DKC1" s="1755"/>
      <c r="DKD1" s="1755"/>
      <c r="DKE1" s="1755"/>
      <c r="DKF1" s="1755"/>
      <c r="DKG1" s="1755"/>
      <c r="DKH1" s="1755"/>
      <c r="DKI1" s="1755"/>
      <c r="DKJ1" s="1755"/>
      <c r="DKK1" s="1755"/>
      <c r="DKL1" s="1755"/>
      <c r="DKM1" s="1755"/>
      <c r="DKN1" s="1755"/>
      <c r="DKO1" s="1755"/>
      <c r="DKP1" s="1755"/>
      <c r="DKQ1" s="1755"/>
      <c r="DKR1" s="1755"/>
      <c r="DKS1" s="1755"/>
      <c r="DKT1" s="1755"/>
      <c r="DKU1" s="1755"/>
      <c r="DKV1" s="1755"/>
      <c r="DKW1" s="1755"/>
      <c r="DKX1" s="1755"/>
      <c r="DKY1" s="1755"/>
      <c r="DKZ1" s="1755"/>
      <c r="DLA1" s="1755"/>
      <c r="DLB1" s="1755"/>
      <c r="DLC1" s="1755"/>
      <c r="DLD1" s="1755"/>
      <c r="DLE1" s="1755"/>
      <c r="DLF1" s="1755"/>
      <c r="DLG1" s="1755"/>
      <c r="DLH1" s="1755"/>
      <c r="DLI1" s="1755"/>
      <c r="DLJ1" s="1755"/>
      <c r="DLK1" s="1755"/>
      <c r="DLL1" s="1755"/>
      <c r="DLM1" s="1755"/>
      <c r="DLN1" s="1755"/>
      <c r="DLO1" s="1755"/>
      <c r="DLP1" s="1755"/>
      <c r="DLQ1" s="1755"/>
      <c r="DLR1" s="1755"/>
      <c r="DLS1" s="1755"/>
      <c r="DLT1" s="1755"/>
      <c r="DLU1" s="1755"/>
      <c r="DLV1" s="1755"/>
      <c r="DLW1" s="1755"/>
      <c r="DLX1" s="1755"/>
      <c r="DLY1" s="1755"/>
      <c r="DLZ1" s="1755"/>
      <c r="DMA1" s="1755"/>
      <c r="DMB1" s="1755"/>
      <c r="DMC1" s="1755"/>
      <c r="DMD1" s="1755"/>
      <c r="DME1" s="1755"/>
      <c r="DMF1" s="1755"/>
      <c r="DMG1" s="1755"/>
      <c r="DMH1" s="1755"/>
      <c r="DMI1" s="1755"/>
      <c r="DMJ1" s="1755"/>
      <c r="DMK1" s="1755"/>
      <c r="DML1" s="1755"/>
      <c r="DMM1" s="1755"/>
      <c r="DMN1" s="1755"/>
      <c r="DMO1" s="1755"/>
      <c r="DMP1" s="1755"/>
      <c r="DMQ1" s="1755"/>
      <c r="DMR1" s="1755"/>
      <c r="DMS1" s="1755"/>
      <c r="DMT1" s="1755"/>
      <c r="DMU1" s="1755"/>
      <c r="DMV1" s="1755"/>
      <c r="DMW1" s="1755"/>
      <c r="DMX1" s="1755"/>
      <c r="DMY1" s="1755"/>
      <c r="DMZ1" s="1755"/>
      <c r="DNA1" s="1755"/>
      <c r="DNB1" s="1755"/>
      <c r="DNC1" s="1755"/>
      <c r="DND1" s="1755"/>
      <c r="DNE1" s="1755"/>
      <c r="DNF1" s="1755"/>
      <c r="DNG1" s="1755"/>
      <c r="DNH1" s="1755"/>
      <c r="DNI1" s="1755"/>
      <c r="DNJ1" s="1755"/>
      <c r="DNK1" s="1755"/>
      <c r="DNL1" s="1755"/>
      <c r="DNM1" s="1755"/>
      <c r="DNN1" s="1755"/>
      <c r="DNO1" s="1755"/>
      <c r="DNP1" s="1755"/>
      <c r="DNQ1" s="1755"/>
      <c r="DNR1" s="1755"/>
      <c r="DNS1" s="1755"/>
      <c r="DNT1" s="1755"/>
      <c r="DNU1" s="1755"/>
      <c r="DNV1" s="1755"/>
      <c r="DNW1" s="1755"/>
      <c r="DNX1" s="1755"/>
      <c r="DNY1" s="1755"/>
      <c r="DNZ1" s="1755"/>
      <c r="DOA1" s="1755"/>
      <c r="DOB1" s="1755"/>
      <c r="DOC1" s="1755"/>
      <c r="DOD1" s="1755"/>
      <c r="DOE1" s="1755"/>
      <c r="DOF1" s="1755"/>
      <c r="DOG1" s="1755"/>
      <c r="DOH1" s="1755"/>
      <c r="DOI1" s="1755"/>
      <c r="DOJ1" s="1755"/>
      <c r="DOK1" s="1755"/>
      <c r="DOL1" s="1755"/>
      <c r="DOM1" s="1755"/>
      <c r="DON1" s="1755"/>
      <c r="DOO1" s="1755"/>
      <c r="DOP1" s="1755"/>
      <c r="DOQ1" s="1755"/>
      <c r="DOR1" s="1755"/>
      <c r="DOS1" s="1755"/>
      <c r="DOT1" s="1755"/>
      <c r="DOU1" s="1755"/>
      <c r="DOV1" s="1755"/>
      <c r="DOW1" s="1755"/>
      <c r="DOX1" s="1755"/>
      <c r="DOY1" s="1755"/>
      <c r="DOZ1" s="1755"/>
      <c r="DPA1" s="1755"/>
      <c r="DPB1" s="1755"/>
      <c r="DPC1" s="1755"/>
      <c r="DPD1" s="1755"/>
      <c r="DPE1" s="1755"/>
      <c r="DPF1" s="1755"/>
      <c r="DPG1" s="1755"/>
      <c r="DPH1" s="1755"/>
      <c r="DPI1" s="1755"/>
      <c r="DPJ1" s="1755"/>
      <c r="DPK1" s="1755"/>
      <c r="DPL1" s="1755"/>
      <c r="DPM1" s="1755"/>
      <c r="DPN1" s="1755"/>
      <c r="DPO1" s="1755"/>
      <c r="DPP1" s="1755"/>
      <c r="DPQ1" s="1755"/>
      <c r="DPR1" s="1755"/>
      <c r="DPS1" s="1755"/>
      <c r="DPT1" s="1755"/>
      <c r="DPU1" s="1755"/>
      <c r="DPV1" s="1755"/>
      <c r="DPW1" s="1755"/>
      <c r="DPX1" s="1755"/>
      <c r="DPY1" s="1755"/>
      <c r="DPZ1" s="1755"/>
      <c r="DQA1" s="1755"/>
      <c r="DQB1" s="1755"/>
      <c r="DQC1" s="1755"/>
      <c r="DQD1" s="1755"/>
      <c r="DQE1" s="1755"/>
      <c r="DQF1" s="1755"/>
      <c r="DQG1" s="1755"/>
      <c r="DQH1" s="1755"/>
      <c r="DQI1" s="1755"/>
      <c r="DQJ1" s="1755"/>
      <c r="DQK1" s="1755"/>
      <c r="DQL1" s="1755"/>
      <c r="DQM1" s="1755"/>
      <c r="DQN1" s="1755"/>
      <c r="DQO1" s="1755"/>
      <c r="DQP1" s="1755"/>
      <c r="DQQ1" s="1755"/>
      <c r="DQR1" s="1755"/>
      <c r="DQS1" s="1755"/>
      <c r="DQT1" s="1755"/>
      <c r="DQU1" s="1755"/>
      <c r="DQV1" s="1755"/>
      <c r="DQW1" s="1755"/>
      <c r="DQX1" s="1755"/>
      <c r="DQY1" s="1755"/>
      <c r="DQZ1" s="1755"/>
      <c r="DRA1" s="1755"/>
      <c r="DRB1" s="1755"/>
      <c r="DRC1" s="1755"/>
      <c r="DRD1" s="1755"/>
      <c r="DRE1" s="1755"/>
      <c r="DRF1" s="1755"/>
      <c r="DRG1" s="1755"/>
      <c r="DRH1" s="1755"/>
      <c r="DRI1" s="1755"/>
      <c r="DRJ1" s="1755"/>
      <c r="DRK1" s="1755"/>
      <c r="DRL1" s="1755"/>
      <c r="DRM1" s="1755"/>
      <c r="DRN1" s="1755"/>
      <c r="DRO1" s="1755"/>
      <c r="DRP1" s="1755"/>
      <c r="DRQ1" s="1755"/>
      <c r="DRR1" s="1755"/>
      <c r="DRS1" s="1755"/>
      <c r="DRT1" s="1755"/>
      <c r="DRU1" s="1755"/>
      <c r="DRV1" s="1755"/>
      <c r="DRW1" s="1755"/>
      <c r="DRX1" s="1755"/>
      <c r="DRY1" s="1755"/>
      <c r="DRZ1" s="1755"/>
      <c r="DSA1" s="1755"/>
      <c r="DSB1" s="1755"/>
      <c r="DSC1" s="1755"/>
      <c r="DSD1" s="1755"/>
      <c r="DSE1" s="1755"/>
      <c r="DSF1" s="1755"/>
      <c r="DSG1" s="1755"/>
      <c r="DSH1" s="1755"/>
      <c r="DSI1" s="1755"/>
      <c r="DSJ1" s="1755"/>
      <c r="DSK1" s="1755"/>
      <c r="DSL1" s="1755"/>
      <c r="DSM1" s="1755"/>
      <c r="DSN1" s="1755"/>
      <c r="DSO1" s="1755"/>
      <c r="DSP1" s="1755"/>
      <c r="DSQ1" s="1755"/>
      <c r="DSR1" s="1755"/>
      <c r="DSS1" s="1755"/>
      <c r="DST1" s="1755"/>
      <c r="DSU1" s="1755"/>
      <c r="DSV1" s="1755"/>
      <c r="DSW1" s="1755"/>
      <c r="DSX1" s="1755"/>
      <c r="DSY1" s="1755"/>
      <c r="DSZ1" s="1755"/>
      <c r="DTA1" s="1755"/>
      <c r="DTB1" s="1755"/>
      <c r="DTC1" s="1755"/>
      <c r="DTD1" s="1755"/>
      <c r="DTE1" s="1755"/>
      <c r="DTF1" s="1755"/>
      <c r="DTG1" s="1755"/>
      <c r="DTH1" s="1755"/>
      <c r="DTI1" s="1755"/>
      <c r="DTJ1" s="1755"/>
      <c r="DTK1" s="1755"/>
      <c r="DTL1" s="1755"/>
      <c r="DTM1" s="1755"/>
      <c r="DTN1" s="1755"/>
      <c r="DTO1" s="1755"/>
      <c r="DTP1" s="1755"/>
      <c r="DTQ1" s="1755"/>
      <c r="DTR1" s="1755"/>
      <c r="DTS1" s="1755"/>
      <c r="DTT1" s="1755"/>
      <c r="DTU1" s="1755"/>
      <c r="DTV1" s="1755"/>
      <c r="DTW1" s="1755"/>
      <c r="DTX1" s="1755"/>
      <c r="DTY1" s="1755"/>
      <c r="DTZ1" s="1755"/>
      <c r="DUA1" s="1755"/>
      <c r="DUB1" s="1755"/>
      <c r="DUC1" s="1755"/>
      <c r="DUD1" s="1755"/>
      <c r="DUE1" s="1755"/>
      <c r="DUF1" s="1755"/>
      <c r="DUG1" s="1755"/>
      <c r="DUH1" s="1755"/>
      <c r="DUI1" s="1755"/>
      <c r="DUJ1" s="1755"/>
      <c r="DUK1" s="1755"/>
      <c r="DUL1" s="1755"/>
      <c r="DUM1" s="1755"/>
      <c r="DUN1" s="1755"/>
      <c r="DUO1" s="1755"/>
      <c r="DUP1" s="1755"/>
      <c r="DUQ1" s="1755"/>
      <c r="DUR1" s="1755"/>
      <c r="DUS1" s="1755"/>
      <c r="DUT1" s="1755"/>
      <c r="DUU1" s="1755"/>
      <c r="DUV1" s="1755"/>
      <c r="DUW1" s="1755"/>
      <c r="DUX1" s="1755"/>
      <c r="DUY1" s="1755"/>
      <c r="DUZ1" s="1755"/>
      <c r="DVA1" s="1755"/>
      <c r="DVB1" s="1755"/>
      <c r="DVC1" s="1755"/>
      <c r="DVD1" s="1755"/>
      <c r="DVE1" s="1755"/>
      <c r="DVF1" s="1755"/>
      <c r="DVG1" s="1755"/>
      <c r="DVH1" s="1755"/>
      <c r="DVI1" s="1755"/>
      <c r="DVJ1" s="1755"/>
      <c r="DVK1" s="1755"/>
      <c r="DVL1" s="1755"/>
      <c r="DVM1" s="1755"/>
      <c r="DVN1" s="1755"/>
      <c r="DVO1" s="1755"/>
      <c r="DVP1" s="1755"/>
      <c r="DVQ1" s="1755"/>
      <c r="DVR1" s="1755"/>
      <c r="DVS1" s="1755"/>
      <c r="DVT1" s="1755"/>
      <c r="DVU1" s="1755"/>
      <c r="DVV1" s="1755"/>
      <c r="DVW1" s="1755"/>
      <c r="DVX1" s="1755"/>
      <c r="DVY1" s="1755"/>
      <c r="DVZ1" s="1755"/>
      <c r="DWA1" s="1755"/>
      <c r="DWB1" s="1755"/>
      <c r="DWC1" s="1755"/>
      <c r="DWD1" s="1755"/>
      <c r="DWE1" s="1755"/>
      <c r="DWF1" s="1755"/>
      <c r="DWG1" s="1755"/>
      <c r="DWH1" s="1755"/>
      <c r="DWI1" s="1755"/>
      <c r="DWJ1" s="1755"/>
      <c r="DWK1" s="1755"/>
      <c r="DWL1" s="1755"/>
      <c r="DWM1" s="1755"/>
      <c r="DWN1" s="1755"/>
      <c r="DWO1" s="1755"/>
      <c r="DWP1" s="1755"/>
      <c r="DWQ1" s="1755"/>
      <c r="DWR1" s="1755"/>
      <c r="DWS1" s="1755"/>
      <c r="DWT1" s="1755"/>
      <c r="DWU1" s="1755"/>
      <c r="DWV1" s="1755"/>
      <c r="DWW1" s="1755"/>
      <c r="DWX1" s="1755"/>
      <c r="DWY1" s="1755"/>
      <c r="DWZ1" s="1755"/>
      <c r="DXA1" s="1755"/>
      <c r="DXB1" s="1755"/>
      <c r="DXC1" s="1755"/>
      <c r="DXD1" s="1755"/>
      <c r="DXE1" s="1755"/>
      <c r="DXF1" s="1755"/>
      <c r="DXG1" s="1755"/>
      <c r="DXH1" s="1755"/>
      <c r="DXI1" s="1755"/>
      <c r="DXJ1" s="1755"/>
      <c r="DXK1" s="1755"/>
      <c r="DXL1" s="1755"/>
      <c r="DXM1" s="1755"/>
      <c r="DXN1" s="1755"/>
      <c r="DXO1" s="1755"/>
      <c r="DXP1" s="1755"/>
      <c r="DXQ1" s="1755"/>
      <c r="DXR1" s="1755"/>
      <c r="DXS1" s="1755"/>
      <c r="DXT1" s="1755"/>
      <c r="DXU1" s="1755"/>
      <c r="DXV1" s="1755"/>
      <c r="DXW1" s="1755"/>
      <c r="DXX1" s="1755"/>
      <c r="DXY1" s="1755"/>
      <c r="DXZ1" s="1755"/>
      <c r="DYA1" s="1755"/>
      <c r="DYB1" s="1755"/>
      <c r="DYC1" s="1755"/>
      <c r="DYD1" s="1755"/>
      <c r="DYE1" s="1755"/>
      <c r="DYF1" s="1755"/>
      <c r="DYG1" s="1755"/>
      <c r="DYH1" s="1755"/>
      <c r="DYI1" s="1755"/>
      <c r="DYJ1" s="1755"/>
      <c r="DYK1" s="1755"/>
      <c r="DYL1" s="1755"/>
      <c r="DYM1" s="1755"/>
      <c r="DYN1" s="1755"/>
      <c r="DYO1" s="1755"/>
      <c r="DYP1" s="1755"/>
      <c r="DYQ1" s="1755"/>
      <c r="DYR1" s="1755"/>
      <c r="DYS1" s="1755"/>
      <c r="DYT1" s="1755"/>
      <c r="DYU1" s="1755"/>
      <c r="DYV1" s="1755"/>
      <c r="DYW1" s="1755"/>
      <c r="DYX1" s="1755"/>
      <c r="DYY1" s="1755"/>
      <c r="DYZ1" s="1755"/>
      <c r="DZA1" s="1755"/>
      <c r="DZB1" s="1755"/>
      <c r="DZC1" s="1755"/>
      <c r="DZD1" s="1755"/>
      <c r="DZE1" s="1755"/>
      <c r="DZF1" s="1755"/>
      <c r="DZG1" s="1755"/>
      <c r="DZH1" s="1755"/>
      <c r="DZI1" s="1755"/>
      <c r="DZJ1" s="1755"/>
      <c r="DZK1" s="1755"/>
      <c r="DZL1" s="1755"/>
      <c r="DZM1" s="1755"/>
      <c r="DZN1" s="1755"/>
      <c r="DZO1" s="1755"/>
      <c r="DZP1" s="1755"/>
      <c r="DZQ1" s="1755"/>
      <c r="DZR1" s="1755"/>
      <c r="DZS1" s="1755"/>
      <c r="DZT1" s="1755"/>
      <c r="DZU1" s="1755"/>
      <c r="DZV1" s="1755"/>
      <c r="DZW1" s="1755"/>
      <c r="DZX1" s="1755"/>
      <c r="DZY1" s="1755"/>
      <c r="DZZ1" s="1755"/>
      <c r="EAA1" s="1755"/>
      <c r="EAB1" s="1755"/>
      <c r="EAC1" s="1755"/>
      <c r="EAD1" s="1755"/>
      <c r="EAE1" s="1755"/>
      <c r="EAF1" s="1755"/>
      <c r="EAG1" s="1755"/>
      <c r="EAH1" s="1755"/>
      <c r="EAI1" s="1755"/>
      <c r="EAJ1" s="1755"/>
      <c r="EAK1" s="1755"/>
      <c r="EAL1" s="1755"/>
      <c r="EAM1" s="1755"/>
      <c r="EAN1" s="1755"/>
      <c r="EAO1" s="1755"/>
      <c r="EAP1" s="1755"/>
      <c r="EAQ1" s="1755"/>
      <c r="EAR1" s="1755"/>
      <c r="EAS1" s="1755"/>
      <c r="EAT1" s="1755"/>
      <c r="EAU1" s="1755"/>
      <c r="EAV1" s="1755"/>
      <c r="EAW1" s="1755"/>
      <c r="EAX1" s="1755"/>
      <c r="EAY1" s="1755"/>
      <c r="EAZ1" s="1755"/>
      <c r="EBA1" s="1755"/>
      <c r="EBB1" s="1755"/>
      <c r="EBC1" s="1755"/>
      <c r="EBD1" s="1755"/>
      <c r="EBE1" s="1755"/>
      <c r="EBF1" s="1755"/>
      <c r="EBG1" s="1755"/>
      <c r="EBH1" s="1755"/>
      <c r="EBI1" s="1755"/>
      <c r="EBJ1" s="1755"/>
      <c r="EBK1" s="1755"/>
      <c r="EBL1" s="1755"/>
      <c r="EBM1" s="1755"/>
      <c r="EBN1" s="1755"/>
      <c r="EBO1" s="1755"/>
      <c r="EBP1" s="1755"/>
      <c r="EBQ1" s="1755"/>
      <c r="EBR1" s="1755"/>
      <c r="EBS1" s="1755"/>
      <c r="EBT1" s="1755"/>
      <c r="EBU1" s="1755"/>
      <c r="EBV1" s="1755"/>
      <c r="EBW1" s="1755"/>
      <c r="EBX1" s="1755"/>
      <c r="EBY1" s="1755"/>
      <c r="EBZ1" s="1755"/>
      <c r="ECA1" s="1755"/>
      <c r="ECB1" s="1755"/>
      <c r="ECC1" s="1755"/>
      <c r="ECD1" s="1755"/>
      <c r="ECE1" s="1755"/>
      <c r="ECF1" s="1755"/>
      <c r="ECG1" s="1755"/>
      <c r="ECH1" s="1755"/>
      <c r="ECI1" s="1755"/>
      <c r="ECJ1" s="1755"/>
      <c r="ECK1" s="1755"/>
      <c r="ECL1" s="1755"/>
      <c r="ECM1" s="1755"/>
      <c r="ECN1" s="1755"/>
      <c r="ECO1" s="1755"/>
      <c r="ECP1" s="1755"/>
      <c r="ECQ1" s="1755"/>
      <c r="ECR1" s="1755"/>
      <c r="ECS1" s="1755"/>
      <c r="ECT1" s="1755"/>
      <c r="ECU1" s="1755"/>
      <c r="ECV1" s="1755"/>
      <c r="ECW1" s="1755"/>
      <c r="ECX1" s="1755"/>
      <c r="ECY1" s="1755"/>
      <c r="ECZ1" s="1755"/>
      <c r="EDA1" s="1755"/>
      <c r="EDB1" s="1755"/>
      <c r="EDC1" s="1755"/>
      <c r="EDD1" s="1755"/>
      <c r="EDE1" s="1755"/>
      <c r="EDF1" s="1755"/>
      <c r="EDG1" s="1755"/>
      <c r="EDH1" s="1755"/>
      <c r="EDI1" s="1755"/>
      <c r="EDJ1" s="1755"/>
      <c r="EDK1" s="1755"/>
      <c r="EDL1" s="1755"/>
      <c r="EDM1" s="1755"/>
      <c r="EDN1" s="1755"/>
      <c r="EDO1" s="1755"/>
      <c r="EDP1" s="1755"/>
      <c r="EDQ1" s="1755"/>
      <c r="EDR1" s="1755"/>
      <c r="EDS1" s="1755"/>
      <c r="EDT1" s="1755"/>
      <c r="EDU1" s="1755"/>
      <c r="EDV1" s="1755"/>
      <c r="EDW1" s="1755"/>
      <c r="EDX1" s="1755"/>
      <c r="EDY1" s="1755"/>
      <c r="EDZ1" s="1755"/>
      <c r="EEA1" s="1755"/>
      <c r="EEB1" s="1755"/>
      <c r="EEC1" s="1755"/>
      <c r="EED1" s="1755"/>
      <c r="EEE1" s="1755"/>
      <c r="EEF1" s="1755"/>
      <c r="EEG1" s="1755"/>
      <c r="EEH1" s="1755"/>
      <c r="EEI1" s="1755"/>
      <c r="EEJ1" s="1755"/>
      <c r="EEK1" s="1755"/>
      <c r="EEL1" s="1755"/>
      <c r="EEM1" s="1755"/>
      <c r="EEN1" s="1755"/>
      <c r="EEO1" s="1755"/>
      <c r="EEP1" s="1755"/>
      <c r="EEQ1" s="1755"/>
      <c r="EER1" s="1755"/>
      <c r="EES1" s="1755"/>
      <c r="EET1" s="1755"/>
      <c r="EEU1" s="1755"/>
      <c r="EEV1" s="1755"/>
      <c r="EEW1" s="1755"/>
      <c r="EEX1" s="1755"/>
      <c r="EEY1" s="1755"/>
      <c r="EEZ1" s="1755"/>
      <c r="EFA1" s="1755"/>
      <c r="EFB1" s="1755"/>
      <c r="EFC1" s="1755"/>
      <c r="EFD1" s="1755"/>
      <c r="EFE1" s="1755"/>
      <c r="EFF1" s="1755"/>
      <c r="EFG1" s="1755"/>
      <c r="EFH1" s="1755"/>
      <c r="EFI1" s="1755"/>
      <c r="EFJ1" s="1755"/>
      <c r="EFK1" s="1755"/>
      <c r="EFL1" s="1755"/>
      <c r="EFM1" s="1755"/>
      <c r="EFN1" s="1755"/>
      <c r="EFO1" s="1755"/>
      <c r="EFP1" s="1755"/>
      <c r="EFQ1" s="1755"/>
      <c r="EFR1" s="1755"/>
      <c r="EFS1" s="1755"/>
      <c r="EFT1" s="1755"/>
      <c r="EFU1" s="1755"/>
      <c r="EFV1" s="1755"/>
      <c r="EFW1" s="1755"/>
      <c r="EFX1" s="1755"/>
      <c r="EFY1" s="1755"/>
      <c r="EFZ1" s="1755"/>
      <c r="EGA1" s="1755"/>
      <c r="EGB1" s="1755"/>
      <c r="EGC1" s="1755"/>
      <c r="EGD1" s="1755"/>
      <c r="EGE1" s="1755"/>
      <c r="EGF1" s="1755"/>
      <c r="EGG1" s="1755"/>
      <c r="EGH1" s="1755"/>
      <c r="EGI1" s="1755"/>
      <c r="EGJ1" s="1755"/>
      <c r="EGK1" s="1755"/>
      <c r="EGL1" s="1755"/>
      <c r="EGM1" s="1755"/>
      <c r="EGN1" s="1755"/>
      <c r="EGO1" s="1755"/>
      <c r="EGP1" s="1755"/>
      <c r="EGQ1" s="1755"/>
      <c r="EGR1" s="1755"/>
      <c r="EGS1" s="1755"/>
      <c r="EGT1" s="1755"/>
      <c r="EGU1" s="1755"/>
      <c r="EGV1" s="1755"/>
      <c r="EGW1" s="1755"/>
      <c r="EGX1" s="1755"/>
      <c r="EGY1" s="1755"/>
      <c r="EGZ1" s="1755"/>
      <c r="EHA1" s="1755"/>
      <c r="EHB1" s="1755"/>
      <c r="EHC1" s="1755"/>
      <c r="EHD1" s="1755"/>
      <c r="EHE1" s="1755"/>
      <c r="EHF1" s="1755"/>
      <c r="EHG1" s="1755"/>
      <c r="EHH1" s="1755"/>
      <c r="EHI1" s="1755"/>
      <c r="EHJ1" s="1755"/>
      <c r="EHK1" s="1755"/>
      <c r="EHL1" s="1755"/>
      <c r="EHM1" s="1755"/>
      <c r="EHN1" s="1755"/>
      <c r="EHO1" s="1755"/>
      <c r="EHP1" s="1755"/>
      <c r="EHQ1" s="1755"/>
      <c r="EHR1" s="1755"/>
      <c r="EHS1" s="1755"/>
      <c r="EHT1" s="1755"/>
      <c r="EHU1" s="1755"/>
      <c r="EHV1" s="1755"/>
      <c r="EHW1" s="1755"/>
      <c r="EHX1" s="1755"/>
      <c r="EHY1" s="1755"/>
      <c r="EHZ1" s="1755"/>
      <c r="EIA1" s="1755"/>
      <c r="EIB1" s="1755"/>
      <c r="EIC1" s="1755"/>
      <c r="EID1" s="1755"/>
      <c r="EIE1" s="1755"/>
      <c r="EIF1" s="1755"/>
      <c r="EIG1" s="1755"/>
      <c r="EIH1" s="1755"/>
      <c r="EII1" s="1755"/>
      <c r="EIJ1" s="1755"/>
      <c r="EIK1" s="1755"/>
      <c r="EIL1" s="1755"/>
      <c r="EIM1" s="1755"/>
      <c r="EIN1" s="1755"/>
      <c r="EIO1" s="1755"/>
      <c r="EIP1" s="1755"/>
      <c r="EIQ1" s="1755"/>
      <c r="EIR1" s="1755"/>
      <c r="EIS1" s="1755"/>
      <c r="EIT1" s="1755"/>
      <c r="EIU1" s="1755"/>
      <c r="EIV1" s="1755"/>
      <c r="EIW1" s="1755"/>
      <c r="EIX1" s="1755"/>
      <c r="EIY1" s="1755"/>
      <c r="EIZ1" s="1755"/>
      <c r="EJA1" s="1755"/>
      <c r="EJB1" s="1755"/>
      <c r="EJC1" s="1755"/>
      <c r="EJD1" s="1755"/>
      <c r="EJE1" s="1755"/>
      <c r="EJF1" s="1755"/>
      <c r="EJG1" s="1755"/>
      <c r="EJH1" s="1755"/>
      <c r="EJI1" s="1755"/>
      <c r="EJJ1" s="1755"/>
      <c r="EJK1" s="1755"/>
      <c r="EJL1" s="1755"/>
      <c r="EJM1" s="1755"/>
      <c r="EJN1" s="1755"/>
      <c r="EJO1" s="1755"/>
      <c r="EJP1" s="1755"/>
      <c r="EJQ1" s="1755"/>
      <c r="EJR1" s="1755"/>
      <c r="EJS1" s="1755"/>
      <c r="EJT1" s="1755"/>
      <c r="EJU1" s="1755"/>
      <c r="EJV1" s="1755"/>
      <c r="EJW1" s="1755"/>
      <c r="EJX1" s="1755"/>
      <c r="EJY1" s="1755"/>
      <c r="EJZ1" s="1755"/>
      <c r="EKA1" s="1755"/>
      <c r="EKB1" s="1755"/>
      <c r="EKC1" s="1755"/>
      <c r="EKD1" s="1755"/>
      <c r="EKE1" s="1755"/>
      <c r="EKF1" s="1755"/>
      <c r="EKG1" s="1755"/>
      <c r="EKH1" s="1755"/>
      <c r="EKI1" s="1755"/>
      <c r="EKJ1" s="1755"/>
      <c r="EKK1" s="1755"/>
      <c r="EKL1" s="1755"/>
      <c r="EKM1" s="1755"/>
      <c r="EKN1" s="1755"/>
      <c r="EKO1" s="1755"/>
      <c r="EKP1" s="1755"/>
      <c r="EKQ1" s="1755"/>
      <c r="EKR1" s="1755"/>
      <c r="EKS1" s="1755"/>
      <c r="EKT1" s="1755"/>
      <c r="EKU1" s="1755"/>
      <c r="EKV1" s="1755"/>
      <c r="EKW1" s="1755"/>
      <c r="EKX1" s="1755"/>
      <c r="EKY1" s="1755"/>
      <c r="EKZ1" s="1755"/>
      <c r="ELA1" s="1755"/>
      <c r="ELB1" s="1755"/>
      <c r="ELC1" s="1755"/>
      <c r="ELD1" s="1755"/>
      <c r="ELE1" s="1755"/>
      <c r="ELF1" s="1755"/>
      <c r="ELG1" s="1755"/>
      <c r="ELH1" s="1755"/>
      <c r="ELI1" s="1755"/>
      <c r="ELJ1" s="1755"/>
      <c r="ELK1" s="1755"/>
      <c r="ELL1" s="1755"/>
      <c r="ELM1" s="1755"/>
      <c r="ELN1" s="1755"/>
      <c r="ELO1" s="1755"/>
      <c r="ELP1" s="1755"/>
      <c r="ELQ1" s="1755"/>
      <c r="ELR1" s="1755"/>
      <c r="ELS1" s="1755"/>
      <c r="ELT1" s="1755"/>
      <c r="ELU1" s="1755"/>
      <c r="ELV1" s="1755"/>
      <c r="ELW1" s="1755"/>
      <c r="ELX1" s="1755"/>
      <c r="ELY1" s="1755"/>
      <c r="ELZ1" s="1755"/>
      <c r="EMA1" s="1755"/>
      <c r="EMB1" s="1755"/>
      <c r="EMC1" s="1755"/>
      <c r="EMD1" s="1755"/>
      <c r="EME1" s="1755"/>
      <c r="EMF1" s="1755"/>
      <c r="EMG1" s="1755"/>
      <c r="EMH1" s="1755"/>
      <c r="EMI1" s="1755"/>
      <c r="EMJ1" s="1755"/>
      <c r="EMK1" s="1755"/>
      <c r="EML1" s="1755"/>
      <c r="EMM1" s="1755"/>
      <c r="EMN1" s="1755"/>
      <c r="EMO1" s="1755"/>
      <c r="EMP1" s="1755"/>
      <c r="EMQ1" s="1755"/>
      <c r="EMR1" s="1755"/>
      <c r="EMS1" s="1755"/>
      <c r="EMT1" s="1755"/>
      <c r="EMU1" s="1755"/>
      <c r="EMV1" s="1755"/>
      <c r="EMW1" s="1755"/>
      <c r="EMX1" s="1755"/>
      <c r="EMY1" s="1755"/>
      <c r="EMZ1" s="1755"/>
      <c r="ENA1" s="1755"/>
      <c r="ENB1" s="1755"/>
      <c r="ENC1" s="1755"/>
      <c r="END1" s="1755"/>
      <c r="ENE1" s="1755"/>
      <c r="ENF1" s="1755"/>
      <c r="ENG1" s="1755"/>
      <c r="ENH1" s="1755"/>
      <c r="ENI1" s="1755"/>
      <c r="ENJ1" s="1755"/>
      <c r="ENK1" s="1755"/>
      <c r="ENL1" s="1755"/>
      <c r="ENM1" s="1755"/>
      <c r="ENN1" s="1755"/>
      <c r="ENO1" s="1755"/>
      <c r="ENP1" s="1755"/>
      <c r="ENQ1" s="1755"/>
      <c r="ENR1" s="1755"/>
      <c r="ENS1" s="1755"/>
      <c r="ENT1" s="1755"/>
      <c r="ENU1" s="1755"/>
      <c r="ENV1" s="1755"/>
      <c r="ENW1" s="1755"/>
      <c r="ENX1" s="1755"/>
      <c r="ENY1" s="1755"/>
      <c r="ENZ1" s="1755"/>
      <c r="EOA1" s="1755"/>
      <c r="EOB1" s="1755"/>
      <c r="EOC1" s="1755"/>
      <c r="EOD1" s="1755"/>
      <c r="EOE1" s="1755"/>
      <c r="EOF1" s="1755"/>
      <c r="EOG1" s="1755"/>
      <c r="EOH1" s="1755"/>
      <c r="EOI1" s="1755"/>
      <c r="EOJ1" s="1755"/>
      <c r="EOK1" s="1755"/>
      <c r="EOL1" s="1755"/>
      <c r="EOM1" s="1755"/>
      <c r="EON1" s="1755"/>
      <c r="EOO1" s="1755"/>
      <c r="EOP1" s="1755"/>
      <c r="EOQ1" s="1755"/>
      <c r="EOR1" s="1755"/>
      <c r="EOS1" s="1755"/>
      <c r="EOT1" s="1755"/>
      <c r="EOU1" s="1755"/>
      <c r="EOV1" s="1755"/>
      <c r="EOW1" s="1755"/>
      <c r="EOX1" s="1755"/>
      <c r="EOY1" s="1755"/>
      <c r="EOZ1" s="1755"/>
      <c r="EPA1" s="1755"/>
      <c r="EPB1" s="1755"/>
      <c r="EPC1" s="1755"/>
      <c r="EPD1" s="1755"/>
      <c r="EPE1" s="1755"/>
      <c r="EPF1" s="1755"/>
      <c r="EPG1" s="1755"/>
      <c r="EPH1" s="1755"/>
      <c r="EPI1" s="1755"/>
      <c r="EPJ1" s="1755"/>
      <c r="EPK1" s="1755"/>
      <c r="EPL1" s="1755"/>
      <c r="EPM1" s="1755"/>
      <c r="EPN1" s="1755"/>
      <c r="EPO1" s="1755"/>
      <c r="EPP1" s="1755"/>
      <c r="EPQ1" s="1755"/>
      <c r="EPR1" s="1755"/>
      <c r="EPS1" s="1755"/>
      <c r="EPT1" s="1755"/>
      <c r="EPU1" s="1755"/>
      <c r="EPV1" s="1755"/>
      <c r="EPW1" s="1755"/>
      <c r="EPX1" s="1755"/>
      <c r="EPY1" s="1755"/>
      <c r="EPZ1" s="1755"/>
      <c r="EQA1" s="1755"/>
      <c r="EQB1" s="1755"/>
      <c r="EQC1" s="1755"/>
      <c r="EQD1" s="1755"/>
      <c r="EQE1" s="1755"/>
      <c r="EQF1" s="1755"/>
      <c r="EQG1" s="1755"/>
      <c r="EQH1" s="1755"/>
      <c r="EQI1" s="1755"/>
      <c r="EQJ1" s="1755"/>
      <c r="EQK1" s="1755"/>
      <c r="EQL1" s="1755"/>
      <c r="EQM1" s="1755"/>
      <c r="EQN1" s="1755"/>
      <c r="EQO1" s="1755"/>
      <c r="EQP1" s="1755"/>
      <c r="EQQ1" s="1755"/>
      <c r="EQR1" s="1755"/>
      <c r="EQS1" s="1755"/>
      <c r="EQT1" s="1755"/>
      <c r="EQU1" s="1755"/>
      <c r="EQV1" s="1755"/>
      <c r="EQW1" s="1755"/>
      <c r="EQX1" s="1755"/>
      <c r="EQY1" s="1755"/>
      <c r="EQZ1" s="1755"/>
      <c r="ERA1" s="1755"/>
      <c r="ERB1" s="1755"/>
      <c r="ERC1" s="1755"/>
      <c r="ERD1" s="1755"/>
      <c r="ERE1" s="1755"/>
      <c r="ERF1" s="1755"/>
      <c r="ERG1" s="1755"/>
      <c r="ERH1" s="1755"/>
      <c r="ERI1" s="1755"/>
      <c r="ERJ1" s="1755"/>
      <c r="ERK1" s="1755"/>
      <c r="ERL1" s="1755"/>
      <c r="ERM1" s="1755"/>
      <c r="ERN1" s="1755"/>
      <c r="ERO1" s="1755"/>
      <c r="ERP1" s="1755"/>
      <c r="ERQ1" s="1755"/>
      <c r="ERR1" s="1755"/>
      <c r="ERS1" s="1755"/>
      <c r="ERT1" s="1755"/>
      <c r="ERU1" s="1755"/>
      <c r="ERV1" s="1755"/>
      <c r="ERW1" s="1755"/>
      <c r="ERX1" s="1755"/>
      <c r="ERY1" s="1755"/>
      <c r="ERZ1" s="1755"/>
      <c r="ESA1" s="1755"/>
      <c r="ESB1" s="1755"/>
      <c r="ESC1" s="1755"/>
      <c r="ESD1" s="1755"/>
      <c r="ESE1" s="1755"/>
      <c r="ESF1" s="1755"/>
      <c r="ESG1" s="1755"/>
      <c r="ESH1" s="1755"/>
      <c r="ESI1" s="1755"/>
      <c r="ESJ1" s="1755"/>
      <c r="ESK1" s="1755"/>
      <c r="ESL1" s="1755"/>
      <c r="ESM1" s="1755"/>
      <c r="ESN1" s="1755"/>
      <c r="ESO1" s="1755"/>
      <c r="ESP1" s="1755"/>
      <c r="ESQ1" s="1755"/>
      <c r="ESR1" s="1755"/>
      <c r="ESS1" s="1755"/>
      <c r="EST1" s="1755"/>
      <c r="ESU1" s="1755"/>
      <c r="ESV1" s="1755"/>
      <c r="ESW1" s="1755"/>
      <c r="ESX1" s="1755"/>
      <c r="ESY1" s="1755"/>
      <c r="ESZ1" s="1755"/>
      <c r="ETA1" s="1755"/>
      <c r="ETB1" s="1755"/>
      <c r="ETC1" s="1755"/>
      <c r="ETD1" s="1755"/>
      <c r="ETE1" s="1755"/>
      <c r="ETF1" s="1755"/>
      <c r="ETG1" s="1755"/>
      <c r="ETH1" s="1755"/>
      <c r="ETI1" s="1755"/>
      <c r="ETJ1" s="1755"/>
      <c r="ETK1" s="1755"/>
      <c r="ETL1" s="1755"/>
      <c r="ETM1" s="1755"/>
      <c r="ETN1" s="1755"/>
      <c r="ETO1" s="1755"/>
      <c r="ETP1" s="1755"/>
      <c r="ETQ1" s="1755"/>
      <c r="ETR1" s="1755"/>
      <c r="ETS1" s="1755"/>
      <c r="ETT1" s="1755"/>
      <c r="ETU1" s="1755"/>
      <c r="ETV1" s="1755"/>
      <c r="ETW1" s="1755"/>
      <c r="ETX1" s="1755"/>
      <c r="ETY1" s="1755"/>
      <c r="ETZ1" s="1755"/>
      <c r="EUA1" s="1755"/>
      <c r="EUB1" s="1755"/>
      <c r="EUC1" s="1755"/>
      <c r="EUD1" s="1755"/>
      <c r="EUE1" s="1755"/>
      <c r="EUF1" s="1755"/>
      <c r="EUG1" s="1755"/>
      <c r="EUH1" s="1755"/>
      <c r="EUI1" s="1755"/>
      <c r="EUJ1" s="1755"/>
      <c r="EUK1" s="1755"/>
      <c r="EUL1" s="1755"/>
      <c r="EUM1" s="1755"/>
      <c r="EUN1" s="1755"/>
      <c r="EUO1" s="1755"/>
      <c r="EUP1" s="1755"/>
      <c r="EUQ1" s="1755"/>
      <c r="EUR1" s="1755"/>
      <c r="EUS1" s="1755"/>
      <c r="EUT1" s="1755"/>
      <c r="EUU1" s="1755"/>
      <c r="EUV1" s="1755"/>
      <c r="EUW1" s="1755"/>
      <c r="EUX1" s="1755"/>
      <c r="EUY1" s="1755"/>
      <c r="EUZ1" s="1755"/>
      <c r="EVA1" s="1755"/>
      <c r="EVB1" s="1755"/>
      <c r="EVC1" s="1755"/>
      <c r="EVD1" s="1755"/>
      <c r="EVE1" s="1755"/>
      <c r="EVF1" s="1755"/>
      <c r="EVG1" s="1755"/>
      <c r="EVH1" s="1755"/>
      <c r="EVI1" s="1755"/>
      <c r="EVJ1" s="1755"/>
      <c r="EVK1" s="1755"/>
      <c r="EVL1" s="1755"/>
      <c r="EVM1" s="1755"/>
      <c r="EVN1" s="1755"/>
      <c r="EVO1" s="1755"/>
      <c r="EVP1" s="1755"/>
      <c r="EVQ1" s="1755"/>
      <c r="EVR1" s="1755"/>
      <c r="EVS1" s="1755"/>
      <c r="EVT1" s="1755"/>
      <c r="EVU1" s="1755"/>
      <c r="EVV1" s="1755"/>
      <c r="EVW1" s="1755"/>
      <c r="EVX1" s="1755"/>
      <c r="EVY1" s="1755"/>
      <c r="EVZ1" s="1755"/>
      <c r="EWA1" s="1755"/>
      <c r="EWB1" s="1755"/>
      <c r="EWC1" s="1755"/>
      <c r="EWD1" s="1755"/>
      <c r="EWE1" s="1755"/>
      <c r="EWF1" s="1755"/>
      <c r="EWG1" s="1755"/>
      <c r="EWH1" s="1755"/>
      <c r="EWI1" s="1755"/>
      <c r="EWJ1" s="1755"/>
      <c r="EWK1" s="1755"/>
      <c r="EWL1" s="1755"/>
      <c r="EWM1" s="1755"/>
      <c r="EWN1" s="1755"/>
      <c r="EWO1" s="1755"/>
      <c r="EWP1" s="1755"/>
      <c r="EWQ1" s="1755"/>
      <c r="EWR1" s="1755"/>
      <c r="EWS1" s="1755"/>
      <c r="EWT1" s="1755"/>
      <c r="EWU1" s="1755"/>
      <c r="EWV1" s="1755"/>
      <c r="EWW1" s="1755"/>
      <c r="EWX1" s="1755"/>
      <c r="EWY1" s="1755"/>
      <c r="EWZ1" s="1755"/>
      <c r="EXA1" s="1755"/>
      <c r="EXB1" s="1755"/>
      <c r="EXC1" s="1755"/>
      <c r="EXD1" s="1755"/>
      <c r="EXE1" s="1755"/>
      <c r="EXF1" s="1755"/>
      <c r="EXG1" s="1755"/>
      <c r="EXH1" s="1755"/>
      <c r="EXI1" s="1755"/>
      <c r="EXJ1" s="1755"/>
      <c r="EXK1" s="1755"/>
      <c r="EXL1" s="1755"/>
      <c r="EXM1" s="1755"/>
      <c r="EXN1" s="1755"/>
      <c r="EXO1" s="1755"/>
      <c r="EXP1" s="1755"/>
      <c r="EXQ1" s="1755"/>
      <c r="EXR1" s="1755"/>
      <c r="EXS1" s="1755"/>
      <c r="EXT1" s="1755"/>
      <c r="EXU1" s="1755"/>
      <c r="EXV1" s="1755"/>
      <c r="EXW1" s="1755"/>
      <c r="EXX1" s="1755"/>
      <c r="EXY1" s="1755"/>
      <c r="EXZ1" s="1755"/>
      <c r="EYA1" s="1755"/>
      <c r="EYB1" s="1755"/>
      <c r="EYC1" s="1755"/>
      <c r="EYD1" s="1755"/>
      <c r="EYE1" s="1755"/>
      <c r="EYF1" s="1755"/>
      <c r="EYG1" s="1755"/>
      <c r="EYH1" s="1755"/>
      <c r="EYI1" s="1755"/>
      <c r="EYJ1" s="1755"/>
      <c r="EYK1" s="1755"/>
      <c r="EYL1" s="1755"/>
      <c r="EYM1" s="1755"/>
      <c r="EYN1" s="1755"/>
      <c r="EYO1" s="1755"/>
      <c r="EYP1" s="1755"/>
      <c r="EYQ1" s="1755"/>
      <c r="EYR1" s="1755"/>
      <c r="EYS1" s="1755"/>
      <c r="EYT1" s="1755"/>
      <c r="EYU1" s="1755"/>
      <c r="EYV1" s="1755"/>
      <c r="EYW1" s="1755"/>
      <c r="EYX1" s="1755"/>
      <c r="EYY1" s="1755"/>
      <c r="EYZ1" s="1755"/>
      <c r="EZA1" s="1755"/>
      <c r="EZB1" s="1755"/>
      <c r="EZC1" s="1755"/>
      <c r="EZD1" s="1755"/>
      <c r="EZE1" s="1755"/>
      <c r="EZF1" s="1755"/>
      <c r="EZG1" s="1755"/>
      <c r="EZH1" s="1755"/>
      <c r="EZI1" s="1755"/>
      <c r="EZJ1" s="1755"/>
      <c r="EZK1" s="1755"/>
      <c r="EZL1" s="1755"/>
      <c r="EZM1" s="1755"/>
      <c r="EZN1" s="1755"/>
      <c r="EZO1" s="1755"/>
      <c r="EZP1" s="1755"/>
      <c r="EZQ1" s="1755"/>
      <c r="EZR1" s="1755"/>
      <c r="EZS1" s="1755"/>
      <c r="EZT1" s="1755"/>
      <c r="EZU1" s="1755"/>
      <c r="EZV1" s="1755"/>
      <c r="EZW1" s="1755"/>
      <c r="EZX1" s="1755"/>
      <c r="EZY1" s="1755"/>
      <c r="EZZ1" s="1755"/>
      <c r="FAA1" s="1755"/>
      <c r="FAB1" s="1755"/>
      <c r="FAC1" s="1755"/>
      <c r="FAD1" s="1755"/>
      <c r="FAE1" s="1755"/>
      <c r="FAF1" s="1755"/>
      <c r="FAG1" s="1755"/>
      <c r="FAH1" s="1755"/>
      <c r="FAI1" s="1755"/>
      <c r="FAJ1" s="1755"/>
      <c r="FAK1" s="1755"/>
      <c r="FAL1" s="1755"/>
      <c r="FAM1" s="1755"/>
      <c r="FAN1" s="1755"/>
      <c r="FAO1" s="1755"/>
      <c r="FAP1" s="1755"/>
      <c r="FAQ1" s="1755"/>
      <c r="FAR1" s="1755"/>
      <c r="FAS1" s="1755"/>
      <c r="FAT1" s="1755"/>
      <c r="FAU1" s="1755"/>
      <c r="FAV1" s="1755"/>
      <c r="FAW1" s="1755"/>
      <c r="FAX1" s="1755"/>
      <c r="FAY1" s="1755"/>
      <c r="FAZ1" s="1755"/>
      <c r="FBA1" s="1755"/>
      <c r="FBB1" s="1755"/>
      <c r="FBC1" s="1755"/>
      <c r="FBD1" s="1755"/>
      <c r="FBE1" s="1755"/>
      <c r="FBF1" s="1755"/>
      <c r="FBG1" s="1755"/>
      <c r="FBH1" s="1755"/>
      <c r="FBI1" s="1755"/>
      <c r="FBJ1" s="1755"/>
      <c r="FBK1" s="1755"/>
      <c r="FBL1" s="1755"/>
      <c r="FBM1" s="1755"/>
      <c r="FBN1" s="1755"/>
      <c r="FBO1" s="1755"/>
      <c r="FBP1" s="1755"/>
      <c r="FBQ1" s="1755"/>
      <c r="FBR1" s="1755"/>
      <c r="FBS1" s="1755"/>
      <c r="FBT1" s="1755"/>
      <c r="FBU1" s="1755"/>
      <c r="FBV1" s="1755"/>
      <c r="FBW1" s="1755"/>
      <c r="FBX1" s="1755"/>
      <c r="FBY1" s="1755"/>
      <c r="FBZ1" s="1755"/>
      <c r="FCA1" s="1755"/>
      <c r="FCB1" s="1755"/>
      <c r="FCC1" s="1755"/>
      <c r="FCD1" s="1755"/>
      <c r="FCE1" s="1755"/>
      <c r="FCF1" s="1755"/>
      <c r="FCG1" s="1755"/>
      <c r="FCH1" s="1755"/>
      <c r="FCI1" s="1755"/>
      <c r="FCJ1" s="1755"/>
      <c r="FCK1" s="1755"/>
      <c r="FCL1" s="1755"/>
      <c r="FCM1" s="1755"/>
      <c r="FCN1" s="1755"/>
      <c r="FCO1" s="1755"/>
      <c r="FCP1" s="1755"/>
      <c r="FCQ1" s="1755"/>
      <c r="FCR1" s="1755"/>
      <c r="FCS1" s="1755"/>
      <c r="FCT1" s="1755"/>
      <c r="FCU1" s="1755"/>
      <c r="FCV1" s="1755"/>
      <c r="FCW1" s="1755"/>
      <c r="FCX1" s="1755"/>
      <c r="FCY1" s="1755"/>
      <c r="FCZ1" s="1755"/>
      <c r="FDA1" s="1755"/>
      <c r="FDB1" s="1755"/>
      <c r="FDC1" s="1755"/>
      <c r="FDD1" s="1755"/>
      <c r="FDE1" s="1755"/>
      <c r="FDF1" s="1755"/>
      <c r="FDG1" s="1755"/>
      <c r="FDH1" s="1755"/>
      <c r="FDI1" s="1755"/>
      <c r="FDJ1" s="1755"/>
      <c r="FDK1" s="1755"/>
      <c r="FDL1" s="1755"/>
      <c r="FDM1" s="1755"/>
      <c r="FDN1" s="1755"/>
      <c r="FDO1" s="1755"/>
      <c r="FDP1" s="1755"/>
      <c r="FDQ1" s="1755"/>
      <c r="FDR1" s="1755"/>
      <c r="FDS1" s="1755"/>
      <c r="FDT1" s="1755"/>
      <c r="FDU1" s="1755"/>
      <c r="FDV1" s="1755"/>
      <c r="FDW1" s="1755"/>
      <c r="FDX1" s="1755"/>
      <c r="FDY1" s="1755"/>
      <c r="FDZ1" s="1755"/>
      <c r="FEA1" s="1755"/>
      <c r="FEB1" s="1755"/>
      <c r="FEC1" s="1755"/>
      <c r="FED1" s="1755"/>
      <c r="FEE1" s="1755"/>
      <c r="FEF1" s="1755"/>
      <c r="FEG1" s="1755"/>
      <c r="FEH1" s="1755"/>
      <c r="FEI1" s="1755"/>
      <c r="FEJ1" s="1755"/>
      <c r="FEK1" s="1755"/>
      <c r="FEL1" s="1755"/>
      <c r="FEM1" s="1755"/>
      <c r="FEN1" s="1755"/>
      <c r="FEO1" s="1755"/>
      <c r="FEP1" s="1755"/>
      <c r="FEQ1" s="1755"/>
      <c r="FER1" s="1755"/>
      <c r="FES1" s="1755"/>
      <c r="FET1" s="1755"/>
      <c r="FEU1" s="1755"/>
      <c r="FEV1" s="1755"/>
      <c r="FEW1" s="1755"/>
      <c r="FEX1" s="1755"/>
      <c r="FEY1" s="1755"/>
      <c r="FEZ1" s="1755"/>
      <c r="FFA1" s="1755"/>
      <c r="FFB1" s="1755"/>
      <c r="FFC1" s="1755"/>
      <c r="FFD1" s="1755"/>
      <c r="FFE1" s="1755"/>
      <c r="FFF1" s="1755"/>
      <c r="FFG1" s="1755"/>
      <c r="FFH1" s="1755"/>
      <c r="FFI1" s="1755"/>
      <c r="FFJ1" s="1755"/>
      <c r="FFK1" s="1755"/>
      <c r="FFL1" s="1755"/>
      <c r="FFM1" s="1755"/>
      <c r="FFN1" s="1755"/>
      <c r="FFO1" s="1755"/>
      <c r="FFP1" s="1755"/>
      <c r="FFQ1" s="1755"/>
      <c r="FFR1" s="1755"/>
      <c r="FFS1" s="1755"/>
      <c r="FFT1" s="1755"/>
      <c r="FFU1" s="1755"/>
      <c r="FFV1" s="1755"/>
      <c r="FFW1" s="1755"/>
      <c r="FFX1" s="1755"/>
      <c r="FFY1" s="1755"/>
      <c r="FFZ1" s="1755"/>
      <c r="FGA1" s="1755"/>
      <c r="FGB1" s="1755"/>
      <c r="FGC1" s="1755"/>
      <c r="FGD1" s="1755"/>
      <c r="FGE1" s="1755"/>
      <c r="FGF1" s="1755"/>
      <c r="FGG1" s="1755"/>
      <c r="FGH1" s="1755"/>
      <c r="FGI1" s="1755"/>
      <c r="FGJ1" s="1755"/>
      <c r="FGK1" s="1755"/>
      <c r="FGL1" s="1755"/>
      <c r="FGM1" s="1755"/>
      <c r="FGN1" s="1755"/>
      <c r="FGO1" s="1755"/>
      <c r="FGP1" s="1755"/>
      <c r="FGQ1" s="1755"/>
      <c r="FGR1" s="1755"/>
      <c r="FGS1" s="1755"/>
      <c r="FGT1" s="1755"/>
      <c r="FGU1" s="1755"/>
      <c r="FGV1" s="1755"/>
      <c r="FGW1" s="1755"/>
      <c r="FGX1" s="1755"/>
      <c r="FGY1" s="1755"/>
      <c r="FGZ1" s="1755"/>
      <c r="FHA1" s="1755"/>
      <c r="FHB1" s="1755"/>
      <c r="FHC1" s="1755"/>
      <c r="FHD1" s="1755"/>
      <c r="FHE1" s="1755"/>
      <c r="FHF1" s="1755"/>
      <c r="FHG1" s="1755"/>
      <c r="FHH1" s="1755"/>
      <c r="FHI1" s="1755"/>
      <c r="FHJ1" s="1755"/>
      <c r="FHK1" s="1755"/>
      <c r="FHL1" s="1755"/>
      <c r="FHM1" s="1755"/>
      <c r="FHN1" s="1755"/>
      <c r="FHO1" s="1755"/>
      <c r="FHP1" s="1755"/>
      <c r="FHQ1" s="1755"/>
      <c r="FHR1" s="1755"/>
      <c r="FHS1" s="1755"/>
      <c r="FHT1" s="1755"/>
      <c r="FHU1" s="1755"/>
      <c r="FHV1" s="1755"/>
      <c r="FHW1" s="1755"/>
      <c r="FHX1" s="1755"/>
      <c r="FHY1" s="1755"/>
      <c r="FHZ1" s="1755"/>
      <c r="FIA1" s="1755"/>
      <c r="FIB1" s="1755"/>
      <c r="FIC1" s="1755"/>
      <c r="FID1" s="1755"/>
      <c r="FIE1" s="1755"/>
      <c r="FIF1" s="1755"/>
      <c r="FIG1" s="1755"/>
      <c r="FIH1" s="1755"/>
      <c r="FII1" s="1755"/>
      <c r="FIJ1" s="1755"/>
      <c r="FIK1" s="1755"/>
      <c r="FIL1" s="1755"/>
      <c r="FIM1" s="1755"/>
      <c r="FIN1" s="1755"/>
      <c r="FIO1" s="1755"/>
      <c r="FIP1" s="1755"/>
      <c r="FIQ1" s="1755"/>
      <c r="FIR1" s="1755"/>
      <c r="FIS1" s="1755"/>
      <c r="FIT1" s="1755"/>
      <c r="FIU1" s="1755"/>
      <c r="FIV1" s="1755"/>
      <c r="FIW1" s="1755"/>
      <c r="FIX1" s="1755"/>
      <c r="FIY1" s="1755"/>
      <c r="FIZ1" s="1755"/>
      <c r="FJA1" s="1755"/>
      <c r="FJB1" s="1755"/>
      <c r="FJC1" s="1755"/>
      <c r="FJD1" s="1755"/>
      <c r="FJE1" s="1755"/>
      <c r="FJF1" s="1755"/>
      <c r="FJG1" s="1755"/>
      <c r="FJH1" s="1755"/>
      <c r="FJI1" s="1755"/>
      <c r="FJJ1" s="1755"/>
      <c r="FJK1" s="1755"/>
      <c r="FJL1" s="1755"/>
      <c r="FJM1" s="1755"/>
      <c r="FJN1" s="1755"/>
      <c r="FJO1" s="1755"/>
      <c r="FJP1" s="1755"/>
      <c r="FJQ1" s="1755"/>
      <c r="FJR1" s="1755"/>
      <c r="FJS1" s="1755"/>
      <c r="FJT1" s="1755"/>
      <c r="FJU1" s="1755"/>
      <c r="FJV1" s="1755"/>
      <c r="FJW1" s="1755"/>
      <c r="FJX1" s="1755"/>
      <c r="FJY1" s="1755"/>
      <c r="FJZ1" s="1755"/>
      <c r="FKA1" s="1755"/>
      <c r="FKB1" s="1755"/>
      <c r="FKC1" s="1755"/>
      <c r="FKD1" s="1755"/>
      <c r="FKE1" s="1755"/>
      <c r="FKF1" s="1755"/>
      <c r="FKG1" s="1755"/>
      <c r="FKH1" s="1755"/>
      <c r="FKI1" s="1755"/>
      <c r="FKJ1" s="1755"/>
      <c r="FKK1" s="1755"/>
      <c r="FKL1" s="1755"/>
      <c r="FKM1" s="1755"/>
      <c r="FKN1" s="1755"/>
      <c r="FKO1" s="1755"/>
      <c r="FKP1" s="1755"/>
      <c r="FKQ1" s="1755"/>
      <c r="FKR1" s="1755"/>
      <c r="FKS1" s="1755"/>
      <c r="FKT1" s="1755"/>
      <c r="FKU1" s="1755"/>
      <c r="FKV1" s="1755"/>
      <c r="FKW1" s="1755"/>
      <c r="FKX1" s="1755"/>
      <c r="FKY1" s="1755"/>
      <c r="FKZ1" s="1755"/>
      <c r="FLA1" s="1755"/>
      <c r="FLB1" s="1755"/>
      <c r="FLC1" s="1755"/>
      <c r="FLD1" s="1755"/>
      <c r="FLE1" s="1755"/>
      <c r="FLF1" s="1755"/>
      <c r="FLG1" s="1755"/>
      <c r="FLH1" s="1755"/>
      <c r="FLI1" s="1755"/>
      <c r="FLJ1" s="1755"/>
      <c r="FLK1" s="1755"/>
      <c r="FLL1" s="1755"/>
      <c r="FLM1" s="1755"/>
      <c r="FLN1" s="1755"/>
      <c r="FLO1" s="1755"/>
      <c r="FLP1" s="1755"/>
      <c r="FLQ1" s="1755"/>
      <c r="FLR1" s="1755"/>
      <c r="FLS1" s="1755"/>
      <c r="FLT1" s="1755"/>
      <c r="FLU1" s="1755"/>
      <c r="FLV1" s="1755"/>
      <c r="FLW1" s="1755"/>
      <c r="FLX1" s="1755"/>
      <c r="FLY1" s="1755"/>
      <c r="FLZ1" s="1755"/>
      <c r="FMA1" s="1755"/>
      <c r="FMB1" s="1755"/>
      <c r="FMC1" s="1755"/>
      <c r="FMD1" s="1755"/>
      <c r="FME1" s="1755"/>
      <c r="FMF1" s="1755"/>
      <c r="FMG1" s="1755"/>
      <c r="FMH1" s="1755"/>
      <c r="FMI1" s="1755"/>
      <c r="FMJ1" s="1755"/>
      <c r="FMK1" s="1755"/>
      <c r="FML1" s="1755"/>
      <c r="FMM1" s="1755"/>
      <c r="FMN1" s="1755"/>
      <c r="FMO1" s="1755"/>
      <c r="FMP1" s="1755"/>
      <c r="FMQ1" s="1755"/>
      <c r="FMR1" s="1755"/>
      <c r="FMS1" s="1755"/>
      <c r="FMT1" s="1755"/>
      <c r="FMU1" s="1755"/>
      <c r="FMV1" s="1755"/>
      <c r="FMW1" s="1755"/>
      <c r="FMX1" s="1755"/>
      <c r="FMY1" s="1755"/>
      <c r="FMZ1" s="1755"/>
      <c r="FNA1" s="1755"/>
      <c r="FNB1" s="1755"/>
      <c r="FNC1" s="1755"/>
      <c r="FND1" s="1755"/>
      <c r="FNE1" s="1755"/>
      <c r="FNF1" s="1755"/>
      <c r="FNG1" s="1755"/>
      <c r="FNH1" s="1755"/>
      <c r="FNI1" s="1755"/>
      <c r="FNJ1" s="1755"/>
      <c r="FNK1" s="1755"/>
      <c r="FNL1" s="1755"/>
      <c r="FNM1" s="1755"/>
      <c r="FNN1" s="1755"/>
      <c r="FNO1" s="1755"/>
      <c r="FNP1" s="1755"/>
      <c r="FNQ1" s="1755"/>
      <c r="FNR1" s="1755"/>
      <c r="FNS1" s="1755"/>
      <c r="FNT1" s="1755"/>
      <c r="FNU1" s="1755"/>
      <c r="FNV1" s="1755"/>
      <c r="FNW1" s="1755"/>
      <c r="FNX1" s="1755"/>
      <c r="FNY1" s="1755"/>
      <c r="FNZ1" s="1755"/>
      <c r="FOA1" s="1755"/>
      <c r="FOB1" s="1755"/>
      <c r="FOC1" s="1755"/>
      <c r="FOD1" s="1755"/>
      <c r="FOE1" s="1755"/>
      <c r="FOF1" s="1755"/>
      <c r="FOG1" s="1755"/>
      <c r="FOH1" s="1755"/>
      <c r="FOI1" s="1755"/>
      <c r="FOJ1" s="1755"/>
      <c r="FOK1" s="1755"/>
      <c r="FOL1" s="1755"/>
      <c r="FOM1" s="1755"/>
      <c r="FON1" s="1755"/>
      <c r="FOO1" s="1755"/>
      <c r="FOP1" s="1755"/>
      <c r="FOQ1" s="1755"/>
      <c r="FOR1" s="1755"/>
      <c r="FOS1" s="1755"/>
      <c r="FOT1" s="1755"/>
      <c r="FOU1" s="1755"/>
      <c r="FOV1" s="1755"/>
      <c r="FOW1" s="1755"/>
      <c r="FOX1" s="1755"/>
      <c r="FOY1" s="1755"/>
      <c r="FOZ1" s="1755"/>
      <c r="FPA1" s="1755"/>
      <c r="FPB1" s="1755"/>
      <c r="FPC1" s="1755"/>
      <c r="FPD1" s="1755"/>
      <c r="FPE1" s="1755"/>
      <c r="FPF1" s="1755"/>
      <c r="FPG1" s="1755"/>
      <c r="FPH1" s="1755"/>
      <c r="FPI1" s="1755"/>
      <c r="FPJ1" s="1755"/>
      <c r="FPK1" s="1755"/>
      <c r="FPL1" s="1755"/>
      <c r="FPM1" s="1755"/>
      <c r="FPN1" s="1755"/>
      <c r="FPO1" s="1755"/>
      <c r="FPP1" s="1755"/>
      <c r="FPQ1" s="1755"/>
      <c r="FPR1" s="1755"/>
      <c r="FPS1" s="1755"/>
      <c r="FPT1" s="1755"/>
      <c r="FPU1" s="1755"/>
      <c r="FPV1" s="1755"/>
      <c r="FPW1" s="1755"/>
      <c r="FPX1" s="1755"/>
      <c r="FPY1" s="1755"/>
      <c r="FPZ1" s="1755"/>
      <c r="FQA1" s="1755"/>
      <c r="FQB1" s="1755"/>
      <c r="FQC1" s="1755"/>
      <c r="FQD1" s="1755"/>
      <c r="FQE1" s="1755"/>
      <c r="FQF1" s="1755"/>
      <c r="FQG1" s="1755"/>
      <c r="FQH1" s="1755"/>
      <c r="FQI1" s="1755"/>
      <c r="FQJ1" s="1755"/>
      <c r="FQK1" s="1755"/>
      <c r="FQL1" s="1755"/>
      <c r="FQM1" s="1755"/>
      <c r="FQN1" s="1755"/>
      <c r="FQO1" s="1755"/>
      <c r="FQP1" s="1755"/>
      <c r="FQQ1" s="1755"/>
      <c r="FQR1" s="1755"/>
      <c r="FQS1" s="1755"/>
      <c r="FQT1" s="1755"/>
      <c r="FQU1" s="1755"/>
      <c r="FQV1" s="1755"/>
      <c r="FQW1" s="1755"/>
      <c r="FQX1" s="1755"/>
      <c r="FQY1" s="1755"/>
      <c r="FQZ1" s="1755"/>
      <c r="FRA1" s="1755"/>
      <c r="FRB1" s="1755"/>
      <c r="FRC1" s="1755"/>
      <c r="FRD1" s="1755"/>
      <c r="FRE1" s="1755"/>
      <c r="FRF1" s="1755"/>
      <c r="FRG1" s="1755"/>
      <c r="FRH1" s="1755"/>
      <c r="FRI1" s="1755"/>
      <c r="FRJ1" s="1755"/>
      <c r="FRK1" s="1755"/>
      <c r="FRL1" s="1755"/>
      <c r="FRM1" s="1755"/>
      <c r="FRN1" s="1755"/>
      <c r="FRO1" s="1755"/>
      <c r="FRP1" s="1755"/>
      <c r="FRQ1" s="1755"/>
      <c r="FRR1" s="1755"/>
      <c r="FRS1" s="1755"/>
      <c r="FRT1" s="1755"/>
      <c r="FRU1" s="1755"/>
      <c r="FRV1" s="1755"/>
      <c r="FRW1" s="1755"/>
      <c r="FRX1" s="1755"/>
      <c r="FRY1" s="1755"/>
      <c r="FRZ1" s="1755"/>
      <c r="FSA1" s="1755"/>
      <c r="FSB1" s="1755"/>
      <c r="FSC1" s="1755"/>
      <c r="FSD1" s="1755"/>
      <c r="FSE1" s="1755"/>
      <c r="FSF1" s="1755"/>
      <c r="FSG1" s="1755"/>
      <c r="FSH1" s="1755"/>
      <c r="FSI1" s="1755"/>
      <c r="FSJ1" s="1755"/>
      <c r="FSK1" s="1755"/>
      <c r="FSL1" s="1755"/>
      <c r="FSM1" s="1755"/>
      <c r="FSN1" s="1755"/>
      <c r="FSO1" s="1755"/>
      <c r="FSP1" s="1755"/>
      <c r="FSQ1" s="1755"/>
      <c r="FSR1" s="1755"/>
      <c r="FSS1" s="1755"/>
      <c r="FST1" s="1755"/>
      <c r="FSU1" s="1755"/>
      <c r="FSV1" s="1755"/>
      <c r="FSW1" s="1755"/>
      <c r="FSX1" s="1755"/>
      <c r="FSY1" s="1755"/>
      <c r="FSZ1" s="1755"/>
      <c r="FTA1" s="1755"/>
      <c r="FTB1" s="1755"/>
      <c r="FTC1" s="1755"/>
      <c r="FTD1" s="1755"/>
      <c r="FTE1" s="1755"/>
      <c r="FTF1" s="1755"/>
      <c r="FTG1" s="1755"/>
      <c r="FTH1" s="1755"/>
      <c r="FTI1" s="1755"/>
      <c r="FTJ1" s="1755"/>
      <c r="FTK1" s="1755"/>
      <c r="FTL1" s="1755"/>
      <c r="FTM1" s="1755"/>
      <c r="FTN1" s="1755"/>
      <c r="FTO1" s="1755"/>
      <c r="FTP1" s="1755"/>
      <c r="FTQ1" s="1755"/>
      <c r="FTR1" s="1755"/>
      <c r="FTS1" s="1755"/>
      <c r="FTT1" s="1755"/>
      <c r="FTU1" s="1755"/>
      <c r="FTV1" s="1755"/>
      <c r="FTW1" s="1755"/>
      <c r="FTX1" s="1755"/>
      <c r="FTY1" s="1755"/>
      <c r="FTZ1" s="1755"/>
      <c r="FUA1" s="1755"/>
      <c r="FUB1" s="1755"/>
      <c r="FUC1" s="1755"/>
      <c r="FUD1" s="1755"/>
      <c r="FUE1" s="1755"/>
      <c r="FUF1" s="1755"/>
      <c r="FUG1" s="1755"/>
      <c r="FUH1" s="1755"/>
      <c r="FUI1" s="1755"/>
      <c r="FUJ1" s="1755"/>
      <c r="FUK1" s="1755"/>
      <c r="FUL1" s="1755"/>
      <c r="FUM1" s="1755"/>
      <c r="FUN1" s="1755"/>
      <c r="FUO1" s="1755"/>
      <c r="FUP1" s="1755"/>
      <c r="FUQ1" s="1755"/>
      <c r="FUR1" s="1755"/>
      <c r="FUS1" s="1755"/>
      <c r="FUT1" s="1755"/>
      <c r="FUU1" s="1755"/>
      <c r="FUV1" s="1755"/>
      <c r="FUW1" s="1755"/>
      <c r="FUX1" s="1755"/>
      <c r="FUY1" s="1755"/>
      <c r="FUZ1" s="1755"/>
      <c r="FVA1" s="1755"/>
      <c r="FVB1" s="1755"/>
      <c r="FVC1" s="1755"/>
      <c r="FVD1" s="1755"/>
      <c r="FVE1" s="1755"/>
      <c r="FVF1" s="1755"/>
      <c r="FVG1" s="1755"/>
      <c r="FVH1" s="1755"/>
      <c r="FVI1" s="1755"/>
      <c r="FVJ1" s="1755"/>
      <c r="FVK1" s="1755"/>
      <c r="FVL1" s="1755"/>
      <c r="FVM1" s="1755"/>
      <c r="FVN1" s="1755"/>
      <c r="FVO1" s="1755"/>
      <c r="FVP1" s="1755"/>
      <c r="FVQ1" s="1755"/>
      <c r="FVR1" s="1755"/>
      <c r="FVS1" s="1755"/>
      <c r="FVT1" s="1755"/>
      <c r="FVU1" s="1755"/>
      <c r="FVV1" s="1755"/>
      <c r="FVW1" s="1755"/>
      <c r="FVX1" s="1755"/>
      <c r="FVY1" s="1755"/>
      <c r="FVZ1" s="1755"/>
      <c r="FWA1" s="1755"/>
      <c r="FWB1" s="1755"/>
      <c r="FWC1" s="1755"/>
      <c r="FWD1" s="1755"/>
      <c r="FWE1" s="1755"/>
      <c r="FWF1" s="1755"/>
      <c r="FWG1" s="1755"/>
      <c r="FWH1" s="1755"/>
      <c r="FWI1" s="1755"/>
      <c r="FWJ1" s="1755"/>
      <c r="FWK1" s="1755"/>
      <c r="FWL1" s="1755"/>
      <c r="FWM1" s="1755"/>
      <c r="FWN1" s="1755"/>
      <c r="FWO1" s="1755"/>
      <c r="FWP1" s="1755"/>
      <c r="FWQ1" s="1755"/>
      <c r="FWR1" s="1755"/>
      <c r="FWS1" s="1755"/>
      <c r="FWT1" s="1755"/>
      <c r="FWU1" s="1755"/>
      <c r="FWV1" s="1755"/>
      <c r="FWW1" s="1755"/>
      <c r="FWX1" s="1755"/>
      <c r="FWY1" s="1755"/>
      <c r="FWZ1" s="1755"/>
      <c r="FXA1" s="1755"/>
      <c r="FXB1" s="1755"/>
      <c r="FXC1" s="1755"/>
      <c r="FXD1" s="1755"/>
      <c r="FXE1" s="1755"/>
      <c r="FXF1" s="1755"/>
      <c r="FXG1" s="1755"/>
      <c r="FXH1" s="1755"/>
      <c r="FXI1" s="1755"/>
      <c r="FXJ1" s="1755"/>
      <c r="FXK1" s="1755"/>
      <c r="FXL1" s="1755"/>
      <c r="FXM1" s="1755"/>
      <c r="FXN1" s="1755"/>
      <c r="FXO1" s="1755"/>
      <c r="FXP1" s="1755"/>
      <c r="FXQ1" s="1755"/>
      <c r="FXR1" s="1755"/>
      <c r="FXS1" s="1755"/>
      <c r="FXT1" s="1755"/>
      <c r="FXU1" s="1755"/>
      <c r="FXV1" s="1755"/>
      <c r="FXW1" s="1755"/>
      <c r="FXX1" s="1755"/>
      <c r="FXY1" s="1755"/>
      <c r="FXZ1" s="1755"/>
      <c r="FYA1" s="1755"/>
      <c r="FYB1" s="1755"/>
      <c r="FYC1" s="1755"/>
      <c r="FYD1" s="1755"/>
      <c r="FYE1" s="1755"/>
      <c r="FYF1" s="1755"/>
      <c r="FYG1" s="1755"/>
      <c r="FYH1" s="1755"/>
      <c r="FYI1" s="1755"/>
      <c r="FYJ1" s="1755"/>
      <c r="FYK1" s="1755"/>
      <c r="FYL1" s="1755"/>
      <c r="FYM1" s="1755"/>
      <c r="FYN1" s="1755"/>
      <c r="FYO1" s="1755"/>
      <c r="FYP1" s="1755"/>
      <c r="FYQ1" s="1755"/>
      <c r="FYR1" s="1755"/>
      <c r="FYS1" s="1755"/>
      <c r="FYT1" s="1755"/>
      <c r="FYU1" s="1755"/>
      <c r="FYV1" s="1755"/>
      <c r="FYW1" s="1755"/>
      <c r="FYX1" s="1755"/>
      <c r="FYY1" s="1755"/>
      <c r="FYZ1" s="1755"/>
      <c r="FZA1" s="1755"/>
      <c r="FZB1" s="1755"/>
      <c r="FZC1" s="1755"/>
      <c r="FZD1" s="1755"/>
      <c r="FZE1" s="1755"/>
      <c r="FZF1" s="1755"/>
      <c r="FZG1" s="1755"/>
      <c r="FZH1" s="1755"/>
      <c r="FZI1" s="1755"/>
      <c r="FZJ1" s="1755"/>
      <c r="FZK1" s="1755"/>
      <c r="FZL1" s="1755"/>
      <c r="FZM1" s="1755"/>
      <c r="FZN1" s="1755"/>
      <c r="FZO1" s="1755"/>
      <c r="FZP1" s="1755"/>
      <c r="FZQ1" s="1755"/>
      <c r="FZR1" s="1755"/>
      <c r="FZS1" s="1755"/>
      <c r="FZT1" s="1755"/>
      <c r="FZU1" s="1755"/>
      <c r="FZV1" s="1755"/>
      <c r="FZW1" s="1755"/>
      <c r="FZX1" s="1755"/>
      <c r="FZY1" s="1755"/>
      <c r="FZZ1" s="1755"/>
      <c r="GAA1" s="1755"/>
      <c r="GAB1" s="1755"/>
      <c r="GAC1" s="1755"/>
      <c r="GAD1" s="1755"/>
      <c r="GAE1" s="1755"/>
      <c r="GAF1" s="1755"/>
      <c r="GAG1" s="1755"/>
      <c r="GAH1" s="1755"/>
      <c r="GAI1" s="1755"/>
      <c r="GAJ1" s="1755"/>
      <c r="GAK1" s="1755"/>
      <c r="GAL1" s="1755"/>
      <c r="GAM1" s="1755"/>
      <c r="GAN1" s="1755"/>
      <c r="GAO1" s="1755"/>
      <c r="GAP1" s="1755"/>
      <c r="GAQ1" s="1755"/>
      <c r="GAR1" s="1755"/>
      <c r="GAS1" s="1755"/>
      <c r="GAT1" s="1755"/>
      <c r="GAU1" s="1755"/>
      <c r="GAV1" s="1755"/>
      <c r="GAW1" s="1755"/>
      <c r="GAX1" s="1755"/>
      <c r="GAY1" s="1755"/>
      <c r="GAZ1" s="1755"/>
      <c r="GBA1" s="1755"/>
      <c r="GBB1" s="1755"/>
      <c r="GBC1" s="1755"/>
      <c r="GBD1" s="1755"/>
      <c r="GBE1" s="1755"/>
      <c r="GBF1" s="1755"/>
      <c r="GBG1" s="1755"/>
      <c r="GBH1" s="1755"/>
      <c r="GBI1" s="1755"/>
      <c r="GBJ1" s="1755"/>
      <c r="GBK1" s="1755"/>
      <c r="GBL1" s="1755"/>
      <c r="GBM1" s="1755"/>
      <c r="GBN1" s="1755"/>
      <c r="GBO1" s="1755"/>
      <c r="GBP1" s="1755"/>
      <c r="GBQ1" s="1755"/>
      <c r="GBR1" s="1755"/>
      <c r="GBS1" s="1755"/>
      <c r="GBT1" s="1755"/>
      <c r="GBU1" s="1755"/>
      <c r="GBV1" s="1755"/>
      <c r="GBW1" s="1755"/>
      <c r="GBX1" s="1755"/>
      <c r="GBY1" s="1755"/>
      <c r="GBZ1" s="1755"/>
      <c r="GCA1" s="1755"/>
      <c r="GCB1" s="1755"/>
      <c r="GCC1" s="1755"/>
      <c r="GCD1" s="1755"/>
      <c r="GCE1" s="1755"/>
      <c r="GCF1" s="1755"/>
      <c r="GCG1" s="1755"/>
      <c r="GCH1" s="1755"/>
      <c r="GCI1" s="1755"/>
      <c r="GCJ1" s="1755"/>
      <c r="GCK1" s="1755"/>
      <c r="GCL1" s="1755"/>
      <c r="GCM1" s="1755"/>
      <c r="GCN1" s="1755"/>
      <c r="GCO1" s="1755"/>
      <c r="GCP1" s="1755"/>
      <c r="GCQ1" s="1755"/>
      <c r="GCR1" s="1755"/>
      <c r="GCS1" s="1755"/>
      <c r="GCT1" s="1755"/>
      <c r="GCU1" s="1755"/>
      <c r="GCV1" s="1755"/>
      <c r="GCW1" s="1755"/>
      <c r="GCX1" s="1755"/>
      <c r="GCY1" s="1755"/>
      <c r="GCZ1" s="1755"/>
      <c r="GDA1" s="1755"/>
      <c r="GDB1" s="1755"/>
      <c r="GDC1" s="1755"/>
      <c r="GDD1" s="1755"/>
      <c r="GDE1" s="1755"/>
      <c r="GDF1" s="1755"/>
      <c r="GDG1" s="1755"/>
      <c r="GDH1" s="1755"/>
      <c r="GDI1" s="1755"/>
      <c r="GDJ1" s="1755"/>
      <c r="GDK1" s="1755"/>
      <c r="GDL1" s="1755"/>
      <c r="GDM1" s="1755"/>
      <c r="GDN1" s="1755"/>
      <c r="GDO1" s="1755"/>
      <c r="GDP1" s="1755"/>
      <c r="GDQ1" s="1755"/>
      <c r="GDR1" s="1755"/>
      <c r="GDS1" s="1755"/>
      <c r="GDT1" s="1755"/>
      <c r="GDU1" s="1755"/>
      <c r="GDV1" s="1755"/>
      <c r="GDW1" s="1755"/>
      <c r="GDX1" s="1755"/>
      <c r="GDY1" s="1755"/>
      <c r="GDZ1" s="1755"/>
      <c r="GEA1" s="1755"/>
      <c r="GEB1" s="1755"/>
      <c r="GEC1" s="1755"/>
      <c r="GED1" s="1755"/>
      <c r="GEE1" s="1755"/>
      <c r="GEF1" s="1755"/>
      <c r="GEG1" s="1755"/>
      <c r="GEH1" s="1755"/>
      <c r="GEI1" s="1755"/>
      <c r="GEJ1" s="1755"/>
      <c r="GEK1" s="1755"/>
      <c r="GEL1" s="1755"/>
      <c r="GEM1" s="1755"/>
      <c r="GEN1" s="1755"/>
      <c r="GEO1" s="1755"/>
      <c r="GEP1" s="1755"/>
      <c r="GEQ1" s="1755"/>
      <c r="GER1" s="1755"/>
      <c r="GES1" s="1755"/>
      <c r="GET1" s="1755"/>
      <c r="GEU1" s="1755"/>
      <c r="GEV1" s="1755"/>
      <c r="GEW1" s="1755"/>
      <c r="GEX1" s="1755"/>
      <c r="GEY1" s="1755"/>
      <c r="GEZ1" s="1755"/>
      <c r="GFA1" s="1755"/>
      <c r="GFB1" s="1755"/>
      <c r="GFC1" s="1755"/>
      <c r="GFD1" s="1755"/>
      <c r="GFE1" s="1755"/>
      <c r="GFF1" s="1755"/>
      <c r="GFG1" s="1755"/>
      <c r="GFH1" s="1755"/>
      <c r="GFI1" s="1755"/>
      <c r="GFJ1" s="1755"/>
      <c r="GFK1" s="1755"/>
      <c r="GFL1" s="1755"/>
      <c r="GFM1" s="1755"/>
      <c r="GFN1" s="1755"/>
      <c r="GFO1" s="1755"/>
      <c r="GFP1" s="1755"/>
      <c r="GFQ1" s="1755"/>
      <c r="GFR1" s="1755"/>
      <c r="GFS1" s="1755"/>
      <c r="GFT1" s="1755"/>
      <c r="GFU1" s="1755"/>
      <c r="GFV1" s="1755"/>
      <c r="GFW1" s="1755"/>
      <c r="GFX1" s="1755"/>
      <c r="GFY1" s="1755"/>
      <c r="GFZ1" s="1755"/>
      <c r="GGA1" s="1755"/>
      <c r="GGB1" s="1755"/>
      <c r="GGC1" s="1755"/>
      <c r="GGD1" s="1755"/>
      <c r="GGE1" s="1755"/>
      <c r="GGF1" s="1755"/>
      <c r="GGG1" s="1755"/>
      <c r="GGH1" s="1755"/>
      <c r="GGI1" s="1755"/>
      <c r="GGJ1" s="1755"/>
      <c r="GGK1" s="1755"/>
      <c r="GGL1" s="1755"/>
      <c r="GGM1" s="1755"/>
      <c r="GGN1" s="1755"/>
      <c r="GGO1" s="1755"/>
      <c r="GGP1" s="1755"/>
      <c r="GGQ1" s="1755"/>
      <c r="GGR1" s="1755"/>
      <c r="GGS1" s="1755"/>
      <c r="GGT1" s="1755"/>
      <c r="GGU1" s="1755"/>
      <c r="GGV1" s="1755"/>
      <c r="GGW1" s="1755"/>
      <c r="GGX1" s="1755"/>
      <c r="GGY1" s="1755"/>
      <c r="GGZ1" s="1755"/>
      <c r="GHA1" s="1755"/>
      <c r="GHB1" s="1755"/>
      <c r="GHC1" s="1755"/>
      <c r="GHD1" s="1755"/>
      <c r="GHE1" s="1755"/>
      <c r="GHF1" s="1755"/>
      <c r="GHG1" s="1755"/>
      <c r="GHH1" s="1755"/>
      <c r="GHI1" s="1755"/>
      <c r="GHJ1" s="1755"/>
      <c r="GHK1" s="1755"/>
      <c r="GHL1" s="1755"/>
      <c r="GHM1" s="1755"/>
      <c r="GHN1" s="1755"/>
      <c r="GHO1" s="1755"/>
      <c r="GHP1" s="1755"/>
      <c r="GHQ1" s="1755"/>
      <c r="GHR1" s="1755"/>
      <c r="GHS1" s="1755"/>
      <c r="GHT1" s="1755"/>
      <c r="GHU1" s="1755"/>
      <c r="GHV1" s="1755"/>
      <c r="GHW1" s="1755"/>
      <c r="GHX1" s="1755"/>
      <c r="GHY1" s="1755"/>
      <c r="GHZ1" s="1755"/>
      <c r="GIA1" s="1755"/>
      <c r="GIB1" s="1755"/>
      <c r="GIC1" s="1755"/>
      <c r="GID1" s="1755"/>
      <c r="GIE1" s="1755"/>
      <c r="GIF1" s="1755"/>
      <c r="GIG1" s="1755"/>
      <c r="GIH1" s="1755"/>
      <c r="GII1" s="1755"/>
      <c r="GIJ1" s="1755"/>
      <c r="GIK1" s="1755"/>
      <c r="GIL1" s="1755"/>
      <c r="GIM1" s="1755"/>
      <c r="GIN1" s="1755"/>
      <c r="GIO1" s="1755"/>
      <c r="GIP1" s="1755"/>
      <c r="GIQ1" s="1755"/>
      <c r="GIR1" s="1755"/>
      <c r="GIS1" s="1755"/>
      <c r="GIT1" s="1755"/>
      <c r="GIU1" s="1755"/>
      <c r="GIV1" s="1755"/>
      <c r="GIW1" s="1755"/>
      <c r="GIX1" s="1755"/>
      <c r="GIY1" s="1755"/>
      <c r="GIZ1" s="1755"/>
      <c r="GJA1" s="1755"/>
      <c r="GJB1" s="1755"/>
      <c r="GJC1" s="1755"/>
      <c r="GJD1" s="1755"/>
      <c r="GJE1" s="1755"/>
      <c r="GJF1" s="1755"/>
      <c r="GJG1" s="1755"/>
      <c r="GJH1" s="1755"/>
      <c r="GJI1" s="1755"/>
      <c r="GJJ1" s="1755"/>
      <c r="GJK1" s="1755"/>
      <c r="GJL1" s="1755"/>
      <c r="GJM1" s="1755"/>
      <c r="GJN1" s="1755"/>
      <c r="GJO1" s="1755"/>
      <c r="GJP1" s="1755"/>
      <c r="GJQ1" s="1755"/>
      <c r="GJR1" s="1755"/>
      <c r="GJS1" s="1755"/>
      <c r="GJT1" s="1755"/>
      <c r="GJU1" s="1755"/>
      <c r="GJV1" s="1755"/>
      <c r="GJW1" s="1755"/>
      <c r="GJX1" s="1755"/>
      <c r="GJY1" s="1755"/>
      <c r="GJZ1" s="1755"/>
      <c r="GKA1" s="1755"/>
      <c r="GKB1" s="1755"/>
      <c r="GKC1" s="1755"/>
      <c r="GKD1" s="1755"/>
      <c r="GKE1" s="1755"/>
      <c r="GKF1" s="1755"/>
      <c r="GKG1" s="1755"/>
      <c r="GKH1" s="1755"/>
      <c r="GKI1" s="1755"/>
      <c r="GKJ1" s="1755"/>
      <c r="GKK1" s="1755"/>
      <c r="GKL1" s="1755"/>
      <c r="GKM1" s="1755"/>
      <c r="GKN1" s="1755"/>
      <c r="GKO1" s="1755"/>
      <c r="GKP1" s="1755"/>
      <c r="GKQ1" s="1755"/>
      <c r="GKR1" s="1755"/>
      <c r="GKS1" s="1755"/>
      <c r="GKT1" s="1755"/>
      <c r="GKU1" s="1755"/>
      <c r="GKV1" s="1755"/>
      <c r="GKW1" s="1755"/>
      <c r="GKX1" s="1755"/>
      <c r="GKY1" s="1755"/>
      <c r="GKZ1" s="1755"/>
      <c r="GLA1" s="1755"/>
      <c r="GLB1" s="1755"/>
      <c r="GLC1" s="1755"/>
      <c r="GLD1" s="1755"/>
      <c r="GLE1" s="1755"/>
      <c r="GLF1" s="1755"/>
      <c r="GLG1" s="1755"/>
      <c r="GLH1" s="1755"/>
      <c r="GLI1" s="1755"/>
      <c r="GLJ1" s="1755"/>
      <c r="GLK1" s="1755"/>
      <c r="GLL1" s="1755"/>
      <c r="GLM1" s="1755"/>
      <c r="GLN1" s="1755"/>
      <c r="GLO1" s="1755"/>
      <c r="GLP1" s="1755"/>
      <c r="GLQ1" s="1755"/>
      <c r="GLR1" s="1755"/>
      <c r="GLS1" s="1755"/>
      <c r="GLT1" s="1755"/>
      <c r="GLU1" s="1755"/>
      <c r="GLV1" s="1755"/>
      <c r="GLW1" s="1755"/>
      <c r="GLX1" s="1755"/>
      <c r="GLY1" s="1755"/>
      <c r="GLZ1" s="1755"/>
      <c r="GMA1" s="1755"/>
      <c r="GMB1" s="1755"/>
      <c r="GMC1" s="1755"/>
      <c r="GMD1" s="1755"/>
      <c r="GME1" s="1755"/>
      <c r="GMF1" s="1755"/>
      <c r="GMG1" s="1755"/>
      <c r="GMH1" s="1755"/>
      <c r="GMI1" s="1755"/>
      <c r="GMJ1" s="1755"/>
      <c r="GMK1" s="1755"/>
      <c r="GML1" s="1755"/>
      <c r="GMM1" s="1755"/>
      <c r="GMN1" s="1755"/>
      <c r="GMO1" s="1755"/>
      <c r="GMP1" s="1755"/>
      <c r="GMQ1" s="1755"/>
      <c r="GMR1" s="1755"/>
      <c r="GMS1" s="1755"/>
      <c r="GMT1" s="1755"/>
      <c r="GMU1" s="1755"/>
      <c r="GMV1" s="1755"/>
      <c r="GMW1" s="1755"/>
      <c r="GMX1" s="1755"/>
      <c r="GMY1" s="1755"/>
      <c r="GMZ1" s="1755"/>
      <c r="GNA1" s="1755"/>
      <c r="GNB1" s="1755"/>
      <c r="GNC1" s="1755"/>
      <c r="GND1" s="1755"/>
      <c r="GNE1" s="1755"/>
      <c r="GNF1" s="1755"/>
      <c r="GNG1" s="1755"/>
      <c r="GNH1" s="1755"/>
      <c r="GNI1" s="1755"/>
      <c r="GNJ1" s="1755"/>
      <c r="GNK1" s="1755"/>
      <c r="GNL1" s="1755"/>
      <c r="GNM1" s="1755"/>
      <c r="GNN1" s="1755"/>
      <c r="GNO1" s="1755"/>
      <c r="GNP1" s="1755"/>
      <c r="GNQ1" s="1755"/>
      <c r="GNR1" s="1755"/>
      <c r="GNS1" s="1755"/>
      <c r="GNT1" s="1755"/>
      <c r="GNU1" s="1755"/>
      <c r="GNV1" s="1755"/>
      <c r="GNW1" s="1755"/>
      <c r="GNX1" s="1755"/>
      <c r="GNY1" s="1755"/>
      <c r="GNZ1" s="1755"/>
      <c r="GOA1" s="1755"/>
      <c r="GOB1" s="1755"/>
      <c r="GOC1" s="1755"/>
      <c r="GOD1" s="1755"/>
      <c r="GOE1" s="1755"/>
      <c r="GOF1" s="1755"/>
      <c r="GOG1" s="1755"/>
      <c r="GOH1" s="1755"/>
      <c r="GOI1" s="1755"/>
      <c r="GOJ1" s="1755"/>
      <c r="GOK1" s="1755"/>
      <c r="GOL1" s="1755"/>
      <c r="GOM1" s="1755"/>
      <c r="GON1" s="1755"/>
      <c r="GOO1" s="1755"/>
      <c r="GOP1" s="1755"/>
      <c r="GOQ1" s="1755"/>
      <c r="GOR1" s="1755"/>
      <c r="GOS1" s="1755"/>
      <c r="GOT1" s="1755"/>
      <c r="GOU1" s="1755"/>
      <c r="GOV1" s="1755"/>
      <c r="GOW1" s="1755"/>
      <c r="GOX1" s="1755"/>
      <c r="GOY1" s="1755"/>
      <c r="GOZ1" s="1755"/>
      <c r="GPA1" s="1755"/>
      <c r="GPB1" s="1755"/>
      <c r="GPC1" s="1755"/>
      <c r="GPD1" s="1755"/>
      <c r="GPE1" s="1755"/>
      <c r="GPF1" s="1755"/>
      <c r="GPG1" s="1755"/>
      <c r="GPH1" s="1755"/>
      <c r="GPI1" s="1755"/>
      <c r="GPJ1" s="1755"/>
      <c r="GPK1" s="1755"/>
      <c r="GPL1" s="1755"/>
      <c r="GPM1" s="1755"/>
      <c r="GPN1" s="1755"/>
      <c r="GPO1" s="1755"/>
      <c r="GPP1" s="1755"/>
      <c r="GPQ1" s="1755"/>
      <c r="GPR1" s="1755"/>
      <c r="GPS1" s="1755"/>
      <c r="GPT1" s="1755"/>
      <c r="GPU1" s="1755"/>
      <c r="GPV1" s="1755"/>
      <c r="GPW1" s="1755"/>
      <c r="GPX1" s="1755"/>
      <c r="GPY1" s="1755"/>
      <c r="GPZ1" s="1755"/>
      <c r="GQA1" s="1755"/>
      <c r="GQB1" s="1755"/>
      <c r="GQC1" s="1755"/>
      <c r="GQD1" s="1755"/>
      <c r="GQE1" s="1755"/>
      <c r="GQF1" s="1755"/>
      <c r="GQG1" s="1755"/>
      <c r="GQH1" s="1755"/>
      <c r="GQI1" s="1755"/>
      <c r="GQJ1" s="1755"/>
      <c r="GQK1" s="1755"/>
      <c r="GQL1" s="1755"/>
      <c r="GQM1" s="1755"/>
      <c r="GQN1" s="1755"/>
      <c r="GQO1" s="1755"/>
      <c r="GQP1" s="1755"/>
      <c r="GQQ1" s="1755"/>
      <c r="GQR1" s="1755"/>
      <c r="GQS1" s="1755"/>
      <c r="GQT1" s="1755"/>
      <c r="GQU1" s="1755"/>
      <c r="GQV1" s="1755"/>
      <c r="GQW1" s="1755"/>
      <c r="GQX1" s="1755"/>
      <c r="GQY1" s="1755"/>
      <c r="GQZ1" s="1755"/>
      <c r="GRA1" s="1755"/>
      <c r="GRB1" s="1755"/>
      <c r="GRC1" s="1755"/>
      <c r="GRD1" s="1755"/>
      <c r="GRE1" s="1755"/>
      <c r="GRF1" s="1755"/>
      <c r="GRG1" s="1755"/>
      <c r="GRH1" s="1755"/>
      <c r="GRI1" s="1755"/>
      <c r="GRJ1" s="1755"/>
      <c r="GRK1" s="1755"/>
      <c r="GRL1" s="1755"/>
      <c r="GRM1" s="1755"/>
      <c r="GRN1" s="1755"/>
      <c r="GRO1" s="1755"/>
      <c r="GRP1" s="1755"/>
      <c r="GRQ1" s="1755"/>
      <c r="GRR1" s="1755"/>
      <c r="GRS1" s="1755"/>
      <c r="GRT1" s="1755"/>
      <c r="GRU1" s="1755"/>
      <c r="GRV1" s="1755"/>
      <c r="GRW1" s="1755"/>
      <c r="GRX1" s="1755"/>
      <c r="GRY1" s="1755"/>
      <c r="GRZ1" s="1755"/>
      <c r="GSA1" s="1755"/>
      <c r="GSB1" s="1755"/>
      <c r="GSC1" s="1755"/>
      <c r="GSD1" s="1755"/>
      <c r="GSE1" s="1755"/>
      <c r="GSF1" s="1755"/>
      <c r="GSG1" s="1755"/>
      <c r="GSH1" s="1755"/>
      <c r="GSI1" s="1755"/>
      <c r="GSJ1" s="1755"/>
      <c r="GSK1" s="1755"/>
      <c r="GSL1" s="1755"/>
      <c r="GSM1" s="1755"/>
      <c r="GSN1" s="1755"/>
      <c r="GSO1" s="1755"/>
      <c r="GSP1" s="1755"/>
      <c r="GSQ1" s="1755"/>
      <c r="GSR1" s="1755"/>
      <c r="GSS1" s="1755"/>
      <c r="GST1" s="1755"/>
      <c r="GSU1" s="1755"/>
      <c r="GSV1" s="1755"/>
      <c r="GSW1" s="1755"/>
      <c r="GSX1" s="1755"/>
      <c r="GSY1" s="1755"/>
      <c r="GSZ1" s="1755"/>
      <c r="GTA1" s="1755"/>
      <c r="GTB1" s="1755"/>
      <c r="GTC1" s="1755"/>
      <c r="GTD1" s="1755"/>
      <c r="GTE1" s="1755"/>
      <c r="GTF1" s="1755"/>
      <c r="GTG1" s="1755"/>
      <c r="GTH1" s="1755"/>
      <c r="GTI1" s="1755"/>
      <c r="GTJ1" s="1755"/>
      <c r="GTK1" s="1755"/>
      <c r="GTL1" s="1755"/>
      <c r="GTM1" s="1755"/>
      <c r="GTN1" s="1755"/>
      <c r="GTO1" s="1755"/>
      <c r="GTP1" s="1755"/>
      <c r="GTQ1" s="1755"/>
      <c r="GTR1" s="1755"/>
      <c r="GTS1" s="1755"/>
      <c r="GTT1" s="1755"/>
      <c r="GTU1" s="1755"/>
      <c r="GTV1" s="1755"/>
      <c r="GTW1" s="1755"/>
      <c r="GTX1" s="1755"/>
      <c r="GTY1" s="1755"/>
      <c r="GTZ1" s="1755"/>
      <c r="GUA1" s="1755"/>
      <c r="GUB1" s="1755"/>
      <c r="GUC1" s="1755"/>
      <c r="GUD1" s="1755"/>
      <c r="GUE1" s="1755"/>
      <c r="GUF1" s="1755"/>
      <c r="GUG1" s="1755"/>
      <c r="GUH1" s="1755"/>
      <c r="GUI1" s="1755"/>
      <c r="GUJ1" s="1755"/>
      <c r="GUK1" s="1755"/>
      <c r="GUL1" s="1755"/>
      <c r="GUM1" s="1755"/>
      <c r="GUN1" s="1755"/>
      <c r="GUO1" s="1755"/>
      <c r="GUP1" s="1755"/>
      <c r="GUQ1" s="1755"/>
      <c r="GUR1" s="1755"/>
      <c r="GUS1" s="1755"/>
      <c r="GUT1" s="1755"/>
      <c r="GUU1" s="1755"/>
      <c r="GUV1" s="1755"/>
      <c r="GUW1" s="1755"/>
      <c r="GUX1" s="1755"/>
      <c r="GUY1" s="1755"/>
      <c r="GUZ1" s="1755"/>
      <c r="GVA1" s="1755"/>
      <c r="GVB1" s="1755"/>
      <c r="GVC1" s="1755"/>
      <c r="GVD1" s="1755"/>
      <c r="GVE1" s="1755"/>
      <c r="GVF1" s="1755"/>
      <c r="GVG1" s="1755"/>
      <c r="GVH1" s="1755"/>
      <c r="GVI1" s="1755"/>
      <c r="GVJ1" s="1755"/>
      <c r="GVK1" s="1755"/>
      <c r="GVL1" s="1755"/>
      <c r="GVM1" s="1755"/>
      <c r="GVN1" s="1755"/>
      <c r="GVO1" s="1755"/>
      <c r="GVP1" s="1755"/>
      <c r="GVQ1" s="1755"/>
      <c r="GVR1" s="1755"/>
      <c r="GVS1" s="1755"/>
      <c r="GVT1" s="1755"/>
      <c r="GVU1" s="1755"/>
      <c r="GVV1" s="1755"/>
      <c r="GVW1" s="1755"/>
      <c r="GVX1" s="1755"/>
      <c r="GVY1" s="1755"/>
      <c r="GVZ1" s="1755"/>
      <c r="GWA1" s="1755"/>
      <c r="GWB1" s="1755"/>
      <c r="GWC1" s="1755"/>
      <c r="GWD1" s="1755"/>
      <c r="GWE1" s="1755"/>
      <c r="GWF1" s="1755"/>
      <c r="GWG1" s="1755"/>
      <c r="GWH1" s="1755"/>
      <c r="GWI1" s="1755"/>
      <c r="GWJ1" s="1755"/>
      <c r="GWK1" s="1755"/>
      <c r="GWL1" s="1755"/>
      <c r="GWM1" s="1755"/>
      <c r="GWN1" s="1755"/>
      <c r="GWO1" s="1755"/>
      <c r="GWP1" s="1755"/>
      <c r="GWQ1" s="1755"/>
      <c r="GWR1" s="1755"/>
      <c r="GWS1" s="1755"/>
      <c r="GWT1" s="1755"/>
      <c r="GWU1" s="1755"/>
      <c r="GWV1" s="1755"/>
      <c r="GWW1" s="1755"/>
      <c r="GWX1" s="1755"/>
      <c r="GWY1" s="1755"/>
      <c r="GWZ1" s="1755"/>
      <c r="GXA1" s="1755"/>
      <c r="GXB1" s="1755"/>
      <c r="GXC1" s="1755"/>
      <c r="GXD1" s="1755"/>
      <c r="GXE1" s="1755"/>
      <c r="GXF1" s="1755"/>
      <c r="GXG1" s="1755"/>
      <c r="GXH1" s="1755"/>
      <c r="GXI1" s="1755"/>
      <c r="GXJ1" s="1755"/>
      <c r="GXK1" s="1755"/>
      <c r="GXL1" s="1755"/>
      <c r="GXM1" s="1755"/>
      <c r="GXN1" s="1755"/>
      <c r="GXO1" s="1755"/>
      <c r="GXP1" s="1755"/>
      <c r="GXQ1" s="1755"/>
      <c r="GXR1" s="1755"/>
      <c r="GXS1" s="1755"/>
      <c r="GXT1" s="1755"/>
      <c r="GXU1" s="1755"/>
      <c r="GXV1" s="1755"/>
      <c r="GXW1" s="1755"/>
      <c r="GXX1" s="1755"/>
      <c r="GXY1" s="1755"/>
      <c r="GXZ1" s="1755"/>
      <c r="GYA1" s="1755"/>
      <c r="GYB1" s="1755"/>
      <c r="GYC1" s="1755"/>
      <c r="GYD1" s="1755"/>
      <c r="GYE1" s="1755"/>
      <c r="GYF1" s="1755"/>
      <c r="GYG1" s="1755"/>
      <c r="GYH1" s="1755"/>
      <c r="GYI1" s="1755"/>
      <c r="GYJ1" s="1755"/>
      <c r="GYK1" s="1755"/>
      <c r="GYL1" s="1755"/>
      <c r="GYM1" s="1755"/>
      <c r="GYN1" s="1755"/>
      <c r="GYO1" s="1755"/>
      <c r="GYP1" s="1755"/>
      <c r="GYQ1" s="1755"/>
      <c r="GYR1" s="1755"/>
      <c r="GYS1" s="1755"/>
      <c r="GYT1" s="1755"/>
      <c r="GYU1" s="1755"/>
      <c r="GYV1" s="1755"/>
      <c r="GYW1" s="1755"/>
      <c r="GYX1" s="1755"/>
      <c r="GYY1" s="1755"/>
      <c r="GYZ1" s="1755"/>
      <c r="GZA1" s="1755"/>
      <c r="GZB1" s="1755"/>
      <c r="GZC1" s="1755"/>
      <c r="GZD1" s="1755"/>
      <c r="GZE1" s="1755"/>
      <c r="GZF1" s="1755"/>
      <c r="GZG1" s="1755"/>
      <c r="GZH1" s="1755"/>
      <c r="GZI1" s="1755"/>
      <c r="GZJ1" s="1755"/>
      <c r="GZK1" s="1755"/>
      <c r="GZL1" s="1755"/>
      <c r="GZM1" s="1755"/>
      <c r="GZN1" s="1755"/>
      <c r="GZO1" s="1755"/>
      <c r="GZP1" s="1755"/>
      <c r="GZQ1" s="1755"/>
      <c r="GZR1" s="1755"/>
      <c r="GZS1" s="1755"/>
      <c r="GZT1" s="1755"/>
      <c r="GZU1" s="1755"/>
      <c r="GZV1" s="1755"/>
      <c r="GZW1" s="1755"/>
      <c r="GZX1" s="1755"/>
      <c r="GZY1" s="1755"/>
      <c r="GZZ1" s="1755"/>
      <c r="HAA1" s="1755"/>
      <c r="HAB1" s="1755"/>
      <c r="HAC1" s="1755"/>
      <c r="HAD1" s="1755"/>
      <c r="HAE1" s="1755"/>
      <c r="HAF1" s="1755"/>
      <c r="HAG1" s="1755"/>
      <c r="HAH1" s="1755"/>
      <c r="HAI1" s="1755"/>
      <c r="HAJ1" s="1755"/>
      <c r="HAK1" s="1755"/>
      <c r="HAL1" s="1755"/>
      <c r="HAM1" s="1755"/>
      <c r="HAN1" s="1755"/>
      <c r="HAO1" s="1755"/>
      <c r="HAP1" s="1755"/>
      <c r="HAQ1" s="1755"/>
      <c r="HAR1" s="1755"/>
      <c r="HAS1" s="1755"/>
      <c r="HAT1" s="1755"/>
      <c r="HAU1" s="1755"/>
      <c r="HAV1" s="1755"/>
      <c r="HAW1" s="1755"/>
      <c r="HAX1" s="1755"/>
      <c r="HAY1" s="1755"/>
      <c r="HAZ1" s="1755"/>
      <c r="HBA1" s="1755"/>
      <c r="HBB1" s="1755"/>
      <c r="HBC1" s="1755"/>
      <c r="HBD1" s="1755"/>
      <c r="HBE1" s="1755"/>
      <c r="HBF1" s="1755"/>
      <c r="HBG1" s="1755"/>
      <c r="HBH1" s="1755"/>
      <c r="HBI1" s="1755"/>
      <c r="HBJ1" s="1755"/>
      <c r="HBK1" s="1755"/>
      <c r="HBL1" s="1755"/>
      <c r="HBM1" s="1755"/>
      <c r="HBN1" s="1755"/>
      <c r="HBO1" s="1755"/>
      <c r="HBP1" s="1755"/>
      <c r="HBQ1" s="1755"/>
      <c r="HBR1" s="1755"/>
      <c r="HBS1" s="1755"/>
      <c r="HBT1" s="1755"/>
      <c r="HBU1" s="1755"/>
      <c r="HBV1" s="1755"/>
      <c r="HBW1" s="1755"/>
      <c r="HBX1" s="1755"/>
      <c r="HBY1" s="1755"/>
      <c r="HBZ1" s="1755"/>
      <c r="HCA1" s="1755"/>
      <c r="HCB1" s="1755"/>
      <c r="HCC1" s="1755"/>
      <c r="HCD1" s="1755"/>
      <c r="HCE1" s="1755"/>
      <c r="HCF1" s="1755"/>
      <c r="HCG1" s="1755"/>
      <c r="HCH1" s="1755"/>
      <c r="HCI1" s="1755"/>
      <c r="HCJ1" s="1755"/>
      <c r="HCK1" s="1755"/>
      <c r="HCL1" s="1755"/>
      <c r="HCM1" s="1755"/>
      <c r="HCN1" s="1755"/>
      <c r="HCO1" s="1755"/>
      <c r="HCP1" s="1755"/>
      <c r="HCQ1" s="1755"/>
      <c r="HCR1" s="1755"/>
      <c r="HCS1" s="1755"/>
      <c r="HCT1" s="1755"/>
      <c r="HCU1" s="1755"/>
      <c r="HCV1" s="1755"/>
      <c r="HCW1" s="1755"/>
      <c r="HCX1" s="1755"/>
      <c r="HCY1" s="1755"/>
      <c r="HCZ1" s="1755"/>
      <c r="HDA1" s="1755"/>
      <c r="HDB1" s="1755"/>
      <c r="HDC1" s="1755"/>
      <c r="HDD1" s="1755"/>
      <c r="HDE1" s="1755"/>
      <c r="HDF1" s="1755"/>
      <c r="HDG1" s="1755"/>
      <c r="HDH1" s="1755"/>
      <c r="HDI1" s="1755"/>
      <c r="HDJ1" s="1755"/>
      <c r="HDK1" s="1755"/>
      <c r="HDL1" s="1755"/>
      <c r="HDM1" s="1755"/>
      <c r="HDN1" s="1755"/>
      <c r="HDO1" s="1755"/>
      <c r="HDP1" s="1755"/>
      <c r="HDQ1" s="1755"/>
      <c r="HDR1" s="1755"/>
      <c r="HDS1" s="1755"/>
      <c r="HDT1" s="1755"/>
      <c r="HDU1" s="1755"/>
      <c r="HDV1" s="1755"/>
      <c r="HDW1" s="1755"/>
      <c r="HDX1" s="1755"/>
      <c r="HDY1" s="1755"/>
      <c r="HDZ1" s="1755"/>
      <c r="HEA1" s="1755"/>
      <c r="HEB1" s="1755"/>
      <c r="HEC1" s="1755"/>
      <c r="HED1" s="1755"/>
      <c r="HEE1" s="1755"/>
      <c r="HEF1" s="1755"/>
      <c r="HEG1" s="1755"/>
      <c r="HEH1" s="1755"/>
      <c r="HEI1" s="1755"/>
      <c r="HEJ1" s="1755"/>
      <c r="HEK1" s="1755"/>
      <c r="HEL1" s="1755"/>
      <c r="HEM1" s="1755"/>
      <c r="HEN1" s="1755"/>
      <c r="HEO1" s="1755"/>
      <c r="HEP1" s="1755"/>
      <c r="HEQ1" s="1755"/>
      <c r="HER1" s="1755"/>
      <c r="HES1" s="1755"/>
      <c r="HET1" s="1755"/>
      <c r="HEU1" s="1755"/>
      <c r="HEV1" s="1755"/>
      <c r="HEW1" s="1755"/>
      <c r="HEX1" s="1755"/>
      <c r="HEY1" s="1755"/>
      <c r="HEZ1" s="1755"/>
      <c r="HFA1" s="1755"/>
      <c r="HFB1" s="1755"/>
      <c r="HFC1" s="1755"/>
      <c r="HFD1" s="1755"/>
      <c r="HFE1" s="1755"/>
      <c r="HFF1" s="1755"/>
      <c r="HFG1" s="1755"/>
      <c r="HFH1" s="1755"/>
      <c r="HFI1" s="1755"/>
      <c r="HFJ1" s="1755"/>
      <c r="HFK1" s="1755"/>
      <c r="HFL1" s="1755"/>
      <c r="HFM1" s="1755"/>
      <c r="HFN1" s="1755"/>
      <c r="HFO1" s="1755"/>
      <c r="HFP1" s="1755"/>
      <c r="HFQ1" s="1755"/>
      <c r="HFR1" s="1755"/>
      <c r="HFS1" s="1755"/>
      <c r="HFT1" s="1755"/>
      <c r="HFU1" s="1755"/>
      <c r="HFV1" s="1755"/>
      <c r="HFW1" s="1755"/>
      <c r="HFX1" s="1755"/>
      <c r="HFY1" s="1755"/>
      <c r="HFZ1" s="1755"/>
      <c r="HGA1" s="1755"/>
      <c r="HGB1" s="1755"/>
      <c r="HGC1" s="1755"/>
      <c r="HGD1" s="1755"/>
      <c r="HGE1" s="1755"/>
      <c r="HGF1" s="1755"/>
      <c r="HGG1" s="1755"/>
      <c r="HGH1" s="1755"/>
      <c r="HGI1" s="1755"/>
      <c r="HGJ1" s="1755"/>
      <c r="HGK1" s="1755"/>
      <c r="HGL1" s="1755"/>
      <c r="HGM1" s="1755"/>
      <c r="HGN1" s="1755"/>
      <c r="HGO1" s="1755"/>
      <c r="HGP1" s="1755"/>
      <c r="HGQ1" s="1755"/>
      <c r="HGR1" s="1755"/>
      <c r="HGS1" s="1755"/>
      <c r="HGT1" s="1755"/>
      <c r="HGU1" s="1755"/>
      <c r="HGV1" s="1755"/>
      <c r="HGW1" s="1755"/>
      <c r="HGX1" s="1755"/>
      <c r="HGY1" s="1755"/>
      <c r="HGZ1" s="1755"/>
      <c r="HHA1" s="1755"/>
      <c r="HHB1" s="1755"/>
      <c r="HHC1" s="1755"/>
      <c r="HHD1" s="1755"/>
      <c r="HHE1" s="1755"/>
      <c r="HHF1" s="1755"/>
      <c r="HHG1" s="1755"/>
      <c r="HHH1" s="1755"/>
      <c r="HHI1" s="1755"/>
      <c r="HHJ1" s="1755"/>
      <c r="HHK1" s="1755"/>
      <c r="HHL1" s="1755"/>
      <c r="HHM1" s="1755"/>
      <c r="HHN1" s="1755"/>
      <c r="HHO1" s="1755"/>
      <c r="HHP1" s="1755"/>
      <c r="HHQ1" s="1755"/>
      <c r="HHR1" s="1755"/>
      <c r="HHS1" s="1755"/>
      <c r="HHT1" s="1755"/>
      <c r="HHU1" s="1755"/>
      <c r="HHV1" s="1755"/>
      <c r="HHW1" s="1755"/>
      <c r="HHX1" s="1755"/>
      <c r="HHY1" s="1755"/>
      <c r="HHZ1" s="1755"/>
      <c r="HIA1" s="1755"/>
      <c r="HIB1" s="1755"/>
      <c r="HIC1" s="1755"/>
      <c r="HID1" s="1755"/>
      <c r="HIE1" s="1755"/>
      <c r="HIF1" s="1755"/>
      <c r="HIG1" s="1755"/>
      <c r="HIH1" s="1755"/>
      <c r="HII1" s="1755"/>
      <c r="HIJ1" s="1755"/>
      <c r="HIK1" s="1755"/>
      <c r="HIL1" s="1755"/>
      <c r="HIM1" s="1755"/>
      <c r="HIN1" s="1755"/>
      <c r="HIO1" s="1755"/>
      <c r="HIP1" s="1755"/>
      <c r="HIQ1" s="1755"/>
      <c r="HIR1" s="1755"/>
      <c r="HIS1" s="1755"/>
      <c r="HIT1" s="1755"/>
      <c r="HIU1" s="1755"/>
      <c r="HIV1" s="1755"/>
      <c r="HIW1" s="1755"/>
      <c r="HIX1" s="1755"/>
      <c r="HIY1" s="1755"/>
      <c r="HIZ1" s="1755"/>
      <c r="HJA1" s="1755"/>
      <c r="HJB1" s="1755"/>
      <c r="HJC1" s="1755"/>
      <c r="HJD1" s="1755"/>
      <c r="HJE1" s="1755"/>
      <c r="HJF1" s="1755"/>
      <c r="HJG1" s="1755"/>
      <c r="HJH1" s="1755"/>
      <c r="HJI1" s="1755"/>
      <c r="HJJ1" s="1755"/>
      <c r="HJK1" s="1755"/>
      <c r="HJL1" s="1755"/>
      <c r="HJM1" s="1755"/>
      <c r="HJN1" s="1755"/>
      <c r="HJO1" s="1755"/>
      <c r="HJP1" s="1755"/>
      <c r="HJQ1" s="1755"/>
      <c r="HJR1" s="1755"/>
      <c r="HJS1" s="1755"/>
      <c r="HJT1" s="1755"/>
      <c r="HJU1" s="1755"/>
      <c r="HJV1" s="1755"/>
      <c r="HJW1" s="1755"/>
      <c r="HJX1" s="1755"/>
      <c r="HJY1" s="1755"/>
      <c r="HJZ1" s="1755"/>
      <c r="HKA1" s="1755"/>
      <c r="HKB1" s="1755"/>
      <c r="HKC1" s="1755"/>
      <c r="HKD1" s="1755"/>
      <c r="HKE1" s="1755"/>
      <c r="HKF1" s="1755"/>
      <c r="HKG1" s="1755"/>
      <c r="HKH1" s="1755"/>
      <c r="HKI1" s="1755"/>
      <c r="HKJ1" s="1755"/>
      <c r="HKK1" s="1755"/>
      <c r="HKL1" s="1755"/>
      <c r="HKM1" s="1755"/>
      <c r="HKN1" s="1755"/>
      <c r="HKO1" s="1755"/>
      <c r="HKP1" s="1755"/>
      <c r="HKQ1" s="1755"/>
      <c r="HKR1" s="1755"/>
      <c r="HKS1" s="1755"/>
      <c r="HKT1" s="1755"/>
      <c r="HKU1" s="1755"/>
      <c r="HKV1" s="1755"/>
      <c r="HKW1" s="1755"/>
      <c r="HKX1" s="1755"/>
      <c r="HKY1" s="1755"/>
      <c r="HKZ1" s="1755"/>
      <c r="HLA1" s="1755"/>
      <c r="HLB1" s="1755"/>
      <c r="HLC1" s="1755"/>
      <c r="HLD1" s="1755"/>
      <c r="HLE1" s="1755"/>
      <c r="HLF1" s="1755"/>
      <c r="HLG1" s="1755"/>
      <c r="HLH1" s="1755"/>
      <c r="HLI1" s="1755"/>
      <c r="HLJ1" s="1755"/>
      <c r="HLK1" s="1755"/>
      <c r="HLL1" s="1755"/>
      <c r="HLM1" s="1755"/>
      <c r="HLN1" s="1755"/>
      <c r="HLO1" s="1755"/>
      <c r="HLP1" s="1755"/>
      <c r="HLQ1" s="1755"/>
      <c r="HLR1" s="1755"/>
      <c r="HLS1" s="1755"/>
      <c r="HLT1" s="1755"/>
      <c r="HLU1" s="1755"/>
      <c r="HLV1" s="1755"/>
      <c r="HLW1" s="1755"/>
      <c r="HLX1" s="1755"/>
      <c r="HLY1" s="1755"/>
      <c r="HLZ1" s="1755"/>
      <c r="HMA1" s="1755"/>
      <c r="HMB1" s="1755"/>
      <c r="HMC1" s="1755"/>
      <c r="HMD1" s="1755"/>
      <c r="HME1" s="1755"/>
      <c r="HMF1" s="1755"/>
      <c r="HMG1" s="1755"/>
      <c r="HMH1" s="1755"/>
      <c r="HMI1" s="1755"/>
      <c r="HMJ1" s="1755"/>
      <c r="HMK1" s="1755"/>
      <c r="HML1" s="1755"/>
      <c r="HMM1" s="1755"/>
      <c r="HMN1" s="1755"/>
      <c r="HMO1" s="1755"/>
      <c r="HMP1" s="1755"/>
      <c r="HMQ1" s="1755"/>
      <c r="HMR1" s="1755"/>
      <c r="HMS1" s="1755"/>
      <c r="HMT1" s="1755"/>
      <c r="HMU1" s="1755"/>
      <c r="HMV1" s="1755"/>
      <c r="HMW1" s="1755"/>
      <c r="HMX1" s="1755"/>
      <c r="HMY1" s="1755"/>
      <c r="HMZ1" s="1755"/>
      <c r="HNA1" s="1755"/>
      <c r="HNB1" s="1755"/>
      <c r="HNC1" s="1755"/>
      <c r="HND1" s="1755"/>
      <c r="HNE1" s="1755"/>
      <c r="HNF1" s="1755"/>
      <c r="HNG1" s="1755"/>
      <c r="HNH1" s="1755"/>
      <c r="HNI1" s="1755"/>
      <c r="HNJ1" s="1755"/>
      <c r="HNK1" s="1755"/>
      <c r="HNL1" s="1755"/>
      <c r="HNM1" s="1755"/>
      <c r="HNN1" s="1755"/>
      <c r="HNO1" s="1755"/>
      <c r="HNP1" s="1755"/>
      <c r="HNQ1" s="1755"/>
      <c r="HNR1" s="1755"/>
      <c r="HNS1" s="1755"/>
      <c r="HNT1" s="1755"/>
      <c r="HNU1" s="1755"/>
      <c r="HNV1" s="1755"/>
      <c r="HNW1" s="1755"/>
      <c r="HNX1" s="1755"/>
      <c r="HNY1" s="1755"/>
      <c r="HNZ1" s="1755"/>
      <c r="HOA1" s="1755"/>
      <c r="HOB1" s="1755"/>
      <c r="HOC1" s="1755"/>
      <c r="HOD1" s="1755"/>
      <c r="HOE1" s="1755"/>
      <c r="HOF1" s="1755"/>
      <c r="HOG1" s="1755"/>
      <c r="HOH1" s="1755"/>
      <c r="HOI1" s="1755"/>
      <c r="HOJ1" s="1755"/>
      <c r="HOK1" s="1755"/>
      <c r="HOL1" s="1755"/>
      <c r="HOM1" s="1755"/>
      <c r="HON1" s="1755"/>
      <c r="HOO1" s="1755"/>
      <c r="HOP1" s="1755"/>
      <c r="HOQ1" s="1755"/>
      <c r="HOR1" s="1755"/>
      <c r="HOS1" s="1755"/>
      <c r="HOT1" s="1755"/>
      <c r="HOU1" s="1755"/>
      <c r="HOV1" s="1755"/>
      <c r="HOW1" s="1755"/>
      <c r="HOX1" s="1755"/>
      <c r="HOY1" s="1755"/>
      <c r="HOZ1" s="1755"/>
      <c r="HPA1" s="1755"/>
      <c r="HPB1" s="1755"/>
      <c r="HPC1" s="1755"/>
      <c r="HPD1" s="1755"/>
      <c r="HPE1" s="1755"/>
      <c r="HPF1" s="1755"/>
      <c r="HPG1" s="1755"/>
      <c r="HPH1" s="1755"/>
      <c r="HPI1" s="1755"/>
      <c r="HPJ1" s="1755"/>
      <c r="HPK1" s="1755"/>
      <c r="HPL1" s="1755"/>
      <c r="HPM1" s="1755"/>
      <c r="HPN1" s="1755"/>
      <c r="HPO1" s="1755"/>
      <c r="HPP1" s="1755"/>
      <c r="HPQ1" s="1755"/>
      <c r="HPR1" s="1755"/>
      <c r="HPS1" s="1755"/>
      <c r="HPT1" s="1755"/>
      <c r="HPU1" s="1755"/>
      <c r="HPV1" s="1755"/>
      <c r="HPW1" s="1755"/>
      <c r="HPX1" s="1755"/>
      <c r="HPY1" s="1755"/>
      <c r="HPZ1" s="1755"/>
      <c r="HQA1" s="1755"/>
      <c r="HQB1" s="1755"/>
      <c r="HQC1" s="1755"/>
      <c r="HQD1" s="1755"/>
      <c r="HQE1" s="1755"/>
      <c r="HQF1" s="1755"/>
      <c r="HQG1" s="1755"/>
      <c r="HQH1" s="1755"/>
      <c r="HQI1" s="1755"/>
      <c r="HQJ1" s="1755"/>
      <c r="HQK1" s="1755"/>
      <c r="HQL1" s="1755"/>
      <c r="HQM1" s="1755"/>
      <c r="HQN1" s="1755"/>
      <c r="HQO1" s="1755"/>
      <c r="HQP1" s="1755"/>
      <c r="HQQ1" s="1755"/>
      <c r="HQR1" s="1755"/>
      <c r="HQS1" s="1755"/>
      <c r="HQT1" s="1755"/>
      <c r="HQU1" s="1755"/>
      <c r="HQV1" s="1755"/>
      <c r="HQW1" s="1755"/>
      <c r="HQX1" s="1755"/>
      <c r="HQY1" s="1755"/>
      <c r="HQZ1" s="1755"/>
      <c r="HRA1" s="1755"/>
      <c r="HRB1" s="1755"/>
      <c r="HRC1" s="1755"/>
      <c r="HRD1" s="1755"/>
      <c r="HRE1" s="1755"/>
      <c r="HRF1" s="1755"/>
      <c r="HRG1" s="1755"/>
      <c r="HRH1" s="1755"/>
      <c r="HRI1" s="1755"/>
      <c r="HRJ1" s="1755"/>
      <c r="HRK1" s="1755"/>
      <c r="HRL1" s="1755"/>
      <c r="HRM1" s="1755"/>
      <c r="HRN1" s="1755"/>
      <c r="HRO1" s="1755"/>
      <c r="HRP1" s="1755"/>
      <c r="HRQ1" s="1755"/>
      <c r="HRR1" s="1755"/>
      <c r="HRS1" s="1755"/>
      <c r="HRT1" s="1755"/>
      <c r="HRU1" s="1755"/>
      <c r="HRV1" s="1755"/>
      <c r="HRW1" s="1755"/>
      <c r="HRX1" s="1755"/>
      <c r="HRY1" s="1755"/>
      <c r="HRZ1" s="1755"/>
      <c r="HSA1" s="1755"/>
      <c r="HSB1" s="1755"/>
      <c r="HSC1" s="1755"/>
      <c r="HSD1" s="1755"/>
      <c r="HSE1" s="1755"/>
      <c r="HSF1" s="1755"/>
      <c r="HSG1" s="1755"/>
      <c r="HSH1" s="1755"/>
      <c r="HSI1" s="1755"/>
      <c r="HSJ1" s="1755"/>
      <c r="HSK1" s="1755"/>
      <c r="HSL1" s="1755"/>
      <c r="HSM1" s="1755"/>
      <c r="HSN1" s="1755"/>
      <c r="HSO1" s="1755"/>
      <c r="HSP1" s="1755"/>
      <c r="HSQ1" s="1755"/>
      <c r="HSR1" s="1755"/>
      <c r="HSS1" s="1755"/>
      <c r="HST1" s="1755"/>
      <c r="HSU1" s="1755"/>
      <c r="HSV1" s="1755"/>
      <c r="HSW1" s="1755"/>
      <c r="HSX1" s="1755"/>
      <c r="HSY1" s="1755"/>
      <c r="HSZ1" s="1755"/>
      <c r="HTA1" s="1755"/>
      <c r="HTB1" s="1755"/>
      <c r="HTC1" s="1755"/>
      <c r="HTD1" s="1755"/>
      <c r="HTE1" s="1755"/>
      <c r="HTF1" s="1755"/>
      <c r="HTG1" s="1755"/>
      <c r="HTH1" s="1755"/>
      <c r="HTI1" s="1755"/>
      <c r="HTJ1" s="1755"/>
      <c r="HTK1" s="1755"/>
      <c r="HTL1" s="1755"/>
      <c r="HTM1" s="1755"/>
      <c r="HTN1" s="1755"/>
      <c r="HTO1" s="1755"/>
      <c r="HTP1" s="1755"/>
      <c r="HTQ1" s="1755"/>
      <c r="HTR1" s="1755"/>
      <c r="HTS1" s="1755"/>
      <c r="HTT1" s="1755"/>
      <c r="HTU1" s="1755"/>
      <c r="HTV1" s="1755"/>
      <c r="HTW1" s="1755"/>
      <c r="HTX1" s="1755"/>
      <c r="HTY1" s="1755"/>
      <c r="HTZ1" s="1755"/>
      <c r="HUA1" s="1755"/>
      <c r="HUB1" s="1755"/>
      <c r="HUC1" s="1755"/>
      <c r="HUD1" s="1755"/>
      <c r="HUE1" s="1755"/>
      <c r="HUF1" s="1755"/>
      <c r="HUG1" s="1755"/>
      <c r="HUH1" s="1755"/>
      <c r="HUI1" s="1755"/>
      <c r="HUJ1" s="1755"/>
      <c r="HUK1" s="1755"/>
      <c r="HUL1" s="1755"/>
      <c r="HUM1" s="1755"/>
      <c r="HUN1" s="1755"/>
      <c r="HUO1" s="1755"/>
      <c r="HUP1" s="1755"/>
      <c r="HUQ1" s="1755"/>
      <c r="HUR1" s="1755"/>
      <c r="HUS1" s="1755"/>
      <c r="HUT1" s="1755"/>
      <c r="HUU1" s="1755"/>
      <c r="HUV1" s="1755"/>
      <c r="HUW1" s="1755"/>
      <c r="HUX1" s="1755"/>
      <c r="HUY1" s="1755"/>
      <c r="HUZ1" s="1755"/>
      <c r="HVA1" s="1755"/>
      <c r="HVB1" s="1755"/>
      <c r="HVC1" s="1755"/>
      <c r="HVD1" s="1755"/>
      <c r="HVE1" s="1755"/>
      <c r="HVF1" s="1755"/>
      <c r="HVG1" s="1755"/>
      <c r="HVH1" s="1755"/>
      <c r="HVI1" s="1755"/>
      <c r="HVJ1" s="1755"/>
      <c r="HVK1" s="1755"/>
      <c r="HVL1" s="1755"/>
      <c r="HVM1" s="1755"/>
      <c r="HVN1" s="1755"/>
      <c r="HVO1" s="1755"/>
      <c r="HVP1" s="1755"/>
      <c r="HVQ1" s="1755"/>
      <c r="HVR1" s="1755"/>
      <c r="HVS1" s="1755"/>
      <c r="HVT1" s="1755"/>
      <c r="HVU1" s="1755"/>
      <c r="HVV1" s="1755"/>
      <c r="HVW1" s="1755"/>
      <c r="HVX1" s="1755"/>
      <c r="HVY1" s="1755"/>
      <c r="HVZ1" s="1755"/>
      <c r="HWA1" s="1755"/>
      <c r="HWB1" s="1755"/>
      <c r="HWC1" s="1755"/>
      <c r="HWD1" s="1755"/>
      <c r="HWE1" s="1755"/>
      <c r="HWF1" s="1755"/>
      <c r="HWG1" s="1755"/>
      <c r="HWH1" s="1755"/>
      <c r="HWI1" s="1755"/>
      <c r="HWJ1" s="1755"/>
      <c r="HWK1" s="1755"/>
      <c r="HWL1" s="1755"/>
      <c r="HWM1" s="1755"/>
      <c r="HWN1" s="1755"/>
      <c r="HWO1" s="1755"/>
      <c r="HWP1" s="1755"/>
      <c r="HWQ1" s="1755"/>
      <c r="HWR1" s="1755"/>
      <c r="HWS1" s="1755"/>
      <c r="HWT1" s="1755"/>
      <c r="HWU1" s="1755"/>
      <c r="HWV1" s="1755"/>
      <c r="HWW1" s="1755"/>
      <c r="HWX1" s="1755"/>
      <c r="HWY1" s="1755"/>
      <c r="HWZ1" s="1755"/>
      <c r="HXA1" s="1755"/>
      <c r="HXB1" s="1755"/>
      <c r="HXC1" s="1755"/>
      <c r="HXD1" s="1755"/>
      <c r="HXE1" s="1755"/>
      <c r="HXF1" s="1755"/>
      <c r="HXG1" s="1755"/>
      <c r="HXH1" s="1755"/>
      <c r="HXI1" s="1755"/>
      <c r="HXJ1" s="1755"/>
      <c r="HXK1" s="1755"/>
      <c r="HXL1" s="1755"/>
      <c r="HXM1" s="1755"/>
      <c r="HXN1" s="1755"/>
      <c r="HXO1" s="1755"/>
      <c r="HXP1" s="1755"/>
      <c r="HXQ1" s="1755"/>
      <c r="HXR1" s="1755"/>
      <c r="HXS1" s="1755"/>
      <c r="HXT1" s="1755"/>
      <c r="HXU1" s="1755"/>
      <c r="HXV1" s="1755"/>
      <c r="HXW1" s="1755"/>
      <c r="HXX1" s="1755"/>
      <c r="HXY1" s="1755"/>
      <c r="HXZ1" s="1755"/>
      <c r="HYA1" s="1755"/>
      <c r="HYB1" s="1755"/>
      <c r="HYC1" s="1755"/>
      <c r="HYD1" s="1755"/>
      <c r="HYE1" s="1755"/>
      <c r="HYF1" s="1755"/>
      <c r="HYG1" s="1755"/>
      <c r="HYH1" s="1755"/>
      <c r="HYI1" s="1755"/>
      <c r="HYJ1" s="1755"/>
      <c r="HYK1" s="1755"/>
      <c r="HYL1" s="1755"/>
      <c r="HYM1" s="1755"/>
      <c r="HYN1" s="1755"/>
      <c r="HYO1" s="1755"/>
      <c r="HYP1" s="1755"/>
      <c r="HYQ1" s="1755"/>
      <c r="HYR1" s="1755"/>
      <c r="HYS1" s="1755"/>
      <c r="HYT1" s="1755"/>
      <c r="HYU1" s="1755"/>
      <c r="HYV1" s="1755"/>
      <c r="HYW1" s="1755"/>
      <c r="HYX1" s="1755"/>
      <c r="HYY1" s="1755"/>
      <c r="HYZ1" s="1755"/>
      <c r="HZA1" s="1755"/>
      <c r="HZB1" s="1755"/>
      <c r="HZC1" s="1755"/>
      <c r="HZD1" s="1755"/>
      <c r="HZE1" s="1755"/>
      <c r="HZF1" s="1755"/>
      <c r="HZG1" s="1755"/>
      <c r="HZH1" s="1755"/>
      <c r="HZI1" s="1755"/>
      <c r="HZJ1" s="1755"/>
      <c r="HZK1" s="1755"/>
      <c r="HZL1" s="1755"/>
      <c r="HZM1" s="1755"/>
      <c r="HZN1" s="1755"/>
      <c r="HZO1" s="1755"/>
      <c r="HZP1" s="1755"/>
      <c r="HZQ1" s="1755"/>
      <c r="HZR1" s="1755"/>
      <c r="HZS1" s="1755"/>
      <c r="HZT1" s="1755"/>
      <c r="HZU1" s="1755"/>
      <c r="HZV1" s="1755"/>
      <c r="HZW1" s="1755"/>
      <c r="HZX1" s="1755"/>
      <c r="HZY1" s="1755"/>
      <c r="HZZ1" s="1755"/>
      <c r="IAA1" s="1755"/>
      <c r="IAB1" s="1755"/>
      <c r="IAC1" s="1755"/>
      <c r="IAD1" s="1755"/>
      <c r="IAE1" s="1755"/>
      <c r="IAF1" s="1755"/>
      <c r="IAG1" s="1755"/>
      <c r="IAH1" s="1755"/>
      <c r="IAI1" s="1755"/>
      <c r="IAJ1" s="1755"/>
      <c r="IAK1" s="1755"/>
      <c r="IAL1" s="1755"/>
      <c r="IAM1" s="1755"/>
      <c r="IAN1" s="1755"/>
      <c r="IAO1" s="1755"/>
      <c r="IAP1" s="1755"/>
      <c r="IAQ1" s="1755"/>
      <c r="IAR1" s="1755"/>
      <c r="IAS1" s="1755"/>
      <c r="IAT1" s="1755"/>
      <c r="IAU1" s="1755"/>
      <c r="IAV1" s="1755"/>
      <c r="IAW1" s="1755"/>
      <c r="IAX1" s="1755"/>
      <c r="IAY1" s="1755"/>
      <c r="IAZ1" s="1755"/>
      <c r="IBA1" s="1755"/>
      <c r="IBB1" s="1755"/>
      <c r="IBC1" s="1755"/>
      <c r="IBD1" s="1755"/>
      <c r="IBE1" s="1755"/>
      <c r="IBF1" s="1755"/>
      <c r="IBG1" s="1755"/>
      <c r="IBH1" s="1755"/>
      <c r="IBI1" s="1755"/>
      <c r="IBJ1" s="1755"/>
      <c r="IBK1" s="1755"/>
      <c r="IBL1" s="1755"/>
      <c r="IBM1" s="1755"/>
      <c r="IBN1" s="1755"/>
      <c r="IBO1" s="1755"/>
      <c r="IBP1" s="1755"/>
      <c r="IBQ1" s="1755"/>
      <c r="IBR1" s="1755"/>
      <c r="IBS1" s="1755"/>
      <c r="IBT1" s="1755"/>
      <c r="IBU1" s="1755"/>
      <c r="IBV1" s="1755"/>
      <c r="IBW1" s="1755"/>
      <c r="IBX1" s="1755"/>
      <c r="IBY1" s="1755"/>
      <c r="IBZ1" s="1755"/>
      <c r="ICA1" s="1755"/>
      <c r="ICB1" s="1755"/>
      <c r="ICC1" s="1755"/>
      <c r="ICD1" s="1755"/>
      <c r="ICE1" s="1755"/>
      <c r="ICF1" s="1755"/>
      <c r="ICG1" s="1755"/>
      <c r="ICH1" s="1755"/>
      <c r="ICI1" s="1755"/>
      <c r="ICJ1" s="1755"/>
      <c r="ICK1" s="1755"/>
      <c r="ICL1" s="1755"/>
      <c r="ICM1" s="1755"/>
      <c r="ICN1" s="1755"/>
      <c r="ICO1" s="1755"/>
      <c r="ICP1" s="1755"/>
      <c r="ICQ1" s="1755"/>
      <c r="ICR1" s="1755"/>
      <c r="ICS1" s="1755"/>
      <c r="ICT1" s="1755"/>
      <c r="ICU1" s="1755"/>
      <c r="ICV1" s="1755"/>
      <c r="ICW1" s="1755"/>
      <c r="ICX1" s="1755"/>
      <c r="ICY1" s="1755"/>
      <c r="ICZ1" s="1755"/>
      <c r="IDA1" s="1755"/>
      <c r="IDB1" s="1755"/>
      <c r="IDC1" s="1755"/>
      <c r="IDD1" s="1755"/>
      <c r="IDE1" s="1755"/>
      <c r="IDF1" s="1755"/>
      <c r="IDG1" s="1755"/>
      <c r="IDH1" s="1755"/>
      <c r="IDI1" s="1755"/>
      <c r="IDJ1" s="1755"/>
      <c r="IDK1" s="1755"/>
      <c r="IDL1" s="1755"/>
      <c r="IDM1" s="1755"/>
      <c r="IDN1" s="1755"/>
      <c r="IDO1" s="1755"/>
      <c r="IDP1" s="1755"/>
      <c r="IDQ1" s="1755"/>
      <c r="IDR1" s="1755"/>
      <c r="IDS1" s="1755"/>
      <c r="IDT1" s="1755"/>
      <c r="IDU1" s="1755"/>
      <c r="IDV1" s="1755"/>
      <c r="IDW1" s="1755"/>
      <c r="IDX1" s="1755"/>
      <c r="IDY1" s="1755"/>
      <c r="IDZ1" s="1755"/>
      <c r="IEA1" s="1755"/>
      <c r="IEB1" s="1755"/>
      <c r="IEC1" s="1755"/>
      <c r="IED1" s="1755"/>
      <c r="IEE1" s="1755"/>
      <c r="IEF1" s="1755"/>
      <c r="IEG1" s="1755"/>
      <c r="IEH1" s="1755"/>
      <c r="IEI1" s="1755"/>
      <c r="IEJ1" s="1755"/>
      <c r="IEK1" s="1755"/>
      <c r="IEL1" s="1755"/>
      <c r="IEM1" s="1755"/>
      <c r="IEN1" s="1755"/>
      <c r="IEO1" s="1755"/>
      <c r="IEP1" s="1755"/>
      <c r="IEQ1" s="1755"/>
      <c r="IER1" s="1755"/>
      <c r="IES1" s="1755"/>
      <c r="IET1" s="1755"/>
      <c r="IEU1" s="1755"/>
      <c r="IEV1" s="1755"/>
      <c r="IEW1" s="1755"/>
      <c r="IEX1" s="1755"/>
      <c r="IEY1" s="1755"/>
      <c r="IEZ1" s="1755"/>
      <c r="IFA1" s="1755"/>
      <c r="IFB1" s="1755"/>
      <c r="IFC1" s="1755"/>
      <c r="IFD1" s="1755"/>
      <c r="IFE1" s="1755"/>
      <c r="IFF1" s="1755"/>
      <c r="IFG1" s="1755"/>
      <c r="IFH1" s="1755"/>
      <c r="IFI1" s="1755"/>
      <c r="IFJ1" s="1755"/>
      <c r="IFK1" s="1755"/>
      <c r="IFL1" s="1755"/>
      <c r="IFM1" s="1755"/>
      <c r="IFN1" s="1755"/>
      <c r="IFO1" s="1755"/>
      <c r="IFP1" s="1755"/>
      <c r="IFQ1" s="1755"/>
      <c r="IFR1" s="1755"/>
      <c r="IFS1" s="1755"/>
      <c r="IFT1" s="1755"/>
      <c r="IFU1" s="1755"/>
      <c r="IFV1" s="1755"/>
      <c r="IFW1" s="1755"/>
      <c r="IFX1" s="1755"/>
      <c r="IFY1" s="1755"/>
      <c r="IFZ1" s="1755"/>
      <c r="IGA1" s="1755"/>
      <c r="IGB1" s="1755"/>
      <c r="IGC1" s="1755"/>
      <c r="IGD1" s="1755"/>
      <c r="IGE1" s="1755"/>
      <c r="IGF1" s="1755"/>
      <c r="IGG1" s="1755"/>
      <c r="IGH1" s="1755"/>
      <c r="IGI1" s="1755"/>
      <c r="IGJ1" s="1755"/>
      <c r="IGK1" s="1755"/>
      <c r="IGL1" s="1755"/>
      <c r="IGM1" s="1755"/>
      <c r="IGN1" s="1755"/>
      <c r="IGO1" s="1755"/>
      <c r="IGP1" s="1755"/>
      <c r="IGQ1" s="1755"/>
      <c r="IGR1" s="1755"/>
      <c r="IGS1" s="1755"/>
      <c r="IGT1" s="1755"/>
      <c r="IGU1" s="1755"/>
      <c r="IGV1" s="1755"/>
      <c r="IGW1" s="1755"/>
      <c r="IGX1" s="1755"/>
      <c r="IGY1" s="1755"/>
      <c r="IGZ1" s="1755"/>
      <c r="IHA1" s="1755"/>
      <c r="IHB1" s="1755"/>
      <c r="IHC1" s="1755"/>
      <c r="IHD1" s="1755"/>
      <c r="IHE1" s="1755"/>
      <c r="IHF1" s="1755"/>
      <c r="IHG1" s="1755"/>
      <c r="IHH1" s="1755"/>
      <c r="IHI1" s="1755"/>
      <c r="IHJ1" s="1755"/>
      <c r="IHK1" s="1755"/>
      <c r="IHL1" s="1755"/>
      <c r="IHM1" s="1755"/>
      <c r="IHN1" s="1755"/>
      <c r="IHO1" s="1755"/>
      <c r="IHP1" s="1755"/>
      <c r="IHQ1" s="1755"/>
      <c r="IHR1" s="1755"/>
      <c r="IHS1" s="1755"/>
      <c r="IHT1" s="1755"/>
      <c r="IHU1" s="1755"/>
      <c r="IHV1" s="1755"/>
      <c r="IHW1" s="1755"/>
      <c r="IHX1" s="1755"/>
      <c r="IHY1" s="1755"/>
      <c r="IHZ1" s="1755"/>
      <c r="IIA1" s="1755"/>
      <c r="IIB1" s="1755"/>
      <c r="IIC1" s="1755"/>
      <c r="IID1" s="1755"/>
      <c r="IIE1" s="1755"/>
      <c r="IIF1" s="1755"/>
      <c r="IIG1" s="1755"/>
      <c r="IIH1" s="1755"/>
      <c r="III1" s="1755"/>
      <c r="IIJ1" s="1755"/>
      <c r="IIK1" s="1755"/>
      <c r="IIL1" s="1755"/>
      <c r="IIM1" s="1755"/>
      <c r="IIN1" s="1755"/>
      <c r="IIO1" s="1755"/>
      <c r="IIP1" s="1755"/>
      <c r="IIQ1" s="1755"/>
      <c r="IIR1" s="1755"/>
      <c r="IIS1" s="1755"/>
      <c r="IIT1" s="1755"/>
      <c r="IIU1" s="1755"/>
      <c r="IIV1" s="1755"/>
      <c r="IIW1" s="1755"/>
      <c r="IIX1" s="1755"/>
      <c r="IIY1" s="1755"/>
      <c r="IIZ1" s="1755"/>
      <c r="IJA1" s="1755"/>
      <c r="IJB1" s="1755"/>
      <c r="IJC1" s="1755"/>
      <c r="IJD1" s="1755"/>
      <c r="IJE1" s="1755"/>
      <c r="IJF1" s="1755"/>
      <c r="IJG1" s="1755"/>
      <c r="IJH1" s="1755"/>
      <c r="IJI1" s="1755"/>
      <c r="IJJ1" s="1755"/>
      <c r="IJK1" s="1755"/>
      <c r="IJL1" s="1755"/>
      <c r="IJM1" s="1755"/>
      <c r="IJN1" s="1755"/>
      <c r="IJO1" s="1755"/>
      <c r="IJP1" s="1755"/>
      <c r="IJQ1" s="1755"/>
      <c r="IJR1" s="1755"/>
      <c r="IJS1" s="1755"/>
      <c r="IJT1" s="1755"/>
      <c r="IJU1" s="1755"/>
      <c r="IJV1" s="1755"/>
      <c r="IJW1" s="1755"/>
      <c r="IJX1" s="1755"/>
      <c r="IJY1" s="1755"/>
      <c r="IJZ1" s="1755"/>
      <c r="IKA1" s="1755"/>
      <c r="IKB1" s="1755"/>
      <c r="IKC1" s="1755"/>
      <c r="IKD1" s="1755"/>
      <c r="IKE1" s="1755"/>
      <c r="IKF1" s="1755"/>
      <c r="IKG1" s="1755"/>
      <c r="IKH1" s="1755"/>
      <c r="IKI1" s="1755"/>
      <c r="IKJ1" s="1755"/>
      <c r="IKK1" s="1755"/>
      <c r="IKL1" s="1755"/>
      <c r="IKM1" s="1755"/>
      <c r="IKN1" s="1755"/>
      <c r="IKO1" s="1755"/>
      <c r="IKP1" s="1755"/>
      <c r="IKQ1" s="1755"/>
      <c r="IKR1" s="1755"/>
      <c r="IKS1" s="1755"/>
      <c r="IKT1" s="1755"/>
      <c r="IKU1" s="1755"/>
      <c r="IKV1" s="1755"/>
      <c r="IKW1" s="1755"/>
      <c r="IKX1" s="1755"/>
      <c r="IKY1" s="1755"/>
      <c r="IKZ1" s="1755"/>
      <c r="ILA1" s="1755"/>
      <c r="ILB1" s="1755"/>
      <c r="ILC1" s="1755"/>
      <c r="ILD1" s="1755"/>
      <c r="ILE1" s="1755"/>
      <c r="ILF1" s="1755"/>
      <c r="ILG1" s="1755"/>
      <c r="ILH1" s="1755"/>
      <c r="ILI1" s="1755"/>
      <c r="ILJ1" s="1755"/>
      <c r="ILK1" s="1755"/>
      <c r="ILL1" s="1755"/>
      <c r="ILM1" s="1755"/>
      <c r="ILN1" s="1755"/>
      <c r="ILO1" s="1755"/>
      <c r="ILP1" s="1755"/>
      <c r="ILQ1" s="1755"/>
      <c r="ILR1" s="1755"/>
      <c r="ILS1" s="1755"/>
      <c r="ILT1" s="1755"/>
      <c r="ILU1" s="1755"/>
      <c r="ILV1" s="1755"/>
      <c r="ILW1" s="1755"/>
      <c r="ILX1" s="1755"/>
      <c r="ILY1" s="1755"/>
      <c r="ILZ1" s="1755"/>
      <c r="IMA1" s="1755"/>
      <c r="IMB1" s="1755"/>
      <c r="IMC1" s="1755"/>
      <c r="IMD1" s="1755"/>
      <c r="IME1" s="1755"/>
      <c r="IMF1" s="1755"/>
      <c r="IMG1" s="1755"/>
      <c r="IMH1" s="1755"/>
      <c r="IMI1" s="1755"/>
      <c r="IMJ1" s="1755"/>
      <c r="IMK1" s="1755"/>
      <c r="IML1" s="1755"/>
      <c r="IMM1" s="1755"/>
      <c r="IMN1" s="1755"/>
      <c r="IMO1" s="1755"/>
      <c r="IMP1" s="1755"/>
      <c r="IMQ1" s="1755"/>
      <c r="IMR1" s="1755"/>
      <c r="IMS1" s="1755"/>
      <c r="IMT1" s="1755"/>
      <c r="IMU1" s="1755"/>
      <c r="IMV1" s="1755"/>
      <c r="IMW1" s="1755"/>
      <c r="IMX1" s="1755"/>
      <c r="IMY1" s="1755"/>
      <c r="IMZ1" s="1755"/>
      <c r="INA1" s="1755"/>
      <c r="INB1" s="1755"/>
      <c r="INC1" s="1755"/>
      <c r="IND1" s="1755"/>
      <c r="INE1" s="1755"/>
      <c r="INF1" s="1755"/>
      <c r="ING1" s="1755"/>
      <c r="INH1" s="1755"/>
      <c r="INI1" s="1755"/>
      <c r="INJ1" s="1755"/>
      <c r="INK1" s="1755"/>
      <c r="INL1" s="1755"/>
      <c r="INM1" s="1755"/>
      <c r="INN1" s="1755"/>
      <c r="INO1" s="1755"/>
      <c r="INP1" s="1755"/>
      <c r="INQ1" s="1755"/>
      <c r="INR1" s="1755"/>
      <c r="INS1" s="1755"/>
      <c r="INT1" s="1755"/>
      <c r="INU1" s="1755"/>
      <c r="INV1" s="1755"/>
      <c r="INW1" s="1755"/>
      <c r="INX1" s="1755"/>
      <c r="INY1" s="1755"/>
      <c r="INZ1" s="1755"/>
      <c r="IOA1" s="1755"/>
      <c r="IOB1" s="1755"/>
      <c r="IOC1" s="1755"/>
      <c r="IOD1" s="1755"/>
      <c r="IOE1" s="1755"/>
      <c r="IOF1" s="1755"/>
      <c r="IOG1" s="1755"/>
      <c r="IOH1" s="1755"/>
      <c r="IOI1" s="1755"/>
      <c r="IOJ1" s="1755"/>
      <c r="IOK1" s="1755"/>
      <c r="IOL1" s="1755"/>
      <c r="IOM1" s="1755"/>
      <c r="ION1" s="1755"/>
      <c r="IOO1" s="1755"/>
      <c r="IOP1" s="1755"/>
      <c r="IOQ1" s="1755"/>
      <c r="IOR1" s="1755"/>
      <c r="IOS1" s="1755"/>
      <c r="IOT1" s="1755"/>
      <c r="IOU1" s="1755"/>
      <c r="IOV1" s="1755"/>
      <c r="IOW1" s="1755"/>
      <c r="IOX1" s="1755"/>
      <c r="IOY1" s="1755"/>
      <c r="IOZ1" s="1755"/>
      <c r="IPA1" s="1755"/>
      <c r="IPB1" s="1755"/>
      <c r="IPC1" s="1755"/>
      <c r="IPD1" s="1755"/>
      <c r="IPE1" s="1755"/>
      <c r="IPF1" s="1755"/>
      <c r="IPG1" s="1755"/>
      <c r="IPH1" s="1755"/>
      <c r="IPI1" s="1755"/>
      <c r="IPJ1" s="1755"/>
      <c r="IPK1" s="1755"/>
      <c r="IPL1" s="1755"/>
      <c r="IPM1" s="1755"/>
      <c r="IPN1" s="1755"/>
      <c r="IPO1" s="1755"/>
      <c r="IPP1" s="1755"/>
      <c r="IPQ1" s="1755"/>
      <c r="IPR1" s="1755"/>
      <c r="IPS1" s="1755"/>
      <c r="IPT1" s="1755"/>
      <c r="IPU1" s="1755"/>
      <c r="IPV1" s="1755"/>
      <c r="IPW1" s="1755"/>
      <c r="IPX1" s="1755"/>
      <c r="IPY1" s="1755"/>
      <c r="IPZ1" s="1755"/>
      <c r="IQA1" s="1755"/>
      <c r="IQB1" s="1755"/>
      <c r="IQC1" s="1755"/>
      <c r="IQD1" s="1755"/>
      <c r="IQE1" s="1755"/>
      <c r="IQF1" s="1755"/>
      <c r="IQG1" s="1755"/>
      <c r="IQH1" s="1755"/>
      <c r="IQI1" s="1755"/>
      <c r="IQJ1" s="1755"/>
      <c r="IQK1" s="1755"/>
      <c r="IQL1" s="1755"/>
      <c r="IQM1" s="1755"/>
      <c r="IQN1" s="1755"/>
      <c r="IQO1" s="1755"/>
      <c r="IQP1" s="1755"/>
      <c r="IQQ1" s="1755"/>
      <c r="IQR1" s="1755"/>
      <c r="IQS1" s="1755"/>
      <c r="IQT1" s="1755"/>
      <c r="IQU1" s="1755"/>
      <c r="IQV1" s="1755"/>
      <c r="IQW1" s="1755"/>
      <c r="IQX1" s="1755"/>
      <c r="IQY1" s="1755"/>
      <c r="IQZ1" s="1755"/>
      <c r="IRA1" s="1755"/>
      <c r="IRB1" s="1755"/>
      <c r="IRC1" s="1755"/>
      <c r="IRD1" s="1755"/>
      <c r="IRE1" s="1755"/>
      <c r="IRF1" s="1755"/>
      <c r="IRG1" s="1755"/>
      <c r="IRH1" s="1755"/>
      <c r="IRI1" s="1755"/>
      <c r="IRJ1" s="1755"/>
      <c r="IRK1" s="1755"/>
      <c r="IRL1" s="1755"/>
      <c r="IRM1" s="1755"/>
      <c r="IRN1" s="1755"/>
      <c r="IRO1" s="1755"/>
      <c r="IRP1" s="1755"/>
      <c r="IRQ1" s="1755"/>
      <c r="IRR1" s="1755"/>
      <c r="IRS1" s="1755"/>
      <c r="IRT1" s="1755"/>
      <c r="IRU1" s="1755"/>
      <c r="IRV1" s="1755"/>
      <c r="IRW1" s="1755"/>
      <c r="IRX1" s="1755"/>
      <c r="IRY1" s="1755"/>
      <c r="IRZ1" s="1755"/>
      <c r="ISA1" s="1755"/>
      <c r="ISB1" s="1755"/>
      <c r="ISC1" s="1755"/>
      <c r="ISD1" s="1755"/>
      <c r="ISE1" s="1755"/>
      <c r="ISF1" s="1755"/>
      <c r="ISG1" s="1755"/>
      <c r="ISH1" s="1755"/>
      <c r="ISI1" s="1755"/>
      <c r="ISJ1" s="1755"/>
      <c r="ISK1" s="1755"/>
      <c r="ISL1" s="1755"/>
      <c r="ISM1" s="1755"/>
      <c r="ISN1" s="1755"/>
      <c r="ISO1" s="1755"/>
      <c r="ISP1" s="1755"/>
      <c r="ISQ1" s="1755"/>
      <c r="ISR1" s="1755"/>
      <c r="ISS1" s="1755"/>
      <c r="IST1" s="1755"/>
      <c r="ISU1" s="1755"/>
      <c r="ISV1" s="1755"/>
      <c r="ISW1" s="1755"/>
      <c r="ISX1" s="1755"/>
      <c r="ISY1" s="1755"/>
      <c r="ISZ1" s="1755"/>
      <c r="ITA1" s="1755"/>
      <c r="ITB1" s="1755"/>
      <c r="ITC1" s="1755"/>
      <c r="ITD1" s="1755"/>
      <c r="ITE1" s="1755"/>
      <c r="ITF1" s="1755"/>
      <c r="ITG1" s="1755"/>
      <c r="ITH1" s="1755"/>
      <c r="ITI1" s="1755"/>
      <c r="ITJ1" s="1755"/>
      <c r="ITK1" s="1755"/>
      <c r="ITL1" s="1755"/>
      <c r="ITM1" s="1755"/>
      <c r="ITN1" s="1755"/>
      <c r="ITO1" s="1755"/>
      <c r="ITP1" s="1755"/>
      <c r="ITQ1" s="1755"/>
      <c r="ITR1" s="1755"/>
      <c r="ITS1" s="1755"/>
      <c r="ITT1" s="1755"/>
      <c r="ITU1" s="1755"/>
      <c r="ITV1" s="1755"/>
      <c r="ITW1" s="1755"/>
      <c r="ITX1" s="1755"/>
      <c r="ITY1" s="1755"/>
      <c r="ITZ1" s="1755"/>
      <c r="IUA1" s="1755"/>
      <c r="IUB1" s="1755"/>
      <c r="IUC1" s="1755"/>
      <c r="IUD1" s="1755"/>
      <c r="IUE1" s="1755"/>
      <c r="IUF1" s="1755"/>
      <c r="IUG1" s="1755"/>
      <c r="IUH1" s="1755"/>
      <c r="IUI1" s="1755"/>
      <c r="IUJ1" s="1755"/>
      <c r="IUK1" s="1755"/>
      <c r="IUL1" s="1755"/>
      <c r="IUM1" s="1755"/>
      <c r="IUN1" s="1755"/>
      <c r="IUO1" s="1755"/>
      <c r="IUP1" s="1755"/>
      <c r="IUQ1" s="1755"/>
      <c r="IUR1" s="1755"/>
      <c r="IUS1" s="1755"/>
      <c r="IUT1" s="1755"/>
      <c r="IUU1" s="1755"/>
      <c r="IUV1" s="1755"/>
      <c r="IUW1" s="1755"/>
      <c r="IUX1" s="1755"/>
      <c r="IUY1" s="1755"/>
      <c r="IUZ1" s="1755"/>
      <c r="IVA1" s="1755"/>
      <c r="IVB1" s="1755"/>
      <c r="IVC1" s="1755"/>
      <c r="IVD1" s="1755"/>
      <c r="IVE1" s="1755"/>
      <c r="IVF1" s="1755"/>
      <c r="IVG1" s="1755"/>
      <c r="IVH1" s="1755"/>
      <c r="IVI1" s="1755"/>
      <c r="IVJ1" s="1755"/>
      <c r="IVK1" s="1755"/>
      <c r="IVL1" s="1755"/>
      <c r="IVM1" s="1755"/>
      <c r="IVN1" s="1755"/>
      <c r="IVO1" s="1755"/>
      <c r="IVP1" s="1755"/>
      <c r="IVQ1" s="1755"/>
      <c r="IVR1" s="1755"/>
      <c r="IVS1" s="1755"/>
      <c r="IVT1" s="1755"/>
      <c r="IVU1" s="1755"/>
      <c r="IVV1" s="1755"/>
      <c r="IVW1" s="1755"/>
      <c r="IVX1" s="1755"/>
      <c r="IVY1" s="1755"/>
      <c r="IVZ1" s="1755"/>
      <c r="IWA1" s="1755"/>
      <c r="IWB1" s="1755"/>
      <c r="IWC1" s="1755"/>
      <c r="IWD1" s="1755"/>
      <c r="IWE1" s="1755"/>
      <c r="IWF1" s="1755"/>
      <c r="IWG1" s="1755"/>
      <c r="IWH1" s="1755"/>
      <c r="IWI1" s="1755"/>
      <c r="IWJ1" s="1755"/>
      <c r="IWK1" s="1755"/>
      <c r="IWL1" s="1755"/>
      <c r="IWM1" s="1755"/>
      <c r="IWN1" s="1755"/>
      <c r="IWO1" s="1755"/>
      <c r="IWP1" s="1755"/>
      <c r="IWQ1" s="1755"/>
      <c r="IWR1" s="1755"/>
      <c r="IWS1" s="1755"/>
      <c r="IWT1" s="1755"/>
      <c r="IWU1" s="1755"/>
      <c r="IWV1" s="1755"/>
      <c r="IWW1" s="1755"/>
      <c r="IWX1" s="1755"/>
      <c r="IWY1" s="1755"/>
      <c r="IWZ1" s="1755"/>
      <c r="IXA1" s="1755"/>
      <c r="IXB1" s="1755"/>
      <c r="IXC1" s="1755"/>
      <c r="IXD1" s="1755"/>
      <c r="IXE1" s="1755"/>
      <c r="IXF1" s="1755"/>
      <c r="IXG1" s="1755"/>
      <c r="IXH1" s="1755"/>
      <c r="IXI1" s="1755"/>
      <c r="IXJ1" s="1755"/>
      <c r="IXK1" s="1755"/>
      <c r="IXL1" s="1755"/>
      <c r="IXM1" s="1755"/>
      <c r="IXN1" s="1755"/>
      <c r="IXO1" s="1755"/>
      <c r="IXP1" s="1755"/>
      <c r="IXQ1" s="1755"/>
      <c r="IXR1" s="1755"/>
      <c r="IXS1" s="1755"/>
      <c r="IXT1" s="1755"/>
      <c r="IXU1" s="1755"/>
      <c r="IXV1" s="1755"/>
      <c r="IXW1" s="1755"/>
      <c r="IXX1" s="1755"/>
      <c r="IXY1" s="1755"/>
      <c r="IXZ1" s="1755"/>
      <c r="IYA1" s="1755"/>
      <c r="IYB1" s="1755"/>
      <c r="IYC1" s="1755"/>
      <c r="IYD1" s="1755"/>
      <c r="IYE1" s="1755"/>
      <c r="IYF1" s="1755"/>
      <c r="IYG1" s="1755"/>
      <c r="IYH1" s="1755"/>
      <c r="IYI1" s="1755"/>
      <c r="IYJ1" s="1755"/>
      <c r="IYK1" s="1755"/>
      <c r="IYL1" s="1755"/>
      <c r="IYM1" s="1755"/>
      <c r="IYN1" s="1755"/>
      <c r="IYO1" s="1755"/>
      <c r="IYP1" s="1755"/>
      <c r="IYQ1" s="1755"/>
      <c r="IYR1" s="1755"/>
      <c r="IYS1" s="1755"/>
      <c r="IYT1" s="1755"/>
      <c r="IYU1" s="1755"/>
      <c r="IYV1" s="1755"/>
      <c r="IYW1" s="1755"/>
      <c r="IYX1" s="1755"/>
      <c r="IYY1" s="1755"/>
      <c r="IYZ1" s="1755"/>
      <c r="IZA1" s="1755"/>
      <c r="IZB1" s="1755"/>
      <c r="IZC1" s="1755"/>
      <c r="IZD1" s="1755"/>
      <c r="IZE1" s="1755"/>
      <c r="IZF1" s="1755"/>
      <c r="IZG1" s="1755"/>
      <c r="IZH1" s="1755"/>
      <c r="IZI1" s="1755"/>
      <c r="IZJ1" s="1755"/>
      <c r="IZK1" s="1755"/>
      <c r="IZL1" s="1755"/>
      <c r="IZM1" s="1755"/>
      <c r="IZN1" s="1755"/>
      <c r="IZO1" s="1755"/>
      <c r="IZP1" s="1755"/>
      <c r="IZQ1" s="1755"/>
      <c r="IZR1" s="1755"/>
      <c r="IZS1" s="1755"/>
      <c r="IZT1" s="1755"/>
      <c r="IZU1" s="1755"/>
      <c r="IZV1" s="1755"/>
      <c r="IZW1" s="1755"/>
      <c r="IZX1" s="1755"/>
      <c r="IZY1" s="1755"/>
      <c r="IZZ1" s="1755"/>
      <c r="JAA1" s="1755"/>
      <c r="JAB1" s="1755"/>
      <c r="JAC1" s="1755"/>
      <c r="JAD1" s="1755"/>
      <c r="JAE1" s="1755"/>
      <c r="JAF1" s="1755"/>
      <c r="JAG1" s="1755"/>
      <c r="JAH1" s="1755"/>
      <c r="JAI1" s="1755"/>
      <c r="JAJ1" s="1755"/>
      <c r="JAK1" s="1755"/>
      <c r="JAL1" s="1755"/>
      <c r="JAM1" s="1755"/>
      <c r="JAN1" s="1755"/>
      <c r="JAO1" s="1755"/>
      <c r="JAP1" s="1755"/>
      <c r="JAQ1" s="1755"/>
      <c r="JAR1" s="1755"/>
      <c r="JAS1" s="1755"/>
      <c r="JAT1" s="1755"/>
      <c r="JAU1" s="1755"/>
      <c r="JAV1" s="1755"/>
      <c r="JAW1" s="1755"/>
      <c r="JAX1" s="1755"/>
      <c r="JAY1" s="1755"/>
      <c r="JAZ1" s="1755"/>
      <c r="JBA1" s="1755"/>
      <c r="JBB1" s="1755"/>
      <c r="JBC1" s="1755"/>
      <c r="JBD1" s="1755"/>
      <c r="JBE1" s="1755"/>
      <c r="JBF1" s="1755"/>
      <c r="JBG1" s="1755"/>
      <c r="JBH1" s="1755"/>
      <c r="JBI1" s="1755"/>
      <c r="JBJ1" s="1755"/>
      <c r="JBK1" s="1755"/>
      <c r="JBL1" s="1755"/>
      <c r="JBM1" s="1755"/>
      <c r="JBN1" s="1755"/>
      <c r="JBO1" s="1755"/>
      <c r="JBP1" s="1755"/>
      <c r="JBQ1" s="1755"/>
      <c r="JBR1" s="1755"/>
      <c r="JBS1" s="1755"/>
      <c r="JBT1" s="1755"/>
      <c r="JBU1" s="1755"/>
      <c r="JBV1" s="1755"/>
      <c r="JBW1" s="1755"/>
      <c r="JBX1" s="1755"/>
      <c r="JBY1" s="1755"/>
      <c r="JBZ1" s="1755"/>
      <c r="JCA1" s="1755"/>
      <c r="JCB1" s="1755"/>
      <c r="JCC1" s="1755"/>
      <c r="JCD1" s="1755"/>
      <c r="JCE1" s="1755"/>
      <c r="JCF1" s="1755"/>
      <c r="JCG1" s="1755"/>
      <c r="JCH1" s="1755"/>
      <c r="JCI1" s="1755"/>
      <c r="JCJ1" s="1755"/>
      <c r="JCK1" s="1755"/>
      <c r="JCL1" s="1755"/>
      <c r="JCM1" s="1755"/>
      <c r="JCN1" s="1755"/>
      <c r="JCO1" s="1755"/>
      <c r="JCP1" s="1755"/>
      <c r="JCQ1" s="1755"/>
      <c r="JCR1" s="1755"/>
      <c r="JCS1" s="1755"/>
      <c r="JCT1" s="1755"/>
      <c r="JCU1" s="1755"/>
      <c r="JCV1" s="1755"/>
      <c r="JCW1" s="1755"/>
      <c r="JCX1" s="1755"/>
      <c r="JCY1" s="1755"/>
      <c r="JCZ1" s="1755"/>
      <c r="JDA1" s="1755"/>
      <c r="JDB1" s="1755"/>
      <c r="JDC1" s="1755"/>
      <c r="JDD1" s="1755"/>
      <c r="JDE1" s="1755"/>
      <c r="JDF1" s="1755"/>
      <c r="JDG1" s="1755"/>
      <c r="JDH1" s="1755"/>
      <c r="JDI1" s="1755"/>
      <c r="JDJ1" s="1755"/>
      <c r="JDK1" s="1755"/>
      <c r="JDL1" s="1755"/>
      <c r="JDM1" s="1755"/>
      <c r="JDN1" s="1755"/>
      <c r="JDO1" s="1755"/>
      <c r="JDP1" s="1755"/>
      <c r="JDQ1" s="1755"/>
      <c r="JDR1" s="1755"/>
      <c r="JDS1" s="1755"/>
      <c r="JDT1" s="1755"/>
      <c r="JDU1" s="1755"/>
      <c r="JDV1" s="1755"/>
      <c r="JDW1" s="1755"/>
      <c r="JDX1" s="1755"/>
      <c r="JDY1" s="1755"/>
      <c r="JDZ1" s="1755"/>
      <c r="JEA1" s="1755"/>
      <c r="JEB1" s="1755"/>
      <c r="JEC1" s="1755"/>
      <c r="JED1" s="1755"/>
      <c r="JEE1" s="1755"/>
      <c r="JEF1" s="1755"/>
      <c r="JEG1" s="1755"/>
      <c r="JEH1" s="1755"/>
      <c r="JEI1" s="1755"/>
      <c r="JEJ1" s="1755"/>
      <c r="JEK1" s="1755"/>
      <c r="JEL1" s="1755"/>
      <c r="JEM1" s="1755"/>
      <c r="JEN1" s="1755"/>
      <c r="JEO1" s="1755"/>
      <c r="JEP1" s="1755"/>
      <c r="JEQ1" s="1755"/>
      <c r="JER1" s="1755"/>
      <c r="JES1" s="1755"/>
      <c r="JET1" s="1755"/>
      <c r="JEU1" s="1755"/>
      <c r="JEV1" s="1755"/>
      <c r="JEW1" s="1755"/>
      <c r="JEX1" s="1755"/>
      <c r="JEY1" s="1755"/>
      <c r="JEZ1" s="1755"/>
      <c r="JFA1" s="1755"/>
      <c r="JFB1" s="1755"/>
      <c r="JFC1" s="1755"/>
      <c r="JFD1" s="1755"/>
      <c r="JFE1" s="1755"/>
      <c r="JFF1" s="1755"/>
      <c r="JFG1" s="1755"/>
      <c r="JFH1" s="1755"/>
      <c r="JFI1" s="1755"/>
      <c r="JFJ1" s="1755"/>
      <c r="JFK1" s="1755"/>
      <c r="JFL1" s="1755"/>
      <c r="JFM1" s="1755"/>
      <c r="JFN1" s="1755"/>
      <c r="JFO1" s="1755"/>
      <c r="JFP1" s="1755"/>
      <c r="JFQ1" s="1755"/>
      <c r="JFR1" s="1755"/>
      <c r="JFS1" s="1755"/>
      <c r="JFT1" s="1755"/>
      <c r="JFU1" s="1755"/>
      <c r="JFV1" s="1755"/>
      <c r="JFW1" s="1755"/>
      <c r="JFX1" s="1755"/>
      <c r="JFY1" s="1755"/>
      <c r="JFZ1" s="1755"/>
      <c r="JGA1" s="1755"/>
      <c r="JGB1" s="1755"/>
      <c r="JGC1" s="1755"/>
      <c r="JGD1" s="1755"/>
      <c r="JGE1" s="1755"/>
      <c r="JGF1" s="1755"/>
      <c r="JGG1" s="1755"/>
      <c r="JGH1" s="1755"/>
      <c r="JGI1" s="1755"/>
      <c r="JGJ1" s="1755"/>
      <c r="JGK1" s="1755"/>
      <c r="JGL1" s="1755"/>
      <c r="JGM1" s="1755"/>
      <c r="JGN1" s="1755"/>
      <c r="JGO1" s="1755"/>
      <c r="JGP1" s="1755"/>
      <c r="JGQ1" s="1755"/>
      <c r="JGR1" s="1755"/>
      <c r="JGS1" s="1755"/>
      <c r="JGT1" s="1755"/>
      <c r="JGU1" s="1755"/>
      <c r="JGV1" s="1755"/>
      <c r="JGW1" s="1755"/>
      <c r="JGX1" s="1755"/>
      <c r="JGY1" s="1755"/>
      <c r="JGZ1" s="1755"/>
      <c r="JHA1" s="1755"/>
      <c r="JHB1" s="1755"/>
      <c r="JHC1" s="1755"/>
      <c r="JHD1" s="1755"/>
      <c r="JHE1" s="1755"/>
      <c r="JHF1" s="1755"/>
      <c r="JHG1" s="1755"/>
      <c r="JHH1" s="1755"/>
      <c r="JHI1" s="1755"/>
      <c r="JHJ1" s="1755"/>
      <c r="JHK1" s="1755"/>
      <c r="JHL1" s="1755"/>
      <c r="JHM1" s="1755"/>
      <c r="JHN1" s="1755"/>
      <c r="JHO1" s="1755"/>
      <c r="JHP1" s="1755"/>
      <c r="JHQ1" s="1755"/>
      <c r="JHR1" s="1755"/>
      <c r="JHS1" s="1755"/>
      <c r="JHT1" s="1755"/>
      <c r="JHU1" s="1755"/>
      <c r="JHV1" s="1755"/>
      <c r="JHW1" s="1755"/>
      <c r="JHX1" s="1755"/>
      <c r="JHY1" s="1755"/>
      <c r="JHZ1" s="1755"/>
      <c r="JIA1" s="1755"/>
      <c r="JIB1" s="1755"/>
      <c r="JIC1" s="1755"/>
      <c r="JID1" s="1755"/>
      <c r="JIE1" s="1755"/>
      <c r="JIF1" s="1755"/>
      <c r="JIG1" s="1755"/>
      <c r="JIH1" s="1755"/>
      <c r="JII1" s="1755"/>
      <c r="JIJ1" s="1755"/>
      <c r="JIK1" s="1755"/>
      <c r="JIL1" s="1755"/>
      <c r="JIM1" s="1755"/>
      <c r="JIN1" s="1755"/>
      <c r="JIO1" s="1755"/>
      <c r="JIP1" s="1755"/>
      <c r="JIQ1" s="1755"/>
      <c r="JIR1" s="1755"/>
      <c r="JIS1" s="1755"/>
      <c r="JIT1" s="1755"/>
      <c r="JIU1" s="1755"/>
      <c r="JIV1" s="1755"/>
      <c r="JIW1" s="1755"/>
      <c r="JIX1" s="1755"/>
      <c r="JIY1" s="1755"/>
      <c r="JIZ1" s="1755"/>
      <c r="JJA1" s="1755"/>
      <c r="JJB1" s="1755"/>
      <c r="JJC1" s="1755"/>
      <c r="JJD1" s="1755"/>
      <c r="JJE1" s="1755"/>
      <c r="JJF1" s="1755"/>
      <c r="JJG1" s="1755"/>
      <c r="JJH1" s="1755"/>
      <c r="JJI1" s="1755"/>
      <c r="JJJ1" s="1755"/>
      <c r="JJK1" s="1755"/>
      <c r="JJL1" s="1755"/>
      <c r="JJM1" s="1755"/>
      <c r="JJN1" s="1755"/>
      <c r="JJO1" s="1755"/>
      <c r="JJP1" s="1755"/>
      <c r="JJQ1" s="1755"/>
      <c r="JJR1" s="1755"/>
      <c r="JJS1" s="1755"/>
      <c r="JJT1" s="1755"/>
      <c r="JJU1" s="1755"/>
      <c r="JJV1" s="1755"/>
      <c r="JJW1" s="1755"/>
      <c r="JJX1" s="1755"/>
      <c r="JJY1" s="1755"/>
      <c r="JJZ1" s="1755"/>
      <c r="JKA1" s="1755"/>
      <c r="JKB1" s="1755"/>
      <c r="JKC1" s="1755"/>
      <c r="JKD1" s="1755"/>
      <c r="JKE1" s="1755"/>
      <c r="JKF1" s="1755"/>
      <c r="JKG1" s="1755"/>
      <c r="JKH1" s="1755"/>
      <c r="JKI1" s="1755"/>
      <c r="JKJ1" s="1755"/>
      <c r="JKK1" s="1755"/>
      <c r="JKL1" s="1755"/>
      <c r="JKM1" s="1755"/>
      <c r="JKN1" s="1755"/>
      <c r="JKO1" s="1755"/>
      <c r="JKP1" s="1755"/>
      <c r="JKQ1" s="1755"/>
      <c r="JKR1" s="1755"/>
      <c r="JKS1" s="1755"/>
      <c r="JKT1" s="1755"/>
      <c r="JKU1" s="1755"/>
      <c r="JKV1" s="1755"/>
      <c r="JKW1" s="1755"/>
      <c r="JKX1" s="1755"/>
      <c r="JKY1" s="1755"/>
      <c r="JKZ1" s="1755"/>
      <c r="JLA1" s="1755"/>
      <c r="JLB1" s="1755"/>
      <c r="JLC1" s="1755"/>
      <c r="JLD1" s="1755"/>
      <c r="JLE1" s="1755"/>
      <c r="JLF1" s="1755"/>
      <c r="JLG1" s="1755"/>
      <c r="JLH1" s="1755"/>
      <c r="JLI1" s="1755"/>
      <c r="JLJ1" s="1755"/>
      <c r="JLK1" s="1755"/>
      <c r="JLL1" s="1755"/>
      <c r="JLM1" s="1755"/>
      <c r="JLN1" s="1755"/>
      <c r="JLO1" s="1755"/>
      <c r="JLP1" s="1755"/>
      <c r="JLQ1" s="1755"/>
      <c r="JLR1" s="1755"/>
      <c r="JLS1" s="1755"/>
      <c r="JLT1" s="1755"/>
      <c r="JLU1" s="1755"/>
      <c r="JLV1" s="1755"/>
      <c r="JLW1" s="1755"/>
      <c r="JLX1" s="1755"/>
      <c r="JLY1" s="1755"/>
      <c r="JLZ1" s="1755"/>
      <c r="JMA1" s="1755"/>
      <c r="JMB1" s="1755"/>
      <c r="JMC1" s="1755"/>
      <c r="JMD1" s="1755"/>
      <c r="JME1" s="1755"/>
      <c r="JMF1" s="1755"/>
      <c r="JMG1" s="1755"/>
      <c r="JMH1" s="1755"/>
      <c r="JMI1" s="1755"/>
      <c r="JMJ1" s="1755"/>
      <c r="JMK1" s="1755"/>
      <c r="JML1" s="1755"/>
      <c r="JMM1" s="1755"/>
      <c r="JMN1" s="1755"/>
      <c r="JMO1" s="1755"/>
      <c r="JMP1" s="1755"/>
      <c r="JMQ1" s="1755"/>
      <c r="JMR1" s="1755"/>
      <c r="JMS1" s="1755"/>
      <c r="JMT1" s="1755"/>
      <c r="JMU1" s="1755"/>
      <c r="JMV1" s="1755"/>
      <c r="JMW1" s="1755"/>
      <c r="JMX1" s="1755"/>
      <c r="JMY1" s="1755"/>
      <c r="JMZ1" s="1755"/>
      <c r="JNA1" s="1755"/>
      <c r="JNB1" s="1755"/>
      <c r="JNC1" s="1755"/>
      <c r="JND1" s="1755"/>
      <c r="JNE1" s="1755"/>
      <c r="JNF1" s="1755"/>
      <c r="JNG1" s="1755"/>
      <c r="JNH1" s="1755"/>
      <c r="JNI1" s="1755"/>
      <c r="JNJ1" s="1755"/>
      <c r="JNK1" s="1755"/>
      <c r="JNL1" s="1755"/>
      <c r="JNM1" s="1755"/>
      <c r="JNN1" s="1755"/>
      <c r="JNO1" s="1755"/>
      <c r="JNP1" s="1755"/>
      <c r="JNQ1" s="1755"/>
      <c r="JNR1" s="1755"/>
      <c r="JNS1" s="1755"/>
      <c r="JNT1" s="1755"/>
      <c r="JNU1" s="1755"/>
      <c r="JNV1" s="1755"/>
      <c r="JNW1" s="1755"/>
      <c r="JNX1" s="1755"/>
      <c r="JNY1" s="1755"/>
      <c r="JNZ1" s="1755"/>
      <c r="JOA1" s="1755"/>
      <c r="JOB1" s="1755"/>
      <c r="JOC1" s="1755"/>
      <c r="JOD1" s="1755"/>
      <c r="JOE1" s="1755"/>
      <c r="JOF1" s="1755"/>
      <c r="JOG1" s="1755"/>
      <c r="JOH1" s="1755"/>
      <c r="JOI1" s="1755"/>
      <c r="JOJ1" s="1755"/>
      <c r="JOK1" s="1755"/>
      <c r="JOL1" s="1755"/>
      <c r="JOM1" s="1755"/>
      <c r="JON1" s="1755"/>
      <c r="JOO1" s="1755"/>
      <c r="JOP1" s="1755"/>
      <c r="JOQ1" s="1755"/>
      <c r="JOR1" s="1755"/>
      <c r="JOS1" s="1755"/>
      <c r="JOT1" s="1755"/>
      <c r="JOU1" s="1755"/>
      <c r="JOV1" s="1755"/>
      <c r="JOW1" s="1755"/>
      <c r="JOX1" s="1755"/>
      <c r="JOY1" s="1755"/>
      <c r="JOZ1" s="1755"/>
      <c r="JPA1" s="1755"/>
      <c r="JPB1" s="1755"/>
      <c r="JPC1" s="1755"/>
      <c r="JPD1" s="1755"/>
      <c r="JPE1" s="1755"/>
      <c r="JPF1" s="1755"/>
      <c r="JPG1" s="1755"/>
      <c r="JPH1" s="1755"/>
      <c r="JPI1" s="1755"/>
      <c r="JPJ1" s="1755"/>
      <c r="JPK1" s="1755"/>
      <c r="JPL1" s="1755"/>
      <c r="JPM1" s="1755"/>
      <c r="JPN1" s="1755"/>
      <c r="JPO1" s="1755"/>
      <c r="JPP1" s="1755"/>
      <c r="JPQ1" s="1755"/>
      <c r="JPR1" s="1755"/>
      <c r="JPS1" s="1755"/>
      <c r="JPT1" s="1755"/>
      <c r="JPU1" s="1755"/>
      <c r="JPV1" s="1755"/>
      <c r="JPW1" s="1755"/>
      <c r="JPX1" s="1755"/>
      <c r="JPY1" s="1755"/>
      <c r="JPZ1" s="1755"/>
      <c r="JQA1" s="1755"/>
      <c r="JQB1" s="1755"/>
      <c r="JQC1" s="1755"/>
      <c r="JQD1" s="1755"/>
      <c r="JQE1" s="1755"/>
      <c r="JQF1" s="1755"/>
      <c r="JQG1" s="1755"/>
      <c r="JQH1" s="1755"/>
      <c r="JQI1" s="1755"/>
      <c r="JQJ1" s="1755"/>
      <c r="JQK1" s="1755"/>
      <c r="JQL1" s="1755"/>
      <c r="JQM1" s="1755"/>
      <c r="JQN1" s="1755"/>
      <c r="JQO1" s="1755"/>
      <c r="JQP1" s="1755"/>
      <c r="JQQ1" s="1755"/>
      <c r="JQR1" s="1755"/>
      <c r="JQS1" s="1755"/>
      <c r="JQT1" s="1755"/>
      <c r="JQU1" s="1755"/>
      <c r="JQV1" s="1755"/>
      <c r="JQW1" s="1755"/>
      <c r="JQX1" s="1755"/>
      <c r="JQY1" s="1755"/>
      <c r="JQZ1" s="1755"/>
      <c r="JRA1" s="1755"/>
      <c r="JRB1" s="1755"/>
      <c r="JRC1" s="1755"/>
      <c r="JRD1" s="1755"/>
      <c r="JRE1" s="1755"/>
      <c r="JRF1" s="1755"/>
      <c r="JRG1" s="1755"/>
      <c r="JRH1" s="1755"/>
      <c r="JRI1" s="1755"/>
      <c r="JRJ1" s="1755"/>
      <c r="JRK1" s="1755"/>
      <c r="JRL1" s="1755"/>
      <c r="JRM1" s="1755"/>
      <c r="JRN1" s="1755"/>
      <c r="JRO1" s="1755"/>
      <c r="JRP1" s="1755"/>
      <c r="JRQ1" s="1755"/>
      <c r="JRR1" s="1755"/>
      <c r="JRS1" s="1755"/>
      <c r="JRT1" s="1755"/>
      <c r="JRU1" s="1755"/>
      <c r="JRV1" s="1755"/>
      <c r="JRW1" s="1755"/>
      <c r="JRX1" s="1755"/>
      <c r="JRY1" s="1755"/>
      <c r="JRZ1" s="1755"/>
      <c r="JSA1" s="1755"/>
      <c r="JSB1" s="1755"/>
      <c r="JSC1" s="1755"/>
      <c r="JSD1" s="1755"/>
      <c r="JSE1" s="1755"/>
      <c r="JSF1" s="1755"/>
      <c r="JSG1" s="1755"/>
      <c r="JSH1" s="1755"/>
      <c r="JSI1" s="1755"/>
      <c r="JSJ1" s="1755"/>
      <c r="JSK1" s="1755"/>
      <c r="JSL1" s="1755"/>
      <c r="JSM1" s="1755"/>
      <c r="JSN1" s="1755"/>
      <c r="JSO1" s="1755"/>
      <c r="JSP1" s="1755"/>
      <c r="JSQ1" s="1755"/>
      <c r="JSR1" s="1755"/>
      <c r="JSS1" s="1755"/>
      <c r="JST1" s="1755"/>
      <c r="JSU1" s="1755"/>
      <c r="JSV1" s="1755"/>
      <c r="JSW1" s="1755"/>
      <c r="JSX1" s="1755"/>
      <c r="JSY1" s="1755"/>
      <c r="JSZ1" s="1755"/>
      <c r="JTA1" s="1755"/>
      <c r="JTB1" s="1755"/>
      <c r="JTC1" s="1755"/>
      <c r="JTD1" s="1755"/>
      <c r="JTE1" s="1755"/>
      <c r="JTF1" s="1755"/>
      <c r="JTG1" s="1755"/>
      <c r="JTH1" s="1755"/>
      <c r="JTI1" s="1755"/>
      <c r="JTJ1" s="1755"/>
      <c r="JTK1" s="1755"/>
      <c r="JTL1" s="1755"/>
      <c r="JTM1" s="1755"/>
      <c r="JTN1" s="1755"/>
      <c r="JTO1" s="1755"/>
      <c r="JTP1" s="1755"/>
      <c r="JTQ1" s="1755"/>
      <c r="JTR1" s="1755"/>
      <c r="JTS1" s="1755"/>
      <c r="JTT1" s="1755"/>
      <c r="JTU1" s="1755"/>
      <c r="JTV1" s="1755"/>
      <c r="JTW1" s="1755"/>
      <c r="JTX1" s="1755"/>
      <c r="JTY1" s="1755"/>
      <c r="JTZ1" s="1755"/>
      <c r="JUA1" s="1755"/>
      <c r="JUB1" s="1755"/>
      <c r="JUC1" s="1755"/>
      <c r="JUD1" s="1755"/>
      <c r="JUE1" s="1755"/>
      <c r="JUF1" s="1755"/>
      <c r="JUG1" s="1755"/>
      <c r="JUH1" s="1755"/>
      <c r="JUI1" s="1755"/>
      <c r="JUJ1" s="1755"/>
      <c r="JUK1" s="1755"/>
      <c r="JUL1" s="1755"/>
      <c r="JUM1" s="1755"/>
      <c r="JUN1" s="1755"/>
      <c r="JUO1" s="1755"/>
      <c r="JUP1" s="1755"/>
      <c r="JUQ1" s="1755"/>
      <c r="JUR1" s="1755"/>
      <c r="JUS1" s="1755"/>
      <c r="JUT1" s="1755"/>
      <c r="JUU1" s="1755"/>
      <c r="JUV1" s="1755"/>
      <c r="JUW1" s="1755"/>
      <c r="JUX1" s="1755"/>
      <c r="JUY1" s="1755"/>
      <c r="JUZ1" s="1755"/>
      <c r="JVA1" s="1755"/>
      <c r="JVB1" s="1755"/>
      <c r="JVC1" s="1755"/>
      <c r="JVD1" s="1755"/>
      <c r="JVE1" s="1755"/>
      <c r="JVF1" s="1755"/>
      <c r="JVG1" s="1755"/>
      <c r="JVH1" s="1755"/>
      <c r="JVI1" s="1755"/>
      <c r="JVJ1" s="1755"/>
      <c r="JVK1" s="1755"/>
      <c r="JVL1" s="1755"/>
      <c r="JVM1" s="1755"/>
      <c r="JVN1" s="1755"/>
      <c r="JVO1" s="1755"/>
      <c r="JVP1" s="1755"/>
      <c r="JVQ1" s="1755"/>
      <c r="JVR1" s="1755"/>
      <c r="JVS1" s="1755"/>
      <c r="JVT1" s="1755"/>
      <c r="JVU1" s="1755"/>
      <c r="JVV1" s="1755"/>
      <c r="JVW1" s="1755"/>
      <c r="JVX1" s="1755"/>
      <c r="JVY1" s="1755"/>
      <c r="JVZ1" s="1755"/>
      <c r="JWA1" s="1755"/>
      <c r="JWB1" s="1755"/>
      <c r="JWC1" s="1755"/>
      <c r="JWD1" s="1755"/>
      <c r="JWE1" s="1755"/>
      <c r="JWF1" s="1755"/>
      <c r="JWG1" s="1755"/>
      <c r="JWH1" s="1755"/>
      <c r="JWI1" s="1755"/>
      <c r="JWJ1" s="1755"/>
      <c r="JWK1" s="1755"/>
      <c r="JWL1" s="1755"/>
      <c r="JWM1" s="1755"/>
      <c r="JWN1" s="1755"/>
      <c r="JWO1" s="1755"/>
      <c r="JWP1" s="1755"/>
      <c r="JWQ1" s="1755"/>
      <c r="JWR1" s="1755"/>
      <c r="JWS1" s="1755"/>
      <c r="JWT1" s="1755"/>
      <c r="JWU1" s="1755"/>
      <c r="JWV1" s="1755"/>
      <c r="JWW1" s="1755"/>
      <c r="JWX1" s="1755"/>
      <c r="JWY1" s="1755"/>
      <c r="JWZ1" s="1755"/>
      <c r="JXA1" s="1755"/>
      <c r="JXB1" s="1755"/>
      <c r="JXC1" s="1755"/>
      <c r="JXD1" s="1755"/>
      <c r="JXE1" s="1755"/>
      <c r="JXF1" s="1755"/>
      <c r="JXG1" s="1755"/>
      <c r="JXH1" s="1755"/>
      <c r="JXI1" s="1755"/>
      <c r="JXJ1" s="1755"/>
      <c r="JXK1" s="1755"/>
      <c r="JXL1" s="1755"/>
      <c r="JXM1" s="1755"/>
      <c r="JXN1" s="1755"/>
      <c r="JXO1" s="1755"/>
      <c r="JXP1" s="1755"/>
      <c r="JXQ1" s="1755"/>
      <c r="JXR1" s="1755"/>
      <c r="JXS1" s="1755"/>
      <c r="JXT1" s="1755"/>
      <c r="JXU1" s="1755"/>
      <c r="JXV1" s="1755"/>
      <c r="JXW1" s="1755"/>
      <c r="JXX1" s="1755"/>
      <c r="JXY1" s="1755"/>
      <c r="JXZ1" s="1755"/>
      <c r="JYA1" s="1755"/>
      <c r="JYB1" s="1755"/>
      <c r="JYC1" s="1755"/>
      <c r="JYD1" s="1755"/>
      <c r="JYE1" s="1755"/>
      <c r="JYF1" s="1755"/>
      <c r="JYG1" s="1755"/>
      <c r="JYH1" s="1755"/>
      <c r="JYI1" s="1755"/>
      <c r="JYJ1" s="1755"/>
      <c r="JYK1" s="1755"/>
      <c r="JYL1" s="1755"/>
      <c r="JYM1" s="1755"/>
      <c r="JYN1" s="1755"/>
      <c r="JYO1" s="1755"/>
      <c r="JYP1" s="1755"/>
      <c r="JYQ1" s="1755"/>
      <c r="JYR1" s="1755"/>
      <c r="JYS1" s="1755"/>
      <c r="JYT1" s="1755"/>
      <c r="JYU1" s="1755"/>
      <c r="JYV1" s="1755"/>
      <c r="JYW1" s="1755"/>
      <c r="JYX1" s="1755"/>
      <c r="JYY1" s="1755"/>
      <c r="JYZ1" s="1755"/>
      <c r="JZA1" s="1755"/>
      <c r="JZB1" s="1755"/>
      <c r="JZC1" s="1755"/>
      <c r="JZD1" s="1755"/>
      <c r="JZE1" s="1755"/>
      <c r="JZF1" s="1755"/>
      <c r="JZG1" s="1755"/>
      <c r="JZH1" s="1755"/>
      <c r="JZI1" s="1755"/>
      <c r="JZJ1" s="1755"/>
      <c r="JZK1" s="1755"/>
      <c r="JZL1" s="1755"/>
      <c r="JZM1" s="1755"/>
      <c r="JZN1" s="1755"/>
      <c r="JZO1" s="1755"/>
      <c r="JZP1" s="1755"/>
      <c r="JZQ1" s="1755"/>
      <c r="JZR1" s="1755"/>
      <c r="JZS1" s="1755"/>
      <c r="JZT1" s="1755"/>
      <c r="JZU1" s="1755"/>
      <c r="JZV1" s="1755"/>
      <c r="JZW1" s="1755"/>
      <c r="JZX1" s="1755"/>
      <c r="JZY1" s="1755"/>
      <c r="JZZ1" s="1755"/>
      <c r="KAA1" s="1755"/>
      <c r="KAB1" s="1755"/>
      <c r="KAC1" s="1755"/>
      <c r="KAD1" s="1755"/>
      <c r="KAE1" s="1755"/>
      <c r="KAF1" s="1755"/>
      <c r="KAG1" s="1755"/>
      <c r="KAH1" s="1755"/>
      <c r="KAI1" s="1755"/>
      <c r="KAJ1" s="1755"/>
      <c r="KAK1" s="1755"/>
      <c r="KAL1" s="1755"/>
      <c r="KAM1" s="1755"/>
      <c r="KAN1" s="1755"/>
      <c r="KAO1" s="1755"/>
      <c r="KAP1" s="1755"/>
      <c r="KAQ1" s="1755"/>
      <c r="KAR1" s="1755"/>
      <c r="KAS1" s="1755"/>
      <c r="KAT1" s="1755"/>
      <c r="KAU1" s="1755"/>
      <c r="KAV1" s="1755"/>
      <c r="KAW1" s="1755"/>
      <c r="KAX1" s="1755"/>
      <c r="KAY1" s="1755"/>
      <c r="KAZ1" s="1755"/>
      <c r="KBA1" s="1755"/>
      <c r="KBB1" s="1755"/>
      <c r="KBC1" s="1755"/>
      <c r="KBD1" s="1755"/>
      <c r="KBE1" s="1755"/>
      <c r="KBF1" s="1755"/>
      <c r="KBG1" s="1755"/>
      <c r="KBH1" s="1755"/>
      <c r="KBI1" s="1755"/>
      <c r="KBJ1" s="1755"/>
      <c r="KBK1" s="1755"/>
      <c r="KBL1" s="1755"/>
      <c r="KBM1" s="1755"/>
      <c r="KBN1" s="1755"/>
      <c r="KBO1" s="1755"/>
      <c r="KBP1" s="1755"/>
      <c r="KBQ1" s="1755"/>
      <c r="KBR1" s="1755"/>
      <c r="KBS1" s="1755"/>
      <c r="KBT1" s="1755"/>
      <c r="KBU1" s="1755"/>
      <c r="KBV1" s="1755"/>
      <c r="KBW1" s="1755"/>
      <c r="KBX1" s="1755"/>
      <c r="KBY1" s="1755"/>
      <c r="KBZ1" s="1755"/>
      <c r="KCA1" s="1755"/>
      <c r="KCB1" s="1755"/>
      <c r="KCC1" s="1755"/>
      <c r="KCD1" s="1755"/>
      <c r="KCE1" s="1755"/>
      <c r="KCF1" s="1755"/>
      <c r="KCG1" s="1755"/>
      <c r="KCH1" s="1755"/>
      <c r="KCI1" s="1755"/>
      <c r="KCJ1" s="1755"/>
      <c r="KCK1" s="1755"/>
      <c r="KCL1" s="1755"/>
      <c r="KCM1" s="1755"/>
      <c r="KCN1" s="1755"/>
      <c r="KCO1" s="1755"/>
      <c r="KCP1" s="1755"/>
      <c r="KCQ1" s="1755"/>
      <c r="KCR1" s="1755"/>
      <c r="KCS1" s="1755"/>
      <c r="KCT1" s="1755"/>
      <c r="KCU1" s="1755"/>
      <c r="KCV1" s="1755"/>
      <c r="KCW1" s="1755"/>
      <c r="KCX1" s="1755"/>
      <c r="KCY1" s="1755"/>
      <c r="KCZ1" s="1755"/>
      <c r="KDA1" s="1755"/>
      <c r="KDB1" s="1755"/>
      <c r="KDC1" s="1755"/>
      <c r="KDD1" s="1755"/>
      <c r="KDE1" s="1755"/>
      <c r="KDF1" s="1755"/>
      <c r="KDG1" s="1755"/>
      <c r="KDH1" s="1755"/>
      <c r="KDI1" s="1755"/>
      <c r="KDJ1" s="1755"/>
      <c r="KDK1" s="1755"/>
      <c r="KDL1" s="1755"/>
      <c r="KDM1" s="1755"/>
      <c r="KDN1" s="1755"/>
      <c r="KDO1" s="1755"/>
      <c r="KDP1" s="1755"/>
      <c r="KDQ1" s="1755"/>
      <c r="KDR1" s="1755"/>
      <c r="KDS1" s="1755"/>
      <c r="KDT1" s="1755"/>
      <c r="KDU1" s="1755"/>
      <c r="KDV1" s="1755"/>
      <c r="KDW1" s="1755"/>
      <c r="KDX1" s="1755"/>
      <c r="KDY1" s="1755"/>
      <c r="KDZ1" s="1755"/>
      <c r="KEA1" s="1755"/>
      <c r="KEB1" s="1755"/>
      <c r="KEC1" s="1755"/>
      <c r="KED1" s="1755"/>
      <c r="KEE1" s="1755"/>
      <c r="KEF1" s="1755"/>
      <c r="KEG1" s="1755"/>
      <c r="KEH1" s="1755"/>
      <c r="KEI1" s="1755"/>
      <c r="KEJ1" s="1755"/>
      <c r="KEK1" s="1755"/>
      <c r="KEL1" s="1755"/>
      <c r="KEM1" s="1755"/>
      <c r="KEN1" s="1755"/>
      <c r="KEO1" s="1755"/>
      <c r="KEP1" s="1755"/>
      <c r="KEQ1" s="1755"/>
      <c r="KER1" s="1755"/>
      <c r="KES1" s="1755"/>
      <c r="KET1" s="1755"/>
      <c r="KEU1" s="1755"/>
      <c r="KEV1" s="1755"/>
      <c r="KEW1" s="1755"/>
      <c r="KEX1" s="1755"/>
      <c r="KEY1" s="1755"/>
      <c r="KEZ1" s="1755"/>
      <c r="KFA1" s="1755"/>
      <c r="KFB1" s="1755"/>
      <c r="KFC1" s="1755"/>
      <c r="KFD1" s="1755"/>
      <c r="KFE1" s="1755"/>
      <c r="KFF1" s="1755"/>
      <c r="KFG1" s="1755"/>
      <c r="KFH1" s="1755"/>
      <c r="KFI1" s="1755"/>
      <c r="KFJ1" s="1755"/>
      <c r="KFK1" s="1755"/>
      <c r="KFL1" s="1755"/>
      <c r="KFM1" s="1755"/>
      <c r="KFN1" s="1755"/>
      <c r="KFO1" s="1755"/>
      <c r="KFP1" s="1755"/>
      <c r="KFQ1" s="1755"/>
      <c r="KFR1" s="1755"/>
      <c r="KFS1" s="1755"/>
      <c r="KFT1" s="1755"/>
      <c r="KFU1" s="1755"/>
      <c r="KFV1" s="1755"/>
      <c r="KFW1" s="1755"/>
      <c r="KFX1" s="1755"/>
      <c r="KFY1" s="1755"/>
      <c r="KFZ1" s="1755"/>
      <c r="KGA1" s="1755"/>
      <c r="KGB1" s="1755"/>
      <c r="KGC1" s="1755"/>
      <c r="KGD1" s="1755"/>
      <c r="KGE1" s="1755"/>
      <c r="KGF1" s="1755"/>
      <c r="KGG1" s="1755"/>
      <c r="KGH1" s="1755"/>
      <c r="KGI1" s="1755"/>
      <c r="KGJ1" s="1755"/>
      <c r="KGK1" s="1755"/>
      <c r="KGL1" s="1755"/>
      <c r="KGM1" s="1755"/>
      <c r="KGN1" s="1755"/>
      <c r="KGO1" s="1755"/>
      <c r="KGP1" s="1755"/>
      <c r="KGQ1" s="1755"/>
      <c r="KGR1" s="1755"/>
      <c r="KGS1" s="1755"/>
      <c r="KGT1" s="1755"/>
      <c r="KGU1" s="1755"/>
      <c r="KGV1" s="1755"/>
      <c r="KGW1" s="1755"/>
      <c r="KGX1" s="1755"/>
      <c r="KGY1" s="1755"/>
      <c r="KGZ1" s="1755"/>
      <c r="KHA1" s="1755"/>
      <c r="KHB1" s="1755"/>
      <c r="KHC1" s="1755"/>
      <c r="KHD1" s="1755"/>
      <c r="KHE1" s="1755"/>
      <c r="KHF1" s="1755"/>
      <c r="KHG1" s="1755"/>
      <c r="KHH1" s="1755"/>
      <c r="KHI1" s="1755"/>
      <c r="KHJ1" s="1755"/>
      <c r="KHK1" s="1755"/>
      <c r="KHL1" s="1755"/>
      <c r="KHM1" s="1755"/>
      <c r="KHN1" s="1755"/>
      <c r="KHO1" s="1755"/>
      <c r="KHP1" s="1755"/>
      <c r="KHQ1" s="1755"/>
      <c r="KHR1" s="1755"/>
      <c r="KHS1" s="1755"/>
      <c r="KHT1" s="1755"/>
      <c r="KHU1" s="1755"/>
      <c r="KHV1" s="1755"/>
      <c r="KHW1" s="1755"/>
      <c r="KHX1" s="1755"/>
      <c r="KHY1" s="1755"/>
      <c r="KHZ1" s="1755"/>
      <c r="KIA1" s="1755"/>
      <c r="KIB1" s="1755"/>
      <c r="KIC1" s="1755"/>
      <c r="KID1" s="1755"/>
      <c r="KIE1" s="1755"/>
      <c r="KIF1" s="1755"/>
      <c r="KIG1" s="1755"/>
      <c r="KIH1" s="1755"/>
      <c r="KII1" s="1755"/>
      <c r="KIJ1" s="1755"/>
      <c r="KIK1" s="1755"/>
      <c r="KIL1" s="1755"/>
      <c r="KIM1" s="1755"/>
      <c r="KIN1" s="1755"/>
      <c r="KIO1" s="1755"/>
      <c r="KIP1" s="1755"/>
      <c r="KIQ1" s="1755"/>
      <c r="KIR1" s="1755"/>
      <c r="KIS1" s="1755"/>
      <c r="KIT1" s="1755"/>
      <c r="KIU1" s="1755"/>
      <c r="KIV1" s="1755"/>
      <c r="KIW1" s="1755"/>
      <c r="KIX1" s="1755"/>
      <c r="KIY1" s="1755"/>
      <c r="KIZ1" s="1755"/>
      <c r="KJA1" s="1755"/>
      <c r="KJB1" s="1755"/>
      <c r="KJC1" s="1755"/>
      <c r="KJD1" s="1755"/>
      <c r="KJE1" s="1755"/>
      <c r="KJF1" s="1755"/>
      <c r="KJG1" s="1755"/>
      <c r="KJH1" s="1755"/>
      <c r="KJI1" s="1755"/>
      <c r="KJJ1" s="1755"/>
      <c r="KJK1" s="1755"/>
      <c r="KJL1" s="1755"/>
      <c r="KJM1" s="1755"/>
      <c r="KJN1" s="1755"/>
      <c r="KJO1" s="1755"/>
      <c r="KJP1" s="1755"/>
      <c r="KJQ1" s="1755"/>
      <c r="KJR1" s="1755"/>
      <c r="KJS1" s="1755"/>
      <c r="KJT1" s="1755"/>
      <c r="KJU1" s="1755"/>
      <c r="KJV1" s="1755"/>
      <c r="KJW1" s="1755"/>
      <c r="KJX1" s="1755"/>
      <c r="KJY1" s="1755"/>
      <c r="KJZ1" s="1755"/>
      <c r="KKA1" s="1755"/>
      <c r="KKB1" s="1755"/>
      <c r="KKC1" s="1755"/>
      <c r="KKD1" s="1755"/>
      <c r="KKE1" s="1755"/>
      <c r="KKF1" s="1755"/>
      <c r="KKG1" s="1755"/>
      <c r="KKH1" s="1755"/>
      <c r="KKI1" s="1755"/>
      <c r="KKJ1" s="1755"/>
      <c r="KKK1" s="1755"/>
      <c r="KKL1" s="1755"/>
      <c r="KKM1" s="1755"/>
      <c r="KKN1" s="1755"/>
      <c r="KKO1" s="1755"/>
      <c r="KKP1" s="1755"/>
      <c r="KKQ1" s="1755"/>
      <c r="KKR1" s="1755"/>
      <c r="KKS1" s="1755"/>
      <c r="KKT1" s="1755"/>
      <c r="KKU1" s="1755"/>
      <c r="KKV1" s="1755"/>
      <c r="KKW1" s="1755"/>
      <c r="KKX1" s="1755"/>
      <c r="KKY1" s="1755"/>
      <c r="KKZ1" s="1755"/>
      <c r="KLA1" s="1755"/>
      <c r="KLB1" s="1755"/>
      <c r="KLC1" s="1755"/>
      <c r="KLD1" s="1755"/>
      <c r="KLE1" s="1755"/>
      <c r="KLF1" s="1755"/>
      <c r="KLG1" s="1755"/>
      <c r="KLH1" s="1755"/>
      <c r="KLI1" s="1755"/>
      <c r="KLJ1" s="1755"/>
      <c r="KLK1" s="1755"/>
      <c r="KLL1" s="1755"/>
      <c r="KLM1" s="1755"/>
      <c r="KLN1" s="1755"/>
      <c r="KLO1" s="1755"/>
      <c r="KLP1" s="1755"/>
      <c r="KLQ1" s="1755"/>
      <c r="KLR1" s="1755"/>
      <c r="KLS1" s="1755"/>
      <c r="KLT1" s="1755"/>
      <c r="KLU1" s="1755"/>
      <c r="KLV1" s="1755"/>
      <c r="KLW1" s="1755"/>
      <c r="KLX1" s="1755"/>
      <c r="KLY1" s="1755"/>
      <c r="KLZ1" s="1755"/>
      <c r="KMA1" s="1755"/>
      <c r="KMB1" s="1755"/>
      <c r="KMC1" s="1755"/>
      <c r="KMD1" s="1755"/>
      <c r="KME1" s="1755"/>
      <c r="KMF1" s="1755"/>
      <c r="KMG1" s="1755"/>
      <c r="KMH1" s="1755"/>
      <c r="KMI1" s="1755"/>
      <c r="KMJ1" s="1755"/>
      <c r="KMK1" s="1755"/>
      <c r="KML1" s="1755"/>
      <c r="KMM1" s="1755"/>
      <c r="KMN1" s="1755"/>
      <c r="KMO1" s="1755"/>
      <c r="KMP1" s="1755"/>
      <c r="KMQ1" s="1755"/>
      <c r="KMR1" s="1755"/>
      <c r="KMS1" s="1755"/>
      <c r="KMT1" s="1755"/>
      <c r="KMU1" s="1755"/>
      <c r="KMV1" s="1755"/>
      <c r="KMW1" s="1755"/>
      <c r="KMX1" s="1755"/>
      <c r="KMY1" s="1755"/>
      <c r="KMZ1" s="1755"/>
      <c r="KNA1" s="1755"/>
      <c r="KNB1" s="1755"/>
      <c r="KNC1" s="1755"/>
      <c r="KND1" s="1755"/>
      <c r="KNE1" s="1755"/>
      <c r="KNF1" s="1755"/>
      <c r="KNG1" s="1755"/>
      <c r="KNH1" s="1755"/>
      <c r="KNI1" s="1755"/>
      <c r="KNJ1" s="1755"/>
      <c r="KNK1" s="1755"/>
      <c r="KNL1" s="1755"/>
      <c r="KNM1" s="1755"/>
      <c r="KNN1" s="1755"/>
      <c r="KNO1" s="1755"/>
      <c r="KNP1" s="1755"/>
      <c r="KNQ1" s="1755"/>
      <c r="KNR1" s="1755"/>
      <c r="KNS1" s="1755"/>
      <c r="KNT1" s="1755"/>
      <c r="KNU1" s="1755"/>
      <c r="KNV1" s="1755"/>
      <c r="KNW1" s="1755"/>
      <c r="KNX1" s="1755"/>
      <c r="KNY1" s="1755"/>
      <c r="KNZ1" s="1755"/>
      <c r="KOA1" s="1755"/>
      <c r="KOB1" s="1755"/>
      <c r="KOC1" s="1755"/>
      <c r="KOD1" s="1755"/>
      <c r="KOE1" s="1755"/>
      <c r="KOF1" s="1755"/>
      <c r="KOG1" s="1755"/>
      <c r="KOH1" s="1755"/>
      <c r="KOI1" s="1755"/>
      <c r="KOJ1" s="1755"/>
      <c r="KOK1" s="1755"/>
      <c r="KOL1" s="1755"/>
      <c r="KOM1" s="1755"/>
      <c r="KON1" s="1755"/>
      <c r="KOO1" s="1755"/>
      <c r="KOP1" s="1755"/>
      <c r="KOQ1" s="1755"/>
      <c r="KOR1" s="1755"/>
      <c r="KOS1" s="1755"/>
      <c r="KOT1" s="1755"/>
      <c r="KOU1" s="1755"/>
      <c r="KOV1" s="1755"/>
      <c r="KOW1" s="1755"/>
      <c r="KOX1" s="1755"/>
      <c r="KOY1" s="1755"/>
      <c r="KOZ1" s="1755"/>
      <c r="KPA1" s="1755"/>
      <c r="KPB1" s="1755"/>
      <c r="KPC1" s="1755"/>
      <c r="KPD1" s="1755"/>
      <c r="KPE1" s="1755"/>
      <c r="KPF1" s="1755"/>
      <c r="KPG1" s="1755"/>
      <c r="KPH1" s="1755"/>
      <c r="KPI1" s="1755"/>
      <c r="KPJ1" s="1755"/>
      <c r="KPK1" s="1755"/>
      <c r="KPL1" s="1755"/>
      <c r="KPM1" s="1755"/>
      <c r="KPN1" s="1755"/>
      <c r="KPO1" s="1755"/>
      <c r="KPP1" s="1755"/>
      <c r="KPQ1" s="1755"/>
      <c r="KPR1" s="1755"/>
      <c r="KPS1" s="1755"/>
      <c r="KPT1" s="1755"/>
      <c r="KPU1" s="1755"/>
      <c r="KPV1" s="1755"/>
      <c r="KPW1" s="1755"/>
      <c r="KPX1" s="1755"/>
      <c r="KPY1" s="1755"/>
      <c r="KPZ1" s="1755"/>
      <c r="KQA1" s="1755"/>
      <c r="KQB1" s="1755"/>
      <c r="KQC1" s="1755"/>
      <c r="KQD1" s="1755"/>
      <c r="KQE1" s="1755"/>
      <c r="KQF1" s="1755"/>
      <c r="KQG1" s="1755"/>
      <c r="KQH1" s="1755"/>
      <c r="KQI1" s="1755"/>
      <c r="KQJ1" s="1755"/>
      <c r="KQK1" s="1755"/>
      <c r="KQL1" s="1755"/>
      <c r="KQM1" s="1755"/>
      <c r="KQN1" s="1755"/>
      <c r="KQO1" s="1755"/>
      <c r="KQP1" s="1755"/>
      <c r="KQQ1" s="1755"/>
      <c r="KQR1" s="1755"/>
      <c r="KQS1" s="1755"/>
      <c r="KQT1" s="1755"/>
      <c r="KQU1" s="1755"/>
      <c r="KQV1" s="1755"/>
      <c r="KQW1" s="1755"/>
      <c r="KQX1" s="1755"/>
      <c r="KQY1" s="1755"/>
      <c r="KQZ1" s="1755"/>
      <c r="KRA1" s="1755"/>
      <c r="KRB1" s="1755"/>
      <c r="KRC1" s="1755"/>
      <c r="KRD1" s="1755"/>
      <c r="KRE1" s="1755"/>
      <c r="KRF1" s="1755"/>
      <c r="KRG1" s="1755"/>
      <c r="KRH1" s="1755"/>
      <c r="KRI1" s="1755"/>
      <c r="KRJ1" s="1755"/>
      <c r="KRK1" s="1755"/>
      <c r="KRL1" s="1755"/>
      <c r="KRM1" s="1755"/>
      <c r="KRN1" s="1755"/>
      <c r="KRO1" s="1755"/>
      <c r="KRP1" s="1755"/>
      <c r="KRQ1" s="1755"/>
      <c r="KRR1" s="1755"/>
      <c r="KRS1" s="1755"/>
      <c r="KRT1" s="1755"/>
      <c r="KRU1" s="1755"/>
      <c r="KRV1" s="1755"/>
      <c r="KRW1" s="1755"/>
      <c r="KRX1" s="1755"/>
      <c r="KRY1" s="1755"/>
      <c r="KRZ1" s="1755"/>
      <c r="KSA1" s="1755"/>
      <c r="KSB1" s="1755"/>
      <c r="KSC1" s="1755"/>
      <c r="KSD1" s="1755"/>
      <c r="KSE1" s="1755"/>
      <c r="KSF1" s="1755"/>
      <c r="KSG1" s="1755"/>
      <c r="KSH1" s="1755"/>
      <c r="KSI1" s="1755"/>
      <c r="KSJ1" s="1755"/>
      <c r="KSK1" s="1755"/>
      <c r="KSL1" s="1755"/>
      <c r="KSM1" s="1755"/>
      <c r="KSN1" s="1755"/>
      <c r="KSO1" s="1755"/>
      <c r="KSP1" s="1755"/>
      <c r="KSQ1" s="1755"/>
      <c r="KSR1" s="1755"/>
      <c r="KSS1" s="1755"/>
      <c r="KST1" s="1755"/>
      <c r="KSU1" s="1755"/>
      <c r="KSV1" s="1755"/>
      <c r="KSW1" s="1755"/>
      <c r="KSX1" s="1755"/>
      <c r="KSY1" s="1755"/>
      <c r="KSZ1" s="1755"/>
      <c r="KTA1" s="1755"/>
      <c r="KTB1" s="1755"/>
      <c r="KTC1" s="1755"/>
      <c r="KTD1" s="1755"/>
      <c r="KTE1" s="1755"/>
      <c r="KTF1" s="1755"/>
      <c r="KTG1" s="1755"/>
      <c r="KTH1" s="1755"/>
      <c r="KTI1" s="1755"/>
      <c r="KTJ1" s="1755"/>
      <c r="KTK1" s="1755"/>
      <c r="KTL1" s="1755"/>
      <c r="KTM1" s="1755"/>
      <c r="KTN1" s="1755"/>
      <c r="KTO1" s="1755"/>
      <c r="KTP1" s="1755"/>
      <c r="KTQ1" s="1755"/>
      <c r="KTR1" s="1755"/>
      <c r="KTS1" s="1755"/>
      <c r="KTT1" s="1755"/>
      <c r="KTU1" s="1755"/>
      <c r="KTV1" s="1755"/>
      <c r="KTW1" s="1755"/>
      <c r="KTX1" s="1755"/>
      <c r="KTY1" s="1755"/>
      <c r="KTZ1" s="1755"/>
      <c r="KUA1" s="1755"/>
      <c r="KUB1" s="1755"/>
      <c r="KUC1" s="1755"/>
      <c r="KUD1" s="1755"/>
      <c r="KUE1" s="1755"/>
      <c r="KUF1" s="1755"/>
      <c r="KUG1" s="1755"/>
      <c r="KUH1" s="1755"/>
      <c r="KUI1" s="1755"/>
      <c r="KUJ1" s="1755"/>
      <c r="KUK1" s="1755"/>
      <c r="KUL1" s="1755"/>
      <c r="KUM1" s="1755"/>
      <c r="KUN1" s="1755"/>
      <c r="KUO1" s="1755"/>
      <c r="KUP1" s="1755"/>
      <c r="KUQ1" s="1755"/>
      <c r="KUR1" s="1755"/>
      <c r="KUS1" s="1755"/>
      <c r="KUT1" s="1755"/>
      <c r="KUU1" s="1755"/>
      <c r="KUV1" s="1755"/>
      <c r="KUW1" s="1755"/>
      <c r="KUX1" s="1755"/>
      <c r="KUY1" s="1755"/>
      <c r="KUZ1" s="1755"/>
      <c r="KVA1" s="1755"/>
      <c r="KVB1" s="1755"/>
      <c r="KVC1" s="1755"/>
      <c r="KVD1" s="1755"/>
      <c r="KVE1" s="1755"/>
      <c r="KVF1" s="1755"/>
      <c r="KVG1" s="1755"/>
      <c r="KVH1" s="1755"/>
      <c r="KVI1" s="1755"/>
      <c r="KVJ1" s="1755"/>
      <c r="KVK1" s="1755"/>
      <c r="KVL1" s="1755"/>
      <c r="KVM1" s="1755"/>
      <c r="KVN1" s="1755"/>
      <c r="KVO1" s="1755"/>
      <c r="KVP1" s="1755"/>
      <c r="KVQ1" s="1755"/>
      <c r="KVR1" s="1755"/>
      <c r="KVS1" s="1755"/>
      <c r="KVT1" s="1755"/>
      <c r="KVU1" s="1755"/>
      <c r="KVV1" s="1755"/>
      <c r="KVW1" s="1755"/>
      <c r="KVX1" s="1755"/>
      <c r="KVY1" s="1755"/>
      <c r="KVZ1" s="1755"/>
      <c r="KWA1" s="1755"/>
      <c r="KWB1" s="1755"/>
      <c r="KWC1" s="1755"/>
      <c r="KWD1" s="1755"/>
      <c r="KWE1" s="1755"/>
      <c r="KWF1" s="1755"/>
      <c r="KWG1" s="1755"/>
      <c r="KWH1" s="1755"/>
      <c r="KWI1" s="1755"/>
      <c r="KWJ1" s="1755"/>
      <c r="KWK1" s="1755"/>
      <c r="KWL1" s="1755"/>
      <c r="KWM1" s="1755"/>
      <c r="KWN1" s="1755"/>
      <c r="KWO1" s="1755"/>
      <c r="KWP1" s="1755"/>
      <c r="KWQ1" s="1755"/>
      <c r="KWR1" s="1755"/>
      <c r="KWS1" s="1755"/>
      <c r="KWT1" s="1755"/>
      <c r="KWU1" s="1755"/>
      <c r="KWV1" s="1755"/>
      <c r="KWW1" s="1755"/>
      <c r="KWX1" s="1755"/>
      <c r="KWY1" s="1755"/>
      <c r="KWZ1" s="1755"/>
      <c r="KXA1" s="1755"/>
      <c r="KXB1" s="1755"/>
      <c r="KXC1" s="1755"/>
      <c r="KXD1" s="1755"/>
      <c r="KXE1" s="1755"/>
      <c r="KXF1" s="1755"/>
      <c r="KXG1" s="1755"/>
      <c r="KXH1" s="1755"/>
      <c r="KXI1" s="1755"/>
      <c r="KXJ1" s="1755"/>
      <c r="KXK1" s="1755"/>
      <c r="KXL1" s="1755"/>
      <c r="KXM1" s="1755"/>
      <c r="KXN1" s="1755"/>
      <c r="KXO1" s="1755"/>
      <c r="KXP1" s="1755"/>
      <c r="KXQ1" s="1755"/>
      <c r="KXR1" s="1755"/>
      <c r="KXS1" s="1755"/>
      <c r="KXT1" s="1755"/>
      <c r="KXU1" s="1755"/>
      <c r="KXV1" s="1755"/>
      <c r="KXW1" s="1755"/>
      <c r="KXX1" s="1755"/>
      <c r="KXY1" s="1755"/>
      <c r="KXZ1" s="1755"/>
      <c r="KYA1" s="1755"/>
      <c r="KYB1" s="1755"/>
      <c r="KYC1" s="1755"/>
      <c r="KYD1" s="1755"/>
      <c r="KYE1" s="1755"/>
      <c r="KYF1" s="1755"/>
      <c r="KYG1" s="1755"/>
      <c r="KYH1" s="1755"/>
      <c r="KYI1" s="1755"/>
      <c r="KYJ1" s="1755"/>
      <c r="KYK1" s="1755"/>
      <c r="KYL1" s="1755"/>
      <c r="KYM1" s="1755"/>
      <c r="KYN1" s="1755"/>
      <c r="KYO1" s="1755"/>
      <c r="KYP1" s="1755"/>
      <c r="KYQ1" s="1755"/>
      <c r="KYR1" s="1755"/>
      <c r="KYS1" s="1755"/>
      <c r="KYT1" s="1755"/>
      <c r="KYU1" s="1755"/>
      <c r="KYV1" s="1755"/>
      <c r="KYW1" s="1755"/>
      <c r="KYX1" s="1755"/>
      <c r="KYY1" s="1755"/>
      <c r="KYZ1" s="1755"/>
      <c r="KZA1" s="1755"/>
      <c r="KZB1" s="1755"/>
      <c r="KZC1" s="1755"/>
      <c r="KZD1" s="1755"/>
      <c r="KZE1" s="1755"/>
      <c r="KZF1" s="1755"/>
      <c r="KZG1" s="1755"/>
      <c r="KZH1" s="1755"/>
      <c r="KZI1" s="1755"/>
      <c r="KZJ1" s="1755"/>
      <c r="KZK1" s="1755"/>
      <c r="KZL1" s="1755"/>
      <c r="KZM1" s="1755"/>
      <c r="KZN1" s="1755"/>
      <c r="KZO1" s="1755"/>
      <c r="KZP1" s="1755"/>
      <c r="KZQ1" s="1755"/>
      <c r="KZR1" s="1755"/>
      <c r="KZS1" s="1755"/>
      <c r="KZT1" s="1755"/>
      <c r="KZU1" s="1755"/>
      <c r="KZV1" s="1755"/>
      <c r="KZW1" s="1755"/>
      <c r="KZX1" s="1755"/>
      <c r="KZY1" s="1755"/>
      <c r="KZZ1" s="1755"/>
      <c r="LAA1" s="1755"/>
      <c r="LAB1" s="1755"/>
      <c r="LAC1" s="1755"/>
      <c r="LAD1" s="1755"/>
      <c r="LAE1" s="1755"/>
      <c r="LAF1" s="1755"/>
      <c r="LAG1" s="1755"/>
      <c r="LAH1" s="1755"/>
      <c r="LAI1" s="1755"/>
      <c r="LAJ1" s="1755"/>
      <c r="LAK1" s="1755"/>
      <c r="LAL1" s="1755"/>
      <c r="LAM1" s="1755"/>
      <c r="LAN1" s="1755"/>
      <c r="LAO1" s="1755"/>
      <c r="LAP1" s="1755"/>
      <c r="LAQ1" s="1755"/>
      <c r="LAR1" s="1755"/>
      <c r="LAS1" s="1755"/>
      <c r="LAT1" s="1755"/>
      <c r="LAU1" s="1755"/>
      <c r="LAV1" s="1755"/>
      <c r="LAW1" s="1755"/>
      <c r="LAX1" s="1755"/>
      <c r="LAY1" s="1755"/>
      <c r="LAZ1" s="1755"/>
      <c r="LBA1" s="1755"/>
      <c r="LBB1" s="1755"/>
      <c r="LBC1" s="1755"/>
      <c r="LBD1" s="1755"/>
      <c r="LBE1" s="1755"/>
      <c r="LBF1" s="1755"/>
      <c r="LBG1" s="1755"/>
      <c r="LBH1" s="1755"/>
      <c r="LBI1" s="1755"/>
      <c r="LBJ1" s="1755"/>
      <c r="LBK1" s="1755"/>
      <c r="LBL1" s="1755"/>
      <c r="LBM1" s="1755"/>
      <c r="LBN1" s="1755"/>
      <c r="LBO1" s="1755"/>
      <c r="LBP1" s="1755"/>
      <c r="LBQ1" s="1755"/>
      <c r="LBR1" s="1755"/>
      <c r="LBS1" s="1755"/>
      <c r="LBT1" s="1755"/>
      <c r="LBU1" s="1755"/>
      <c r="LBV1" s="1755"/>
      <c r="LBW1" s="1755"/>
      <c r="LBX1" s="1755"/>
      <c r="LBY1" s="1755"/>
      <c r="LBZ1" s="1755"/>
      <c r="LCA1" s="1755"/>
      <c r="LCB1" s="1755"/>
      <c r="LCC1" s="1755"/>
      <c r="LCD1" s="1755"/>
      <c r="LCE1" s="1755"/>
      <c r="LCF1" s="1755"/>
      <c r="LCG1" s="1755"/>
      <c r="LCH1" s="1755"/>
      <c r="LCI1" s="1755"/>
      <c r="LCJ1" s="1755"/>
      <c r="LCK1" s="1755"/>
      <c r="LCL1" s="1755"/>
      <c r="LCM1" s="1755"/>
      <c r="LCN1" s="1755"/>
      <c r="LCO1" s="1755"/>
      <c r="LCP1" s="1755"/>
      <c r="LCQ1" s="1755"/>
      <c r="LCR1" s="1755"/>
      <c r="LCS1" s="1755"/>
      <c r="LCT1" s="1755"/>
      <c r="LCU1" s="1755"/>
      <c r="LCV1" s="1755"/>
      <c r="LCW1" s="1755"/>
      <c r="LCX1" s="1755"/>
      <c r="LCY1" s="1755"/>
      <c r="LCZ1" s="1755"/>
      <c r="LDA1" s="1755"/>
      <c r="LDB1" s="1755"/>
      <c r="LDC1" s="1755"/>
      <c r="LDD1" s="1755"/>
      <c r="LDE1" s="1755"/>
      <c r="LDF1" s="1755"/>
      <c r="LDG1" s="1755"/>
      <c r="LDH1" s="1755"/>
      <c r="LDI1" s="1755"/>
      <c r="LDJ1" s="1755"/>
      <c r="LDK1" s="1755"/>
      <c r="LDL1" s="1755"/>
      <c r="LDM1" s="1755"/>
      <c r="LDN1" s="1755"/>
      <c r="LDO1" s="1755"/>
      <c r="LDP1" s="1755"/>
      <c r="LDQ1" s="1755"/>
      <c r="LDR1" s="1755"/>
      <c r="LDS1" s="1755"/>
      <c r="LDT1" s="1755"/>
      <c r="LDU1" s="1755"/>
      <c r="LDV1" s="1755"/>
      <c r="LDW1" s="1755"/>
      <c r="LDX1" s="1755"/>
      <c r="LDY1" s="1755"/>
      <c r="LDZ1" s="1755"/>
      <c r="LEA1" s="1755"/>
      <c r="LEB1" s="1755"/>
      <c r="LEC1" s="1755"/>
      <c r="LED1" s="1755"/>
      <c r="LEE1" s="1755"/>
      <c r="LEF1" s="1755"/>
      <c r="LEG1" s="1755"/>
      <c r="LEH1" s="1755"/>
      <c r="LEI1" s="1755"/>
      <c r="LEJ1" s="1755"/>
      <c r="LEK1" s="1755"/>
      <c r="LEL1" s="1755"/>
      <c r="LEM1" s="1755"/>
      <c r="LEN1" s="1755"/>
      <c r="LEO1" s="1755"/>
      <c r="LEP1" s="1755"/>
      <c r="LEQ1" s="1755"/>
      <c r="LER1" s="1755"/>
      <c r="LES1" s="1755"/>
      <c r="LET1" s="1755"/>
      <c r="LEU1" s="1755"/>
      <c r="LEV1" s="1755"/>
      <c r="LEW1" s="1755"/>
      <c r="LEX1" s="1755"/>
      <c r="LEY1" s="1755"/>
      <c r="LEZ1" s="1755"/>
      <c r="LFA1" s="1755"/>
      <c r="LFB1" s="1755"/>
      <c r="LFC1" s="1755"/>
      <c r="LFD1" s="1755"/>
      <c r="LFE1" s="1755"/>
      <c r="LFF1" s="1755"/>
      <c r="LFG1" s="1755"/>
      <c r="LFH1" s="1755"/>
      <c r="LFI1" s="1755"/>
      <c r="LFJ1" s="1755"/>
      <c r="LFK1" s="1755"/>
      <c r="LFL1" s="1755"/>
      <c r="LFM1" s="1755"/>
      <c r="LFN1" s="1755"/>
      <c r="LFO1" s="1755"/>
      <c r="LFP1" s="1755"/>
      <c r="LFQ1" s="1755"/>
      <c r="LFR1" s="1755"/>
      <c r="LFS1" s="1755"/>
      <c r="LFT1" s="1755"/>
      <c r="LFU1" s="1755"/>
      <c r="LFV1" s="1755"/>
      <c r="LFW1" s="1755"/>
      <c r="LFX1" s="1755"/>
      <c r="LFY1" s="1755"/>
      <c r="LFZ1" s="1755"/>
      <c r="LGA1" s="1755"/>
      <c r="LGB1" s="1755"/>
      <c r="LGC1" s="1755"/>
      <c r="LGD1" s="1755"/>
      <c r="LGE1" s="1755"/>
      <c r="LGF1" s="1755"/>
      <c r="LGG1" s="1755"/>
      <c r="LGH1" s="1755"/>
      <c r="LGI1" s="1755"/>
      <c r="LGJ1" s="1755"/>
      <c r="LGK1" s="1755"/>
      <c r="LGL1" s="1755"/>
      <c r="LGM1" s="1755"/>
      <c r="LGN1" s="1755"/>
      <c r="LGO1" s="1755"/>
      <c r="LGP1" s="1755"/>
      <c r="LGQ1" s="1755"/>
      <c r="LGR1" s="1755"/>
      <c r="LGS1" s="1755"/>
      <c r="LGT1" s="1755"/>
      <c r="LGU1" s="1755"/>
      <c r="LGV1" s="1755"/>
      <c r="LGW1" s="1755"/>
      <c r="LGX1" s="1755"/>
      <c r="LGY1" s="1755"/>
      <c r="LGZ1" s="1755"/>
      <c r="LHA1" s="1755"/>
      <c r="LHB1" s="1755"/>
      <c r="LHC1" s="1755"/>
      <c r="LHD1" s="1755"/>
      <c r="LHE1" s="1755"/>
      <c r="LHF1" s="1755"/>
      <c r="LHG1" s="1755"/>
      <c r="LHH1" s="1755"/>
      <c r="LHI1" s="1755"/>
      <c r="LHJ1" s="1755"/>
      <c r="LHK1" s="1755"/>
      <c r="LHL1" s="1755"/>
      <c r="LHM1" s="1755"/>
      <c r="LHN1" s="1755"/>
      <c r="LHO1" s="1755"/>
      <c r="LHP1" s="1755"/>
      <c r="LHQ1" s="1755"/>
      <c r="LHR1" s="1755"/>
      <c r="LHS1" s="1755"/>
      <c r="LHT1" s="1755"/>
      <c r="LHU1" s="1755"/>
      <c r="LHV1" s="1755"/>
      <c r="LHW1" s="1755"/>
      <c r="LHX1" s="1755"/>
      <c r="LHY1" s="1755"/>
      <c r="LHZ1" s="1755"/>
      <c r="LIA1" s="1755"/>
      <c r="LIB1" s="1755"/>
      <c r="LIC1" s="1755"/>
      <c r="LID1" s="1755"/>
      <c r="LIE1" s="1755"/>
      <c r="LIF1" s="1755"/>
      <c r="LIG1" s="1755"/>
      <c r="LIH1" s="1755"/>
      <c r="LII1" s="1755"/>
      <c r="LIJ1" s="1755"/>
      <c r="LIK1" s="1755"/>
      <c r="LIL1" s="1755"/>
      <c r="LIM1" s="1755"/>
      <c r="LIN1" s="1755"/>
      <c r="LIO1" s="1755"/>
      <c r="LIP1" s="1755"/>
      <c r="LIQ1" s="1755"/>
      <c r="LIR1" s="1755"/>
      <c r="LIS1" s="1755"/>
      <c r="LIT1" s="1755"/>
      <c r="LIU1" s="1755"/>
      <c r="LIV1" s="1755"/>
      <c r="LIW1" s="1755"/>
      <c r="LIX1" s="1755"/>
      <c r="LIY1" s="1755"/>
      <c r="LIZ1" s="1755"/>
      <c r="LJA1" s="1755"/>
      <c r="LJB1" s="1755"/>
      <c r="LJC1" s="1755"/>
      <c r="LJD1" s="1755"/>
      <c r="LJE1" s="1755"/>
      <c r="LJF1" s="1755"/>
      <c r="LJG1" s="1755"/>
      <c r="LJH1" s="1755"/>
      <c r="LJI1" s="1755"/>
      <c r="LJJ1" s="1755"/>
      <c r="LJK1" s="1755"/>
      <c r="LJL1" s="1755"/>
      <c r="LJM1" s="1755"/>
      <c r="LJN1" s="1755"/>
      <c r="LJO1" s="1755"/>
      <c r="LJP1" s="1755"/>
      <c r="LJQ1" s="1755"/>
      <c r="LJR1" s="1755"/>
      <c r="LJS1" s="1755"/>
      <c r="LJT1" s="1755"/>
      <c r="LJU1" s="1755"/>
      <c r="LJV1" s="1755"/>
      <c r="LJW1" s="1755"/>
      <c r="LJX1" s="1755"/>
      <c r="LJY1" s="1755"/>
      <c r="LJZ1" s="1755"/>
      <c r="LKA1" s="1755"/>
      <c r="LKB1" s="1755"/>
      <c r="LKC1" s="1755"/>
      <c r="LKD1" s="1755"/>
      <c r="LKE1" s="1755"/>
      <c r="LKF1" s="1755"/>
      <c r="LKG1" s="1755"/>
      <c r="LKH1" s="1755"/>
      <c r="LKI1" s="1755"/>
      <c r="LKJ1" s="1755"/>
      <c r="LKK1" s="1755"/>
      <c r="LKL1" s="1755"/>
      <c r="LKM1" s="1755"/>
      <c r="LKN1" s="1755"/>
      <c r="LKO1" s="1755"/>
      <c r="LKP1" s="1755"/>
      <c r="LKQ1" s="1755"/>
      <c r="LKR1" s="1755"/>
      <c r="LKS1" s="1755"/>
      <c r="LKT1" s="1755"/>
      <c r="LKU1" s="1755"/>
      <c r="LKV1" s="1755"/>
      <c r="LKW1" s="1755"/>
      <c r="LKX1" s="1755"/>
      <c r="LKY1" s="1755"/>
      <c r="LKZ1" s="1755"/>
      <c r="LLA1" s="1755"/>
      <c r="LLB1" s="1755"/>
      <c r="LLC1" s="1755"/>
      <c r="LLD1" s="1755"/>
      <c r="LLE1" s="1755"/>
      <c r="LLF1" s="1755"/>
      <c r="LLG1" s="1755"/>
      <c r="LLH1" s="1755"/>
      <c r="LLI1" s="1755"/>
      <c r="LLJ1" s="1755"/>
      <c r="LLK1" s="1755"/>
      <c r="LLL1" s="1755"/>
      <c r="LLM1" s="1755"/>
      <c r="LLN1" s="1755"/>
      <c r="LLO1" s="1755"/>
      <c r="LLP1" s="1755"/>
      <c r="LLQ1" s="1755"/>
      <c r="LLR1" s="1755"/>
      <c r="LLS1" s="1755"/>
      <c r="LLT1" s="1755"/>
      <c r="LLU1" s="1755"/>
      <c r="LLV1" s="1755"/>
      <c r="LLW1" s="1755"/>
      <c r="LLX1" s="1755"/>
      <c r="LLY1" s="1755"/>
      <c r="LLZ1" s="1755"/>
      <c r="LMA1" s="1755"/>
      <c r="LMB1" s="1755"/>
      <c r="LMC1" s="1755"/>
      <c r="LMD1" s="1755"/>
      <c r="LME1" s="1755"/>
      <c r="LMF1" s="1755"/>
      <c r="LMG1" s="1755"/>
      <c r="LMH1" s="1755"/>
      <c r="LMI1" s="1755"/>
      <c r="LMJ1" s="1755"/>
      <c r="LMK1" s="1755"/>
      <c r="LML1" s="1755"/>
      <c r="LMM1" s="1755"/>
      <c r="LMN1" s="1755"/>
      <c r="LMO1" s="1755"/>
      <c r="LMP1" s="1755"/>
      <c r="LMQ1" s="1755"/>
      <c r="LMR1" s="1755"/>
      <c r="LMS1" s="1755"/>
      <c r="LMT1" s="1755"/>
      <c r="LMU1" s="1755"/>
      <c r="LMV1" s="1755"/>
      <c r="LMW1" s="1755"/>
      <c r="LMX1" s="1755"/>
      <c r="LMY1" s="1755"/>
      <c r="LMZ1" s="1755"/>
      <c r="LNA1" s="1755"/>
      <c r="LNB1" s="1755"/>
      <c r="LNC1" s="1755"/>
      <c r="LND1" s="1755"/>
      <c r="LNE1" s="1755"/>
      <c r="LNF1" s="1755"/>
      <c r="LNG1" s="1755"/>
      <c r="LNH1" s="1755"/>
      <c r="LNI1" s="1755"/>
      <c r="LNJ1" s="1755"/>
      <c r="LNK1" s="1755"/>
      <c r="LNL1" s="1755"/>
      <c r="LNM1" s="1755"/>
      <c r="LNN1" s="1755"/>
      <c r="LNO1" s="1755"/>
      <c r="LNP1" s="1755"/>
      <c r="LNQ1" s="1755"/>
      <c r="LNR1" s="1755"/>
      <c r="LNS1" s="1755"/>
      <c r="LNT1" s="1755"/>
      <c r="LNU1" s="1755"/>
      <c r="LNV1" s="1755"/>
      <c r="LNW1" s="1755"/>
      <c r="LNX1" s="1755"/>
      <c r="LNY1" s="1755"/>
      <c r="LNZ1" s="1755"/>
      <c r="LOA1" s="1755"/>
      <c r="LOB1" s="1755"/>
      <c r="LOC1" s="1755"/>
      <c r="LOD1" s="1755"/>
      <c r="LOE1" s="1755"/>
      <c r="LOF1" s="1755"/>
      <c r="LOG1" s="1755"/>
      <c r="LOH1" s="1755"/>
      <c r="LOI1" s="1755"/>
      <c r="LOJ1" s="1755"/>
      <c r="LOK1" s="1755"/>
      <c r="LOL1" s="1755"/>
      <c r="LOM1" s="1755"/>
      <c r="LON1" s="1755"/>
      <c r="LOO1" s="1755"/>
      <c r="LOP1" s="1755"/>
      <c r="LOQ1" s="1755"/>
      <c r="LOR1" s="1755"/>
      <c r="LOS1" s="1755"/>
      <c r="LOT1" s="1755"/>
      <c r="LOU1" s="1755"/>
      <c r="LOV1" s="1755"/>
      <c r="LOW1" s="1755"/>
      <c r="LOX1" s="1755"/>
      <c r="LOY1" s="1755"/>
      <c r="LOZ1" s="1755"/>
      <c r="LPA1" s="1755"/>
      <c r="LPB1" s="1755"/>
      <c r="LPC1" s="1755"/>
      <c r="LPD1" s="1755"/>
      <c r="LPE1" s="1755"/>
      <c r="LPF1" s="1755"/>
      <c r="LPG1" s="1755"/>
      <c r="LPH1" s="1755"/>
      <c r="LPI1" s="1755"/>
      <c r="LPJ1" s="1755"/>
      <c r="LPK1" s="1755"/>
      <c r="LPL1" s="1755"/>
      <c r="LPM1" s="1755"/>
      <c r="LPN1" s="1755"/>
      <c r="LPO1" s="1755"/>
      <c r="LPP1" s="1755"/>
      <c r="LPQ1" s="1755"/>
      <c r="LPR1" s="1755"/>
      <c r="LPS1" s="1755"/>
      <c r="LPT1" s="1755"/>
      <c r="LPU1" s="1755"/>
      <c r="LPV1" s="1755"/>
      <c r="LPW1" s="1755"/>
      <c r="LPX1" s="1755"/>
      <c r="LPY1" s="1755"/>
      <c r="LPZ1" s="1755"/>
      <c r="LQA1" s="1755"/>
      <c r="LQB1" s="1755"/>
      <c r="LQC1" s="1755"/>
      <c r="LQD1" s="1755"/>
      <c r="LQE1" s="1755"/>
      <c r="LQF1" s="1755"/>
      <c r="LQG1" s="1755"/>
      <c r="LQH1" s="1755"/>
      <c r="LQI1" s="1755"/>
      <c r="LQJ1" s="1755"/>
      <c r="LQK1" s="1755"/>
      <c r="LQL1" s="1755"/>
      <c r="LQM1" s="1755"/>
      <c r="LQN1" s="1755"/>
      <c r="LQO1" s="1755"/>
      <c r="LQP1" s="1755"/>
      <c r="LQQ1" s="1755"/>
      <c r="LQR1" s="1755"/>
      <c r="LQS1" s="1755"/>
      <c r="LQT1" s="1755"/>
      <c r="LQU1" s="1755"/>
      <c r="LQV1" s="1755"/>
      <c r="LQW1" s="1755"/>
      <c r="LQX1" s="1755"/>
      <c r="LQY1" s="1755"/>
      <c r="LQZ1" s="1755"/>
      <c r="LRA1" s="1755"/>
      <c r="LRB1" s="1755"/>
      <c r="LRC1" s="1755"/>
      <c r="LRD1" s="1755"/>
      <c r="LRE1" s="1755"/>
      <c r="LRF1" s="1755"/>
      <c r="LRG1" s="1755"/>
      <c r="LRH1" s="1755"/>
      <c r="LRI1" s="1755"/>
      <c r="LRJ1" s="1755"/>
      <c r="LRK1" s="1755"/>
      <c r="LRL1" s="1755"/>
      <c r="LRM1" s="1755"/>
      <c r="LRN1" s="1755"/>
      <c r="LRO1" s="1755"/>
      <c r="LRP1" s="1755"/>
      <c r="LRQ1" s="1755"/>
      <c r="LRR1" s="1755"/>
      <c r="LRS1" s="1755"/>
      <c r="LRT1" s="1755"/>
      <c r="LRU1" s="1755"/>
      <c r="LRV1" s="1755"/>
      <c r="LRW1" s="1755"/>
      <c r="LRX1" s="1755"/>
      <c r="LRY1" s="1755"/>
      <c r="LRZ1" s="1755"/>
      <c r="LSA1" s="1755"/>
      <c r="LSB1" s="1755"/>
      <c r="LSC1" s="1755"/>
      <c r="LSD1" s="1755"/>
      <c r="LSE1" s="1755"/>
      <c r="LSF1" s="1755"/>
      <c r="LSG1" s="1755"/>
      <c r="LSH1" s="1755"/>
      <c r="LSI1" s="1755"/>
      <c r="LSJ1" s="1755"/>
      <c r="LSK1" s="1755"/>
      <c r="LSL1" s="1755"/>
      <c r="LSM1" s="1755"/>
      <c r="LSN1" s="1755"/>
      <c r="LSO1" s="1755"/>
      <c r="LSP1" s="1755"/>
      <c r="LSQ1" s="1755"/>
      <c r="LSR1" s="1755"/>
      <c r="LSS1" s="1755"/>
      <c r="LST1" s="1755"/>
      <c r="LSU1" s="1755"/>
      <c r="LSV1" s="1755"/>
      <c r="LSW1" s="1755"/>
      <c r="LSX1" s="1755"/>
      <c r="LSY1" s="1755"/>
      <c r="LSZ1" s="1755"/>
      <c r="LTA1" s="1755"/>
      <c r="LTB1" s="1755"/>
      <c r="LTC1" s="1755"/>
      <c r="LTD1" s="1755"/>
      <c r="LTE1" s="1755"/>
      <c r="LTF1" s="1755"/>
      <c r="LTG1" s="1755"/>
      <c r="LTH1" s="1755"/>
      <c r="LTI1" s="1755"/>
      <c r="LTJ1" s="1755"/>
      <c r="LTK1" s="1755"/>
      <c r="LTL1" s="1755"/>
      <c r="LTM1" s="1755"/>
      <c r="LTN1" s="1755"/>
      <c r="LTO1" s="1755"/>
      <c r="LTP1" s="1755"/>
      <c r="LTQ1" s="1755"/>
      <c r="LTR1" s="1755"/>
      <c r="LTS1" s="1755"/>
      <c r="LTT1" s="1755"/>
      <c r="LTU1" s="1755"/>
      <c r="LTV1" s="1755"/>
      <c r="LTW1" s="1755"/>
      <c r="LTX1" s="1755"/>
      <c r="LTY1" s="1755"/>
      <c r="LTZ1" s="1755"/>
      <c r="LUA1" s="1755"/>
      <c r="LUB1" s="1755"/>
      <c r="LUC1" s="1755"/>
      <c r="LUD1" s="1755"/>
      <c r="LUE1" s="1755"/>
      <c r="LUF1" s="1755"/>
      <c r="LUG1" s="1755"/>
      <c r="LUH1" s="1755"/>
      <c r="LUI1" s="1755"/>
      <c r="LUJ1" s="1755"/>
      <c r="LUK1" s="1755"/>
      <c r="LUL1" s="1755"/>
      <c r="LUM1" s="1755"/>
      <c r="LUN1" s="1755"/>
      <c r="LUO1" s="1755"/>
      <c r="LUP1" s="1755"/>
      <c r="LUQ1" s="1755"/>
      <c r="LUR1" s="1755"/>
      <c r="LUS1" s="1755"/>
      <c r="LUT1" s="1755"/>
      <c r="LUU1" s="1755"/>
      <c r="LUV1" s="1755"/>
      <c r="LUW1" s="1755"/>
      <c r="LUX1" s="1755"/>
      <c r="LUY1" s="1755"/>
      <c r="LUZ1" s="1755"/>
      <c r="LVA1" s="1755"/>
      <c r="LVB1" s="1755"/>
      <c r="LVC1" s="1755"/>
      <c r="LVD1" s="1755"/>
      <c r="LVE1" s="1755"/>
      <c r="LVF1" s="1755"/>
      <c r="LVG1" s="1755"/>
      <c r="LVH1" s="1755"/>
      <c r="LVI1" s="1755"/>
      <c r="LVJ1" s="1755"/>
      <c r="LVK1" s="1755"/>
      <c r="LVL1" s="1755"/>
      <c r="LVM1" s="1755"/>
      <c r="LVN1" s="1755"/>
      <c r="LVO1" s="1755"/>
      <c r="LVP1" s="1755"/>
      <c r="LVQ1" s="1755"/>
      <c r="LVR1" s="1755"/>
      <c r="LVS1" s="1755"/>
      <c r="LVT1" s="1755"/>
      <c r="LVU1" s="1755"/>
      <c r="LVV1" s="1755"/>
      <c r="LVW1" s="1755"/>
      <c r="LVX1" s="1755"/>
      <c r="LVY1" s="1755"/>
      <c r="LVZ1" s="1755"/>
      <c r="LWA1" s="1755"/>
      <c r="LWB1" s="1755"/>
      <c r="LWC1" s="1755"/>
      <c r="LWD1" s="1755"/>
      <c r="LWE1" s="1755"/>
      <c r="LWF1" s="1755"/>
      <c r="LWG1" s="1755"/>
      <c r="LWH1" s="1755"/>
      <c r="LWI1" s="1755"/>
      <c r="LWJ1" s="1755"/>
      <c r="LWK1" s="1755"/>
      <c r="LWL1" s="1755"/>
      <c r="LWM1" s="1755"/>
      <c r="LWN1" s="1755"/>
      <c r="LWO1" s="1755"/>
      <c r="LWP1" s="1755"/>
      <c r="LWQ1" s="1755"/>
      <c r="LWR1" s="1755"/>
      <c r="LWS1" s="1755"/>
      <c r="LWT1" s="1755"/>
      <c r="LWU1" s="1755"/>
      <c r="LWV1" s="1755"/>
      <c r="LWW1" s="1755"/>
      <c r="LWX1" s="1755"/>
      <c r="LWY1" s="1755"/>
      <c r="LWZ1" s="1755"/>
      <c r="LXA1" s="1755"/>
      <c r="LXB1" s="1755"/>
      <c r="LXC1" s="1755"/>
      <c r="LXD1" s="1755"/>
      <c r="LXE1" s="1755"/>
      <c r="LXF1" s="1755"/>
      <c r="LXG1" s="1755"/>
      <c r="LXH1" s="1755"/>
      <c r="LXI1" s="1755"/>
      <c r="LXJ1" s="1755"/>
      <c r="LXK1" s="1755"/>
      <c r="LXL1" s="1755"/>
      <c r="LXM1" s="1755"/>
      <c r="LXN1" s="1755"/>
      <c r="LXO1" s="1755"/>
      <c r="LXP1" s="1755"/>
      <c r="LXQ1" s="1755"/>
      <c r="LXR1" s="1755"/>
      <c r="LXS1" s="1755"/>
      <c r="LXT1" s="1755"/>
      <c r="LXU1" s="1755"/>
      <c r="LXV1" s="1755"/>
      <c r="LXW1" s="1755"/>
      <c r="LXX1" s="1755"/>
      <c r="LXY1" s="1755"/>
      <c r="LXZ1" s="1755"/>
      <c r="LYA1" s="1755"/>
      <c r="LYB1" s="1755"/>
      <c r="LYC1" s="1755"/>
      <c r="LYD1" s="1755"/>
      <c r="LYE1" s="1755"/>
      <c r="LYF1" s="1755"/>
      <c r="LYG1" s="1755"/>
      <c r="LYH1" s="1755"/>
      <c r="LYI1" s="1755"/>
      <c r="LYJ1" s="1755"/>
      <c r="LYK1" s="1755"/>
      <c r="LYL1" s="1755"/>
      <c r="LYM1" s="1755"/>
      <c r="LYN1" s="1755"/>
      <c r="LYO1" s="1755"/>
      <c r="LYP1" s="1755"/>
      <c r="LYQ1" s="1755"/>
      <c r="LYR1" s="1755"/>
      <c r="LYS1" s="1755"/>
      <c r="LYT1" s="1755"/>
      <c r="LYU1" s="1755"/>
      <c r="LYV1" s="1755"/>
      <c r="LYW1" s="1755"/>
      <c r="LYX1" s="1755"/>
      <c r="LYY1" s="1755"/>
      <c r="LYZ1" s="1755"/>
      <c r="LZA1" s="1755"/>
      <c r="LZB1" s="1755"/>
      <c r="LZC1" s="1755"/>
      <c r="LZD1" s="1755"/>
      <c r="LZE1" s="1755"/>
      <c r="LZF1" s="1755"/>
      <c r="LZG1" s="1755"/>
      <c r="LZH1" s="1755"/>
      <c r="LZI1" s="1755"/>
      <c r="LZJ1" s="1755"/>
      <c r="LZK1" s="1755"/>
      <c r="LZL1" s="1755"/>
      <c r="LZM1" s="1755"/>
      <c r="LZN1" s="1755"/>
      <c r="LZO1" s="1755"/>
      <c r="LZP1" s="1755"/>
      <c r="LZQ1" s="1755"/>
      <c r="LZR1" s="1755"/>
      <c r="LZS1" s="1755"/>
      <c r="LZT1" s="1755"/>
      <c r="LZU1" s="1755"/>
      <c r="LZV1" s="1755"/>
      <c r="LZW1" s="1755"/>
      <c r="LZX1" s="1755"/>
      <c r="LZY1" s="1755"/>
      <c r="LZZ1" s="1755"/>
      <c r="MAA1" s="1755"/>
      <c r="MAB1" s="1755"/>
      <c r="MAC1" s="1755"/>
      <c r="MAD1" s="1755"/>
      <c r="MAE1" s="1755"/>
      <c r="MAF1" s="1755"/>
      <c r="MAG1" s="1755"/>
      <c r="MAH1" s="1755"/>
      <c r="MAI1" s="1755"/>
      <c r="MAJ1" s="1755"/>
      <c r="MAK1" s="1755"/>
      <c r="MAL1" s="1755"/>
      <c r="MAM1" s="1755"/>
      <c r="MAN1" s="1755"/>
      <c r="MAO1" s="1755"/>
      <c r="MAP1" s="1755"/>
      <c r="MAQ1" s="1755"/>
      <c r="MAR1" s="1755"/>
      <c r="MAS1" s="1755"/>
      <c r="MAT1" s="1755"/>
      <c r="MAU1" s="1755"/>
      <c r="MAV1" s="1755"/>
      <c r="MAW1" s="1755"/>
      <c r="MAX1" s="1755"/>
      <c r="MAY1" s="1755"/>
      <c r="MAZ1" s="1755"/>
      <c r="MBA1" s="1755"/>
      <c r="MBB1" s="1755"/>
      <c r="MBC1" s="1755"/>
      <c r="MBD1" s="1755"/>
      <c r="MBE1" s="1755"/>
      <c r="MBF1" s="1755"/>
      <c r="MBG1" s="1755"/>
      <c r="MBH1" s="1755"/>
      <c r="MBI1" s="1755"/>
      <c r="MBJ1" s="1755"/>
      <c r="MBK1" s="1755"/>
      <c r="MBL1" s="1755"/>
      <c r="MBM1" s="1755"/>
      <c r="MBN1" s="1755"/>
      <c r="MBO1" s="1755"/>
      <c r="MBP1" s="1755"/>
      <c r="MBQ1" s="1755"/>
      <c r="MBR1" s="1755"/>
      <c r="MBS1" s="1755"/>
      <c r="MBT1" s="1755"/>
      <c r="MBU1" s="1755"/>
      <c r="MBV1" s="1755"/>
      <c r="MBW1" s="1755"/>
      <c r="MBX1" s="1755"/>
      <c r="MBY1" s="1755"/>
      <c r="MBZ1" s="1755"/>
      <c r="MCA1" s="1755"/>
      <c r="MCB1" s="1755"/>
      <c r="MCC1" s="1755"/>
      <c r="MCD1" s="1755"/>
      <c r="MCE1" s="1755"/>
      <c r="MCF1" s="1755"/>
      <c r="MCG1" s="1755"/>
      <c r="MCH1" s="1755"/>
      <c r="MCI1" s="1755"/>
      <c r="MCJ1" s="1755"/>
      <c r="MCK1" s="1755"/>
      <c r="MCL1" s="1755"/>
      <c r="MCM1" s="1755"/>
      <c r="MCN1" s="1755"/>
      <c r="MCO1" s="1755"/>
      <c r="MCP1" s="1755"/>
      <c r="MCQ1" s="1755"/>
      <c r="MCR1" s="1755"/>
      <c r="MCS1" s="1755"/>
      <c r="MCT1" s="1755"/>
      <c r="MCU1" s="1755"/>
      <c r="MCV1" s="1755"/>
      <c r="MCW1" s="1755"/>
      <c r="MCX1" s="1755"/>
      <c r="MCY1" s="1755"/>
      <c r="MCZ1" s="1755"/>
      <c r="MDA1" s="1755"/>
      <c r="MDB1" s="1755"/>
      <c r="MDC1" s="1755"/>
      <c r="MDD1" s="1755"/>
      <c r="MDE1" s="1755"/>
      <c r="MDF1" s="1755"/>
      <c r="MDG1" s="1755"/>
      <c r="MDH1" s="1755"/>
      <c r="MDI1" s="1755"/>
      <c r="MDJ1" s="1755"/>
      <c r="MDK1" s="1755"/>
      <c r="MDL1" s="1755"/>
      <c r="MDM1" s="1755"/>
      <c r="MDN1" s="1755"/>
      <c r="MDO1" s="1755"/>
      <c r="MDP1" s="1755"/>
      <c r="MDQ1" s="1755"/>
      <c r="MDR1" s="1755"/>
      <c r="MDS1" s="1755"/>
      <c r="MDT1" s="1755"/>
      <c r="MDU1" s="1755"/>
      <c r="MDV1" s="1755"/>
      <c r="MDW1" s="1755"/>
      <c r="MDX1" s="1755"/>
      <c r="MDY1" s="1755"/>
      <c r="MDZ1" s="1755"/>
      <c r="MEA1" s="1755"/>
      <c r="MEB1" s="1755"/>
      <c r="MEC1" s="1755"/>
      <c r="MED1" s="1755"/>
      <c r="MEE1" s="1755"/>
      <c r="MEF1" s="1755"/>
      <c r="MEG1" s="1755"/>
      <c r="MEH1" s="1755"/>
      <c r="MEI1" s="1755"/>
      <c r="MEJ1" s="1755"/>
      <c r="MEK1" s="1755"/>
      <c r="MEL1" s="1755"/>
      <c r="MEM1" s="1755"/>
      <c r="MEN1" s="1755"/>
      <c r="MEO1" s="1755"/>
      <c r="MEP1" s="1755"/>
      <c r="MEQ1" s="1755"/>
      <c r="MER1" s="1755"/>
      <c r="MES1" s="1755"/>
      <c r="MET1" s="1755"/>
      <c r="MEU1" s="1755"/>
      <c r="MEV1" s="1755"/>
      <c r="MEW1" s="1755"/>
      <c r="MEX1" s="1755"/>
      <c r="MEY1" s="1755"/>
      <c r="MEZ1" s="1755"/>
      <c r="MFA1" s="1755"/>
      <c r="MFB1" s="1755"/>
      <c r="MFC1" s="1755"/>
      <c r="MFD1" s="1755"/>
      <c r="MFE1" s="1755"/>
      <c r="MFF1" s="1755"/>
      <c r="MFG1" s="1755"/>
      <c r="MFH1" s="1755"/>
      <c r="MFI1" s="1755"/>
      <c r="MFJ1" s="1755"/>
      <c r="MFK1" s="1755"/>
      <c r="MFL1" s="1755"/>
      <c r="MFM1" s="1755"/>
      <c r="MFN1" s="1755"/>
      <c r="MFO1" s="1755"/>
      <c r="MFP1" s="1755"/>
      <c r="MFQ1" s="1755"/>
      <c r="MFR1" s="1755"/>
      <c r="MFS1" s="1755"/>
      <c r="MFT1" s="1755"/>
      <c r="MFU1" s="1755"/>
      <c r="MFV1" s="1755"/>
      <c r="MFW1" s="1755"/>
      <c r="MFX1" s="1755"/>
      <c r="MFY1" s="1755"/>
      <c r="MFZ1" s="1755"/>
      <c r="MGA1" s="1755"/>
      <c r="MGB1" s="1755"/>
      <c r="MGC1" s="1755"/>
      <c r="MGD1" s="1755"/>
      <c r="MGE1" s="1755"/>
      <c r="MGF1" s="1755"/>
      <c r="MGG1" s="1755"/>
      <c r="MGH1" s="1755"/>
      <c r="MGI1" s="1755"/>
      <c r="MGJ1" s="1755"/>
      <c r="MGK1" s="1755"/>
      <c r="MGL1" s="1755"/>
      <c r="MGM1" s="1755"/>
      <c r="MGN1" s="1755"/>
      <c r="MGO1" s="1755"/>
      <c r="MGP1" s="1755"/>
      <c r="MGQ1" s="1755"/>
      <c r="MGR1" s="1755"/>
      <c r="MGS1" s="1755"/>
      <c r="MGT1" s="1755"/>
      <c r="MGU1" s="1755"/>
      <c r="MGV1" s="1755"/>
      <c r="MGW1" s="1755"/>
      <c r="MGX1" s="1755"/>
      <c r="MGY1" s="1755"/>
      <c r="MGZ1" s="1755"/>
      <c r="MHA1" s="1755"/>
      <c r="MHB1" s="1755"/>
      <c r="MHC1" s="1755"/>
      <c r="MHD1" s="1755"/>
      <c r="MHE1" s="1755"/>
      <c r="MHF1" s="1755"/>
      <c r="MHG1" s="1755"/>
      <c r="MHH1" s="1755"/>
      <c r="MHI1" s="1755"/>
      <c r="MHJ1" s="1755"/>
      <c r="MHK1" s="1755"/>
      <c r="MHL1" s="1755"/>
      <c r="MHM1" s="1755"/>
      <c r="MHN1" s="1755"/>
      <c r="MHO1" s="1755"/>
      <c r="MHP1" s="1755"/>
      <c r="MHQ1" s="1755"/>
      <c r="MHR1" s="1755"/>
      <c r="MHS1" s="1755"/>
      <c r="MHT1" s="1755"/>
      <c r="MHU1" s="1755"/>
      <c r="MHV1" s="1755"/>
      <c r="MHW1" s="1755"/>
      <c r="MHX1" s="1755"/>
      <c r="MHY1" s="1755"/>
      <c r="MHZ1" s="1755"/>
      <c r="MIA1" s="1755"/>
      <c r="MIB1" s="1755"/>
      <c r="MIC1" s="1755"/>
      <c r="MID1" s="1755"/>
      <c r="MIE1" s="1755"/>
      <c r="MIF1" s="1755"/>
      <c r="MIG1" s="1755"/>
      <c r="MIH1" s="1755"/>
      <c r="MII1" s="1755"/>
      <c r="MIJ1" s="1755"/>
      <c r="MIK1" s="1755"/>
      <c r="MIL1" s="1755"/>
      <c r="MIM1" s="1755"/>
      <c r="MIN1" s="1755"/>
      <c r="MIO1" s="1755"/>
      <c r="MIP1" s="1755"/>
      <c r="MIQ1" s="1755"/>
      <c r="MIR1" s="1755"/>
      <c r="MIS1" s="1755"/>
      <c r="MIT1" s="1755"/>
      <c r="MIU1" s="1755"/>
      <c r="MIV1" s="1755"/>
      <c r="MIW1" s="1755"/>
      <c r="MIX1" s="1755"/>
      <c r="MIY1" s="1755"/>
      <c r="MIZ1" s="1755"/>
      <c r="MJA1" s="1755"/>
      <c r="MJB1" s="1755"/>
      <c r="MJC1" s="1755"/>
      <c r="MJD1" s="1755"/>
      <c r="MJE1" s="1755"/>
      <c r="MJF1" s="1755"/>
      <c r="MJG1" s="1755"/>
      <c r="MJH1" s="1755"/>
      <c r="MJI1" s="1755"/>
      <c r="MJJ1" s="1755"/>
      <c r="MJK1" s="1755"/>
      <c r="MJL1" s="1755"/>
      <c r="MJM1" s="1755"/>
      <c r="MJN1" s="1755"/>
      <c r="MJO1" s="1755"/>
      <c r="MJP1" s="1755"/>
      <c r="MJQ1" s="1755"/>
      <c r="MJR1" s="1755"/>
      <c r="MJS1" s="1755"/>
      <c r="MJT1" s="1755"/>
      <c r="MJU1" s="1755"/>
      <c r="MJV1" s="1755"/>
      <c r="MJW1" s="1755"/>
      <c r="MJX1" s="1755"/>
      <c r="MJY1" s="1755"/>
      <c r="MJZ1" s="1755"/>
      <c r="MKA1" s="1755"/>
      <c r="MKB1" s="1755"/>
      <c r="MKC1" s="1755"/>
      <c r="MKD1" s="1755"/>
      <c r="MKE1" s="1755"/>
      <c r="MKF1" s="1755"/>
      <c r="MKG1" s="1755"/>
      <c r="MKH1" s="1755"/>
      <c r="MKI1" s="1755"/>
      <c r="MKJ1" s="1755"/>
      <c r="MKK1" s="1755"/>
      <c r="MKL1" s="1755"/>
      <c r="MKM1" s="1755"/>
      <c r="MKN1" s="1755"/>
      <c r="MKO1" s="1755"/>
      <c r="MKP1" s="1755"/>
      <c r="MKQ1" s="1755"/>
      <c r="MKR1" s="1755"/>
      <c r="MKS1" s="1755"/>
      <c r="MKT1" s="1755"/>
      <c r="MKU1" s="1755"/>
      <c r="MKV1" s="1755"/>
      <c r="MKW1" s="1755"/>
      <c r="MKX1" s="1755"/>
      <c r="MKY1" s="1755"/>
      <c r="MKZ1" s="1755"/>
      <c r="MLA1" s="1755"/>
      <c r="MLB1" s="1755"/>
      <c r="MLC1" s="1755"/>
      <c r="MLD1" s="1755"/>
      <c r="MLE1" s="1755"/>
      <c r="MLF1" s="1755"/>
      <c r="MLG1" s="1755"/>
      <c r="MLH1" s="1755"/>
      <c r="MLI1" s="1755"/>
      <c r="MLJ1" s="1755"/>
      <c r="MLK1" s="1755"/>
      <c r="MLL1" s="1755"/>
      <c r="MLM1" s="1755"/>
      <c r="MLN1" s="1755"/>
      <c r="MLO1" s="1755"/>
      <c r="MLP1" s="1755"/>
      <c r="MLQ1" s="1755"/>
      <c r="MLR1" s="1755"/>
      <c r="MLS1" s="1755"/>
      <c r="MLT1" s="1755"/>
      <c r="MLU1" s="1755"/>
      <c r="MLV1" s="1755"/>
      <c r="MLW1" s="1755"/>
      <c r="MLX1" s="1755"/>
      <c r="MLY1" s="1755"/>
      <c r="MLZ1" s="1755"/>
      <c r="MMA1" s="1755"/>
      <c r="MMB1" s="1755"/>
      <c r="MMC1" s="1755"/>
      <c r="MMD1" s="1755"/>
      <c r="MME1" s="1755"/>
      <c r="MMF1" s="1755"/>
      <c r="MMG1" s="1755"/>
      <c r="MMH1" s="1755"/>
      <c r="MMI1" s="1755"/>
      <c r="MMJ1" s="1755"/>
      <c r="MMK1" s="1755"/>
      <c r="MML1" s="1755"/>
      <c r="MMM1" s="1755"/>
      <c r="MMN1" s="1755"/>
      <c r="MMO1" s="1755"/>
      <c r="MMP1" s="1755"/>
      <c r="MMQ1" s="1755"/>
      <c r="MMR1" s="1755"/>
      <c r="MMS1" s="1755"/>
      <c r="MMT1" s="1755"/>
      <c r="MMU1" s="1755"/>
      <c r="MMV1" s="1755"/>
      <c r="MMW1" s="1755"/>
      <c r="MMX1" s="1755"/>
      <c r="MMY1" s="1755"/>
      <c r="MMZ1" s="1755"/>
      <c r="MNA1" s="1755"/>
      <c r="MNB1" s="1755"/>
      <c r="MNC1" s="1755"/>
      <c r="MND1" s="1755"/>
      <c r="MNE1" s="1755"/>
      <c r="MNF1" s="1755"/>
      <c r="MNG1" s="1755"/>
      <c r="MNH1" s="1755"/>
      <c r="MNI1" s="1755"/>
      <c r="MNJ1" s="1755"/>
      <c r="MNK1" s="1755"/>
      <c r="MNL1" s="1755"/>
      <c r="MNM1" s="1755"/>
      <c r="MNN1" s="1755"/>
      <c r="MNO1" s="1755"/>
      <c r="MNP1" s="1755"/>
      <c r="MNQ1" s="1755"/>
      <c r="MNR1" s="1755"/>
      <c r="MNS1" s="1755"/>
      <c r="MNT1" s="1755"/>
      <c r="MNU1" s="1755"/>
      <c r="MNV1" s="1755"/>
      <c r="MNW1" s="1755"/>
      <c r="MNX1" s="1755"/>
      <c r="MNY1" s="1755"/>
      <c r="MNZ1" s="1755"/>
      <c r="MOA1" s="1755"/>
      <c r="MOB1" s="1755"/>
      <c r="MOC1" s="1755"/>
      <c r="MOD1" s="1755"/>
      <c r="MOE1" s="1755"/>
      <c r="MOF1" s="1755"/>
      <c r="MOG1" s="1755"/>
      <c r="MOH1" s="1755"/>
      <c r="MOI1" s="1755"/>
      <c r="MOJ1" s="1755"/>
      <c r="MOK1" s="1755"/>
      <c r="MOL1" s="1755"/>
      <c r="MOM1" s="1755"/>
      <c r="MON1" s="1755"/>
      <c r="MOO1" s="1755"/>
      <c r="MOP1" s="1755"/>
      <c r="MOQ1" s="1755"/>
      <c r="MOR1" s="1755"/>
      <c r="MOS1" s="1755"/>
      <c r="MOT1" s="1755"/>
      <c r="MOU1" s="1755"/>
      <c r="MOV1" s="1755"/>
      <c r="MOW1" s="1755"/>
      <c r="MOX1" s="1755"/>
      <c r="MOY1" s="1755"/>
      <c r="MOZ1" s="1755"/>
      <c r="MPA1" s="1755"/>
      <c r="MPB1" s="1755"/>
      <c r="MPC1" s="1755"/>
      <c r="MPD1" s="1755"/>
      <c r="MPE1" s="1755"/>
      <c r="MPF1" s="1755"/>
      <c r="MPG1" s="1755"/>
      <c r="MPH1" s="1755"/>
      <c r="MPI1" s="1755"/>
      <c r="MPJ1" s="1755"/>
      <c r="MPK1" s="1755"/>
      <c r="MPL1" s="1755"/>
      <c r="MPM1" s="1755"/>
      <c r="MPN1" s="1755"/>
      <c r="MPO1" s="1755"/>
      <c r="MPP1" s="1755"/>
      <c r="MPQ1" s="1755"/>
      <c r="MPR1" s="1755"/>
      <c r="MPS1" s="1755"/>
      <c r="MPT1" s="1755"/>
      <c r="MPU1" s="1755"/>
      <c r="MPV1" s="1755"/>
      <c r="MPW1" s="1755"/>
      <c r="MPX1" s="1755"/>
      <c r="MPY1" s="1755"/>
      <c r="MPZ1" s="1755"/>
      <c r="MQA1" s="1755"/>
      <c r="MQB1" s="1755"/>
      <c r="MQC1" s="1755"/>
      <c r="MQD1" s="1755"/>
      <c r="MQE1" s="1755"/>
      <c r="MQF1" s="1755"/>
      <c r="MQG1" s="1755"/>
      <c r="MQH1" s="1755"/>
      <c r="MQI1" s="1755"/>
      <c r="MQJ1" s="1755"/>
      <c r="MQK1" s="1755"/>
      <c r="MQL1" s="1755"/>
      <c r="MQM1" s="1755"/>
      <c r="MQN1" s="1755"/>
      <c r="MQO1" s="1755"/>
      <c r="MQP1" s="1755"/>
      <c r="MQQ1" s="1755"/>
      <c r="MQR1" s="1755"/>
      <c r="MQS1" s="1755"/>
      <c r="MQT1" s="1755"/>
      <c r="MQU1" s="1755"/>
      <c r="MQV1" s="1755"/>
      <c r="MQW1" s="1755"/>
      <c r="MQX1" s="1755"/>
      <c r="MQY1" s="1755"/>
      <c r="MQZ1" s="1755"/>
      <c r="MRA1" s="1755"/>
      <c r="MRB1" s="1755"/>
      <c r="MRC1" s="1755"/>
      <c r="MRD1" s="1755"/>
      <c r="MRE1" s="1755"/>
      <c r="MRF1" s="1755"/>
      <c r="MRG1" s="1755"/>
      <c r="MRH1" s="1755"/>
      <c r="MRI1" s="1755"/>
      <c r="MRJ1" s="1755"/>
      <c r="MRK1" s="1755"/>
      <c r="MRL1" s="1755"/>
      <c r="MRM1" s="1755"/>
      <c r="MRN1" s="1755"/>
      <c r="MRO1" s="1755"/>
      <c r="MRP1" s="1755"/>
      <c r="MRQ1" s="1755"/>
      <c r="MRR1" s="1755"/>
      <c r="MRS1" s="1755"/>
      <c r="MRT1" s="1755"/>
      <c r="MRU1" s="1755"/>
      <c r="MRV1" s="1755"/>
      <c r="MRW1" s="1755"/>
      <c r="MRX1" s="1755"/>
      <c r="MRY1" s="1755"/>
      <c r="MRZ1" s="1755"/>
      <c r="MSA1" s="1755"/>
      <c r="MSB1" s="1755"/>
      <c r="MSC1" s="1755"/>
      <c r="MSD1" s="1755"/>
      <c r="MSE1" s="1755"/>
      <c r="MSF1" s="1755"/>
      <c r="MSG1" s="1755"/>
      <c r="MSH1" s="1755"/>
      <c r="MSI1" s="1755"/>
      <c r="MSJ1" s="1755"/>
      <c r="MSK1" s="1755"/>
      <c r="MSL1" s="1755"/>
      <c r="MSM1" s="1755"/>
      <c r="MSN1" s="1755"/>
      <c r="MSO1" s="1755"/>
      <c r="MSP1" s="1755"/>
      <c r="MSQ1" s="1755"/>
      <c r="MSR1" s="1755"/>
      <c r="MSS1" s="1755"/>
      <c r="MST1" s="1755"/>
      <c r="MSU1" s="1755"/>
      <c r="MSV1" s="1755"/>
      <c r="MSW1" s="1755"/>
      <c r="MSX1" s="1755"/>
      <c r="MSY1" s="1755"/>
      <c r="MSZ1" s="1755"/>
      <c r="MTA1" s="1755"/>
      <c r="MTB1" s="1755"/>
      <c r="MTC1" s="1755"/>
      <c r="MTD1" s="1755"/>
      <c r="MTE1" s="1755"/>
      <c r="MTF1" s="1755"/>
      <c r="MTG1" s="1755"/>
      <c r="MTH1" s="1755"/>
      <c r="MTI1" s="1755"/>
      <c r="MTJ1" s="1755"/>
      <c r="MTK1" s="1755"/>
      <c r="MTL1" s="1755"/>
      <c r="MTM1" s="1755"/>
      <c r="MTN1" s="1755"/>
      <c r="MTO1" s="1755"/>
      <c r="MTP1" s="1755"/>
      <c r="MTQ1" s="1755"/>
      <c r="MTR1" s="1755"/>
      <c r="MTS1" s="1755"/>
      <c r="MTT1" s="1755"/>
      <c r="MTU1" s="1755"/>
      <c r="MTV1" s="1755"/>
      <c r="MTW1" s="1755"/>
      <c r="MTX1" s="1755"/>
      <c r="MTY1" s="1755"/>
      <c r="MTZ1" s="1755"/>
      <c r="MUA1" s="1755"/>
      <c r="MUB1" s="1755"/>
      <c r="MUC1" s="1755"/>
      <c r="MUD1" s="1755"/>
      <c r="MUE1" s="1755"/>
      <c r="MUF1" s="1755"/>
      <c r="MUG1" s="1755"/>
      <c r="MUH1" s="1755"/>
      <c r="MUI1" s="1755"/>
      <c r="MUJ1" s="1755"/>
      <c r="MUK1" s="1755"/>
      <c r="MUL1" s="1755"/>
      <c r="MUM1" s="1755"/>
      <c r="MUN1" s="1755"/>
      <c r="MUO1" s="1755"/>
      <c r="MUP1" s="1755"/>
      <c r="MUQ1" s="1755"/>
      <c r="MUR1" s="1755"/>
      <c r="MUS1" s="1755"/>
      <c r="MUT1" s="1755"/>
      <c r="MUU1" s="1755"/>
      <c r="MUV1" s="1755"/>
      <c r="MUW1" s="1755"/>
      <c r="MUX1" s="1755"/>
      <c r="MUY1" s="1755"/>
      <c r="MUZ1" s="1755"/>
      <c r="MVA1" s="1755"/>
      <c r="MVB1" s="1755"/>
      <c r="MVC1" s="1755"/>
      <c r="MVD1" s="1755"/>
      <c r="MVE1" s="1755"/>
      <c r="MVF1" s="1755"/>
      <c r="MVG1" s="1755"/>
      <c r="MVH1" s="1755"/>
      <c r="MVI1" s="1755"/>
      <c r="MVJ1" s="1755"/>
      <c r="MVK1" s="1755"/>
      <c r="MVL1" s="1755"/>
      <c r="MVM1" s="1755"/>
      <c r="MVN1" s="1755"/>
      <c r="MVO1" s="1755"/>
      <c r="MVP1" s="1755"/>
      <c r="MVQ1" s="1755"/>
      <c r="MVR1" s="1755"/>
      <c r="MVS1" s="1755"/>
      <c r="MVT1" s="1755"/>
      <c r="MVU1" s="1755"/>
      <c r="MVV1" s="1755"/>
      <c r="MVW1" s="1755"/>
      <c r="MVX1" s="1755"/>
      <c r="MVY1" s="1755"/>
      <c r="MVZ1" s="1755"/>
      <c r="MWA1" s="1755"/>
      <c r="MWB1" s="1755"/>
      <c r="MWC1" s="1755"/>
      <c r="MWD1" s="1755"/>
      <c r="MWE1" s="1755"/>
      <c r="MWF1" s="1755"/>
      <c r="MWG1" s="1755"/>
      <c r="MWH1" s="1755"/>
      <c r="MWI1" s="1755"/>
      <c r="MWJ1" s="1755"/>
      <c r="MWK1" s="1755"/>
      <c r="MWL1" s="1755"/>
      <c r="MWM1" s="1755"/>
      <c r="MWN1" s="1755"/>
      <c r="MWO1" s="1755"/>
      <c r="MWP1" s="1755"/>
      <c r="MWQ1" s="1755"/>
      <c r="MWR1" s="1755"/>
      <c r="MWS1" s="1755"/>
      <c r="MWT1" s="1755"/>
      <c r="MWU1" s="1755"/>
      <c r="MWV1" s="1755"/>
      <c r="MWW1" s="1755"/>
      <c r="MWX1" s="1755"/>
      <c r="MWY1" s="1755"/>
      <c r="MWZ1" s="1755"/>
      <c r="MXA1" s="1755"/>
      <c r="MXB1" s="1755"/>
      <c r="MXC1" s="1755"/>
      <c r="MXD1" s="1755"/>
      <c r="MXE1" s="1755"/>
      <c r="MXF1" s="1755"/>
      <c r="MXG1" s="1755"/>
      <c r="MXH1" s="1755"/>
      <c r="MXI1" s="1755"/>
      <c r="MXJ1" s="1755"/>
      <c r="MXK1" s="1755"/>
      <c r="MXL1" s="1755"/>
      <c r="MXM1" s="1755"/>
      <c r="MXN1" s="1755"/>
      <c r="MXO1" s="1755"/>
      <c r="MXP1" s="1755"/>
      <c r="MXQ1" s="1755"/>
      <c r="MXR1" s="1755"/>
      <c r="MXS1" s="1755"/>
      <c r="MXT1" s="1755"/>
      <c r="MXU1" s="1755"/>
      <c r="MXV1" s="1755"/>
      <c r="MXW1" s="1755"/>
      <c r="MXX1" s="1755"/>
      <c r="MXY1" s="1755"/>
      <c r="MXZ1" s="1755"/>
      <c r="MYA1" s="1755"/>
      <c r="MYB1" s="1755"/>
      <c r="MYC1" s="1755"/>
      <c r="MYD1" s="1755"/>
      <c r="MYE1" s="1755"/>
      <c r="MYF1" s="1755"/>
      <c r="MYG1" s="1755"/>
      <c r="MYH1" s="1755"/>
      <c r="MYI1" s="1755"/>
      <c r="MYJ1" s="1755"/>
      <c r="MYK1" s="1755"/>
      <c r="MYL1" s="1755"/>
      <c r="MYM1" s="1755"/>
      <c r="MYN1" s="1755"/>
      <c r="MYO1" s="1755"/>
      <c r="MYP1" s="1755"/>
      <c r="MYQ1" s="1755"/>
      <c r="MYR1" s="1755"/>
      <c r="MYS1" s="1755"/>
      <c r="MYT1" s="1755"/>
      <c r="MYU1" s="1755"/>
      <c r="MYV1" s="1755"/>
      <c r="MYW1" s="1755"/>
      <c r="MYX1" s="1755"/>
      <c r="MYY1" s="1755"/>
      <c r="MYZ1" s="1755"/>
      <c r="MZA1" s="1755"/>
      <c r="MZB1" s="1755"/>
      <c r="MZC1" s="1755"/>
      <c r="MZD1" s="1755"/>
      <c r="MZE1" s="1755"/>
      <c r="MZF1" s="1755"/>
      <c r="MZG1" s="1755"/>
      <c r="MZH1" s="1755"/>
      <c r="MZI1" s="1755"/>
      <c r="MZJ1" s="1755"/>
      <c r="MZK1" s="1755"/>
      <c r="MZL1" s="1755"/>
      <c r="MZM1" s="1755"/>
      <c r="MZN1" s="1755"/>
      <c r="MZO1" s="1755"/>
      <c r="MZP1" s="1755"/>
      <c r="MZQ1" s="1755"/>
      <c r="MZR1" s="1755"/>
      <c r="MZS1" s="1755"/>
      <c r="MZT1" s="1755"/>
      <c r="MZU1" s="1755"/>
      <c r="MZV1" s="1755"/>
      <c r="MZW1" s="1755"/>
      <c r="MZX1" s="1755"/>
      <c r="MZY1" s="1755"/>
      <c r="MZZ1" s="1755"/>
      <c r="NAA1" s="1755"/>
      <c r="NAB1" s="1755"/>
      <c r="NAC1" s="1755"/>
      <c r="NAD1" s="1755"/>
      <c r="NAE1" s="1755"/>
      <c r="NAF1" s="1755"/>
      <c r="NAG1" s="1755"/>
      <c r="NAH1" s="1755"/>
      <c r="NAI1" s="1755"/>
      <c r="NAJ1" s="1755"/>
      <c r="NAK1" s="1755"/>
      <c r="NAL1" s="1755"/>
      <c r="NAM1" s="1755"/>
      <c r="NAN1" s="1755"/>
      <c r="NAO1" s="1755"/>
      <c r="NAP1" s="1755"/>
      <c r="NAQ1" s="1755"/>
      <c r="NAR1" s="1755"/>
      <c r="NAS1" s="1755"/>
      <c r="NAT1" s="1755"/>
      <c r="NAU1" s="1755"/>
      <c r="NAV1" s="1755"/>
      <c r="NAW1" s="1755"/>
      <c r="NAX1" s="1755"/>
      <c r="NAY1" s="1755"/>
      <c r="NAZ1" s="1755"/>
      <c r="NBA1" s="1755"/>
      <c r="NBB1" s="1755"/>
      <c r="NBC1" s="1755"/>
      <c r="NBD1" s="1755"/>
      <c r="NBE1" s="1755"/>
      <c r="NBF1" s="1755"/>
      <c r="NBG1" s="1755"/>
      <c r="NBH1" s="1755"/>
      <c r="NBI1" s="1755"/>
      <c r="NBJ1" s="1755"/>
      <c r="NBK1" s="1755"/>
      <c r="NBL1" s="1755"/>
      <c r="NBM1" s="1755"/>
      <c r="NBN1" s="1755"/>
      <c r="NBO1" s="1755"/>
      <c r="NBP1" s="1755"/>
      <c r="NBQ1" s="1755"/>
      <c r="NBR1" s="1755"/>
      <c r="NBS1" s="1755"/>
      <c r="NBT1" s="1755"/>
      <c r="NBU1" s="1755"/>
      <c r="NBV1" s="1755"/>
      <c r="NBW1" s="1755"/>
      <c r="NBX1" s="1755"/>
      <c r="NBY1" s="1755"/>
      <c r="NBZ1" s="1755"/>
      <c r="NCA1" s="1755"/>
      <c r="NCB1" s="1755"/>
      <c r="NCC1" s="1755"/>
      <c r="NCD1" s="1755"/>
      <c r="NCE1" s="1755"/>
      <c r="NCF1" s="1755"/>
      <c r="NCG1" s="1755"/>
      <c r="NCH1" s="1755"/>
      <c r="NCI1" s="1755"/>
      <c r="NCJ1" s="1755"/>
      <c r="NCK1" s="1755"/>
      <c r="NCL1" s="1755"/>
      <c r="NCM1" s="1755"/>
      <c r="NCN1" s="1755"/>
      <c r="NCO1" s="1755"/>
      <c r="NCP1" s="1755"/>
      <c r="NCQ1" s="1755"/>
      <c r="NCR1" s="1755"/>
      <c r="NCS1" s="1755"/>
      <c r="NCT1" s="1755"/>
      <c r="NCU1" s="1755"/>
      <c r="NCV1" s="1755"/>
      <c r="NCW1" s="1755"/>
      <c r="NCX1" s="1755"/>
      <c r="NCY1" s="1755"/>
      <c r="NCZ1" s="1755"/>
      <c r="NDA1" s="1755"/>
      <c r="NDB1" s="1755"/>
      <c r="NDC1" s="1755"/>
      <c r="NDD1" s="1755"/>
      <c r="NDE1" s="1755"/>
      <c r="NDF1" s="1755"/>
      <c r="NDG1" s="1755"/>
      <c r="NDH1" s="1755"/>
      <c r="NDI1" s="1755"/>
      <c r="NDJ1" s="1755"/>
      <c r="NDK1" s="1755"/>
      <c r="NDL1" s="1755"/>
      <c r="NDM1" s="1755"/>
      <c r="NDN1" s="1755"/>
      <c r="NDO1" s="1755"/>
      <c r="NDP1" s="1755"/>
      <c r="NDQ1" s="1755"/>
      <c r="NDR1" s="1755"/>
      <c r="NDS1" s="1755"/>
      <c r="NDT1" s="1755"/>
      <c r="NDU1" s="1755"/>
      <c r="NDV1" s="1755"/>
      <c r="NDW1" s="1755"/>
      <c r="NDX1" s="1755"/>
      <c r="NDY1" s="1755"/>
      <c r="NDZ1" s="1755"/>
      <c r="NEA1" s="1755"/>
      <c r="NEB1" s="1755"/>
      <c r="NEC1" s="1755"/>
      <c r="NED1" s="1755"/>
      <c r="NEE1" s="1755"/>
      <c r="NEF1" s="1755"/>
      <c r="NEG1" s="1755"/>
      <c r="NEH1" s="1755"/>
      <c r="NEI1" s="1755"/>
      <c r="NEJ1" s="1755"/>
      <c r="NEK1" s="1755"/>
      <c r="NEL1" s="1755"/>
      <c r="NEM1" s="1755"/>
      <c r="NEN1" s="1755"/>
      <c r="NEO1" s="1755"/>
      <c r="NEP1" s="1755"/>
      <c r="NEQ1" s="1755"/>
      <c r="NER1" s="1755"/>
      <c r="NES1" s="1755"/>
      <c r="NET1" s="1755"/>
      <c r="NEU1" s="1755"/>
      <c r="NEV1" s="1755"/>
      <c r="NEW1" s="1755"/>
      <c r="NEX1" s="1755"/>
      <c r="NEY1" s="1755"/>
      <c r="NEZ1" s="1755"/>
      <c r="NFA1" s="1755"/>
      <c r="NFB1" s="1755"/>
      <c r="NFC1" s="1755"/>
      <c r="NFD1" s="1755"/>
      <c r="NFE1" s="1755"/>
      <c r="NFF1" s="1755"/>
      <c r="NFG1" s="1755"/>
      <c r="NFH1" s="1755"/>
      <c r="NFI1" s="1755"/>
      <c r="NFJ1" s="1755"/>
      <c r="NFK1" s="1755"/>
      <c r="NFL1" s="1755"/>
      <c r="NFM1" s="1755"/>
      <c r="NFN1" s="1755"/>
      <c r="NFO1" s="1755"/>
      <c r="NFP1" s="1755"/>
      <c r="NFQ1" s="1755"/>
      <c r="NFR1" s="1755"/>
      <c r="NFS1" s="1755"/>
      <c r="NFT1" s="1755"/>
      <c r="NFU1" s="1755"/>
      <c r="NFV1" s="1755"/>
      <c r="NFW1" s="1755"/>
      <c r="NFX1" s="1755"/>
      <c r="NFY1" s="1755"/>
      <c r="NFZ1" s="1755"/>
      <c r="NGA1" s="1755"/>
      <c r="NGB1" s="1755"/>
      <c r="NGC1" s="1755"/>
      <c r="NGD1" s="1755"/>
      <c r="NGE1" s="1755"/>
      <c r="NGF1" s="1755"/>
      <c r="NGG1" s="1755"/>
      <c r="NGH1" s="1755"/>
      <c r="NGI1" s="1755"/>
      <c r="NGJ1" s="1755"/>
      <c r="NGK1" s="1755"/>
      <c r="NGL1" s="1755"/>
      <c r="NGM1" s="1755"/>
      <c r="NGN1" s="1755"/>
      <c r="NGO1" s="1755"/>
      <c r="NGP1" s="1755"/>
      <c r="NGQ1" s="1755"/>
      <c r="NGR1" s="1755"/>
      <c r="NGS1" s="1755"/>
      <c r="NGT1" s="1755"/>
      <c r="NGU1" s="1755"/>
      <c r="NGV1" s="1755"/>
      <c r="NGW1" s="1755"/>
      <c r="NGX1" s="1755"/>
      <c r="NGY1" s="1755"/>
      <c r="NGZ1" s="1755"/>
      <c r="NHA1" s="1755"/>
      <c r="NHB1" s="1755"/>
      <c r="NHC1" s="1755"/>
      <c r="NHD1" s="1755"/>
      <c r="NHE1" s="1755"/>
      <c r="NHF1" s="1755"/>
      <c r="NHG1" s="1755"/>
      <c r="NHH1" s="1755"/>
      <c r="NHI1" s="1755"/>
      <c r="NHJ1" s="1755"/>
      <c r="NHK1" s="1755"/>
      <c r="NHL1" s="1755"/>
      <c r="NHM1" s="1755"/>
      <c r="NHN1" s="1755"/>
      <c r="NHO1" s="1755"/>
      <c r="NHP1" s="1755"/>
      <c r="NHQ1" s="1755"/>
      <c r="NHR1" s="1755"/>
      <c r="NHS1" s="1755"/>
      <c r="NHT1" s="1755"/>
      <c r="NHU1" s="1755"/>
      <c r="NHV1" s="1755"/>
      <c r="NHW1" s="1755"/>
      <c r="NHX1" s="1755"/>
      <c r="NHY1" s="1755"/>
      <c r="NHZ1" s="1755"/>
      <c r="NIA1" s="1755"/>
      <c r="NIB1" s="1755"/>
      <c r="NIC1" s="1755"/>
      <c r="NID1" s="1755"/>
      <c r="NIE1" s="1755"/>
      <c r="NIF1" s="1755"/>
      <c r="NIG1" s="1755"/>
      <c r="NIH1" s="1755"/>
      <c r="NII1" s="1755"/>
      <c r="NIJ1" s="1755"/>
      <c r="NIK1" s="1755"/>
      <c r="NIL1" s="1755"/>
      <c r="NIM1" s="1755"/>
      <c r="NIN1" s="1755"/>
      <c r="NIO1" s="1755"/>
      <c r="NIP1" s="1755"/>
      <c r="NIQ1" s="1755"/>
      <c r="NIR1" s="1755"/>
      <c r="NIS1" s="1755"/>
      <c r="NIT1" s="1755"/>
      <c r="NIU1" s="1755"/>
      <c r="NIV1" s="1755"/>
      <c r="NIW1" s="1755"/>
      <c r="NIX1" s="1755"/>
      <c r="NIY1" s="1755"/>
      <c r="NIZ1" s="1755"/>
      <c r="NJA1" s="1755"/>
      <c r="NJB1" s="1755"/>
      <c r="NJC1" s="1755"/>
      <c r="NJD1" s="1755"/>
      <c r="NJE1" s="1755"/>
      <c r="NJF1" s="1755"/>
      <c r="NJG1" s="1755"/>
      <c r="NJH1" s="1755"/>
      <c r="NJI1" s="1755"/>
      <c r="NJJ1" s="1755"/>
      <c r="NJK1" s="1755"/>
      <c r="NJL1" s="1755"/>
      <c r="NJM1" s="1755"/>
      <c r="NJN1" s="1755"/>
      <c r="NJO1" s="1755"/>
      <c r="NJP1" s="1755"/>
      <c r="NJQ1" s="1755"/>
      <c r="NJR1" s="1755"/>
      <c r="NJS1" s="1755"/>
      <c r="NJT1" s="1755"/>
      <c r="NJU1" s="1755"/>
      <c r="NJV1" s="1755"/>
      <c r="NJW1" s="1755"/>
      <c r="NJX1" s="1755"/>
      <c r="NJY1" s="1755"/>
      <c r="NJZ1" s="1755"/>
      <c r="NKA1" s="1755"/>
      <c r="NKB1" s="1755"/>
      <c r="NKC1" s="1755"/>
      <c r="NKD1" s="1755"/>
      <c r="NKE1" s="1755"/>
      <c r="NKF1" s="1755"/>
      <c r="NKG1" s="1755"/>
      <c r="NKH1" s="1755"/>
      <c r="NKI1" s="1755"/>
      <c r="NKJ1" s="1755"/>
      <c r="NKK1" s="1755"/>
      <c r="NKL1" s="1755"/>
      <c r="NKM1" s="1755"/>
      <c r="NKN1" s="1755"/>
      <c r="NKO1" s="1755"/>
      <c r="NKP1" s="1755"/>
      <c r="NKQ1" s="1755"/>
      <c r="NKR1" s="1755"/>
      <c r="NKS1" s="1755"/>
      <c r="NKT1" s="1755"/>
      <c r="NKU1" s="1755"/>
      <c r="NKV1" s="1755"/>
      <c r="NKW1" s="1755"/>
      <c r="NKX1" s="1755"/>
      <c r="NKY1" s="1755"/>
      <c r="NKZ1" s="1755"/>
      <c r="NLA1" s="1755"/>
      <c r="NLB1" s="1755"/>
      <c r="NLC1" s="1755"/>
      <c r="NLD1" s="1755"/>
      <c r="NLE1" s="1755"/>
      <c r="NLF1" s="1755"/>
      <c r="NLG1" s="1755"/>
      <c r="NLH1" s="1755"/>
      <c r="NLI1" s="1755"/>
      <c r="NLJ1" s="1755"/>
      <c r="NLK1" s="1755"/>
      <c r="NLL1" s="1755"/>
      <c r="NLM1" s="1755"/>
      <c r="NLN1" s="1755"/>
      <c r="NLO1" s="1755"/>
      <c r="NLP1" s="1755"/>
      <c r="NLQ1" s="1755"/>
      <c r="NLR1" s="1755"/>
      <c r="NLS1" s="1755"/>
      <c r="NLT1" s="1755"/>
      <c r="NLU1" s="1755"/>
      <c r="NLV1" s="1755"/>
      <c r="NLW1" s="1755"/>
      <c r="NLX1" s="1755"/>
      <c r="NLY1" s="1755"/>
      <c r="NLZ1" s="1755"/>
      <c r="NMA1" s="1755"/>
      <c r="NMB1" s="1755"/>
      <c r="NMC1" s="1755"/>
      <c r="NMD1" s="1755"/>
      <c r="NME1" s="1755"/>
      <c r="NMF1" s="1755"/>
      <c r="NMG1" s="1755"/>
      <c r="NMH1" s="1755"/>
      <c r="NMI1" s="1755"/>
      <c r="NMJ1" s="1755"/>
      <c r="NMK1" s="1755"/>
      <c r="NML1" s="1755"/>
      <c r="NMM1" s="1755"/>
      <c r="NMN1" s="1755"/>
      <c r="NMO1" s="1755"/>
      <c r="NMP1" s="1755"/>
      <c r="NMQ1" s="1755"/>
      <c r="NMR1" s="1755"/>
      <c r="NMS1" s="1755"/>
      <c r="NMT1" s="1755"/>
      <c r="NMU1" s="1755"/>
      <c r="NMV1" s="1755"/>
      <c r="NMW1" s="1755"/>
      <c r="NMX1" s="1755"/>
      <c r="NMY1" s="1755"/>
      <c r="NMZ1" s="1755"/>
      <c r="NNA1" s="1755"/>
      <c r="NNB1" s="1755"/>
      <c r="NNC1" s="1755"/>
      <c r="NND1" s="1755"/>
      <c r="NNE1" s="1755"/>
      <c r="NNF1" s="1755"/>
      <c r="NNG1" s="1755"/>
      <c r="NNH1" s="1755"/>
      <c r="NNI1" s="1755"/>
      <c r="NNJ1" s="1755"/>
      <c r="NNK1" s="1755"/>
      <c r="NNL1" s="1755"/>
      <c r="NNM1" s="1755"/>
      <c r="NNN1" s="1755"/>
      <c r="NNO1" s="1755"/>
      <c r="NNP1" s="1755"/>
      <c r="NNQ1" s="1755"/>
      <c r="NNR1" s="1755"/>
      <c r="NNS1" s="1755"/>
      <c r="NNT1" s="1755"/>
      <c r="NNU1" s="1755"/>
      <c r="NNV1" s="1755"/>
      <c r="NNW1" s="1755"/>
      <c r="NNX1" s="1755"/>
      <c r="NNY1" s="1755"/>
      <c r="NNZ1" s="1755"/>
      <c r="NOA1" s="1755"/>
      <c r="NOB1" s="1755"/>
      <c r="NOC1" s="1755"/>
      <c r="NOD1" s="1755"/>
      <c r="NOE1" s="1755"/>
      <c r="NOF1" s="1755"/>
      <c r="NOG1" s="1755"/>
      <c r="NOH1" s="1755"/>
      <c r="NOI1" s="1755"/>
      <c r="NOJ1" s="1755"/>
      <c r="NOK1" s="1755"/>
      <c r="NOL1" s="1755"/>
      <c r="NOM1" s="1755"/>
      <c r="NON1" s="1755"/>
      <c r="NOO1" s="1755"/>
      <c r="NOP1" s="1755"/>
      <c r="NOQ1" s="1755"/>
      <c r="NOR1" s="1755"/>
      <c r="NOS1" s="1755"/>
      <c r="NOT1" s="1755"/>
      <c r="NOU1" s="1755"/>
      <c r="NOV1" s="1755"/>
      <c r="NOW1" s="1755"/>
      <c r="NOX1" s="1755"/>
      <c r="NOY1" s="1755"/>
      <c r="NOZ1" s="1755"/>
      <c r="NPA1" s="1755"/>
      <c r="NPB1" s="1755"/>
      <c r="NPC1" s="1755"/>
      <c r="NPD1" s="1755"/>
      <c r="NPE1" s="1755"/>
      <c r="NPF1" s="1755"/>
      <c r="NPG1" s="1755"/>
      <c r="NPH1" s="1755"/>
      <c r="NPI1" s="1755"/>
      <c r="NPJ1" s="1755"/>
      <c r="NPK1" s="1755"/>
      <c r="NPL1" s="1755"/>
      <c r="NPM1" s="1755"/>
      <c r="NPN1" s="1755"/>
      <c r="NPO1" s="1755"/>
      <c r="NPP1" s="1755"/>
      <c r="NPQ1" s="1755"/>
      <c r="NPR1" s="1755"/>
      <c r="NPS1" s="1755"/>
      <c r="NPT1" s="1755"/>
      <c r="NPU1" s="1755"/>
      <c r="NPV1" s="1755"/>
      <c r="NPW1" s="1755"/>
      <c r="NPX1" s="1755"/>
      <c r="NPY1" s="1755"/>
      <c r="NPZ1" s="1755"/>
      <c r="NQA1" s="1755"/>
      <c r="NQB1" s="1755"/>
      <c r="NQC1" s="1755"/>
      <c r="NQD1" s="1755"/>
      <c r="NQE1" s="1755"/>
      <c r="NQF1" s="1755"/>
      <c r="NQG1" s="1755"/>
      <c r="NQH1" s="1755"/>
      <c r="NQI1" s="1755"/>
      <c r="NQJ1" s="1755"/>
      <c r="NQK1" s="1755"/>
      <c r="NQL1" s="1755"/>
      <c r="NQM1" s="1755"/>
      <c r="NQN1" s="1755"/>
      <c r="NQO1" s="1755"/>
      <c r="NQP1" s="1755"/>
      <c r="NQQ1" s="1755"/>
      <c r="NQR1" s="1755"/>
      <c r="NQS1" s="1755"/>
      <c r="NQT1" s="1755"/>
      <c r="NQU1" s="1755"/>
      <c r="NQV1" s="1755"/>
      <c r="NQW1" s="1755"/>
      <c r="NQX1" s="1755"/>
      <c r="NQY1" s="1755"/>
      <c r="NQZ1" s="1755"/>
      <c r="NRA1" s="1755"/>
      <c r="NRB1" s="1755"/>
      <c r="NRC1" s="1755"/>
      <c r="NRD1" s="1755"/>
      <c r="NRE1" s="1755"/>
      <c r="NRF1" s="1755"/>
      <c r="NRG1" s="1755"/>
      <c r="NRH1" s="1755"/>
      <c r="NRI1" s="1755"/>
      <c r="NRJ1" s="1755"/>
      <c r="NRK1" s="1755"/>
      <c r="NRL1" s="1755"/>
      <c r="NRM1" s="1755"/>
      <c r="NRN1" s="1755"/>
      <c r="NRO1" s="1755"/>
      <c r="NRP1" s="1755"/>
      <c r="NRQ1" s="1755"/>
      <c r="NRR1" s="1755"/>
      <c r="NRS1" s="1755"/>
      <c r="NRT1" s="1755"/>
      <c r="NRU1" s="1755"/>
      <c r="NRV1" s="1755"/>
      <c r="NRW1" s="1755"/>
      <c r="NRX1" s="1755"/>
      <c r="NRY1" s="1755"/>
      <c r="NRZ1" s="1755"/>
      <c r="NSA1" s="1755"/>
      <c r="NSB1" s="1755"/>
      <c r="NSC1" s="1755"/>
      <c r="NSD1" s="1755"/>
      <c r="NSE1" s="1755"/>
      <c r="NSF1" s="1755"/>
      <c r="NSG1" s="1755"/>
      <c r="NSH1" s="1755"/>
      <c r="NSI1" s="1755"/>
      <c r="NSJ1" s="1755"/>
      <c r="NSK1" s="1755"/>
      <c r="NSL1" s="1755"/>
      <c r="NSM1" s="1755"/>
      <c r="NSN1" s="1755"/>
      <c r="NSO1" s="1755"/>
      <c r="NSP1" s="1755"/>
      <c r="NSQ1" s="1755"/>
      <c r="NSR1" s="1755"/>
      <c r="NSS1" s="1755"/>
      <c r="NST1" s="1755"/>
      <c r="NSU1" s="1755"/>
      <c r="NSV1" s="1755"/>
      <c r="NSW1" s="1755"/>
      <c r="NSX1" s="1755"/>
      <c r="NSY1" s="1755"/>
      <c r="NSZ1" s="1755"/>
      <c r="NTA1" s="1755"/>
      <c r="NTB1" s="1755"/>
      <c r="NTC1" s="1755"/>
      <c r="NTD1" s="1755"/>
      <c r="NTE1" s="1755"/>
      <c r="NTF1" s="1755"/>
      <c r="NTG1" s="1755"/>
      <c r="NTH1" s="1755"/>
      <c r="NTI1" s="1755"/>
      <c r="NTJ1" s="1755"/>
      <c r="NTK1" s="1755"/>
      <c r="NTL1" s="1755"/>
      <c r="NTM1" s="1755"/>
      <c r="NTN1" s="1755"/>
      <c r="NTO1" s="1755"/>
      <c r="NTP1" s="1755"/>
      <c r="NTQ1" s="1755"/>
      <c r="NTR1" s="1755"/>
      <c r="NTS1" s="1755"/>
      <c r="NTT1" s="1755"/>
      <c r="NTU1" s="1755"/>
      <c r="NTV1" s="1755"/>
      <c r="NTW1" s="1755"/>
      <c r="NTX1" s="1755"/>
      <c r="NTY1" s="1755"/>
      <c r="NTZ1" s="1755"/>
      <c r="NUA1" s="1755"/>
      <c r="NUB1" s="1755"/>
      <c r="NUC1" s="1755"/>
      <c r="NUD1" s="1755"/>
      <c r="NUE1" s="1755"/>
      <c r="NUF1" s="1755"/>
      <c r="NUG1" s="1755"/>
      <c r="NUH1" s="1755"/>
      <c r="NUI1" s="1755"/>
      <c r="NUJ1" s="1755"/>
      <c r="NUK1" s="1755"/>
      <c r="NUL1" s="1755"/>
      <c r="NUM1" s="1755"/>
      <c r="NUN1" s="1755"/>
      <c r="NUO1" s="1755"/>
      <c r="NUP1" s="1755"/>
      <c r="NUQ1" s="1755"/>
      <c r="NUR1" s="1755"/>
      <c r="NUS1" s="1755"/>
      <c r="NUT1" s="1755"/>
      <c r="NUU1" s="1755"/>
      <c r="NUV1" s="1755"/>
      <c r="NUW1" s="1755"/>
      <c r="NUX1" s="1755"/>
      <c r="NUY1" s="1755"/>
      <c r="NUZ1" s="1755"/>
      <c r="NVA1" s="1755"/>
      <c r="NVB1" s="1755"/>
      <c r="NVC1" s="1755"/>
      <c r="NVD1" s="1755"/>
      <c r="NVE1" s="1755"/>
      <c r="NVF1" s="1755"/>
      <c r="NVG1" s="1755"/>
      <c r="NVH1" s="1755"/>
      <c r="NVI1" s="1755"/>
      <c r="NVJ1" s="1755"/>
      <c r="NVK1" s="1755"/>
      <c r="NVL1" s="1755"/>
      <c r="NVM1" s="1755"/>
      <c r="NVN1" s="1755"/>
      <c r="NVO1" s="1755"/>
      <c r="NVP1" s="1755"/>
      <c r="NVQ1" s="1755"/>
      <c r="NVR1" s="1755"/>
      <c r="NVS1" s="1755"/>
      <c r="NVT1" s="1755"/>
      <c r="NVU1" s="1755"/>
      <c r="NVV1" s="1755"/>
      <c r="NVW1" s="1755"/>
      <c r="NVX1" s="1755"/>
      <c r="NVY1" s="1755"/>
      <c r="NVZ1" s="1755"/>
      <c r="NWA1" s="1755"/>
      <c r="NWB1" s="1755"/>
      <c r="NWC1" s="1755"/>
      <c r="NWD1" s="1755"/>
      <c r="NWE1" s="1755"/>
      <c r="NWF1" s="1755"/>
      <c r="NWG1" s="1755"/>
      <c r="NWH1" s="1755"/>
      <c r="NWI1" s="1755"/>
      <c r="NWJ1" s="1755"/>
      <c r="NWK1" s="1755"/>
      <c r="NWL1" s="1755"/>
      <c r="NWM1" s="1755"/>
      <c r="NWN1" s="1755"/>
      <c r="NWO1" s="1755"/>
      <c r="NWP1" s="1755"/>
      <c r="NWQ1" s="1755"/>
      <c r="NWR1" s="1755"/>
      <c r="NWS1" s="1755"/>
      <c r="NWT1" s="1755"/>
      <c r="NWU1" s="1755"/>
      <c r="NWV1" s="1755"/>
      <c r="NWW1" s="1755"/>
      <c r="NWX1" s="1755"/>
      <c r="NWY1" s="1755"/>
      <c r="NWZ1" s="1755"/>
      <c r="NXA1" s="1755"/>
      <c r="NXB1" s="1755"/>
      <c r="NXC1" s="1755"/>
      <c r="NXD1" s="1755"/>
      <c r="NXE1" s="1755"/>
      <c r="NXF1" s="1755"/>
      <c r="NXG1" s="1755"/>
      <c r="NXH1" s="1755"/>
      <c r="NXI1" s="1755"/>
      <c r="NXJ1" s="1755"/>
      <c r="NXK1" s="1755"/>
      <c r="NXL1" s="1755"/>
      <c r="NXM1" s="1755"/>
      <c r="NXN1" s="1755"/>
      <c r="NXO1" s="1755"/>
      <c r="NXP1" s="1755"/>
      <c r="NXQ1" s="1755"/>
      <c r="NXR1" s="1755"/>
      <c r="NXS1" s="1755"/>
      <c r="NXT1" s="1755"/>
      <c r="NXU1" s="1755"/>
      <c r="NXV1" s="1755"/>
      <c r="NXW1" s="1755"/>
      <c r="NXX1" s="1755"/>
      <c r="NXY1" s="1755"/>
      <c r="NXZ1" s="1755"/>
      <c r="NYA1" s="1755"/>
      <c r="NYB1" s="1755"/>
      <c r="NYC1" s="1755"/>
      <c r="NYD1" s="1755"/>
      <c r="NYE1" s="1755"/>
      <c r="NYF1" s="1755"/>
      <c r="NYG1" s="1755"/>
      <c r="NYH1" s="1755"/>
      <c r="NYI1" s="1755"/>
      <c r="NYJ1" s="1755"/>
      <c r="NYK1" s="1755"/>
      <c r="NYL1" s="1755"/>
      <c r="NYM1" s="1755"/>
      <c r="NYN1" s="1755"/>
      <c r="NYO1" s="1755"/>
      <c r="NYP1" s="1755"/>
      <c r="NYQ1" s="1755"/>
      <c r="NYR1" s="1755"/>
      <c r="NYS1" s="1755"/>
      <c r="NYT1" s="1755"/>
      <c r="NYU1" s="1755"/>
      <c r="NYV1" s="1755"/>
      <c r="NYW1" s="1755"/>
      <c r="NYX1" s="1755"/>
      <c r="NYY1" s="1755"/>
      <c r="NYZ1" s="1755"/>
      <c r="NZA1" s="1755"/>
      <c r="NZB1" s="1755"/>
      <c r="NZC1" s="1755"/>
      <c r="NZD1" s="1755"/>
      <c r="NZE1" s="1755"/>
      <c r="NZF1" s="1755"/>
      <c r="NZG1" s="1755"/>
      <c r="NZH1" s="1755"/>
      <c r="NZI1" s="1755"/>
      <c r="NZJ1" s="1755"/>
      <c r="NZK1" s="1755"/>
      <c r="NZL1" s="1755"/>
      <c r="NZM1" s="1755"/>
      <c r="NZN1" s="1755"/>
      <c r="NZO1" s="1755"/>
      <c r="NZP1" s="1755"/>
      <c r="NZQ1" s="1755"/>
      <c r="NZR1" s="1755"/>
      <c r="NZS1" s="1755"/>
      <c r="NZT1" s="1755"/>
      <c r="NZU1" s="1755"/>
      <c r="NZV1" s="1755"/>
      <c r="NZW1" s="1755"/>
      <c r="NZX1" s="1755"/>
      <c r="NZY1" s="1755"/>
      <c r="NZZ1" s="1755"/>
      <c r="OAA1" s="1755"/>
      <c r="OAB1" s="1755"/>
      <c r="OAC1" s="1755"/>
      <c r="OAD1" s="1755"/>
      <c r="OAE1" s="1755"/>
      <c r="OAF1" s="1755"/>
      <c r="OAG1" s="1755"/>
      <c r="OAH1" s="1755"/>
      <c r="OAI1" s="1755"/>
      <c r="OAJ1" s="1755"/>
      <c r="OAK1" s="1755"/>
      <c r="OAL1" s="1755"/>
      <c r="OAM1" s="1755"/>
      <c r="OAN1" s="1755"/>
      <c r="OAO1" s="1755"/>
      <c r="OAP1" s="1755"/>
      <c r="OAQ1" s="1755"/>
      <c r="OAR1" s="1755"/>
      <c r="OAS1" s="1755"/>
      <c r="OAT1" s="1755"/>
      <c r="OAU1" s="1755"/>
      <c r="OAV1" s="1755"/>
      <c r="OAW1" s="1755"/>
      <c r="OAX1" s="1755"/>
      <c r="OAY1" s="1755"/>
      <c r="OAZ1" s="1755"/>
      <c r="OBA1" s="1755"/>
      <c r="OBB1" s="1755"/>
      <c r="OBC1" s="1755"/>
      <c r="OBD1" s="1755"/>
      <c r="OBE1" s="1755"/>
      <c r="OBF1" s="1755"/>
      <c r="OBG1" s="1755"/>
      <c r="OBH1" s="1755"/>
      <c r="OBI1" s="1755"/>
      <c r="OBJ1" s="1755"/>
      <c r="OBK1" s="1755"/>
      <c r="OBL1" s="1755"/>
      <c r="OBM1" s="1755"/>
      <c r="OBN1" s="1755"/>
      <c r="OBO1" s="1755"/>
      <c r="OBP1" s="1755"/>
      <c r="OBQ1" s="1755"/>
      <c r="OBR1" s="1755"/>
      <c r="OBS1" s="1755"/>
      <c r="OBT1" s="1755"/>
      <c r="OBU1" s="1755"/>
      <c r="OBV1" s="1755"/>
      <c r="OBW1" s="1755"/>
      <c r="OBX1" s="1755"/>
      <c r="OBY1" s="1755"/>
      <c r="OBZ1" s="1755"/>
      <c r="OCA1" s="1755"/>
      <c r="OCB1" s="1755"/>
      <c r="OCC1" s="1755"/>
      <c r="OCD1" s="1755"/>
      <c r="OCE1" s="1755"/>
      <c r="OCF1" s="1755"/>
      <c r="OCG1" s="1755"/>
      <c r="OCH1" s="1755"/>
      <c r="OCI1" s="1755"/>
      <c r="OCJ1" s="1755"/>
      <c r="OCK1" s="1755"/>
      <c r="OCL1" s="1755"/>
      <c r="OCM1" s="1755"/>
      <c r="OCN1" s="1755"/>
      <c r="OCO1" s="1755"/>
      <c r="OCP1" s="1755"/>
      <c r="OCQ1" s="1755"/>
      <c r="OCR1" s="1755"/>
      <c r="OCS1" s="1755"/>
      <c r="OCT1" s="1755"/>
      <c r="OCU1" s="1755"/>
      <c r="OCV1" s="1755"/>
      <c r="OCW1" s="1755"/>
      <c r="OCX1" s="1755"/>
      <c r="OCY1" s="1755"/>
      <c r="OCZ1" s="1755"/>
      <c r="ODA1" s="1755"/>
      <c r="ODB1" s="1755"/>
      <c r="ODC1" s="1755"/>
      <c r="ODD1" s="1755"/>
      <c r="ODE1" s="1755"/>
      <c r="ODF1" s="1755"/>
      <c r="ODG1" s="1755"/>
      <c r="ODH1" s="1755"/>
      <c r="ODI1" s="1755"/>
      <c r="ODJ1" s="1755"/>
      <c r="ODK1" s="1755"/>
      <c r="ODL1" s="1755"/>
      <c r="ODM1" s="1755"/>
      <c r="ODN1" s="1755"/>
      <c r="ODO1" s="1755"/>
      <c r="ODP1" s="1755"/>
      <c r="ODQ1" s="1755"/>
      <c r="ODR1" s="1755"/>
      <c r="ODS1" s="1755"/>
      <c r="ODT1" s="1755"/>
      <c r="ODU1" s="1755"/>
      <c r="ODV1" s="1755"/>
      <c r="ODW1" s="1755"/>
      <c r="ODX1" s="1755"/>
      <c r="ODY1" s="1755"/>
      <c r="ODZ1" s="1755"/>
      <c r="OEA1" s="1755"/>
      <c r="OEB1" s="1755"/>
      <c r="OEC1" s="1755"/>
      <c r="OED1" s="1755"/>
      <c r="OEE1" s="1755"/>
      <c r="OEF1" s="1755"/>
      <c r="OEG1" s="1755"/>
      <c r="OEH1" s="1755"/>
      <c r="OEI1" s="1755"/>
      <c r="OEJ1" s="1755"/>
      <c r="OEK1" s="1755"/>
      <c r="OEL1" s="1755"/>
      <c r="OEM1" s="1755"/>
      <c r="OEN1" s="1755"/>
      <c r="OEO1" s="1755"/>
      <c r="OEP1" s="1755"/>
      <c r="OEQ1" s="1755"/>
      <c r="OER1" s="1755"/>
      <c r="OES1" s="1755"/>
      <c r="OET1" s="1755"/>
      <c r="OEU1" s="1755"/>
      <c r="OEV1" s="1755"/>
      <c r="OEW1" s="1755"/>
      <c r="OEX1" s="1755"/>
      <c r="OEY1" s="1755"/>
      <c r="OEZ1" s="1755"/>
      <c r="OFA1" s="1755"/>
      <c r="OFB1" s="1755"/>
      <c r="OFC1" s="1755"/>
      <c r="OFD1" s="1755"/>
      <c r="OFE1" s="1755"/>
      <c r="OFF1" s="1755"/>
      <c r="OFG1" s="1755"/>
      <c r="OFH1" s="1755"/>
      <c r="OFI1" s="1755"/>
      <c r="OFJ1" s="1755"/>
      <c r="OFK1" s="1755"/>
      <c r="OFL1" s="1755"/>
      <c r="OFM1" s="1755"/>
      <c r="OFN1" s="1755"/>
      <c r="OFO1" s="1755"/>
      <c r="OFP1" s="1755"/>
      <c r="OFQ1" s="1755"/>
      <c r="OFR1" s="1755"/>
      <c r="OFS1" s="1755"/>
      <c r="OFT1" s="1755"/>
      <c r="OFU1" s="1755"/>
      <c r="OFV1" s="1755"/>
      <c r="OFW1" s="1755"/>
      <c r="OFX1" s="1755"/>
      <c r="OFY1" s="1755"/>
      <c r="OFZ1" s="1755"/>
      <c r="OGA1" s="1755"/>
      <c r="OGB1" s="1755"/>
      <c r="OGC1" s="1755"/>
      <c r="OGD1" s="1755"/>
      <c r="OGE1" s="1755"/>
      <c r="OGF1" s="1755"/>
      <c r="OGG1" s="1755"/>
      <c r="OGH1" s="1755"/>
      <c r="OGI1" s="1755"/>
      <c r="OGJ1" s="1755"/>
      <c r="OGK1" s="1755"/>
      <c r="OGL1" s="1755"/>
      <c r="OGM1" s="1755"/>
      <c r="OGN1" s="1755"/>
      <c r="OGO1" s="1755"/>
      <c r="OGP1" s="1755"/>
      <c r="OGQ1" s="1755"/>
      <c r="OGR1" s="1755"/>
      <c r="OGS1" s="1755"/>
      <c r="OGT1" s="1755"/>
      <c r="OGU1" s="1755"/>
      <c r="OGV1" s="1755"/>
      <c r="OGW1" s="1755"/>
      <c r="OGX1" s="1755"/>
      <c r="OGY1" s="1755"/>
      <c r="OGZ1" s="1755"/>
      <c r="OHA1" s="1755"/>
      <c r="OHB1" s="1755"/>
      <c r="OHC1" s="1755"/>
      <c r="OHD1" s="1755"/>
      <c r="OHE1" s="1755"/>
      <c r="OHF1" s="1755"/>
      <c r="OHG1" s="1755"/>
      <c r="OHH1" s="1755"/>
      <c r="OHI1" s="1755"/>
      <c r="OHJ1" s="1755"/>
      <c r="OHK1" s="1755"/>
      <c r="OHL1" s="1755"/>
      <c r="OHM1" s="1755"/>
      <c r="OHN1" s="1755"/>
      <c r="OHO1" s="1755"/>
      <c r="OHP1" s="1755"/>
      <c r="OHQ1" s="1755"/>
      <c r="OHR1" s="1755"/>
      <c r="OHS1" s="1755"/>
      <c r="OHT1" s="1755"/>
      <c r="OHU1" s="1755"/>
      <c r="OHV1" s="1755"/>
      <c r="OHW1" s="1755"/>
      <c r="OHX1" s="1755"/>
      <c r="OHY1" s="1755"/>
      <c r="OHZ1" s="1755"/>
      <c r="OIA1" s="1755"/>
      <c r="OIB1" s="1755"/>
      <c r="OIC1" s="1755"/>
      <c r="OID1" s="1755"/>
      <c r="OIE1" s="1755"/>
      <c r="OIF1" s="1755"/>
      <c r="OIG1" s="1755"/>
      <c r="OIH1" s="1755"/>
      <c r="OII1" s="1755"/>
      <c r="OIJ1" s="1755"/>
      <c r="OIK1" s="1755"/>
      <c r="OIL1" s="1755"/>
      <c r="OIM1" s="1755"/>
      <c r="OIN1" s="1755"/>
      <c r="OIO1" s="1755"/>
      <c r="OIP1" s="1755"/>
      <c r="OIQ1" s="1755"/>
      <c r="OIR1" s="1755"/>
      <c r="OIS1" s="1755"/>
      <c r="OIT1" s="1755"/>
      <c r="OIU1" s="1755"/>
      <c r="OIV1" s="1755"/>
      <c r="OIW1" s="1755"/>
      <c r="OIX1" s="1755"/>
      <c r="OIY1" s="1755"/>
      <c r="OIZ1" s="1755"/>
      <c r="OJA1" s="1755"/>
      <c r="OJB1" s="1755"/>
      <c r="OJC1" s="1755"/>
      <c r="OJD1" s="1755"/>
      <c r="OJE1" s="1755"/>
      <c r="OJF1" s="1755"/>
      <c r="OJG1" s="1755"/>
      <c r="OJH1" s="1755"/>
      <c r="OJI1" s="1755"/>
      <c r="OJJ1" s="1755"/>
      <c r="OJK1" s="1755"/>
      <c r="OJL1" s="1755"/>
      <c r="OJM1" s="1755"/>
      <c r="OJN1" s="1755"/>
      <c r="OJO1" s="1755"/>
      <c r="OJP1" s="1755"/>
      <c r="OJQ1" s="1755"/>
      <c r="OJR1" s="1755"/>
      <c r="OJS1" s="1755"/>
      <c r="OJT1" s="1755"/>
      <c r="OJU1" s="1755"/>
      <c r="OJV1" s="1755"/>
      <c r="OJW1" s="1755"/>
      <c r="OJX1" s="1755"/>
      <c r="OJY1" s="1755"/>
      <c r="OJZ1" s="1755"/>
      <c r="OKA1" s="1755"/>
      <c r="OKB1" s="1755"/>
      <c r="OKC1" s="1755"/>
      <c r="OKD1" s="1755"/>
      <c r="OKE1" s="1755"/>
      <c r="OKF1" s="1755"/>
      <c r="OKG1" s="1755"/>
      <c r="OKH1" s="1755"/>
      <c r="OKI1" s="1755"/>
      <c r="OKJ1" s="1755"/>
      <c r="OKK1" s="1755"/>
      <c r="OKL1" s="1755"/>
      <c r="OKM1" s="1755"/>
      <c r="OKN1" s="1755"/>
      <c r="OKO1" s="1755"/>
      <c r="OKP1" s="1755"/>
      <c r="OKQ1" s="1755"/>
      <c r="OKR1" s="1755"/>
      <c r="OKS1" s="1755"/>
      <c r="OKT1" s="1755"/>
      <c r="OKU1" s="1755"/>
      <c r="OKV1" s="1755"/>
      <c r="OKW1" s="1755"/>
      <c r="OKX1" s="1755"/>
      <c r="OKY1" s="1755"/>
      <c r="OKZ1" s="1755"/>
      <c r="OLA1" s="1755"/>
      <c r="OLB1" s="1755"/>
      <c r="OLC1" s="1755"/>
      <c r="OLD1" s="1755"/>
      <c r="OLE1" s="1755"/>
      <c r="OLF1" s="1755"/>
      <c r="OLG1" s="1755"/>
      <c r="OLH1" s="1755"/>
      <c r="OLI1" s="1755"/>
      <c r="OLJ1" s="1755"/>
      <c r="OLK1" s="1755"/>
      <c r="OLL1" s="1755"/>
      <c r="OLM1" s="1755"/>
      <c r="OLN1" s="1755"/>
      <c r="OLO1" s="1755"/>
      <c r="OLP1" s="1755"/>
      <c r="OLQ1" s="1755"/>
      <c r="OLR1" s="1755"/>
      <c r="OLS1" s="1755"/>
      <c r="OLT1" s="1755"/>
      <c r="OLU1" s="1755"/>
      <c r="OLV1" s="1755"/>
      <c r="OLW1" s="1755"/>
      <c r="OLX1" s="1755"/>
      <c r="OLY1" s="1755"/>
      <c r="OLZ1" s="1755"/>
      <c r="OMA1" s="1755"/>
      <c r="OMB1" s="1755"/>
      <c r="OMC1" s="1755"/>
      <c r="OMD1" s="1755"/>
      <c r="OME1" s="1755"/>
      <c r="OMF1" s="1755"/>
      <c r="OMG1" s="1755"/>
      <c r="OMH1" s="1755"/>
      <c r="OMI1" s="1755"/>
      <c r="OMJ1" s="1755"/>
      <c r="OMK1" s="1755"/>
      <c r="OML1" s="1755"/>
      <c r="OMM1" s="1755"/>
      <c r="OMN1" s="1755"/>
      <c r="OMO1" s="1755"/>
      <c r="OMP1" s="1755"/>
      <c r="OMQ1" s="1755"/>
      <c r="OMR1" s="1755"/>
      <c r="OMS1" s="1755"/>
      <c r="OMT1" s="1755"/>
      <c r="OMU1" s="1755"/>
      <c r="OMV1" s="1755"/>
      <c r="OMW1" s="1755"/>
      <c r="OMX1" s="1755"/>
      <c r="OMY1" s="1755"/>
      <c r="OMZ1" s="1755"/>
      <c r="ONA1" s="1755"/>
      <c r="ONB1" s="1755"/>
      <c r="ONC1" s="1755"/>
      <c r="OND1" s="1755"/>
      <c r="ONE1" s="1755"/>
      <c r="ONF1" s="1755"/>
      <c r="ONG1" s="1755"/>
      <c r="ONH1" s="1755"/>
      <c r="ONI1" s="1755"/>
      <c r="ONJ1" s="1755"/>
      <c r="ONK1" s="1755"/>
      <c r="ONL1" s="1755"/>
      <c r="ONM1" s="1755"/>
      <c r="ONN1" s="1755"/>
      <c r="ONO1" s="1755"/>
      <c r="ONP1" s="1755"/>
      <c r="ONQ1" s="1755"/>
      <c r="ONR1" s="1755"/>
      <c r="ONS1" s="1755"/>
      <c r="ONT1" s="1755"/>
      <c r="ONU1" s="1755"/>
      <c r="ONV1" s="1755"/>
      <c r="ONW1" s="1755"/>
      <c r="ONX1" s="1755"/>
      <c r="ONY1" s="1755"/>
      <c r="ONZ1" s="1755"/>
      <c r="OOA1" s="1755"/>
      <c r="OOB1" s="1755"/>
      <c r="OOC1" s="1755"/>
      <c r="OOD1" s="1755"/>
      <c r="OOE1" s="1755"/>
      <c r="OOF1" s="1755"/>
      <c r="OOG1" s="1755"/>
      <c r="OOH1" s="1755"/>
      <c r="OOI1" s="1755"/>
      <c r="OOJ1" s="1755"/>
      <c r="OOK1" s="1755"/>
      <c r="OOL1" s="1755"/>
      <c r="OOM1" s="1755"/>
      <c r="OON1" s="1755"/>
      <c r="OOO1" s="1755"/>
      <c r="OOP1" s="1755"/>
      <c r="OOQ1" s="1755"/>
      <c r="OOR1" s="1755"/>
      <c r="OOS1" s="1755"/>
      <c r="OOT1" s="1755"/>
      <c r="OOU1" s="1755"/>
      <c r="OOV1" s="1755"/>
      <c r="OOW1" s="1755"/>
      <c r="OOX1" s="1755"/>
      <c r="OOY1" s="1755"/>
      <c r="OOZ1" s="1755"/>
      <c r="OPA1" s="1755"/>
      <c r="OPB1" s="1755"/>
      <c r="OPC1" s="1755"/>
      <c r="OPD1" s="1755"/>
      <c r="OPE1" s="1755"/>
      <c r="OPF1" s="1755"/>
      <c r="OPG1" s="1755"/>
      <c r="OPH1" s="1755"/>
      <c r="OPI1" s="1755"/>
      <c r="OPJ1" s="1755"/>
      <c r="OPK1" s="1755"/>
      <c r="OPL1" s="1755"/>
      <c r="OPM1" s="1755"/>
      <c r="OPN1" s="1755"/>
      <c r="OPO1" s="1755"/>
      <c r="OPP1" s="1755"/>
      <c r="OPQ1" s="1755"/>
      <c r="OPR1" s="1755"/>
      <c r="OPS1" s="1755"/>
      <c r="OPT1" s="1755"/>
      <c r="OPU1" s="1755"/>
      <c r="OPV1" s="1755"/>
      <c r="OPW1" s="1755"/>
      <c r="OPX1" s="1755"/>
      <c r="OPY1" s="1755"/>
      <c r="OPZ1" s="1755"/>
      <c r="OQA1" s="1755"/>
      <c r="OQB1" s="1755"/>
      <c r="OQC1" s="1755"/>
      <c r="OQD1" s="1755"/>
      <c r="OQE1" s="1755"/>
      <c r="OQF1" s="1755"/>
      <c r="OQG1" s="1755"/>
      <c r="OQH1" s="1755"/>
      <c r="OQI1" s="1755"/>
      <c r="OQJ1" s="1755"/>
      <c r="OQK1" s="1755"/>
      <c r="OQL1" s="1755"/>
      <c r="OQM1" s="1755"/>
      <c r="OQN1" s="1755"/>
      <c r="OQO1" s="1755"/>
      <c r="OQP1" s="1755"/>
      <c r="OQQ1" s="1755"/>
      <c r="OQR1" s="1755"/>
      <c r="OQS1" s="1755"/>
      <c r="OQT1" s="1755"/>
      <c r="OQU1" s="1755"/>
      <c r="OQV1" s="1755"/>
      <c r="OQW1" s="1755"/>
      <c r="OQX1" s="1755"/>
      <c r="OQY1" s="1755"/>
      <c r="OQZ1" s="1755"/>
      <c r="ORA1" s="1755"/>
      <c r="ORB1" s="1755"/>
      <c r="ORC1" s="1755"/>
      <c r="ORD1" s="1755"/>
      <c r="ORE1" s="1755"/>
      <c r="ORF1" s="1755"/>
      <c r="ORG1" s="1755"/>
      <c r="ORH1" s="1755"/>
      <c r="ORI1" s="1755"/>
      <c r="ORJ1" s="1755"/>
      <c r="ORK1" s="1755"/>
      <c r="ORL1" s="1755"/>
      <c r="ORM1" s="1755"/>
      <c r="ORN1" s="1755"/>
      <c r="ORO1" s="1755"/>
      <c r="ORP1" s="1755"/>
      <c r="ORQ1" s="1755"/>
      <c r="ORR1" s="1755"/>
      <c r="ORS1" s="1755"/>
      <c r="ORT1" s="1755"/>
      <c r="ORU1" s="1755"/>
      <c r="ORV1" s="1755"/>
      <c r="ORW1" s="1755"/>
      <c r="ORX1" s="1755"/>
      <c r="ORY1" s="1755"/>
      <c r="ORZ1" s="1755"/>
      <c r="OSA1" s="1755"/>
      <c r="OSB1" s="1755"/>
      <c r="OSC1" s="1755"/>
      <c r="OSD1" s="1755"/>
      <c r="OSE1" s="1755"/>
      <c r="OSF1" s="1755"/>
      <c r="OSG1" s="1755"/>
      <c r="OSH1" s="1755"/>
      <c r="OSI1" s="1755"/>
      <c r="OSJ1" s="1755"/>
      <c r="OSK1" s="1755"/>
      <c r="OSL1" s="1755"/>
      <c r="OSM1" s="1755"/>
      <c r="OSN1" s="1755"/>
      <c r="OSO1" s="1755"/>
      <c r="OSP1" s="1755"/>
      <c r="OSQ1" s="1755"/>
      <c r="OSR1" s="1755"/>
      <c r="OSS1" s="1755"/>
      <c r="OST1" s="1755"/>
      <c r="OSU1" s="1755"/>
      <c r="OSV1" s="1755"/>
      <c r="OSW1" s="1755"/>
      <c r="OSX1" s="1755"/>
      <c r="OSY1" s="1755"/>
      <c r="OSZ1" s="1755"/>
      <c r="OTA1" s="1755"/>
      <c r="OTB1" s="1755"/>
      <c r="OTC1" s="1755"/>
      <c r="OTD1" s="1755"/>
      <c r="OTE1" s="1755"/>
      <c r="OTF1" s="1755"/>
      <c r="OTG1" s="1755"/>
      <c r="OTH1" s="1755"/>
      <c r="OTI1" s="1755"/>
      <c r="OTJ1" s="1755"/>
      <c r="OTK1" s="1755"/>
      <c r="OTL1" s="1755"/>
      <c r="OTM1" s="1755"/>
      <c r="OTN1" s="1755"/>
      <c r="OTO1" s="1755"/>
      <c r="OTP1" s="1755"/>
      <c r="OTQ1" s="1755"/>
      <c r="OTR1" s="1755"/>
      <c r="OTS1" s="1755"/>
      <c r="OTT1" s="1755"/>
      <c r="OTU1" s="1755"/>
      <c r="OTV1" s="1755"/>
      <c r="OTW1" s="1755"/>
      <c r="OTX1" s="1755"/>
      <c r="OTY1" s="1755"/>
      <c r="OTZ1" s="1755"/>
      <c r="OUA1" s="1755"/>
      <c r="OUB1" s="1755"/>
      <c r="OUC1" s="1755"/>
      <c r="OUD1" s="1755"/>
      <c r="OUE1" s="1755"/>
      <c r="OUF1" s="1755"/>
      <c r="OUG1" s="1755"/>
      <c r="OUH1" s="1755"/>
      <c r="OUI1" s="1755"/>
      <c r="OUJ1" s="1755"/>
      <c r="OUK1" s="1755"/>
      <c r="OUL1" s="1755"/>
      <c r="OUM1" s="1755"/>
      <c r="OUN1" s="1755"/>
      <c r="OUO1" s="1755"/>
      <c r="OUP1" s="1755"/>
      <c r="OUQ1" s="1755"/>
      <c r="OUR1" s="1755"/>
      <c r="OUS1" s="1755"/>
      <c r="OUT1" s="1755"/>
      <c r="OUU1" s="1755"/>
      <c r="OUV1" s="1755"/>
      <c r="OUW1" s="1755"/>
      <c r="OUX1" s="1755"/>
      <c r="OUY1" s="1755"/>
      <c r="OUZ1" s="1755"/>
      <c r="OVA1" s="1755"/>
      <c r="OVB1" s="1755"/>
      <c r="OVC1" s="1755"/>
      <c r="OVD1" s="1755"/>
      <c r="OVE1" s="1755"/>
      <c r="OVF1" s="1755"/>
      <c r="OVG1" s="1755"/>
      <c r="OVH1" s="1755"/>
      <c r="OVI1" s="1755"/>
      <c r="OVJ1" s="1755"/>
      <c r="OVK1" s="1755"/>
      <c r="OVL1" s="1755"/>
      <c r="OVM1" s="1755"/>
      <c r="OVN1" s="1755"/>
      <c r="OVO1" s="1755"/>
      <c r="OVP1" s="1755"/>
      <c r="OVQ1" s="1755"/>
      <c r="OVR1" s="1755"/>
      <c r="OVS1" s="1755"/>
      <c r="OVT1" s="1755"/>
      <c r="OVU1" s="1755"/>
      <c r="OVV1" s="1755"/>
      <c r="OVW1" s="1755"/>
      <c r="OVX1" s="1755"/>
      <c r="OVY1" s="1755"/>
      <c r="OVZ1" s="1755"/>
      <c r="OWA1" s="1755"/>
      <c r="OWB1" s="1755"/>
      <c r="OWC1" s="1755"/>
      <c r="OWD1" s="1755"/>
      <c r="OWE1" s="1755"/>
      <c r="OWF1" s="1755"/>
      <c r="OWG1" s="1755"/>
      <c r="OWH1" s="1755"/>
      <c r="OWI1" s="1755"/>
      <c r="OWJ1" s="1755"/>
      <c r="OWK1" s="1755"/>
      <c r="OWL1" s="1755"/>
      <c r="OWM1" s="1755"/>
      <c r="OWN1" s="1755"/>
      <c r="OWO1" s="1755"/>
      <c r="OWP1" s="1755"/>
      <c r="OWQ1" s="1755"/>
      <c r="OWR1" s="1755"/>
      <c r="OWS1" s="1755"/>
      <c r="OWT1" s="1755"/>
      <c r="OWU1" s="1755"/>
      <c r="OWV1" s="1755"/>
      <c r="OWW1" s="1755"/>
      <c r="OWX1" s="1755"/>
      <c r="OWY1" s="1755"/>
      <c r="OWZ1" s="1755"/>
      <c r="OXA1" s="1755"/>
      <c r="OXB1" s="1755"/>
      <c r="OXC1" s="1755"/>
      <c r="OXD1" s="1755"/>
      <c r="OXE1" s="1755"/>
      <c r="OXF1" s="1755"/>
      <c r="OXG1" s="1755"/>
      <c r="OXH1" s="1755"/>
      <c r="OXI1" s="1755"/>
      <c r="OXJ1" s="1755"/>
      <c r="OXK1" s="1755"/>
      <c r="OXL1" s="1755"/>
      <c r="OXM1" s="1755"/>
      <c r="OXN1" s="1755"/>
      <c r="OXO1" s="1755"/>
      <c r="OXP1" s="1755"/>
      <c r="OXQ1" s="1755"/>
      <c r="OXR1" s="1755"/>
      <c r="OXS1" s="1755"/>
      <c r="OXT1" s="1755"/>
      <c r="OXU1" s="1755"/>
      <c r="OXV1" s="1755"/>
      <c r="OXW1" s="1755"/>
      <c r="OXX1" s="1755"/>
      <c r="OXY1" s="1755"/>
      <c r="OXZ1" s="1755"/>
      <c r="OYA1" s="1755"/>
      <c r="OYB1" s="1755"/>
      <c r="OYC1" s="1755"/>
      <c r="OYD1" s="1755"/>
      <c r="OYE1" s="1755"/>
      <c r="OYF1" s="1755"/>
      <c r="OYG1" s="1755"/>
      <c r="OYH1" s="1755"/>
      <c r="OYI1" s="1755"/>
      <c r="OYJ1" s="1755"/>
      <c r="OYK1" s="1755"/>
      <c r="OYL1" s="1755"/>
      <c r="OYM1" s="1755"/>
      <c r="OYN1" s="1755"/>
      <c r="OYO1" s="1755"/>
      <c r="OYP1" s="1755"/>
      <c r="OYQ1" s="1755"/>
      <c r="OYR1" s="1755"/>
      <c r="OYS1" s="1755"/>
      <c r="OYT1" s="1755"/>
      <c r="OYU1" s="1755"/>
      <c r="OYV1" s="1755"/>
      <c r="OYW1" s="1755"/>
      <c r="OYX1" s="1755"/>
      <c r="OYY1" s="1755"/>
      <c r="OYZ1" s="1755"/>
      <c r="OZA1" s="1755"/>
      <c r="OZB1" s="1755"/>
      <c r="OZC1" s="1755"/>
      <c r="OZD1" s="1755"/>
      <c r="OZE1" s="1755"/>
      <c r="OZF1" s="1755"/>
      <c r="OZG1" s="1755"/>
      <c r="OZH1" s="1755"/>
      <c r="OZI1" s="1755"/>
      <c r="OZJ1" s="1755"/>
      <c r="OZK1" s="1755"/>
      <c r="OZL1" s="1755"/>
      <c r="OZM1" s="1755"/>
      <c r="OZN1" s="1755"/>
      <c r="OZO1" s="1755"/>
      <c r="OZP1" s="1755"/>
      <c r="OZQ1" s="1755"/>
      <c r="OZR1" s="1755"/>
      <c r="OZS1" s="1755"/>
      <c r="OZT1" s="1755"/>
      <c r="OZU1" s="1755"/>
      <c r="OZV1" s="1755"/>
      <c r="OZW1" s="1755"/>
      <c r="OZX1" s="1755"/>
      <c r="OZY1" s="1755"/>
      <c r="OZZ1" s="1755"/>
      <c r="PAA1" s="1755"/>
      <c r="PAB1" s="1755"/>
      <c r="PAC1" s="1755"/>
      <c r="PAD1" s="1755"/>
      <c r="PAE1" s="1755"/>
      <c r="PAF1" s="1755"/>
      <c r="PAG1" s="1755"/>
      <c r="PAH1" s="1755"/>
      <c r="PAI1" s="1755"/>
      <c r="PAJ1" s="1755"/>
      <c r="PAK1" s="1755"/>
      <c r="PAL1" s="1755"/>
      <c r="PAM1" s="1755"/>
      <c r="PAN1" s="1755"/>
      <c r="PAO1" s="1755"/>
      <c r="PAP1" s="1755"/>
      <c r="PAQ1" s="1755"/>
      <c r="PAR1" s="1755"/>
      <c r="PAS1" s="1755"/>
      <c r="PAT1" s="1755"/>
      <c r="PAU1" s="1755"/>
      <c r="PAV1" s="1755"/>
      <c r="PAW1" s="1755"/>
      <c r="PAX1" s="1755"/>
      <c r="PAY1" s="1755"/>
      <c r="PAZ1" s="1755"/>
      <c r="PBA1" s="1755"/>
      <c r="PBB1" s="1755"/>
      <c r="PBC1" s="1755"/>
      <c r="PBD1" s="1755"/>
      <c r="PBE1" s="1755"/>
      <c r="PBF1" s="1755"/>
      <c r="PBG1" s="1755"/>
      <c r="PBH1" s="1755"/>
      <c r="PBI1" s="1755"/>
      <c r="PBJ1" s="1755"/>
      <c r="PBK1" s="1755"/>
      <c r="PBL1" s="1755"/>
      <c r="PBM1" s="1755"/>
      <c r="PBN1" s="1755"/>
      <c r="PBO1" s="1755"/>
      <c r="PBP1" s="1755"/>
      <c r="PBQ1" s="1755"/>
      <c r="PBR1" s="1755"/>
      <c r="PBS1" s="1755"/>
      <c r="PBT1" s="1755"/>
      <c r="PBU1" s="1755"/>
      <c r="PBV1" s="1755"/>
      <c r="PBW1" s="1755"/>
      <c r="PBX1" s="1755"/>
      <c r="PBY1" s="1755"/>
      <c r="PBZ1" s="1755"/>
      <c r="PCA1" s="1755"/>
      <c r="PCB1" s="1755"/>
      <c r="PCC1" s="1755"/>
      <c r="PCD1" s="1755"/>
      <c r="PCE1" s="1755"/>
      <c r="PCF1" s="1755"/>
      <c r="PCG1" s="1755"/>
      <c r="PCH1" s="1755"/>
      <c r="PCI1" s="1755"/>
      <c r="PCJ1" s="1755"/>
      <c r="PCK1" s="1755"/>
      <c r="PCL1" s="1755"/>
      <c r="PCM1" s="1755"/>
      <c r="PCN1" s="1755"/>
      <c r="PCO1" s="1755"/>
      <c r="PCP1" s="1755"/>
      <c r="PCQ1" s="1755"/>
      <c r="PCR1" s="1755"/>
      <c r="PCS1" s="1755"/>
      <c r="PCT1" s="1755"/>
      <c r="PCU1" s="1755"/>
      <c r="PCV1" s="1755"/>
      <c r="PCW1" s="1755"/>
      <c r="PCX1" s="1755"/>
      <c r="PCY1" s="1755"/>
      <c r="PCZ1" s="1755"/>
      <c r="PDA1" s="1755"/>
      <c r="PDB1" s="1755"/>
      <c r="PDC1" s="1755"/>
      <c r="PDD1" s="1755"/>
      <c r="PDE1" s="1755"/>
      <c r="PDF1" s="1755"/>
      <c r="PDG1" s="1755"/>
      <c r="PDH1" s="1755"/>
      <c r="PDI1" s="1755"/>
      <c r="PDJ1" s="1755"/>
      <c r="PDK1" s="1755"/>
      <c r="PDL1" s="1755"/>
      <c r="PDM1" s="1755"/>
      <c r="PDN1" s="1755"/>
      <c r="PDO1" s="1755"/>
      <c r="PDP1" s="1755"/>
      <c r="PDQ1" s="1755"/>
      <c r="PDR1" s="1755"/>
      <c r="PDS1" s="1755"/>
      <c r="PDT1" s="1755"/>
      <c r="PDU1" s="1755"/>
      <c r="PDV1" s="1755"/>
      <c r="PDW1" s="1755"/>
      <c r="PDX1" s="1755"/>
      <c r="PDY1" s="1755"/>
      <c r="PDZ1" s="1755"/>
      <c r="PEA1" s="1755"/>
      <c r="PEB1" s="1755"/>
      <c r="PEC1" s="1755"/>
      <c r="PED1" s="1755"/>
      <c r="PEE1" s="1755"/>
      <c r="PEF1" s="1755"/>
      <c r="PEG1" s="1755"/>
      <c r="PEH1" s="1755"/>
      <c r="PEI1" s="1755"/>
      <c r="PEJ1" s="1755"/>
      <c r="PEK1" s="1755"/>
      <c r="PEL1" s="1755"/>
      <c r="PEM1" s="1755"/>
      <c r="PEN1" s="1755"/>
      <c r="PEO1" s="1755"/>
      <c r="PEP1" s="1755"/>
      <c r="PEQ1" s="1755"/>
      <c r="PER1" s="1755"/>
      <c r="PES1" s="1755"/>
      <c r="PET1" s="1755"/>
      <c r="PEU1" s="1755"/>
      <c r="PEV1" s="1755"/>
      <c r="PEW1" s="1755"/>
      <c r="PEX1" s="1755"/>
      <c r="PEY1" s="1755"/>
      <c r="PEZ1" s="1755"/>
      <c r="PFA1" s="1755"/>
      <c r="PFB1" s="1755"/>
      <c r="PFC1" s="1755"/>
      <c r="PFD1" s="1755"/>
      <c r="PFE1" s="1755"/>
      <c r="PFF1" s="1755"/>
      <c r="PFG1" s="1755"/>
      <c r="PFH1" s="1755"/>
      <c r="PFI1" s="1755"/>
      <c r="PFJ1" s="1755"/>
      <c r="PFK1" s="1755"/>
      <c r="PFL1" s="1755"/>
      <c r="PFM1" s="1755"/>
      <c r="PFN1" s="1755"/>
      <c r="PFO1" s="1755"/>
      <c r="PFP1" s="1755"/>
      <c r="PFQ1" s="1755"/>
      <c r="PFR1" s="1755"/>
      <c r="PFS1" s="1755"/>
      <c r="PFT1" s="1755"/>
      <c r="PFU1" s="1755"/>
      <c r="PFV1" s="1755"/>
      <c r="PFW1" s="1755"/>
      <c r="PFX1" s="1755"/>
      <c r="PFY1" s="1755"/>
      <c r="PFZ1" s="1755"/>
      <c r="PGA1" s="1755"/>
      <c r="PGB1" s="1755"/>
      <c r="PGC1" s="1755"/>
      <c r="PGD1" s="1755"/>
      <c r="PGE1" s="1755"/>
      <c r="PGF1" s="1755"/>
      <c r="PGG1" s="1755"/>
      <c r="PGH1" s="1755"/>
      <c r="PGI1" s="1755"/>
      <c r="PGJ1" s="1755"/>
      <c r="PGK1" s="1755"/>
      <c r="PGL1" s="1755"/>
      <c r="PGM1" s="1755"/>
      <c r="PGN1" s="1755"/>
      <c r="PGO1" s="1755"/>
      <c r="PGP1" s="1755"/>
      <c r="PGQ1" s="1755"/>
      <c r="PGR1" s="1755"/>
      <c r="PGS1" s="1755"/>
      <c r="PGT1" s="1755"/>
      <c r="PGU1" s="1755"/>
      <c r="PGV1" s="1755"/>
      <c r="PGW1" s="1755"/>
      <c r="PGX1" s="1755"/>
      <c r="PGY1" s="1755"/>
      <c r="PGZ1" s="1755"/>
      <c r="PHA1" s="1755"/>
      <c r="PHB1" s="1755"/>
      <c r="PHC1" s="1755"/>
      <c r="PHD1" s="1755"/>
      <c r="PHE1" s="1755"/>
      <c r="PHF1" s="1755"/>
      <c r="PHG1" s="1755"/>
      <c r="PHH1" s="1755"/>
      <c r="PHI1" s="1755"/>
      <c r="PHJ1" s="1755"/>
      <c r="PHK1" s="1755"/>
      <c r="PHL1" s="1755"/>
      <c r="PHM1" s="1755"/>
      <c r="PHN1" s="1755"/>
      <c r="PHO1" s="1755"/>
      <c r="PHP1" s="1755"/>
      <c r="PHQ1" s="1755"/>
      <c r="PHR1" s="1755"/>
      <c r="PHS1" s="1755"/>
      <c r="PHT1" s="1755"/>
      <c r="PHU1" s="1755"/>
      <c r="PHV1" s="1755"/>
      <c r="PHW1" s="1755"/>
      <c r="PHX1" s="1755"/>
      <c r="PHY1" s="1755"/>
      <c r="PHZ1" s="1755"/>
      <c r="PIA1" s="1755"/>
      <c r="PIB1" s="1755"/>
      <c r="PIC1" s="1755"/>
      <c r="PID1" s="1755"/>
      <c r="PIE1" s="1755"/>
      <c r="PIF1" s="1755"/>
      <c r="PIG1" s="1755"/>
      <c r="PIH1" s="1755"/>
      <c r="PII1" s="1755"/>
      <c r="PIJ1" s="1755"/>
      <c r="PIK1" s="1755"/>
      <c r="PIL1" s="1755"/>
      <c r="PIM1" s="1755"/>
      <c r="PIN1" s="1755"/>
      <c r="PIO1" s="1755"/>
      <c r="PIP1" s="1755"/>
      <c r="PIQ1" s="1755"/>
      <c r="PIR1" s="1755"/>
      <c r="PIS1" s="1755"/>
      <c r="PIT1" s="1755"/>
      <c r="PIU1" s="1755"/>
      <c r="PIV1" s="1755"/>
      <c r="PIW1" s="1755"/>
      <c r="PIX1" s="1755"/>
      <c r="PIY1" s="1755"/>
      <c r="PIZ1" s="1755"/>
      <c r="PJA1" s="1755"/>
      <c r="PJB1" s="1755"/>
      <c r="PJC1" s="1755"/>
      <c r="PJD1" s="1755"/>
      <c r="PJE1" s="1755"/>
      <c r="PJF1" s="1755"/>
      <c r="PJG1" s="1755"/>
      <c r="PJH1" s="1755"/>
      <c r="PJI1" s="1755"/>
      <c r="PJJ1" s="1755"/>
      <c r="PJK1" s="1755"/>
      <c r="PJL1" s="1755"/>
      <c r="PJM1" s="1755"/>
      <c r="PJN1" s="1755"/>
      <c r="PJO1" s="1755"/>
      <c r="PJP1" s="1755"/>
      <c r="PJQ1" s="1755"/>
      <c r="PJR1" s="1755"/>
      <c r="PJS1" s="1755"/>
      <c r="PJT1" s="1755"/>
      <c r="PJU1" s="1755"/>
      <c r="PJV1" s="1755"/>
      <c r="PJW1" s="1755"/>
      <c r="PJX1" s="1755"/>
      <c r="PJY1" s="1755"/>
      <c r="PJZ1" s="1755"/>
      <c r="PKA1" s="1755"/>
      <c r="PKB1" s="1755"/>
      <c r="PKC1" s="1755"/>
      <c r="PKD1" s="1755"/>
      <c r="PKE1" s="1755"/>
      <c r="PKF1" s="1755"/>
      <c r="PKG1" s="1755"/>
      <c r="PKH1" s="1755"/>
      <c r="PKI1" s="1755"/>
      <c r="PKJ1" s="1755"/>
      <c r="PKK1" s="1755"/>
      <c r="PKL1" s="1755"/>
      <c r="PKM1" s="1755"/>
      <c r="PKN1" s="1755"/>
      <c r="PKO1" s="1755"/>
      <c r="PKP1" s="1755"/>
      <c r="PKQ1" s="1755"/>
      <c r="PKR1" s="1755"/>
      <c r="PKS1" s="1755"/>
      <c r="PKT1" s="1755"/>
      <c r="PKU1" s="1755"/>
      <c r="PKV1" s="1755"/>
      <c r="PKW1" s="1755"/>
      <c r="PKX1" s="1755"/>
      <c r="PKY1" s="1755"/>
      <c r="PKZ1" s="1755"/>
      <c r="PLA1" s="1755"/>
      <c r="PLB1" s="1755"/>
      <c r="PLC1" s="1755"/>
      <c r="PLD1" s="1755"/>
      <c r="PLE1" s="1755"/>
      <c r="PLF1" s="1755"/>
      <c r="PLG1" s="1755"/>
      <c r="PLH1" s="1755"/>
      <c r="PLI1" s="1755"/>
      <c r="PLJ1" s="1755"/>
      <c r="PLK1" s="1755"/>
      <c r="PLL1" s="1755"/>
      <c r="PLM1" s="1755"/>
      <c r="PLN1" s="1755"/>
      <c r="PLO1" s="1755"/>
      <c r="PLP1" s="1755"/>
      <c r="PLQ1" s="1755"/>
      <c r="PLR1" s="1755"/>
      <c r="PLS1" s="1755"/>
      <c r="PLT1" s="1755"/>
      <c r="PLU1" s="1755"/>
      <c r="PLV1" s="1755"/>
      <c r="PLW1" s="1755"/>
      <c r="PLX1" s="1755"/>
      <c r="PLY1" s="1755"/>
      <c r="PLZ1" s="1755"/>
      <c r="PMA1" s="1755"/>
      <c r="PMB1" s="1755"/>
      <c r="PMC1" s="1755"/>
      <c r="PMD1" s="1755"/>
      <c r="PME1" s="1755"/>
      <c r="PMF1" s="1755"/>
      <c r="PMG1" s="1755"/>
      <c r="PMH1" s="1755"/>
      <c r="PMI1" s="1755"/>
      <c r="PMJ1" s="1755"/>
      <c r="PMK1" s="1755"/>
      <c r="PML1" s="1755"/>
      <c r="PMM1" s="1755"/>
      <c r="PMN1" s="1755"/>
      <c r="PMO1" s="1755"/>
      <c r="PMP1" s="1755"/>
      <c r="PMQ1" s="1755"/>
      <c r="PMR1" s="1755"/>
      <c r="PMS1" s="1755"/>
      <c r="PMT1" s="1755"/>
      <c r="PMU1" s="1755"/>
      <c r="PMV1" s="1755"/>
      <c r="PMW1" s="1755"/>
      <c r="PMX1" s="1755"/>
      <c r="PMY1" s="1755"/>
      <c r="PMZ1" s="1755"/>
      <c r="PNA1" s="1755"/>
      <c r="PNB1" s="1755"/>
      <c r="PNC1" s="1755"/>
      <c r="PND1" s="1755"/>
      <c r="PNE1" s="1755"/>
      <c r="PNF1" s="1755"/>
      <c r="PNG1" s="1755"/>
      <c r="PNH1" s="1755"/>
      <c r="PNI1" s="1755"/>
      <c r="PNJ1" s="1755"/>
      <c r="PNK1" s="1755"/>
      <c r="PNL1" s="1755"/>
      <c r="PNM1" s="1755"/>
      <c r="PNN1" s="1755"/>
      <c r="PNO1" s="1755"/>
      <c r="PNP1" s="1755"/>
      <c r="PNQ1" s="1755"/>
      <c r="PNR1" s="1755"/>
      <c r="PNS1" s="1755"/>
      <c r="PNT1" s="1755"/>
      <c r="PNU1" s="1755"/>
      <c r="PNV1" s="1755"/>
      <c r="PNW1" s="1755"/>
      <c r="PNX1" s="1755"/>
      <c r="PNY1" s="1755"/>
      <c r="PNZ1" s="1755"/>
      <c r="POA1" s="1755"/>
      <c r="POB1" s="1755"/>
      <c r="POC1" s="1755"/>
      <c r="POD1" s="1755"/>
      <c r="POE1" s="1755"/>
      <c r="POF1" s="1755"/>
      <c r="POG1" s="1755"/>
      <c r="POH1" s="1755"/>
      <c r="POI1" s="1755"/>
      <c r="POJ1" s="1755"/>
      <c r="POK1" s="1755"/>
      <c r="POL1" s="1755"/>
      <c r="POM1" s="1755"/>
      <c r="PON1" s="1755"/>
      <c r="POO1" s="1755"/>
      <c r="POP1" s="1755"/>
      <c r="POQ1" s="1755"/>
      <c r="POR1" s="1755"/>
      <c r="POS1" s="1755"/>
      <c r="POT1" s="1755"/>
      <c r="POU1" s="1755"/>
      <c r="POV1" s="1755"/>
      <c r="POW1" s="1755"/>
      <c r="POX1" s="1755"/>
      <c r="POY1" s="1755"/>
      <c r="POZ1" s="1755"/>
      <c r="PPA1" s="1755"/>
      <c r="PPB1" s="1755"/>
      <c r="PPC1" s="1755"/>
      <c r="PPD1" s="1755"/>
      <c r="PPE1" s="1755"/>
      <c r="PPF1" s="1755"/>
      <c r="PPG1" s="1755"/>
      <c r="PPH1" s="1755"/>
      <c r="PPI1" s="1755"/>
      <c r="PPJ1" s="1755"/>
      <c r="PPK1" s="1755"/>
      <c r="PPL1" s="1755"/>
      <c r="PPM1" s="1755"/>
      <c r="PPN1" s="1755"/>
      <c r="PPO1" s="1755"/>
      <c r="PPP1" s="1755"/>
      <c r="PPQ1" s="1755"/>
      <c r="PPR1" s="1755"/>
      <c r="PPS1" s="1755"/>
      <c r="PPT1" s="1755"/>
      <c r="PPU1" s="1755"/>
      <c r="PPV1" s="1755"/>
      <c r="PPW1" s="1755"/>
      <c r="PPX1" s="1755"/>
      <c r="PPY1" s="1755"/>
      <c r="PPZ1" s="1755"/>
      <c r="PQA1" s="1755"/>
      <c r="PQB1" s="1755"/>
      <c r="PQC1" s="1755"/>
      <c r="PQD1" s="1755"/>
      <c r="PQE1" s="1755"/>
      <c r="PQF1" s="1755"/>
      <c r="PQG1" s="1755"/>
      <c r="PQH1" s="1755"/>
      <c r="PQI1" s="1755"/>
      <c r="PQJ1" s="1755"/>
      <c r="PQK1" s="1755"/>
      <c r="PQL1" s="1755"/>
      <c r="PQM1" s="1755"/>
      <c r="PQN1" s="1755"/>
      <c r="PQO1" s="1755"/>
      <c r="PQP1" s="1755"/>
      <c r="PQQ1" s="1755"/>
      <c r="PQR1" s="1755"/>
      <c r="PQS1" s="1755"/>
      <c r="PQT1" s="1755"/>
      <c r="PQU1" s="1755"/>
      <c r="PQV1" s="1755"/>
      <c r="PQW1" s="1755"/>
      <c r="PQX1" s="1755"/>
      <c r="PQY1" s="1755"/>
      <c r="PQZ1" s="1755"/>
      <c r="PRA1" s="1755"/>
      <c r="PRB1" s="1755"/>
      <c r="PRC1" s="1755"/>
      <c r="PRD1" s="1755"/>
      <c r="PRE1" s="1755"/>
      <c r="PRF1" s="1755"/>
      <c r="PRG1" s="1755"/>
      <c r="PRH1" s="1755"/>
      <c r="PRI1" s="1755"/>
      <c r="PRJ1" s="1755"/>
      <c r="PRK1" s="1755"/>
      <c r="PRL1" s="1755"/>
      <c r="PRM1" s="1755"/>
      <c r="PRN1" s="1755"/>
      <c r="PRO1" s="1755"/>
      <c r="PRP1" s="1755"/>
      <c r="PRQ1" s="1755"/>
      <c r="PRR1" s="1755"/>
      <c r="PRS1" s="1755"/>
      <c r="PRT1" s="1755"/>
      <c r="PRU1" s="1755"/>
      <c r="PRV1" s="1755"/>
      <c r="PRW1" s="1755"/>
      <c r="PRX1" s="1755"/>
      <c r="PRY1" s="1755"/>
      <c r="PRZ1" s="1755"/>
      <c r="PSA1" s="1755"/>
      <c r="PSB1" s="1755"/>
      <c r="PSC1" s="1755"/>
      <c r="PSD1" s="1755"/>
      <c r="PSE1" s="1755"/>
      <c r="PSF1" s="1755"/>
      <c r="PSG1" s="1755"/>
      <c r="PSH1" s="1755"/>
      <c r="PSI1" s="1755"/>
      <c r="PSJ1" s="1755"/>
      <c r="PSK1" s="1755"/>
      <c r="PSL1" s="1755"/>
      <c r="PSM1" s="1755"/>
      <c r="PSN1" s="1755"/>
      <c r="PSO1" s="1755"/>
      <c r="PSP1" s="1755"/>
      <c r="PSQ1" s="1755"/>
      <c r="PSR1" s="1755"/>
      <c r="PSS1" s="1755"/>
      <c r="PST1" s="1755"/>
      <c r="PSU1" s="1755"/>
      <c r="PSV1" s="1755"/>
      <c r="PSW1" s="1755"/>
      <c r="PSX1" s="1755"/>
      <c r="PSY1" s="1755"/>
      <c r="PSZ1" s="1755"/>
      <c r="PTA1" s="1755"/>
      <c r="PTB1" s="1755"/>
      <c r="PTC1" s="1755"/>
      <c r="PTD1" s="1755"/>
      <c r="PTE1" s="1755"/>
      <c r="PTF1" s="1755"/>
      <c r="PTG1" s="1755"/>
      <c r="PTH1" s="1755"/>
      <c r="PTI1" s="1755"/>
      <c r="PTJ1" s="1755"/>
      <c r="PTK1" s="1755"/>
      <c r="PTL1" s="1755"/>
      <c r="PTM1" s="1755"/>
      <c r="PTN1" s="1755"/>
      <c r="PTO1" s="1755"/>
      <c r="PTP1" s="1755"/>
      <c r="PTQ1" s="1755"/>
      <c r="PTR1" s="1755"/>
      <c r="PTS1" s="1755"/>
      <c r="PTT1" s="1755"/>
      <c r="PTU1" s="1755"/>
      <c r="PTV1" s="1755"/>
      <c r="PTW1" s="1755"/>
      <c r="PTX1" s="1755"/>
      <c r="PTY1" s="1755"/>
      <c r="PTZ1" s="1755"/>
      <c r="PUA1" s="1755"/>
      <c r="PUB1" s="1755"/>
      <c r="PUC1" s="1755"/>
      <c r="PUD1" s="1755"/>
      <c r="PUE1" s="1755"/>
      <c r="PUF1" s="1755"/>
      <c r="PUG1" s="1755"/>
      <c r="PUH1" s="1755"/>
      <c r="PUI1" s="1755"/>
      <c r="PUJ1" s="1755"/>
      <c r="PUK1" s="1755"/>
      <c r="PUL1" s="1755"/>
      <c r="PUM1" s="1755"/>
      <c r="PUN1" s="1755"/>
      <c r="PUO1" s="1755"/>
      <c r="PUP1" s="1755"/>
      <c r="PUQ1" s="1755"/>
      <c r="PUR1" s="1755"/>
      <c r="PUS1" s="1755"/>
      <c r="PUT1" s="1755"/>
      <c r="PUU1" s="1755"/>
      <c r="PUV1" s="1755"/>
      <c r="PUW1" s="1755"/>
      <c r="PUX1" s="1755"/>
      <c r="PUY1" s="1755"/>
      <c r="PUZ1" s="1755"/>
      <c r="PVA1" s="1755"/>
      <c r="PVB1" s="1755"/>
      <c r="PVC1" s="1755"/>
      <c r="PVD1" s="1755"/>
      <c r="PVE1" s="1755"/>
      <c r="PVF1" s="1755"/>
      <c r="PVG1" s="1755"/>
      <c r="PVH1" s="1755"/>
      <c r="PVI1" s="1755"/>
      <c r="PVJ1" s="1755"/>
      <c r="PVK1" s="1755"/>
      <c r="PVL1" s="1755"/>
      <c r="PVM1" s="1755"/>
      <c r="PVN1" s="1755"/>
      <c r="PVO1" s="1755"/>
      <c r="PVP1" s="1755"/>
      <c r="PVQ1" s="1755"/>
      <c r="PVR1" s="1755"/>
      <c r="PVS1" s="1755"/>
      <c r="PVT1" s="1755"/>
      <c r="PVU1" s="1755"/>
      <c r="PVV1" s="1755"/>
      <c r="PVW1" s="1755"/>
      <c r="PVX1" s="1755"/>
      <c r="PVY1" s="1755"/>
      <c r="PVZ1" s="1755"/>
      <c r="PWA1" s="1755"/>
      <c r="PWB1" s="1755"/>
      <c r="PWC1" s="1755"/>
      <c r="PWD1" s="1755"/>
      <c r="PWE1" s="1755"/>
      <c r="PWF1" s="1755"/>
      <c r="PWG1" s="1755"/>
      <c r="PWH1" s="1755"/>
      <c r="PWI1" s="1755"/>
      <c r="PWJ1" s="1755"/>
      <c r="PWK1" s="1755"/>
      <c r="PWL1" s="1755"/>
      <c r="PWM1" s="1755"/>
      <c r="PWN1" s="1755"/>
      <c r="PWO1" s="1755"/>
      <c r="PWP1" s="1755"/>
      <c r="PWQ1" s="1755"/>
      <c r="PWR1" s="1755"/>
      <c r="PWS1" s="1755"/>
      <c r="PWT1" s="1755"/>
      <c r="PWU1" s="1755"/>
      <c r="PWV1" s="1755"/>
      <c r="PWW1" s="1755"/>
      <c r="PWX1" s="1755"/>
      <c r="PWY1" s="1755"/>
      <c r="PWZ1" s="1755"/>
      <c r="PXA1" s="1755"/>
      <c r="PXB1" s="1755"/>
      <c r="PXC1" s="1755"/>
      <c r="PXD1" s="1755"/>
      <c r="PXE1" s="1755"/>
      <c r="PXF1" s="1755"/>
      <c r="PXG1" s="1755"/>
      <c r="PXH1" s="1755"/>
      <c r="PXI1" s="1755"/>
      <c r="PXJ1" s="1755"/>
      <c r="PXK1" s="1755"/>
      <c r="PXL1" s="1755"/>
      <c r="PXM1" s="1755"/>
      <c r="PXN1" s="1755"/>
      <c r="PXO1" s="1755"/>
      <c r="PXP1" s="1755"/>
      <c r="PXQ1" s="1755"/>
      <c r="PXR1" s="1755"/>
      <c r="PXS1" s="1755"/>
      <c r="PXT1" s="1755"/>
      <c r="PXU1" s="1755"/>
      <c r="PXV1" s="1755"/>
      <c r="PXW1" s="1755"/>
      <c r="PXX1" s="1755"/>
      <c r="PXY1" s="1755"/>
      <c r="PXZ1" s="1755"/>
      <c r="PYA1" s="1755"/>
      <c r="PYB1" s="1755"/>
      <c r="PYC1" s="1755"/>
      <c r="PYD1" s="1755"/>
      <c r="PYE1" s="1755"/>
      <c r="PYF1" s="1755"/>
      <c r="PYG1" s="1755"/>
      <c r="PYH1" s="1755"/>
      <c r="PYI1" s="1755"/>
      <c r="PYJ1" s="1755"/>
      <c r="PYK1" s="1755"/>
      <c r="PYL1" s="1755"/>
      <c r="PYM1" s="1755"/>
      <c r="PYN1" s="1755"/>
      <c r="PYO1" s="1755"/>
      <c r="PYP1" s="1755"/>
      <c r="PYQ1" s="1755"/>
      <c r="PYR1" s="1755"/>
      <c r="PYS1" s="1755"/>
      <c r="PYT1" s="1755"/>
      <c r="PYU1" s="1755"/>
      <c r="PYV1" s="1755"/>
      <c r="PYW1" s="1755"/>
      <c r="PYX1" s="1755"/>
      <c r="PYY1" s="1755"/>
      <c r="PYZ1" s="1755"/>
      <c r="PZA1" s="1755"/>
      <c r="PZB1" s="1755"/>
      <c r="PZC1" s="1755"/>
      <c r="PZD1" s="1755"/>
      <c r="PZE1" s="1755"/>
      <c r="PZF1" s="1755"/>
      <c r="PZG1" s="1755"/>
      <c r="PZH1" s="1755"/>
      <c r="PZI1" s="1755"/>
      <c r="PZJ1" s="1755"/>
      <c r="PZK1" s="1755"/>
      <c r="PZL1" s="1755"/>
      <c r="PZM1" s="1755"/>
      <c r="PZN1" s="1755"/>
      <c r="PZO1" s="1755"/>
      <c r="PZP1" s="1755"/>
      <c r="PZQ1" s="1755"/>
      <c r="PZR1" s="1755"/>
      <c r="PZS1" s="1755"/>
      <c r="PZT1" s="1755"/>
      <c r="PZU1" s="1755"/>
      <c r="PZV1" s="1755"/>
      <c r="PZW1" s="1755"/>
      <c r="PZX1" s="1755"/>
      <c r="PZY1" s="1755"/>
      <c r="PZZ1" s="1755"/>
      <c r="QAA1" s="1755"/>
      <c r="QAB1" s="1755"/>
      <c r="QAC1" s="1755"/>
      <c r="QAD1" s="1755"/>
      <c r="QAE1" s="1755"/>
      <c r="QAF1" s="1755"/>
      <c r="QAG1" s="1755"/>
      <c r="QAH1" s="1755"/>
      <c r="QAI1" s="1755"/>
      <c r="QAJ1" s="1755"/>
      <c r="QAK1" s="1755"/>
      <c r="QAL1" s="1755"/>
      <c r="QAM1" s="1755"/>
      <c r="QAN1" s="1755"/>
      <c r="QAO1" s="1755"/>
      <c r="QAP1" s="1755"/>
      <c r="QAQ1" s="1755"/>
      <c r="QAR1" s="1755"/>
      <c r="QAS1" s="1755"/>
      <c r="QAT1" s="1755"/>
      <c r="QAU1" s="1755"/>
      <c r="QAV1" s="1755"/>
      <c r="QAW1" s="1755"/>
      <c r="QAX1" s="1755"/>
      <c r="QAY1" s="1755"/>
      <c r="QAZ1" s="1755"/>
      <c r="QBA1" s="1755"/>
      <c r="QBB1" s="1755"/>
      <c r="QBC1" s="1755"/>
      <c r="QBD1" s="1755"/>
      <c r="QBE1" s="1755"/>
      <c r="QBF1" s="1755"/>
      <c r="QBG1" s="1755"/>
      <c r="QBH1" s="1755"/>
      <c r="QBI1" s="1755"/>
      <c r="QBJ1" s="1755"/>
      <c r="QBK1" s="1755"/>
      <c r="QBL1" s="1755"/>
      <c r="QBM1" s="1755"/>
      <c r="QBN1" s="1755"/>
      <c r="QBO1" s="1755"/>
      <c r="QBP1" s="1755"/>
      <c r="QBQ1" s="1755"/>
      <c r="QBR1" s="1755"/>
      <c r="QBS1" s="1755"/>
      <c r="QBT1" s="1755"/>
      <c r="QBU1" s="1755"/>
      <c r="QBV1" s="1755"/>
      <c r="QBW1" s="1755"/>
      <c r="QBX1" s="1755"/>
      <c r="QBY1" s="1755"/>
      <c r="QBZ1" s="1755"/>
      <c r="QCA1" s="1755"/>
      <c r="QCB1" s="1755"/>
      <c r="QCC1" s="1755"/>
      <c r="QCD1" s="1755"/>
      <c r="QCE1" s="1755"/>
      <c r="QCF1" s="1755"/>
      <c r="QCG1" s="1755"/>
      <c r="QCH1" s="1755"/>
      <c r="QCI1" s="1755"/>
      <c r="QCJ1" s="1755"/>
      <c r="QCK1" s="1755"/>
      <c r="QCL1" s="1755"/>
      <c r="QCM1" s="1755"/>
      <c r="QCN1" s="1755"/>
      <c r="QCO1" s="1755"/>
      <c r="QCP1" s="1755"/>
      <c r="QCQ1" s="1755"/>
      <c r="QCR1" s="1755"/>
      <c r="QCS1" s="1755"/>
      <c r="QCT1" s="1755"/>
      <c r="QCU1" s="1755"/>
      <c r="QCV1" s="1755"/>
      <c r="QCW1" s="1755"/>
      <c r="QCX1" s="1755"/>
      <c r="QCY1" s="1755"/>
      <c r="QCZ1" s="1755"/>
      <c r="QDA1" s="1755"/>
      <c r="QDB1" s="1755"/>
      <c r="QDC1" s="1755"/>
      <c r="QDD1" s="1755"/>
      <c r="QDE1" s="1755"/>
      <c r="QDF1" s="1755"/>
      <c r="QDG1" s="1755"/>
      <c r="QDH1" s="1755"/>
      <c r="QDI1" s="1755"/>
      <c r="QDJ1" s="1755"/>
      <c r="QDK1" s="1755"/>
      <c r="QDL1" s="1755"/>
      <c r="QDM1" s="1755"/>
      <c r="QDN1" s="1755"/>
      <c r="QDO1" s="1755"/>
      <c r="QDP1" s="1755"/>
      <c r="QDQ1" s="1755"/>
      <c r="QDR1" s="1755"/>
      <c r="QDS1" s="1755"/>
      <c r="QDT1" s="1755"/>
      <c r="QDU1" s="1755"/>
      <c r="QDV1" s="1755"/>
      <c r="QDW1" s="1755"/>
      <c r="QDX1" s="1755"/>
      <c r="QDY1" s="1755"/>
      <c r="QDZ1" s="1755"/>
      <c r="QEA1" s="1755"/>
      <c r="QEB1" s="1755"/>
      <c r="QEC1" s="1755"/>
      <c r="QED1" s="1755"/>
      <c r="QEE1" s="1755"/>
      <c r="QEF1" s="1755"/>
      <c r="QEG1" s="1755"/>
      <c r="QEH1" s="1755"/>
      <c r="QEI1" s="1755"/>
      <c r="QEJ1" s="1755"/>
      <c r="QEK1" s="1755"/>
      <c r="QEL1" s="1755"/>
      <c r="QEM1" s="1755"/>
      <c r="QEN1" s="1755"/>
      <c r="QEO1" s="1755"/>
      <c r="QEP1" s="1755"/>
      <c r="QEQ1" s="1755"/>
      <c r="QER1" s="1755"/>
      <c r="QES1" s="1755"/>
      <c r="QET1" s="1755"/>
      <c r="QEU1" s="1755"/>
      <c r="QEV1" s="1755"/>
      <c r="QEW1" s="1755"/>
      <c r="QEX1" s="1755"/>
      <c r="QEY1" s="1755"/>
      <c r="QEZ1" s="1755"/>
      <c r="QFA1" s="1755"/>
      <c r="QFB1" s="1755"/>
      <c r="QFC1" s="1755"/>
      <c r="QFD1" s="1755"/>
      <c r="QFE1" s="1755"/>
      <c r="QFF1" s="1755"/>
      <c r="QFG1" s="1755"/>
      <c r="QFH1" s="1755"/>
      <c r="QFI1" s="1755"/>
      <c r="QFJ1" s="1755"/>
      <c r="QFK1" s="1755"/>
      <c r="QFL1" s="1755"/>
      <c r="QFM1" s="1755"/>
      <c r="QFN1" s="1755"/>
      <c r="QFO1" s="1755"/>
      <c r="QFP1" s="1755"/>
      <c r="QFQ1" s="1755"/>
      <c r="QFR1" s="1755"/>
      <c r="QFS1" s="1755"/>
      <c r="QFT1" s="1755"/>
      <c r="QFU1" s="1755"/>
      <c r="QFV1" s="1755"/>
      <c r="QFW1" s="1755"/>
      <c r="QFX1" s="1755"/>
      <c r="QFY1" s="1755"/>
      <c r="QFZ1" s="1755"/>
      <c r="QGA1" s="1755"/>
      <c r="QGB1" s="1755"/>
      <c r="QGC1" s="1755"/>
      <c r="QGD1" s="1755"/>
      <c r="QGE1" s="1755"/>
      <c r="QGF1" s="1755"/>
      <c r="QGG1" s="1755"/>
      <c r="QGH1" s="1755"/>
      <c r="QGI1" s="1755"/>
      <c r="QGJ1" s="1755"/>
      <c r="QGK1" s="1755"/>
      <c r="QGL1" s="1755"/>
      <c r="QGM1" s="1755"/>
      <c r="QGN1" s="1755"/>
      <c r="QGO1" s="1755"/>
      <c r="QGP1" s="1755"/>
      <c r="QGQ1" s="1755"/>
      <c r="QGR1" s="1755"/>
      <c r="QGS1" s="1755"/>
      <c r="QGT1" s="1755"/>
      <c r="QGU1" s="1755"/>
      <c r="QGV1" s="1755"/>
      <c r="QGW1" s="1755"/>
      <c r="QGX1" s="1755"/>
      <c r="QGY1" s="1755"/>
      <c r="QGZ1" s="1755"/>
      <c r="QHA1" s="1755"/>
      <c r="QHB1" s="1755"/>
      <c r="QHC1" s="1755"/>
      <c r="QHD1" s="1755"/>
      <c r="QHE1" s="1755"/>
      <c r="QHF1" s="1755"/>
      <c r="QHG1" s="1755"/>
      <c r="QHH1" s="1755"/>
      <c r="QHI1" s="1755"/>
      <c r="QHJ1" s="1755"/>
      <c r="QHK1" s="1755"/>
      <c r="QHL1" s="1755"/>
      <c r="QHM1" s="1755"/>
      <c r="QHN1" s="1755"/>
      <c r="QHO1" s="1755"/>
      <c r="QHP1" s="1755"/>
      <c r="QHQ1" s="1755"/>
      <c r="QHR1" s="1755"/>
      <c r="QHS1" s="1755"/>
      <c r="QHT1" s="1755"/>
      <c r="QHU1" s="1755"/>
      <c r="QHV1" s="1755"/>
      <c r="QHW1" s="1755"/>
      <c r="QHX1" s="1755"/>
      <c r="QHY1" s="1755"/>
      <c r="QHZ1" s="1755"/>
      <c r="QIA1" s="1755"/>
      <c r="QIB1" s="1755"/>
      <c r="QIC1" s="1755"/>
      <c r="QID1" s="1755"/>
      <c r="QIE1" s="1755"/>
      <c r="QIF1" s="1755"/>
      <c r="QIG1" s="1755"/>
      <c r="QIH1" s="1755"/>
      <c r="QII1" s="1755"/>
      <c r="QIJ1" s="1755"/>
      <c r="QIK1" s="1755"/>
      <c r="QIL1" s="1755"/>
      <c r="QIM1" s="1755"/>
      <c r="QIN1" s="1755"/>
      <c r="QIO1" s="1755"/>
      <c r="QIP1" s="1755"/>
      <c r="QIQ1" s="1755"/>
      <c r="QIR1" s="1755"/>
      <c r="QIS1" s="1755"/>
      <c r="QIT1" s="1755"/>
      <c r="QIU1" s="1755"/>
      <c r="QIV1" s="1755"/>
      <c r="QIW1" s="1755"/>
      <c r="QIX1" s="1755"/>
      <c r="QIY1" s="1755"/>
      <c r="QIZ1" s="1755"/>
      <c r="QJA1" s="1755"/>
      <c r="QJB1" s="1755"/>
      <c r="QJC1" s="1755"/>
      <c r="QJD1" s="1755"/>
      <c r="QJE1" s="1755"/>
      <c r="QJF1" s="1755"/>
      <c r="QJG1" s="1755"/>
      <c r="QJH1" s="1755"/>
      <c r="QJI1" s="1755"/>
      <c r="QJJ1" s="1755"/>
      <c r="QJK1" s="1755"/>
      <c r="QJL1" s="1755"/>
      <c r="QJM1" s="1755"/>
      <c r="QJN1" s="1755"/>
      <c r="QJO1" s="1755"/>
      <c r="QJP1" s="1755"/>
      <c r="QJQ1" s="1755"/>
      <c r="QJR1" s="1755"/>
      <c r="QJS1" s="1755"/>
      <c r="QJT1" s="1755"/>
      <c r="QJU1" s="1755"/>
      <c r="QJV1" s="1755"/>
      <c r="QJW1" s="1755"/>
      <c r="QJX1" s="1755"/>
      <c r="QJY1" s="1755"/>
      <c r="QJZ1" s="1755"/>
      <c r="QKA1" s="1755"/>
      <c r="QKB1" s="1755"/>
      <c r="QKC1" s="1755"/>
      <c r="QKD1" s="1755"/>
      <c r="QKE1" s="1755"/>
      <c r="QKF1" s="1755"/>
      <c r="QKG1" s="1755"/>
      <c r="QKH1" s="1755"/>
      <c r="QKI1" s="1755"/>
      <c r="QKJ1" s="1755"/>
      <c r="QKK1" s="1755"/>
      <c r="QKL1" s="1755"/>
      <c r="QKM1" s="1755"/>
      <c r="QKN1" s="1755"/>
      <c r="QKO1" s="1755"/>
      <c r="QKP1" s="1755"/>
      <c r="QKQ1" s="1755"/>
      <c r="QKR1" s="1755"/>
      <c r="QKS1" s="1755"/>
      <c r="QKT1" s="1755"/>
      <c r="QKU1" s="1755"/>
      <c r="QKV1" s="1755"/>
      <c r="QKW1" s="1755"/>
      <c r="QKX1" s="1755"/>
      <c r="QKY1" s="1755"/>
      <c r="QKZ1" s="1755"/>
      <c r="QLA1" s="1755"/>
      <c r="QLB1" s="1755"/>
      <c r="QLC1" s="1755"/>
      <c r="QLD1" s="1755"/>
      <c r="QLE1" s="1755"/>
      <c r="QLF1" s="1755"/>
      <c r="QLG1" s="1755"/>
      <c r="QLH1" s="1755"/>
      <c r="QLI1" s="1755"/>
      <c r="QLJ1" s="1755"/>
      <c r="QLK1" s="1755"/>
      <c r="QLL1" s="1755"/>
      <c r="QLM1" s="1755"/>
      <c r="QLN1" s="1755"/>
      <c r="QLO1" s="1755"/>
      <c r="QLP1" s="1755"/>
      <c r="QLQ1" s="1755"/>
      <c r="QLR1" s="1755"/>
      <c r="QLS1" s="1755"/>
      <c r="QLT1" s="1755"/>
      <c r="QLU1" s="1755"/>
      <c r="QLV1" s="1755"/>
      <c r="QLW1" s="1755"/>
      <c r="QLX1" s="1755"/>
      <c r="QLY1" s="1755"/>
      <c r="QLZ1" s="1755"/>
      <c r="QMA1" s="1755"/>
      <c r="QMB1" s="1755"/>
      <c r="QMC1" s="1755"/>
      <c r="QMD1" s="1755"/>
      <c r="QME1" s="1755"/>
      <c r="QMF1" s="1755"/>
      <c r="QMG1" s="1755"/>
      <c r="QMH1" s="1755"/>
      <c r="QMI1" s="1755"/>
      <c r="QMJ1" s="1755"/>
      <c r="QMK1" s="1755"/>
      <c r="QML1" s="1755"/>
      <c r="QMM1" s="1755"/>
      <c r="QMN1" s="1755"/>
      <c r="QMO1" s="1755"/>
      <c r="QMP1" s="1755"/>
      <c r="QMQ1" s="1755"/>
      <c r="QMR1" s="1755"/>
      <c r="QMS1" s="1755"/>
      <c r="QMT1" s="1755"/>
      <c r="QMU1" s="1755"/>
      <c r="QMV1" s="1755"/>
      <c r="QMW1" s="1755"/>
      <c r="QMX1" s="1755"/>
      <c r="QMY1" s="1755"/>
      <c r="QMZ1" s="1755"/>
      <c r="QNA1" s="1755"/>
      <c r="QNB1" s="1755"/>
      <c r="QNC1" s="1755"/>
      <c r="QND1" s="1755"/>
      <c r="QNE1" s="1755"/>
      <c r="QNF1" s="1755"/>
      <c r="QNG1" s="1755"/>
      <c r="QNH1" s="1755"/>
      <c r="QNI1" s="1755"/>
      <c r="QNJ1" s="1755"/>
      <c r="QNK1" s="1755"/>
      <c r="QNL1" s="1755"/>
      <c r="QNM1" s="1755"/>
      <c r="QNN1" s="1755"/>
      <c r="QNO1" s="1755"/>
      <c r="QNP1" s="1755"/>
      <c r="QNQ1" s="1755"/>
      <c r="QNR1" s="1755"/>
      <c r="QNS1" s="1755"/>
      <c r="QNT1" s="1755"/>
      <c r="QNU1" s="1755"/>
      <c r="QNV1" s="1755"/>
      <c r="QNW1" s="1755"/>
      <c r="QNX1" s="1755"/>
      <c r="QNY1" s="1755"/>
      <c r="QNZ1" s="1755"/>
      <c r="QOA1" s="1755"/>
      <c r="QOB1" s="1755"/>
      <c r="QOC1" s="1755"/>
      <c r="QOD1" s="1755"/>
      <c r="QOE1" s="1755"/>
      <c r="QOF1" s="1755"/>
      <c r="QOG1" s="1755"/>
      <c r="QOH1" s="1755"/>
      <c r="QOI1" s="1755"/>
      <c r="QOJ1" s="1755"/>
      <c r="QOK1" s="1755"/>
      <c r="QOL1" s="1755"/>
      <c r="QOM1" s="1755"/>
      <c r="QON1" s="1755"/>
      <c r="QOO1" s="1755"/>
      <c r="QOP1" s="1755"/>
      <c r="QOQ1" s="1755"/>
      <c r="QOR1" s="1755"/>
      <c r="QOS1" s="1755"/>
      <c r="QOT1" s="1755"/>
      <c r="QOU1" s="1755"/>
      <c r="QOV1" s="1755"/>
      <c r="QOW1" s="1755"/>
      <c r="QOX1" s="1755"/>
      <c r="QOY1" s="1755"/>
      <c r="QOZ1" s="1755"/>
      <c r="QPA1" s="1755"/>
      <c r="QPB1" s="1755"/>
      <c r="QPC1" s="1755"/>
      <c r="QPD1" s="1755"/>
      <c r="QPE1" s="1755"/>
      <c r="QPF1" s="1755"/>
      <c r="QPG1" s="1755"/>
      <c r="QPH1" s="1755"/>
      <c r="QPI1" s="1755"/>
      <c r="QPJ1" s="1755"/>
      <c r="QPK1" s="1755"/>
      <c r="QPL1" s="1755"/>
      <c r="QPM1" s="1755"/>
      <c r="QPN1" s="1755"/>
      <c r="QPO1" s="1755"/>
      <c r="QPP1" s="1755"/>
      <c r="QPQ1" s="1755"/>
      <c r="QPR1" s="1755"/>
      <c r="QPS1" s="1755"/>
      <c r="QPT1" s="1755"/>
      <c r="QPU1" s="1755"/>
      <c r="QPV1" s="1755"/>
      <c r="QPW1" s="1755"/>
      <c r="QPX1" s="1755"/>
      <c r="QPY1" s="1755"/>
      <c r="QPZ1" s="1755"/>
      <c r="QQA1" s="1755"/>
      <c r="QQB1" s="1755"/>
      <c r="QQC1" s="1755"/>
      <c r="QQD1" s="1755"/>
      <c r="QQE1" s="1755"/>
      <c r="QQF1" s="1755"/>
      <c r="QQG1" s="1755"/>
      <c r="QQH1" s="1755"/>
      <c r="QQI1" s="1755"/>
      <c r="QQJ1" s="1755"/>
      <c r="QQK1" s="1755"/>
      <c r="QQL1" s="1755"/>
      <c r="QQM1" s="1755"/>
      <c r="QQN1" s="1755"/>
      <c r="QQO1" s="1755"/>
      <c r="QQP1" s="1755"/>
      <c r="QQQ1" s="1755"/>
      <c r="QQR1" s="1755"/>
      <c r="QQS1" s="1755"/>
      <c r="QQT1" s="1755"/>
      <c r="QQU1" s="1755"/>
      <c r="QQV1" s="1755"/>
      <c r="QQW1" s="1755"/>
      <c r="QQX1" s="1755"/>
      <c r="QQY1" s="1755"/>
      <c r="QQZ1" s="1755"/>
      <c r="QRA1" s="1755"/>
      <c r="QRB1" s="1755"/>
      <c r="QRC1" s="1755"/>
      <c r="QRD1" s="1755"/>
      <c r="QRE1" s="1755"/>
      <c r="QRF1" s="1755"/>
      <c r="QRG1" s="1755"/>
      <c r="QRH1" s="1755"/>
      <c r="QRI1" s="1755"/>
      <c r="QRJ1" s="1755"/>
      <c r="QRK1" s="1755"/>
      <c r="QRL1" s="1755"/>
      <c r="QRM1" s="1755"/>
      <c r="QRN1" s="1755"/>
      <c r="QRO1" s="1755"/>
      <c r="QRP1" s="1755"/>
      <c r="QRQ1" s="1755"/>
      <c r="QRR1" s="1755"/>
      <c r="QRS1" s="1755"/>
      <c r="QRT1" s="1755"/>
      <c r="QRU1" s="1755"/>
      <c r="QRV1" s="1755"/>
      <c r="QRW1" s="1755"/>
      <c r="QRX1" s="1755"/>
      <c r="QRY1" s="1755"/>
      <c r="QRZ1" s="1755"/>
      <c r="QSA1" s="1755"/>
      <c r="QSB1" s="1755"/>
      <c r="QSC1" s="1755"/>
      <c r="QSD1" s="1755"/>
      <c r="QSE1" s="1755"/>
      <c r="QSF1" s="1755"/>
      <c r="QSG1" s="1755"/>
      <c r="QSH1" s="1755"/>
      <c r="QSI1" s="1755"/>
      <c r="QSJ1" s="1755"/>
      <c r="QSK1" s="1755"/>
      <c r="QSL1" s="1755"/>
      <c r="QSM1" s="1755"/>
      <c r="QSN1" s="1755"/>
      <c r="QSO1" s="1755"/>
      <c r="QSP1" s="1755"/>
      <c r="QSQ1" s="1755"/>
      <c r="QSR1" s="1755"/>
      <c r="QSS1" s="1755"/>
      <c r="QST1" s="1755"/>
      <c r="QSU1" s="1755"/>
      <c r="QSV1" s="1755"/>
      <c r="QSW1" s="1755"/>
      <c r="QSX1" s="1755"/>
      <c r="QSY1" s="1755"/>
      <c r="QSZ1" s="1755"/>
      <c r="QTA1" s="1755"/>
      <c r="QTB1" s="1755"/>
      <c r="QTC1" s="1755"/>
      <c r="QTD1" s="1755"/>
      <c r="QTE1" s="1755"/>
      <c r="QTF1" s="1755"/>
      <c r="QTG1" s="1755"/>
      <c r="QTH1" s="1755"/>
      <c r="QTI1" s="1755"/>
      <c r="QTJ1" s="1755"/>
      <c r="QTK1" s="1755"/>
      <c r="QTL1" s="1755"/>
      <c r="QTM1" s="1755"/>
      <c r="QTN1" s="1755"/>
      <c r="QTO1" s="1755"/>
      <c r="QTP1" s="1755"/>
      <c r="QTQ1" s="1755"/>
      <c r="QTR1" s="1755"/>
      <c r="QTS1" s="1755"/>
      <c r="QTT1" s="1755"/>
      <c r="QTU1" s="1755"/>
      <c r="QTV1" s="1755"/>
      <c r="QTW1" s="1755"/>
      <c r="QTX1" s="1755"/>
      <c r="QTY1" s="1755"/>
      <c r="QTZ1" s="1755"/>
      <c r="QUA1" s="1755"/>
      <c r="QUB1" s="1755"/>
      <c r="QUC1" s="1755"/>
      <c r="QUD1" s="1755"/>
      <c r="QUE1" s="1755"/>
      <c r="QUF1" s="1755"/>
      <c r="QUG1" s="1755"/>
      <c r="QUH1" s="1755"/>
      <c r="QUI1" s="1755"/>
      <c r="QUJ1" s="1755"/>
      <c r="QUK1" s="1755"/>
      <c r="QUL1" s="1755"/>
      <c r="QUM1" s="1755"/>
      <c r="QUN1" s="1755"/>
      <c r="QUO1" s="1755"/>
      <c r="QUP1" s="1755"/>
      <c r="QUQ1" s="1755"/>
      <c r="QUR1" s="1755"/>
      <c r="QUS1" s="1755"/>
      <c r="QUT1" s="1755"/>
      <c r="QUU1" s="1755"/>
      <c r="QUV1" s="1755"/>
      <c r="QUW1" s="1755"/>
      <c r="QUX1" s="1755"/>
      <c r="QUY1" s="1755"/>
      <c r="QUZ1" s="1755"/>
      <c r="QVA1" s="1755"/>
      <c r="QVB1" s="1755"/>
      <c r="QVC1" s="1755"/>
      <c r="QVD1" s="1755"/>
      <c r="QVE1" s="1755"/>
      <c r="QVF1" s="1755"/>
      <c r="QVG1" s="1755"/>
      <c r="QVH1" s="1755"/>
      <c r="QVI1" s="1755"/>
      <c r="QVJ1" s="1755"/>
      <c r="QVK1" s="1755"/>
      <c r="QVL1" s="1755"/>
      <c r="QVM1" s="1755"/>
      <c r="QVN1" s="1755"/>
      <c r="QVO1" s="1755"/>
      <c r="QVP1" s="1755"/>
      <c r="QVQ1" s="1755"/>
      <c r="QVR1" s="1755"/>
      <c r="QVS1" s="1755"/>
      <c r="QVT1" s="1755"/>
      <c r="QVU1" s="1755"/>
      <c r="QVV1" s="1755"/>
      <c r="QVW1" s="1755"/>
      <c r="QVX1" s="1755"/>
      <c r="QVY1" s="1755"/>
      <c r="QVZ1" s="1755"/>
      <c r="QWA1" s="1755"/>
      <c r="QWB1" s="1755"/>
      <c r="QWC1" s="1755"/>
      <c r="QWD1" s="1755"/>
      <c r="QWE1" s="1755"/>
      <c r="QWF1" s="1755"/>
      <c r="QWG1" s="1755"/>
      <c r="QWH1" s="1755"/>
      <c r="QWI1" s="1755"/>
      <c r="QWJ1" s="1755"/>
      <c r="QWK1" s="1755"/>
      <c r="QWL1" s="1755"/>
      <c r="QWM1" s="1755"/>
      <c r="QWN1" s="1755"/>
      <c r="QWO1" s="1755"/>
      <c r="QWP1" s="1755"/>
      <c r="QWQ1" s="1755"/>
      <c r="QWR1" s="1755"/>
      <c r="QWS1" s="1755"/>
      <c r="QWT1" s="1755"/>
      <c r="QWU1" s="1755"/>
      <c r="QWV1" s="1755"/>
      <c r="QWW1" s="1755"/>
      <c r="QWX1" s="1755"/>
      <c r="QWY1" s="1755"/>
      <c r="QWZ1" s="1755"/>
      <c r="QXA1" s="1755"/>
      <c r="QXB1" s="1755"/>
      <c r="QXC1" s="1755"/>
      <c r="QXD1" s="1755"/>
      <c r="QXE1" s="1755"/>
      <c r="QXF1" s="1755"/>
      <c r="QXG1" s="1755"/>
      <c r="QXH1" s="1755"/>
      <c r="QXI1" s="1755"/>
      <c r="QXJ1" s="1755"/>
      <c r="QXK1" s="1755"/>
      <c r="QXL1" s="1755"/>
      <c r="QXM1" s="1755"/>
      <c r="QXN1" s="1755"/>
      <c r="QXO1" s="1755"/>
      <c r="QXP1" s="1755"/>
      <c r="QXQ1" s="1755"/>
      <c r="QXR1" s="1755"/>
      <c r="QXS1" s="1755"/>
      <c r="QXT1" s="1755"/>
      <c r="QXU1" s="1755"/>
      <c r="QXV1" s="1755"/>
      <c r="QXW1" s="1755"/>
      <c r="QXX1" s="1755"/>
      <c r="QXY1" s="1755"/>
      <c r="QXZ1" s="1755"/>
      <c r="QYA1" s="1755"/>
      <c r="QYB1" s="1755"/>
      <c r="QYC1" s="1755"/>
      <c r="QYD1" s="1755"/>
      <c r="QYE1" s="1755"/>
      <c r="QYF1" s="1755"/>
      <c r="QYG1" s="1755"/>
      <c r="QYH1" s="1755"/>
      <c r="QYI1" s="1755"/>
      <c r="QYJ1" s="1755"/>
      <c r="QYK1" s="1755"/>
      <c r="QYL1" s="1755"/>
      <c r="QYM1" s="1755"/>
      <c r="QYN1" s="1755"/>
      <c r="QYO1" s="1755"/>
      <c r="QYP1" s="1755"/>
      <c r="QYQ1" s="1755"/>
      <c r="QYR1" s="1755"/>
      <c r="QYS1" s="1755"/>
      <c r="QYT1" s="1755"/>
      <c r="QYU1" s="1755"/>
      <c r="QYV1" s="1755"/>
      <c r="QYW1" s="1755"/>
      <c r="QYX1" s="1755"/>
      <c r="QYY1" s="1755"/>
      <c r="QYZ1" s="1755"/>
      <c r="QZA1" s="1755"/>
      <c r="QZB1" s="1755"/>
      <c r="QZC1" s="1755"/>
      <c r="QZD1" s="1755"/>
      <c r="QZE1" s="1755"/>
      <c r="QZF1" s="1755"/>
      <c r="QZG1" s="1755"/>
      <c r="QZH1" s="1755"/>
      <c r="QZI1" s="1755"/>
      <c r="QZJ1" s="1755"/>
      <c r="QZK1" s="1755"/>
      <c r="QZL1" s="1755"/>
      <c r="QZM1" s="1755"/>
      <c r="QZN1" s="1755"/>
      <c r="QZO1" s="1755"/>
      <c r="QZP1" s="1755"/>
      <c r="QZQ1" s="1755"/>
      <c r="QZR1" s="1755"/>
      <c r="QZS1" s="1755"/>
      <c r="QZT1" s="1755"/>
      <c r="QZU1" s="1755"/>
      <c r="QZV1" s="1755"/>
      <c r="QZW1" s="1755"/>
      <c r="QZX1" s="1755"/>
      <c r="QZY1" s="1755"/>
      <c r="QZZ1" s="1755"/>
      <c r="RAA1" s="1755"/>
      <c r="RAB1" s="1755"/>
      <c r="RAC1" s="1755"/>
      <c r="RAD1" s="1755"/>
      <c r="RAE1" s="1755"/>
      <c r="RAF1" s="1755"/>
      <c r="RAG1" s="1755"/>
      <c r="RAH1" s="1755"/>
      <c r="RAI1" s="1755"/>
      <c r="RAJ1" s="1755"/>
      <c r="RAK1" s="1755"/>
      <c r="RAL1" s="1755"/>
      <c r="RAM1" s="1755"/>
      <c r="RAN1" s="1755"/>
      <c r="RAO1" s="1755"/>
      <c r="RAP1" s="1755"/>
      <c r="RAQ1" s="1755"/>
      <c r="RAR1" s="1755"/>
      <c r="RAS1" s="1755"/>
      <c r="RAT1" s="1755"/>
      <c r="RAU1" s="1755"/>
      <c r="RAV1" s="1755"/>
      <c r="RAW1" s="1755"/>
      <c r="RAX1" s="1755"/>
      <c r="RAY1" s="1755"/>
      <c r="RAZ1" s="1755"/>
      <c r="RBA1" s="1755"/>
      <c r="RBB1" s="1755"/>
      <c r="RBC1" s="1755"/>
      <c r="RBD1" s="1755"/>
      <c r="RBE1" s="1755"/>
      <c r="RBF1" s="1755"/>
      <c r="RBG1" s="1755"/>
      <c r="RBH1" s="1755"/>
      <c r="RBI1" s="1755"/>
      <c r="RBJ1" s="1755"/>
      <c r="RBK1" s="1755"/>
      <c r="RBL1" s="1755"/>
      <c r="RBM1" s="1755"/>
      <c r="RBN1" s="1755"/>
      <c r="RBO1" s="1755"/>
      <c r="RBP1" s="1755"/>
      <c r="RBQ1" s="1755"/>
      <c r="RBR1" s="1755"/>
      <c r="RBS1" s="1755"/>
      <c r="RBT1" s="1755"/>
      <c r="RBU1" s="1755"/>
      <c r="RBV1" s="1755"/>
      <c r="RBW1" s="1755"/>
      <c r="RBX1" s="1755"/>
      <c r="RBY1" s="1755"/>
      <c r="RBZ1" s="1755"/>
      <c r="RCA1" s="1755"/>
      <c r="RCB1" s="1755"/>
      <c r="RCC1" s="1755"/>
      <c r="RCD1" s="1755"/>
      <c r="RCE1" s="1755"/>
      <c r="RCF1" s="1755"/>
      <c r="RCG1" s="1755"/>
      <c r="RCH1" s="1755"/>
      <c r="RCI1" s="1755"/>
      <c r="RCJ1" s="1755"/>
      <c r="RCK1" s="1755"/>
      <c r="RCL1" s="1755"/>
      <c r="RCM1" s="1755"/>
      <c r="RCN1" s="1755"/>
      <c r="RCO1" s="1755"/>
      <c r="RCP1" s="1755"/>
      <c r="RCQ1" s="1755"/>
      <c r="RCR1" s="1755"/>
      <c r="RCS1" s="1755"/>
      <c r="RCT1" s="1755"/>
      <c r="RCU1" s="1755"/>
      <c r="RCV1" s="1755"/>
      <c r="RCW1" s="1755"/>
      <c r="RCX1" s="1755"/>
      <c r="RCY1" s="1755"/>
      <c r="RCZ1" s="1755"/>
      <c r="RDA1" s="1755"/>
      <c r="RDB1" s="1755"/>
      <c r="RDC1" s="1755"/>
      <c r="RDD1" s="1755"/>
      <c r="RDE1" s="1755"/>
      <c r="RDF1" s="1755"/>
      <c r="RDG1" s="1755"/>
      <c r="RDH1" s="1755"/>
      <c r="RDI1" s="1755"/>
      <c r="RDJ1" s="1755"/>
      <c r="RDK1" s="1755"/>
      <c r="RDL1" s="1755"/>
      <c r="RDM1" s="1755"/>
      <c r="RDN1" s="1755"/>
      <c r="RDO1" s="1755"/>
      <c r="RDP1" s="1755"/>
      <c r="RDQ1" s="1755"/>
      <c r="RDR1" s="1755"/>
      <c r="RDS1" s="1755"/>
      <c r="RDT1" s="1755"/>
      <c r="RDU1" s="1755"/>
      <c r="RDV1" s="1755"/>
      <c r="RDW1" s="1755"/>
      <c r="RDX1" s="1755"/>
      <c r="RDY1" s="1755"/>
      <c r="RDZ1" s="1755"/>
      <c r="REA1" s="1755"/>
      <c r="REB1" s="1755"/>
      <c r="REC1" s="1755"/>
      <c r="RED1" s="1755"/>
      <c r="REE1" s="1755"/>
      <c r="REF1" s="1755"/>
      <c r="REG1" s="1755"/>
      <c r="REH1" s="1755"/>
      <c r="REI1" s="1755"/>
      <c r="REJ1" s="1755"/>
      <c r="REK1" s="1755"/>
      <c r="REL1" s="1755"/>
      <c r="REM1" s="1755"/>
      <c r="REN1" s="1755"/>
      <c r="REO1" s="1755"/>
      <c r="REP1" s="1755"/>
      <c r="REQ1" s="1755"/>
      <c r="RER1" s="1755"/>
      <c r="RES1" s="1755"/>
      <c r="RET1" s="1755"/>
      <c r="REU1" s="1755"/>
      <c r="REV1" s="1755"/>
      <c r="REW1" s="1755"/>
      <c r="REX1" s="1755"/>
      <c r="REY1" s="1755"/>
      <c r="REZ1" s="1755"/>
      <c r="RFA1" s="1755"/>
      <c r="RFB1" s="1755"/>
      <c r="RFC1" s="1755"/>
      <c r="RFD1" s="1755"/>
      <c r="RFE1" s="1755"/>
      <c r="RFF1" s="1755"/>
      <c r="RFG1" s="1755"/>
      <c r="RFH1" s="1755"/>
      <c r="RFI1" s="1755"/>
      <c r="RFJ1" s="1755"/>
      <c r="RFK1" s="1755"/>
      <c r="RFL1" s="1755"/>
      <c r="RFM1" s="1755"/>
      <c r="RFN1" s="1755"/>
      <c r="RFO1" s="1755"/>
      <c r="RFP1" s="1755"/>
      <c r="RFQ1" s="1755"/>
      <c r="RFR1" s="1755"/>
      <c r="RFS1" s="1755"/>
      <c r="RFT1" s="1755"/>
      <c r="RFU1" s="1755"/>
      <c r="RFV1" s="1755"/>
      <c r="RFW1" s="1755"/>
      <c r="RFX1" s="1755"/>
      <c r="RFY1" s="1755"/>
      <c r="RFZ1" s="1755"/>
      <c r="RGA1" s="1755"/>
      <c r="RGB1" s="1755"/>
      <c r="RGC1" s="1755"/>
      <c r="RGD1" s="1755"/>
      <c r="RGE1" s="1755"/>
      <c r="RGF1" s="1755"/>
      <c r="RGG1" s="1755"/>
      <c r="RGH1" s="1755"/>
      <c r="RGI1" s="1755"/>
      <c r="RGJ1" s="1755"/>
      <c r="RGK1" s="1755"/>
      <c r="RGL1" s="1755"/>
      <c r="RGM1" s="1755"/>
      <c r="RGN1" s="1755"/>
      <c r="RGO1" s="1755"/>
      <c r="RGP1" s="1755"/>
      <c r="RGQ1" s="1755"/>
      <c r="RGR1" s="1755"/>
      <c r="RGS1" s="1755"/>
      <c r="RGT1" s="1755"/>
      <c r="RGU1" s="1755"/>
      <c r="RGV1" s="1755"/>
      <c r="RGW1" s="1755"/>
      <c r="RGX1" s="1755"/>
      <c r="RGY1" s="1755"/>
      <c r="RGZ1" s="1755"/>
      <c r="RHA1" s="1755"/>
      <c r="RHB1" s="1755"/>
      <c r="RHC1" s="1755"/>
      <c r="RHD1" s="1755"/>
      <c r="RHE1" s="1755"/>
      <c r="RHF1" s="1755"/>
      <c r="RHG1" s="1755"/>
      <c r="RHH1" s="1755"/>
      <c r="RHI1" s="1755"/>
      <c r="RHJ1" s="1755"/>
      <c r="RHK1" s="1755"/>
      <c r="RHL1" s="1755"/>
      <c r="RHM1" s="1755"/>
      <c r="RHN1" s="1755"/>
      <c r="RHO1" s="1755"/>
      <c r="RHP1" s="1755"/>
      <c r="RHQ1" s="1755"/>
      <c r="RHR1" s="1755"/>
      <c r="RHS1" s="1755"/>
      <c r="RHT1" s="1755"/>
      <c r="RHU1" s="1755"/>
      <c r="RHV1" s="1755"/>
      <c r="RHW1" s="1755"/>
      <c r="RHX1" s="1755"/>
      <c r="RHY1" s="1755"/>
      <c r="RHZ1" s="1755"/>
      <c r="RIA1" s="1755"/>
      <c r="RIB1" s="1755"/>
      <c r="RIC1" s="1755"/>
      <c r="RID1" s="1755"/>
      <c r="RIE1" s="1755"/>
      <c r="RIF1" s="1755"/>
      <c r="RIG1" s="1755"/>
      <c r="RIH1" s="1755"/>
      <c r="RII1" s="1755"/>
      <c r="RIJ1" s="1755"/>
      <c r="RIK1" s="1755"/>
      <c r="RIL1" s="1755"/>
      <c r="RIM1" s="1755"/>
      <c r="RIN1" s="1755"/>
      <c r="RIO1" s="1755"/>
      <c r="RIP1" s="1755"/>
      <c r="RIQ1" s="1755"/>
      <c r="RIR1" s="1755"/>
      <c r="RIS1" s="1755"/>
      <c r="RIT1" s="1755"/>
      <c r="RIU1" s="1755"/>
      <c r="RIV1" s="1755"/>
      <c r="RIW1" s="1755"/>
      <c r="RIX1" s="1755"/>
      <c r="RIY1" s="1755"/>
      <c r="RIZ1" s="1755"/>
      <c r="RJA1" s="1755"/>
      <c r="RJB1" s="1755"/>
      <c r="RJC1" s="1755"/>
      <c r="RJD1" s="1755"/>
      <c r="RJE1" s="1755"/>
      <c r="RJF1" s="1755"/>
      <c r="RJG1" s="1755"/>
      <c r="RJH1" s="1755"/>
      <c r="RJI1" s="1755"/>
      <c r="RJJ1" s="1755"/>
      <c r="RJK1" s="1755"/>
      <c r="RJL1" s="1755"/>
      <c r="RJM1" s="1755"/>
      <c r="RJN1" s="1755"/>
      <c r="RJO1" s="1755"/>
      <c r="RJP1" s="1755"/>
      <c r="RJQ1" s="1755"/>
      <c r="RJR1" s="1755"/>
      <c r="RJS1" s="1755"/>
      <c r="RJT1" s="1755"/>
      <c r="RJU1" s="1755"/>
      <c r="RJV1" s="1755"/>
      <c r="RJW1" s="1755"/>
      <c r="RJX1" s="1755"/>
      <c r="RJY1" s="1755"/>
      <c r="RJZ1" s="1755"/>
      <c r="RKA1" s="1755"/>
      <c r="RKB1" s="1755"/>
      <c r="RKC1" s="1755"/>
      <c r="RKD1" s="1755"/>
      <c r="RKE1" s="1755"/>
      <c r="RKF1" s="1755"/>
      <c r="RKG1" s="1755"/>
      <c r="RKH1" s="1755"/>
      <c r="RKI1" s="1755"/>
      <c r="RKJ1" s="1755"/>
      <c r="RKK1" s="1755"/>
      <c r="RKL1" s="1755"/>
      <c r="RKM1" s="1755"/>
      <c r="RKN1" s="1755"/>
      <c r="RKO1" s="1755"/>
      <c r="RKP1" s="1755"/>
      <c r="RKQ1" s="1755"/>
      <c r="RKR1" s="1755"/>
      <c r="RKS1" s="1755"/>
      <c r="RKT1" s="1755"/>
      <c r="RKU1" s="1755"/>
      <c r="RKV1" s="1755"/>
      <c r="RKW1" s="1755"/>
      <c r="RKX1" s="1755"/>
      <c r="RKY1" s="1755"/>
      <c r="RKZ1" s="1755"/>
      <c r="RLA1" s="1755"/>
      <c r="RLB1" s="1755"/>
      <c r="RLC1" s="1755"/>
      <c r="RLD1" s="1755"/>
      <c r="RLE1" s="1755"/>
      <c r="RLF1" s="1755"/>
      <c r="RLG1" s="1755"/>
      <c r="RLH1" s="1755"/>
      <c r="RLI1" s="1755"/>
      <c r="RLJ1" s="1755"/>
      <c r="RLK1" s="1755"/>
      <c r="RLL1" s="1755"/>
      <c r="RLM1" s="1755"/>
      <c r="RLN1" s="1755"/>
      <c r="RLO1" s="1755"/>
      <c r="RLP1" s="1755"/>
      <c r="RLQ1" s="1755"/>
      <c r="RLR1" s="1755"/>
      <c r="RLS1" s="1755"/>
      <c r="RLT1" s="1755"/>
      <c r="RLU1" s="1755"/>
      <c r="RLV1" s="1755"/>
      <c r="RLW1" s="1755"/>
      <c r="RLX1" s="1755"/>
      <c r="RLY1" s="1755"/>
      <c r="RLZ1" s="1755"/>
      <c r="RMA1" s="1755"/>
      <c r="RMB1" s="1755"/>
      <c r="RMC1" s="1755"/>
      <c r="RMD1" s="1755"/>
      <c r="RME1" s="1755"/>
      <c r="RMF1" s="1755"/>
      <c r="RMG1" s="1755"/>
      <c r="RMH1" s="1755"/>
      <c r="RMI1" s="1755"/>
      <c r="RMJ1" s="1755"/>
      <c r="RMK1" s="1755"/>
      <c r="RML1" s="1755"/>
      <c r="RMM1" s="1755"/>
      <c r="RMN1" s="1755"/>
      <c r="RMO1" s="1755"/>
      <c r="RMP1" s="1755"/>
      <c r="RMQ1" s="1755"/>
      <c r="RMR1" s="1755"/>
      <c r="RMS1" s="1755"/>
      <c r="RMT1" s="1755"/>
      <c r="RMU1" s="1755"/>
      <c r="RMV1" s="1755"/>
      <c r="RMW1" s="1755"/>
      <c r="RMX1" s="1755"/>
      <c r="RMY1" s="1755"/>
      <c r="RMZ1" s="1755"/>
      <c r="RNA1" s="1755"/>
      <c r="RNB1" s="1755"/>
      <c r="RNC1" s="1755"/>
      <c r="RND1" s="1755"/>
      <c r="RNE1" s="1755"/>
      <c r="RNF1" s="1755"/>
      <c r="RNG1" s="1755"/>
      <c r="RNH1" s="1755"/>
      <c r="RNI1" s="1755"/>
      <c r="RNJ1" s="1755"/>
      <c r="RNK1" s="1755"/>
      <c r="RNL1" s="1755"/>
      <c r="RNM1" s="1755"/>
      <c r="RNN1" s="1755"/>
      <c r="RNO1" s="1755"/>
      <c r="RNP1" s="1755"/>
      <c r="RNQ1" s="1755"/>
      <c r="RNR1" s="1755"/>
      <c r="RNS1" s="1755"/>
      <c r="RNT1" s="1755"/>
      <c r="RNU1" s="1755"/>
      <c r="RNV1" s="1755"/>
      <c r="RNW1" s="1755"/>
      <c r="RNX1" s="1755"/>
      <c r="RNY1" s="1755"/>
      <c r="RNZ1" s="1755"/>
      <c r="ROA1" s="1755"/>
      <c r="ROB1" s="1755"/>
      <c r="ROC1" s="1755"/>
      <c r="ROD1" s="1755"/>
      <c r="ROE1" s="1755"/>
      <c r="ROF1" s="1755"/>
      <c r="ROG1" s="1755"/>
      <c r="ROH1" s="1755"/>
      <c r="ROI1" s="1755"/>
      <c r="ROJ1" s="1755"/>
      <c r="ROK1" s="1755"/>
      <c r="ROL1" s="1755"/>
      <c r="ROM1" s="1755"/>
      <c r="RON1" s="1755"/>
      <c r="ROO1" s="1755"/>
      <c r="ROP1" s="1755"/>
      <c r="ROQ1" s="1755"/>
      <c r="ROR1" s="1755"/>
      <c r="ROS1" s="1755"/>
      <c r="ROT1" s="1755"/>
      <c r="ROU1" s="1755"/>
      <c r="ROV1" s="1755"/>
      <c r="ROW1" s="1755"/>
      <c r="ROX1" s="1755"/>
      <c r="ROY1" s="1755"/>
      <c r="ROZ1" s="1755"/>
      <c r="RPA1" s="1755"/>
      <c r="RPB1" s="1755"/>
      <c r="RPC1" s="1755"/>
      <c r="RPD1" s="1755"/>
      <c r="RPE1" s="1755"/>
      <c r="RPF1" s="1755"/>
      <c r="RPG1" s="1755"/>
      <c r="RPH1" s="1755"/>
      <c r="RPI1" s="1755"/>
      <c r="RPJ1" s="1755"/>
      <c r="RPK1" s="1755"/>
      <c r="RPL1" s="1755"/>
      <c r="RPM1" s="1755"/>
      <c r="RPN1" s="1755"/>
      <c r="RPO1" s="1755"/>
      <c r="RPP1" s="1755"/>
      <c r="RPQ1" s="1755"/>
      <c r="RPR1" s="1755"/>
      <c r="RPS1" s="1755"/>
      <c r="RPT1" s="1755"/>
      <c r="RPU1" s="1755"/>
      <c r="RPV1" s="1755"/>
      <c r="RPW1" s="1755"/>
      <c r="RPX1" s="1755"/>
      <c r="RPY1" s="1755"/>
      <c r="RPZ1" s="1755"/>
      <c r="RQA1" s="1755"/>
      <c r="RQB1" s="1755"/>
      <c r="RQC1" s="1755"/>
      <c r="RQD1" s="1755"/>
      <c r="RQE1" s="1755"/>
      <c r="RQF1" s="1755"/>
      <c r="RQG1" s="1755"/>
      <c r="RQH1" s="1755"/>
      <c r="RQI1" s="1755"/>
      <c r="RQJ1" s="1755"/>
      <c r="RQK1" s="1755"/>
      <c r="RQL1" s="1755"/>
      <c r="RQM1" s="1755"/>
      <c r="RQN1" s="1755"/>
      <c r="RQO1" s="1755"/>
      <c r="RQP1" s="1755"/>
      <c r="RQQ1" s="1755"/>
      <c r="RQR1" s="1755"/>
      <c r="RQS1" s="1755"/>
      <c r="RQT1" s="1755"/>
      <c r="RQU1" s="1755"/>
      <c r="RQV1" s="1755"/>
      <c r="RQW1" s="1755"/>
      <c r="RQX1" s="1755"/>
      <c r="RQY1" s="1755"/>
      <c r="RQZ1" s="1755"/>
      <c r="RRA1" s="1755"/>
      <c r="RRB1" s="1755"/>
      <c r="RRC1" s="1755"/>
      <c r="RRD1" s="1755"/>
      <c r="RRE1" s="1755"/>
      <c r="RRF1" s="1755"/>
      <c r="RRG1" s="1755"/>
      <c r="RRH1" s="1755"/>
      <c r="RRI1" s="1755"/>
      <c r="RRJ1" s="1755"/>
      <c r="RRK1" s="1755"/>
      <c r="RRL1" s="1755"/>
      <c r="RRM1" s="1755"/>
      <c r="RRN1" s="1755"/>
      <c r="RRO1" s="1755"/>
      <c r="RRP1" s="1755"/>
      <c r="RRQ1" s="1755"/>
      <c r="RRR1" s="1755"/>
      <c r="RRS1" s="1755"/>
      <c r="RRT1" s="1755"/>
      <c r="RRU1" s="1755"/>
      <c r="RRV1" s="1755"/>
      <c r="RRW1" s="1755"/>
      <c r="RRX1" s="1755"/>
      <c r="RRY1" s="1755"/>
      <c r="RRZ1" s="1755"/>
      <c r="RSA1" s="1755"/>
      <c r="RSB1" s="1755"/>
      <c r="RSC1" s="1755"/>
      <c r="RSD1" s="1755"/>
      <c r="RSE1" s="1755"/>
      <c r="RSF1" s="1755"/>
      <c r="RSG1" s="1755"/>
      <c r="RSH1" s="1755"/>
      <c r="RSI1" s="1755"/>
      <c r="RSJ1" s="1755"/>
      <c r="RSK1" s="1755"/>
      <c r="RSL1" s="1755"/>
      <c r="RSM1" s="1755"/>
      <c r="RSN1" s="1755"/>
      <c r="RSO1" s="1755"/>
      <c r="RSP1" s="1755"/>
      <c r="RSQ1" s="1755"/>
      <c r="RSR1" s="1755"/>
      <c r="RSS1" s="1755"/>
      <c r="RST1" s="1755"/>
      <c r="RSU1" s="1755"/>
      <c r="RSV1" s="1755"/>
      <c r="RSW1" s="1755"/>
      <c r="RSX1" s="1755"/>
      <c r="RSY1" s="1755"/>
      <c r="RSZ1" s="1755"/>
      <c r="RTA1" s="1755"/>
      <c r="RTB1" s="1755"/>
      <c r="RTC1" s="1755"/>
      <c r="RTD1" s="1755"/>
      <c r="RTE1" s="1755"/>
      <c r="RTF1" s="1755"/>
      <c r="RTG1" s="1755"/>
      <c r="RTH1" s="1755"/>
      <c r="RTI1" s="1755"/>
      <c r="RTJ1" s="1755"/>
      <c r="RTK1" s="1755"/>
      <c r="RTL1" s="1755"/>
      <c r="RTM1" s="1755"/>
      <c r="RTN1" s="1755"/>
      <c r="RTO1" s="1755"/>
      <c r="RTP1" s="1755"/>
      <c r="RTQ1" s="1755"/>
      <c r="RTR1" s="1755"/>
      <c r="RTS1" s="1755"/>
      <c r="RTT1" s="1755"/>
      <c r="RTU1" s="1755"/>
      <c r="RTV1" s="1755"/>
      <c r="RTW1" s="1755"/>
      <c r="RTX1" s="1755"/>
      <c r="RTY1" s="1755"/>
      <c r="RTZ1" s="1755"/>
      <c r="RUA1" s="1755"/>
      <c r="RUB1" s="1755"/>
      <c r="RUC1" s="1755"/>
      <c r="RUD1" s="1755"/>
      <c r="RUE1" s="1755"/>
      <c r="RUF1" s="1755"/>
      <c r="RUG1" s="1755"/>
      <c r="RUH1" s="1755"/>
      <c r="RUI1" s="1755"/>
      <c r="RUJ1" s="1755"/>
      <c r="RUK1" s="1755"/>
      <c r="RUL1" s="1755"/>
      <c r="RUM1" s="1755"/>
      <c r="RUN1" s="1755"/>
      <c r="RUO1" s="1755"/>
      <c r="RUP1" s="1755"/>
      <c r="RUQ1" s="1755"/>
      <c r="RUR1" s="1755"/>
      <c r="RUS1" s="1755"/>
      <c r="RUT1" s="1755"/>
      <c r="RUU1" s="1755"/>
      <c r="RUV1" s="1755"/>
      <c r="RUW1" s="1755"/>
      <c r="RUX1" s="1755"/>
      <c r="RUY1" s="1755"/>
      <c r="RUZ1" s="1755"/>
      <c r="RVA1" s="1755"/>
      <c r="RVB1" s="1755"/>
      <c r="RVC1" s="1755"/>
      <c r="RVD1" s="1755"/>
      <c r="RVE1" s="1755"/>
      <c r="RVF1" s="1755"/>
      <c r="RVG1" s="1755"/>
      <c r="RVH1" s="1755"/>
      <c r="RVI1" s="1755"/>
      <c r="RVJ1" s="1755"/>
      <c r="RVK1" s="1755"/>
      <c r="RVL1" s="1755"/>
      <c r="RVM1" s="1755"/>
      <c r="RVN1" s="1755"/>
      <c r="RVO1" s="1755"/>
      <c r="RVP1" s="1755"/>
      <c r="RVQ1" s="1755"/>
      <c r="RVR1" s="1755"/>
      <c r="RVS1" s="1755"/>
      <c r="RVT1" s="1755"/>
      <c r="RVU1" s="1755"/>
      <c r="RVV1" s="1755"/>
      <c r="RVW1" s="1755"/>
      <c r="RVX1" s="1755"/>
      <c r="RVY1" s="1755"/>
      <c r="RVZ1" s="1755"/>
      <c r="RWA1" s="1755"/>
      <c r="RWB1" s="1755"/>
      <c r="RWC1" s="1755"/>
      <c r="RWD1" s="1755"/>
      <c r="RWE1" s="1755"/>
      <c r="RWF1" s="1755"/>
      <c r="RWG1" s="1755"/>
      <c r="RWH1" s="1755"/>
      <c r="RWI1" s="1755"/>
      <c r="RWJ1" s="1755"/>
      <c r="RWK1" s="1755"/>
      <c r="RWL1" s="1755"/>
      <c r="RWM1" s="1755"/>
      <c r="RWN1" s="1755"/>
      <c r="RWO1" s="1755"/>
      <c r="RWP1" s="1755"/>
      <c r="RWQ1" s="1755"/>
      <c r="RWR1" s="1755"/>
      <c r="RWS1" s="1755"/>
      <c r="RWT1" s="1755"/>
      <c r="RWU1" s="1755"/>
      <c r="RWV1" s="1755"/>
      <c r="RWW1" s="1755"/>
      <c r="RWX1" s="1755"/>
      <c r="RWY1" s="1755"/>
      <c r="RWZ1" s="1755"/>
      <c r="RXA1" s="1755"/>
      <c r="RXB1" s="1755"/>
      <c r="RXC1" s="1755"/>
      <c r="RXD1" s="1755"/>
      <c r="RXE1" s="1755"/>
      <c r="RXF1" s="1755"/>
      <c r="RXG1" s="1755"/>
      <c r="RXH1" s="1755"/>
      <c r="RXI1" s="1755"/>
      <c r="RXJ1" s="1755"/>
      <c r="RXK1" s="1755"/>
      <c r="RXL1" s="1755"/>
      <c r="RXM1" s="1755"/>
      <c r="RXN1" s="1755"/>
      <c r="RXO1" s="1755"/>
      <c r="RXP1" s="1755"/>
      <c r="RXQ1" s="1755"/>
      <c r="RXR1" s="1755"/>
      <c r="RXS1" s="1755"/>
      <c r="RXT1" s="1755"/>
      <c r="RXU1" s="1755"/>
      <c r="RXV1" s="1755"/>
      <c r="RXW1" s="1755"/>
      <c r="RXX1" s="1755"/>
      <c r="RXY1" s="1755"/>
      <c r="RXZ1" s="1755"/>
      <c r="RYA1" s="1755"/>
      <c r="RYB1" s="1755"/>
      <c r="RYC1" s="1755"/>
      <c r="RYD1" s="1755"/>
      <c r="RYE1" s="1755"/>
      <c r="RYF1" s="1755"/>
      <c r="RYG1" s="1755"/>
      <c r="RYH1" s="1755"/>
      <c r="RYI1" s="1755"/>
      <c r="RYJ1" s="1755"/>
      <c r="RYK1" s="1755"/>
      <c r="RYL1" s="1755"/>
      <c r="RYM1" s="1755"/>
      <c r="RYN1" s="1755"/>
      <c r="RYO1" s="1755"/>
      <c r="RYP1" s="1755"/>
      <c r="RYQ1" s="1755"/>
      <c r="RYR1" s="1755"/>
      <c r="RYS1" s="1755"/>
      <c r="RYT1" s="1755"/>
      <c r="RYU1" s="1755"/>
      <c r="RYV1" s="1755"/>
      <c r="RYW1" s="1755"/>
      <c r="RYX1" s="1755"/>
      <c r="RYY1" s="1755"/>
      <c r="RYZ1" s="1755"/>
      <c r="RZA1" s="1755"/>
      <c r="RZB1" s="1755"/>
      <c r="RZC1" s="1755"/>
      <c r="RZD1" s="1755"/>
      <c r="RZE1" s="1755"/>
      <c r="RZF1" s="1755"/>
      <c r="RZG1" s="1755"/>
      <c r="RZH1" s="1755"/>
      <c r="RZI1" s="1755"/>
      <c r="RZJ1" s="1755"/>
      <c r="RZK1" s="1755"/>
      <c r="RZL1" s="1755"/>
      <c r="RZM1" s="1755"/>
      <c r="RZN1" s="1755"/>
      <c r="RZO1" s="1755"/>
      <c r="RZP1" s="1755"/>
      <c r="RZQ1" s="1755"/>
      <c r="RZR1" s="1755"/>
      <c r="RZS1" s="1755"/>
      <c r="RZT1" s="1755"/>
      <c r="RZU1" s="1755"/>
      <c r="RZV1" s="1755"/>
      <c r="RZW1" s="1755"/>
      <c r="RZX1" s="1755"/>
      <c r="RZY1" s="1755"/>
      <c r="RZZ1" s="1755"/>
      <c r="SAA1" s="1755"/>
      <c r="SAB1" s="1755"/>
      <c r="SAC1" s="1755"/>
      <c r="SAD1" s="1755"/>
      <c r="SAE1" s="1755"/>
      <c r="SAF1" s="1755"/>
      <c r="SAG1" s="1755"/>
      <c r="SAH1" s="1755"/>
      <c r="SAI1" s="1755"/>
      <c r="SAJ1" s="1755"/>
      <c r="SAK1" s="1755"/>
      <c r="SAL1" s="1755"/>
      <c r="SAM1" s="1755"/>
      <c r="SAN1" s="1755"/>
      <c r="SAO1" s="1755"/>
      <c r="SAP1" s="1755"/>
      <c r="SAQ1" s="1755"/>
      <c r="SAR1" s="1755"/>
      <c r="SAS1" s="1755"/>
      <c r="SAT1" s="1755"/>
      <c r="SAU1" s="1755"/>
      <c r="SAV1" s="1755"/>
      <c r="SAW1" s="1755"/>
      <c r="SAX1" s="1755"/>
      <c r="SAY1" s="1755"/>
      <c r="SAZ1" s="1755"/>
      <c r="SBA1" s="1755"/>
      <c r="SBB1" s="1755"/>
      <c r="SBC1" s="1755"/>
      <c r="SBD1" s="1755"/>
      <c r="SBE1" s="1755"/>
      <c r="SBF1" s="1755"/>
      <c r="SBG1" s="1755"/>
      <c r="SBH1" s="1755"/>
      <c r="SBI1" s="1755"/>
      <c r="SBJ1" s="1755"/>
      <c r="SBK1" s="1755"/>
      <c r="SBL1" s="1755"/>
      <c r="SBM1" s="1755"/>
      <c r="SBN1" s="1755"/>
      <c r="SBO1" s="1755"/>
      <c r="SBP1" s="1755"/>
      <c r="SBQ1" s="1755"/>
      <c r="SBR1" s="1755"/>
      <c r="SBS1" s="1755"/>
      <c r="SBT1" s="1755"/>
      <c r="SBU1" s="1755"/>
      <c r="SBV1" s="1755"/>
      <c r="SBW1" s="1755"/>
      <c r="SBX1" s="1755"/>
      <c r="SBY1" s="1755"/>
      <c r="SBZ1" s="1755"/>
      <c r="SCA1" s="1755"/>
      <c r="SCB1" s="1755"/>
      <c r="SCC1" s="1755"/>
      <c r="SCD1" s="1755"/>
      <c r="SCE1" s="1755"/>
      <c r="SCF1" s="1755"/>
      <c r="SCG1" s="1755"/>
      <c r="SCH1" s="1755"/>
      <c r="SCI1" s="1755"/>
      <c r="SCJ1" s="1755"/>
      <c r="SCK1" s="1755"/>
      <c r="SCL1" s="1755"/>
      <c r="SCM1" s="1755"/>
      <c r="SCN1" s="1755"/>
      <c r="SCO1" s="1755"/>
      <c r="SCP1" s="1755"/>
      <c r="SCQ1" s="1755"/>
      <c r="SCR1" s="1755"/>
      <c r="SCS1" s="1755"/>
      <c r="SCT1" s="1755"/>
      <c r="SCU1" s="1755"/>
      <c r="SCV1" s="1755"/>
      <c r="SCW1" s="1755"/>
      <c r="SCX1" s="1755"/>
      <c r="SCY1" s="1755"/>
      <c r="SCZ1" s="1755"/>
      <c r="SDA1" s="1755"/>
      <c r="SDB1" s="1755"/>
      <c r="SDC1" s="1755"/>
      <c r="SDD1" s="1755"/>
      <c r="SDE1" s="1755"/>
      <c r="SDF1" s="1755"/>
      <c r="SDG1" s="1755"/>
      <c r="SDH1" s="1755"/>
      <c r="SDI1" s="1755"/>
      <c r="SDJ1" s="1755"/>
      <c r="SDK1" s="1755"/>
      <c r="SDL1" s="1755"/>
      <c r="SDM1" s="1755"/>
      <c r="SDN1" s="1755"/>
      <c r="SDO1" s="1755"/>
      <c r="SDP1" s="1755"/>
      <c r="SDQ1" s="1755"/>
      <c r="SDR1" s="1755"/>
      <c r="SDS1" s="1755"/>
      <c r="SDT1" s="1755"/>
      <c r="SDU1" s="1755"/>
      <c r="SDV1" s="1755"/>
      <c r="SDW1" s="1755"/>
      <c r="SDX1" s="1755"/>
      <c r="SDY1" s="1755"/>
      <c r="SDZ1" s="1755"/>
      <c r="SEA1" s="1755"/>
      <c r="SEB1" s="1755"/>
      <c r="SEC1" s="1755"/>
      <c r="SED1" s="1755"/>
      <c r="SEE1" s="1755"/>
      <c r="SEF1" s="1755"/>
      <c r="SEG1" s="1755"/>
      <c r="SEH1" s="1755"/>
      <c r="SEI1" s="1755"/>
      <c r="SEJ1" s="1755"/>
      <c r="SEK1" s="1755"/>
      <c r="SEL1" s="1755"/>
      <c r="SEM1" s="1755"/>
      <c r="SEN1" s="1755"/>
      <c r="SEO1" s="1755"/>
      <c r="SEP1" s="1755"/>
      <c r="SEQ1" s="1755"/>
      <c r="SER1" s="1755"/>
      <c r="SES1" s="1755"/>
      <c r="SET1" s="1755"/>
      <c r="SEU1" s="1755"/>
      <c r="SEV1" s="1755"/>
      <c r="SEW1" s="1755"/>
      <c r="SEX1" s="1755"/>
      <c r="SEY1" s="1755"/>
      <c r="SEZ1" s="1755"/>
      <c r="SFA1" s="1755"/>
      <c r="SFB1" s="1755"/>
      <c r="SFC1" s="1755"/>
      <c r="SFD1" s="1755"/>
      <c r="SFE1" s="1755"/>
      <c r="SFF1" s="1755"/>
      <c r="SFG1" s="1755"/>
      <c r="SFH1" s="1755"/>
      <c r="SFI1" s="1755"/>
      <c r="SFJ1" s="1755"/>
      <c r="SFK1" s="1755"/>
      <c r="SFL1" s="1755"/>
      <c r="SFM1" s="1755"/>
      <c r="SFN1" s="1755"/>
      <c r="SFO1" s="1755"/>
      <c r="SFP1" s="1755"/>
      <c r="SFQ1" s="1755"/>
      <c r="SFR1" s="1755"/>
      <c r="SFS1" s="1755"/>
      <c r="SFT1" s="1755"/>
      <c r="SFU1" s="1755"/>
      <c r="SFV1" s="1755"/>
      <c r="SFW1" s="1755"/>
      <c r="SFX1" s="1755"/>
      <c r="SFY1" s="1755"/>
      <c r="SFZ1" s="1755"/>
      <c r="SGA1" s="1755"/>
      <c r="SGB1" s="1755"/>
      <c r="SGC1" s="1755"/>
      <c r="SGD1" s="1755"/>
      <c r="SGE1" s="1755"/>
      <c r="SGF1" s="1755"/>
      <c r="SGG1" s="1755"/>
      <c r="SGH1" s="1755"/>
      <c r="SGI1" s="1755"/>
      <c r="SGJ1" s="1755"/>
      <c r="SGK1" s="1755"/>
      <c r="SGL1" s="1755"/>
      <c r="SGM1" s="1755"/>
      <c r="SGN1" s="1755"/>
      <c r="SGO1" s="1755"/>
      <c r="SGP1" s="1755"/>
      <c r="SGQ1" s="1755"/>
      <c r="SGR1" s="1755"/>
      <c r="SGS1" s="1755"/>
      <c r="SGT1" s="1755"/>
      <c r="SGU1" s="1755"/>
      <c r="SGV1" s="1755"/>
      <c r="SGW1" s="1755"/>
      <c r="SGX1" s="1755"/>
      <c r="SGY1" s="1755"/>
      <c r="SGZ1" s="1755"/>
      <c r="SHA1" s="1755"/>
      <c r="SHB1" s="1755"/>
      <c r="SHC1" s="1755"/>
      <c r="SHD1" s="1755"/>
      <c r="SHE1" s="1755"/>
      <c r="SHF1" s="1755"/>
      <c r="SHG1" s="1755"/>
      <c r="SHH1" s="1755"/>
      <c r="SHI1" s="1755"/>
      <c r="SHJ1" s="1755"/>
      <c r="SHK1" s="1755"/>
      <c r="SHL1" s="1755"/>
      <c r="SHM1" s="1755"/>
      <c r="SHN1" s="1755"/>
      <c r="SHO1" s="1755"/>
      <c r="SHP1" s="1755"/>
      <c r="SHQ1" s="1755"/>
      <c r="SHR1" s="1755"/>
      <c r="SHS1" s="1755"/>
      <c r="SHT1" s="1755"/>
      <c r="SHU1" s="1755"/>
      <c r="SHV1" s="1755"/>
      <c r="SHW1" s="1755"/>
      <c r="SHX1" s="1755"/>
      <c r="SHY1" s="1755"/>
      <c r="SHZ1" s="1755"/>
      <c r="SIA1" s="1755"/>
      <c r="SIB1" s="1755"/>
      <c r="SIC1" s="1755"/>
      <c r="SID1" s="1755"/>
      <c r="SIE1" s="1755"/>
      <c r="SIF1" s="1755"/>
      <c r="SIG1" s="1755"/>
      <c r="SIH1" s="1755"/>
      <c r="SII1" s="1755"/>
      <c r="SIJ1" s="1755"/>
      <c r="SIK1" s="1755"/>
      <c r="SIL1" s="1755"/>
      <c r="SIM1" s="1755"/>
      <c r="SIN1" s="1755"/>
      <c r="SIO1" s="1755"/>
      <c r="SIP1" s="1755"/>
      <c r="SIQ1" s="1755"/>
      <c r="SIR1" s="1755"/>
      <c r="SIS1" s="1755"/>
      <c r="SIT1" s="1755"/>
      <c r="SIU1" s="1755"/>
      <c r="SIV1" s="1755"/>
      <c r="SIW1" s="1755"/>
      <c r="SIX1" s="1755"/>
      <c r="SIY1" s="1755"/>
      <c r="SIZ1" s="1755"/>
      <c r="SJA1" s="1755"/>
      <c r="SJB1" s="1755"/>
      <c r="SJC1" s="1755"/>
      <c r="SJD1" s="1755"/>
      <c r="SJE1" s="1755"/>
      <c r="SJF1" s="1755"/>
      <c r="SJG1" s="1755"/>
      <c r="SJH1" s="1755"/>
      <c r="SJI1" s="1755"/>
      <c r="SJJ1" s="1755"/>
      <c r="SJK1" s="1755"/>
      <c r="SJL1" s="1755"/>
      <c r="SJM1" s="1755"/>
      <c r="SJN1" s="1755"/>
      <c r="SJO1" s="1755"/>
      <c r="SJP1" s="1755"/>
      <c r="SJQ1" s="1755"/>
      <c r="SJR1" s="1755"/>
      <c r="SJS1" s="1755"/>
      <c r="SJT1" s="1755"/>
      <c r="SJU1" s="1755"/>
      <c r="SJV1" s="1755"/>
      <c r="SJW1" s="1755"/>
      <c r="SJX1" s="1755"/>
      <c r="SJY1" s="1755"/>
      <c r="SJZ1" s="1755"/>
      <c r="SKA1" s="1755"/>
      <c r="SKB1" s="1755"/>
      <c r="SKC1" s="1755"/>
      <c r="SKD1" s="1755"/>
      <c r="SKE1" s="1755"/>
      <c r="SKF1" s="1755"/>
      <c r="SKG1" s="1755"/>
      <c r="SKH1" s="1755"/>
      <c r="SKI1" s="1755"/>
      <c r="SKJ1" s="1755"/>
      <c r="SKK1" s="1755"/>
      <c r="SKL1" s="1755"/>
      <c r="SKM1" s="1755"/>
      <c r="SKN1" s="1755"/>
      <c r="SKO1" s="1755"/>
      <c r="SKP1" s="1755"/>
      <c r="SKQ1" s="1755"/>
      <c r="SKR1" s="1755"/>
      <c r="SKS1" s="1755"/>
      <c r="SKT1" s="1755"/>
      <c r="SKU1" s="1755"/>
      <c r="SKV1" s="1755"/>
      <c r="SKW1" s="1755"/>
      <c r="SKX1" s="1755"/>
      <c r="SKY1" s="1755"/>
      <c r="SKZ1" s="1755"/>
      <c r="SLA1" s="1755"/>
      <c r="SLB1" s="1755"/>
      <c r="SLC1" s="1755"/>
      <c r="SLD1" s="1755"/>
      <c r="SLE1" s="1755"/>
      <c r="SLF1" s="1755"/>
      <c r="SLG1" s="1755"/>
      <c r="SLH1" s="1755"/>
      <c r="SLI1" s="1755"/>
      <c r="SLJ1" s="1755"/>
      <c r="SLK1" s="1755"/>
      <c r="SLL1" s="1755"/>
      <c r="SLM1" s="1755"/>
      <c r="SLN1" s="1755"/>
      <c r="SLO1" s="1755"/>
      <c r="SLP1" s="1755"/>
      <c r="SLQ1" s="1755"/>
      <c r="SLR1" s="1755"/>
      <c r="SLS1" s="1755"/>
      <c r="SLT1" s="1755"/>
      <c r="SLU1" s="1755"/>
      <c r="SLV1" s="1755"/>
      <c r="SLW1" s="1755"/>
      <c r="SLX1" s="1755"/>
      <c r="SLY1" s="1755"/>
      <c r="SLZ1" s="1755"/>
      <c r="SMA1" s="1755"/>
      <c r="SMB1" s="1755"/>
      <c r="SMC1" s="1755"/>
      <c r="SMD1" s="1755"/>
      <c r="SME1" s="1755"/>
      <c r="SMF1" s="1755"/>
      <c r="SMG1" s="1755"/>
      <c r="SMH1" s="1755"/>
      <c r="SMI1" s="1755"/>
      <c r="SMJ1" s="1755"/>
      <c r="SMK1" s="1755"/>
      <c r="SML1" s="1755"/>
      <c r="SMM1" s="1755"/>
      <c r="SMN1" s="1755"/>
      <c r="SMO1" s="1755"/>
      <c r="SMP1" s="1755"/>
      <c r="SMQ1" s="1755"/>
      <c r="SMR1" s="1755"/>
      <c r="SMS1" s="1755"/>
      <c r="SMT1" s="1755"/>
      <c r="SMU1" s="1755"/>
      <c r="SMV1" s="1755"/>
      <c r="SMW1" s="1755"/>
      <c r="SMX1" s="1755"/>
      <c r="SMY1" s="1755"/>
      <c r="SMZ1" s="1755"/>
      <c r="SNA1" s="1755"/>
      <c r="SNB1" s="1755"/>
      <c r="SNC1" s="1755"/>
      <c r="SND1" s="1755"/>
      <c r="SNE1" s="1755"/>
      <c r="SNF1" s="1755"/>
      <c r="SNG1" s="1755"/>
      <c r="SNH1" s="1755"/>
      <c r="SNI1" s="1755"/>
      <c r="SNJ1" s="1755"/>
      <c r="SNK1" s="1755"/>
      <c r="SNL1" s="1755"/>
      <c r="SNM1" s="1755"/>
      <c r="SNN1" s="1755"/>
      <c r="SNO1" s="1755"/>
      <c r="SNP1" s="1755"/>
      <c r="SNQ1" s="1755"/>
      <c r="SNR1" s="1755"/>
      <c r="SNS1" s="1755"/>
      <c r="SNT1" s="1755"/>
      <c r="SNU1" s="1755"/>
      <c r="SNV1" s="1755"/>
      <c r="SNW1" s="1755"/>
      <c r="SNX1" s="1755"/>
      <c r="SNY1" s="1755"/>
      <c r="SNZ1" s="1755"/>
      <c r="SOA1" s="1755"/>
      <c r="SOB1" s="1755"/>
      <c r="SOC1" s="1755"/>
      <c r="SOD1" s="1755"/>
      <c r="SOE1" s="1755"/>
      <c r="SOF1" s="1755"/>
      <c r="SOG1" s="1755"/>
      <c r="SOH1" s="1755"/>
      <c r="SOI1" s="1755"/>
      <c r="SOJ1" s="1755"/>
      <c r="SOK1" s="1755"/>
      <c r="SOL1" s="1755"/>
      <c r="SOM1" s="1755"/>
      <c r="SON1" s="1755"/>
      <c r="SOO1" s="1755"/>
      <c r="SOP1" s="1755"/>
      <c r="SOQ1" s="1755"/>
      <c r="SOR1" s="1755"/>
      <c r="SOS1" s="1755"/>
      <c r="SOT1" s="1755"/>
      <c r="SOU1" s="1755"/>
      <c r="SOV1" s="1755"/>
      <c r="SOW1" s="1755"/>
      <c r="SOX1" s="1755"/>
      <c r="SOY1" s="1755"/>
      <c r="SOZ1" s="1755"/>
      <c r="SPA1" s="1755"/>
      <c r="SPB1" s="1755"/>
      <c r="SPC1" s="1755"/>
      <c r="SPD1" s="1755"/>
      <c r="SPE1" s="1755"/>
      <c r="SPF1" s="1755"/>
      <c r="SPG1" s="1755"/>
      <c r="SPH1" s="1755"/>
      <c r="SPI1" s="1755"/>
      <c r="SPJ1" s="1755"/>
      <c r="SPK1" s="1755"/>
      <c r="SPL1" s="1755"/>
      <c r="SPM1" s="1755"/>
      <c r="SPN1" s="1755"/>
      <c r="SPO1" s="1755"/>
      <c r="SPP1" s="1755"/>
      <c r="SPQ1" s="1755"/>
      <c r="SPR1" s="1755"/>
      <c r="SPS1" s="1755"/>
      <c r="SPT1" s="1755"/>
      <c r="SPU1" s="1755"/>
      <c r="SPV1" s="1755"/>
      <c r="SPW1" s="1755"/>
      <c r="SPX1" s="1755"/>
      <c r="SPY1" s="1755"/>
      <c r="SPZ1" s="1755"/>
      <c r="SQA1" s="1755"/>
      <c r="SQB1" s="1755"/>
      <c r="SQC1" s="1755"/>
      <c r="SQD1" s="1755"/>
      <c r="SQE1" s="1755"/>
      <c r="SQF1" s="1755"/>
      <c r="SQG1" s="1755"/>
      <c r="SQH1" s="1755"/>
      <c r="SQI1" s="1755"/>
      <c r="SQJ1" s="1755"/>
      <c r="SQK1" s="1755"/>
      <c r="SQL1" s="1755"/>
      <c r="SQM1" s="1755"/>
      <c r="SQN1" s="1755"/>
      <c r="SQO1" s="1755"/>
      <c r="SQP1" s="1755"/>
      <c r="SQQ1" s="1755"/>
      <c r="SQR1" s="1755"/>
      <c r="SQS1" s="1755"/>
      <c r="SQT1" s="1755"/>
      <c r="SQU1" s="1755"/>
      <c r="SQV1" s="1755"/>
      <c r="SQW1" s="1755"/>
      <c r="SQX1" s="1755"/>
      <c r="SQY1" s="1755"/>
      <c r="SQZ1" s="1755"/>
      <c r="SRA1" s="1755"/>
      <c r="SRB1" s="1755"/>
      <c r="SRC1" s="1755"/>
      <c r="SRD1" s="1755"/>
      <c r="SRE1" s="1755"/>
      <c r="SRF1" s="1755"/>
      <c r="SRG1" s="1755"/>
      <c r="SRH1" s="1755"/>
      <c r="SRI1" s="1755"/>
      <c r="SRJ1" s="1755"/>
      <c r="SRK1" s="1755"/>
      <c r="SRL1" s="1755"/>
      <c r="SRM1" s="1755"/>
      <c r="SRN1" s="1755"/>
      <c r="SRO1" s="1755"/>
      <c r="SRP1" s="1755"/>
      <c r="SRQ1" s="1755"/>
      <c r="SRR1" s="1755"/>
      <c r="SRS1" s="1755"/>
      <c r="SRT1" s="1755"/>
      <c r="SRU1" s="1755"/>
      <c r="SRV1" s="1755"/>
      <c r="SRW1" s="1755"/>
      <c r="SRX1" s="1755"/>
      <c r="SRY1" s="1755"/>
      <c r="SRZ1" s="1755"/>
      <c r="SSA1" s="1755"/>
      <c r="SSB1" s="1755"/>
      <c r="SSC1" s="1755"/>
      <c r="SSD1" s="1755"/>
      <c r="SSE1" s="1755"/>
      <c r="SSF1" s="1755"/>
      <c r="SSG1" s="1755"/>
      <c r="SSH1" s="1755"/>
      <c r="SSI1" s="1755"/>
      <c r="SSJ1" s="1755"/>
      <c r="SSK1" s="1755"/>
      <c r="SSL1" s="1755"/>
      <c r="SSM1" s="1755"/>
      <c r="SSN1" s="1755"/>
      <c r="SSO1" s="1755"/>
      <c r="SSP1" s="1755"/>
      <c r="SSQ1" s="1755"/>
      <c r="SSR1" s="1755"/>
      <c r="SSS1" s="1755"/>
      <c r="SST1" s="1755"/>
      <c r="SSU1" s="1755"/>
      <c r="SSV1" s="1755"/>
      <c r="SSW1" s="1755"/>
      <c r="SSX1" s="1755"/>
      <c r="SSY1" s="1755"/>
      <c r="SSZ1" s="1755"/>
      <c r="STA1" s="1755"/>
      <c r="STB1" s="1755"/>
      <c r="STC1" s="1755"/>
      <c r="STD1" s="1755"/>
      <c r="STE1" s="1755"/>
      <c r="STF1" s="1755"/>
      <c r="STG1" s="1755"/>
      <c r="STH1" s="1755"/>
      <c r="STI1" s="1755"/>
      <c r="STJ1" s="1755"/>
      <c r="STK1" s="1755"/>
      <c r="STL1" s="1755"/>
      <c r="STM1" s="1755"/>
      <c r="STN1" s="1755"/>
      <c r="STO1" s="1755"/>
      <c r="STP1" s="1755"/>
      <c r="STQ1" s="1755"/>
      <c r="STR1" s="1755"/>
      <c r="STS1" s="1755"/>
      <c r="STT1" s="1755"/>
      <c r="STU1" s="1755"/>
      <c r="STV1" s="1755"/>
      <c r="STW1" s="1755"/>
      <c r="STX1" s="1755"/>
      <c r="STY1" s="1755"/>
      <c r="STZ1" s="1755"/>
      <c r="SUA1" s="1755"/>
      <c r="SUB1" s="1755"/>
      <c r="SUC1" s="1755"/>
      <c r="SUD1" s="1755"/>
      <c r="SUE1" s="1755"/>
      <c r="SUF1" s="1755"/>
      <c r="SUG1" s="1755"/>
      <c r="SUH1" s="1755"/>
      <c r="SUI1" s="1755"/>
      <c r="SUJ1" s="1755"/>
      <c r="SUK1" s="1755"/>
      <c r="SUL1" s="1755"/>
      <c r="SUM1" s="1755"/>
      <c r="SUN1" s="1755"/>
      <c r="SUO1" s="1755"/>
      <c r="SUP1" s="1755"/>
      <c r="SUQ1" s="1755"/>
      <c r="SUR1" s="1755"/>
      <c r="SUS1" s="1755"/>
      <c r="SUT1" s="1755"/>
      <c r="SUU1" s="1755"/>
      <c r="SUV1" s="1755"/>
      <c r="SUW1" s="1755"/>
      <c r="SUX1" s="1755"/>
      <c r="SUY1" s="1755"/>
      <c r="SUZ1" s="1755"/>
      <c r="SVA1" s="1755"/>
      <c r="SVB1" s="1755"/>
      <c r="SVC1" s="1755"/>
      <c r="SVD1" s="1755"/>
      <c r="SVE1" s="1755"/>
      <c r="SVF1" s="1755"/>
      <c r="SVG1" s="1755"/>
      <c r="SVH1" s="1755"/>
      <c r="SVI1" s="1755"/>
      <c r="SVJ1" s="1755"/>
      <c r="SVK1" s="1755"/>
      <c r="SVL1" s="1755"/>
      <c r="SVM1" s="1755"/>
      <c r="SVN1" s="1755"/>
      <c r="SVO1" s="1755"/>
      <c r="SVP1" s="1755"/>
      <c r="SVQ1" s="1755"/>
      <c r="SVR1" s="1755"/>
      <c r="SVS1" s="1755"/>
      <c r="SVT1" s="1755"/>
      <c r="SVU1" s="1755"/>
      <c r="SVV1" s="1755"/>
      <c r="SVW1" s="1755"/>
      <c r="SVX1" s="1755"/>
      <c r="SVY1" s="1755"/>
      <c r="SVZ1" s="1755"/>
      <c r="SWA1" s="1755"/>
      <c r="SWB1" s="1755"/>
      <c r="SWC1" s="1755"/>
      <c r="SWD1" s="1755"/>
      <c r="SWE1" s="1755"/>
      <c r="SWF1" s="1755"/>
      <c r="SWG1" s="1755"/>
      <c r="SWH1" s="1755"/>
      <c r="SWI1" s="1755"/>
      <c r="SWJ1" s="1755"/>
      <c r="SWK1" s="1755"/>
      <c r="SWL1" s="1755"/>
      <c r="SWM1" s="1755"/>
      <c r="SWN1" s="1755"/>
      <c r="SWO1" s="1755"/>
      <c r="SWP1" s="1755"/>
      <c r="SWQ1" s="1755"/>
      <c r="SWR1" s="1755"/>
      <c r="SWS1" s="1755"/>
      <c r="SWT1" s="1755"/>
      <c r="SWU1" s="1755"/>
      <c r="SWV1" s="1755"/>
      <c r="SWW1" s="1755"/>
      <c r="SWX1" s="1755"/>
      <c r="SWY1" s="1755"/>
      <c r="SWZ1" s="1755"/>
      <c r="SXA1" s="1755"/>
      <c r="SXB1" s="1755"/>
      <c r="SXC1" s="1755"/>
      <c r="SXD1" s="1755"/>
      <c r="SXE1" s="1755"/>
      <c r="SXF1" s="1755"/>
      <c r="SXG1" s="1755"/>
      <c r="SXH1" s="1755"/>
      <c r="SXI1" s="1755"/>
      <c r="SXJ1" s="1755"/>
      <c r="SXK1" s="1755"/>
      <c r="SXL1" s="1755"/>
      <c r="SXM1" s="1755"/>
      <c r="SXN1" s="1755"/>
      <c r="SXO1" s="1755"/>
      <c r="SXP1" s="1755"/>
      <c r="SXQ1" s="1755"/>
      <c r="SXR1" s="1755"/>
      <c r="SXS1" s="1755"/>
      <c r="SXT1" s="1755"/>
      <c r="SXU1" s="1755"/>
      <c r="SXV1" s="1755"/>
      <c r="SXW1" s="1755"/>
      <c r="SXX1" s="1755"/>
      <c r="SXY1" s="1755"/>
      <c r="SXZ1" s="1755"/>
      <c r="SYA1" s="1755"/>
      <c r="SYB1" s="1755"/>
      <c r="SYC1" s="1755"/>
      <c r="SYD1" s="1755"/>
      <c r="SYE1" s="1755"/>
      <c r="SYF1" s="1755"/>
      <c r="SYG1" s="1755"/>
      <c r="SYH1" s="1755"/>
      <c r="SYI1" s="1755"/>
      <c r="SYJ1" s="1755"/>
      <c r="SYK1" s="1755"/>
      <c r="SYL1" s="1755"/>
      <c r="SYM1" s="1755"/>
      <c r="SYN1" s="1755"/>
      <c r="SYO1" s="1755"/>
      <c r="SYP1" s="1755"/>
      <c r="SYQ1" s="1755"/>
      <c r="SYR1" s="1755"/>
      <c r="SYS1" s="1755"/>
      <c r="SYT1" s="1755"/>
      <c r="SYU1" s="1755"/>
      <c r="SYV1" s="1755"/>
      <c r="SYW1" s="1755"/>
      <c r="SYX1" s="1755"/>
      <c r="SYY1" s="1755"/>
      <c r="SYZ1" s="1755"/>
      <c r="SZA1" s="1755"/>
      <c r="SZB1" s="1755"/>
      <c r="SZC1" s="1755"/>
      <c r="SZD1" s="1755"/>
      <c r="SZE1" s="1755"/>
      <c r="SZF1" s="1755"/>
      <c r="SZG1" s="1755"/>
      <c r="SZH1" s="1755"/>
      <c r="SZI1" s="1755"/>
      <c r="SZJ1" s="1755"/>
      <c r="SZK1" s="1755"/>
      <c r="SZL1" s="1755"/>
      <c r="SZM1" s="1755"/>
      <c r="SZN1" s="1755"/>
      <c r="SZO1" s="1755"/>
      <c r="SZP1" s="1755"/>
      <c r="SZQ1" s="1755"/>
      <c r="SZR1" s="1755"/>
      <c r="SZS1" s="1755"/>
      <c r="SZT1" s="1755"/>
      <c r="SZU1" s="1755"/>
      <c r="SZV1" s="1755"/>
      <c r="SZW1" s="1755"/>
      <c r="SZX1" s="1755"/>
      <c r="SZY1" s="1755"/>
      <c r="SZZ1" s="1755"/>
      <c r="TAA1" s="1755"/>
      <c r="TAB1" s="1755"/>
      <c r="TAC1" s="1755"/>
      <c r="TAD1" s="1755"/>
      <c r="TAE1" s="1755"/>
      <c r="TAF1" s="1755"/>
      <c r="TAG1" s="1755"/>
      <c r="TAH1" s="1755"/>
      <c r="TAI1" s="1755"/>
      <c r="TAJ1" s="1755"/>
      <c r="TAK1" s="1755"/>
      <c r="TAL1" s="1755"/>
      <c r="TAM1" s="1755"/>
      <c r="TAN1" s="1755"/>
      <c r="TAO1" s="1755"/>
      <c r="TAP1" s="1755"/>
      <c r="TAQ1" s="1755"/>
      <c r="TAR1" s="1755"/>
      <c r="TAS1" s="1755"/>
      <c r="TAT1" s="1755"/>
      <c r="TAU1" s="1755"/>
      <c r="TAV1" s="1755"/>
      <c r="TAW1" s="1755"/>
      <c r="TAX1" s="1755"/>
      <c r="TAY1" s="1755"/>
      <c r="TAZ1" s="1755"/>
      <c r="TBA1" s="1755"/>
      <c r="TBB1" s="1755"/>
      <c r="TBC1" s="1755"/>
      <c r="TBD1" s="1755"/>
      <c r="TBE1" s="1755"/>
      <c r="TBF1" s="1755"/>
      <c r="TBG1" s="1755"/>
      <c r="TBH1" s="1755"/>
      <c r="TBI1" s="1755"/>
      <c r="TBJ1" s="1755"/>
      <c r="TBK1" s="1755"/>
      <c r="TBL1" s="1755"/>
      <c r="TBM1" s="1755"/>
      <c r="TBN1" s="1755"/>
      <c r="TBO1" s="1755"/>
      <c r="TBP1" s="1755"/>
      <c r="TBQ1" s="1755"/>
      <c r="TBR1" s="1755"/>
      <c r="TBS1" s="1755"/>
      <c r="TBT1" s="1755"/>
      <c r="TBU1" s="1755"/>
      <c r="TBV1" s="1755"/>
      <c r="TBW1" s="1755"/>
      <c r="TBX1" s="1755"/>
      <c r="TBY1" s="1755"/>
      <c r="TBZ1" s="1755"/>
      <c r="TCA1" s="1755"/>
      <c r="TCB1" s="1755"/>
      <c r="TCC1" s="1755"/>
      <c r="TCD1" s="1755"/>
      <c r="TCE1" s="1755"/>
      <c r="TCF1" s="1755"/>
      <c r="TCG1" s="1755"/>
      <c r="TCH1" s="1755"/>
      <c r="TCI1" s="1755"/>
      <c r="TCJ1" s="1755"/>
      <c r="TCK1" s="1755"/>
      <c r="TCL1" s="1755"/>
      <c r="TCM1" s="1755"/>
      <c r="TCN1" s="1755"/>
      <c r="TCO1" s="1755"/>
      <c r="TCP1" s="1755"/>
      <c r="TCQ1" s="1755"/>
      <c r="TCR1" s="1755"/>
      <c r="TCS1" s="1755"/>
      <c r="TCT1" s="1755"/>
      <c r="TCU1" s="1755"/>
      <c r="TCV1" s="1755"/>
      <c r="TCW1" s="1755"/>
      <c r="TCX1" s="1755"/>
      <c r="TCY1" s="1755"/>
      <c r="TCZ1" s="1755"/>
      <c r="TDA1" s="1755"/>
      <c r="TDB1" s="1755"/>
      <c r="TDC1" s="1755"/>
      <c r="TDD1" s="1755"/>
      <c r="TDE1" s="1755"/>
      <c r="TDF1" s="1755"/>
      <c r="TDG1" s="1755"/>
      <c r="TDH1" s="1755"/>
      <c r="TDI1" s="1755"/>
      <c r="TDJ1" s="1755"/>
      <c r="TDK1" s="1755"/>
      <c r="TDL1" s="1755"/>
      <c r="TDM1" s="1755"/>
      <c r="TDN1" s="1755"/>
      <c r="TDO1" s="1755"/>
      <c r="TDP1" s="1755"/>
      <c r="TDQ1" s="1755"/>
      <c r="TDR1" s="1755"/>
      <c r="TDS1" s="1755"/>
      <c r="TDT1" s="1755"/>
      <c r="TDU1" s="1755"/>
      <c r="TDV1" s="1755"/>
      <c r="TDW1" s="1755"/>
      <c r="TDX1" s="1755"/>
      <c r="TDY1" s="1755"/>
      <c r="TDZ1" s="1755"/>
      <c r="TEA1" s="1755"/>
      <c r="TEB1" s="1755"/>
      <c r="TEC1" s="1755"/>
      <c r="TED1" s="1755"/>
      <c r="TEE1" s="1755"/>
      <c r="TEF1" s="1755"/>
      <c r="TEG1" s="1755"/>
      <c r="TEH1" s="1755"/>
      <c r="TEI1" s="1755"/>
      <c r="TEJ1" s="1755"/>
      <c r="TEK1" s="1755"/>
      <c r="TEL1" s="1755"/>
      <c r="TEM1" s="1755"/>
      <c r="TEN1" s="1755"/>
      <c r="TEO1" s="1755"/>
      <c r="TEP1" s="1755"/>
      <c r="TEQ1" s="1755"/>
      <c r="TER1" s="1755"/>
      <c r="TES1" s="1755"/>
      <c r="TET1" s="1755"/>
      <c r="TEU1" s="1755"/>
      <c r="TEV1" s="1755"/>
      <c r="TEW1" s="1755"/>
      <c r="TEX1" s="1755"/>
      <c r="TEY1" s="1755"/>
      <c r="TEZ1" s="1755"/>
      <c r="TFA1" s="1755"/>
      <c r="TFB1" s="1755"/>
      <c r="TFC1" s="1755"/>
      <c r="TFD1" s="1755"/>
      <c r="TFE1" s="1755"/>
      <c r="TFF1" s="1755"/>
      <c r="TFG1" s="1755"/>
      <c r="TFH1" s="1755"/>
      <c r="TFI1" s="1755"/>
      <c r="TFJ1" s="1755"/>
      <c r="TFK1" s="1755"/>
      <c r="TFL1" s="1755"/>
      <c r="TFM1" s="1755"/>
      <c r="TFN1" s="1755"/>
      <c r="TFO1" s="1755"/>
      <c r="TFP1" s="1755"/>
      <c r="TFQ1" s="1755"/>
      <c r="TFR1" s="1755"/>
      <c r="TFS1" s="1755"/>
      <c r="TFT1" s="1755"/>
      <c r="TFU1" s="1755"/>
      <c r="TFV1" s="1755"/>
      <c r="TFW1" s="1755"/>
      <c r="TFX1" s="1755"/>
      <c r="TFY1" s="1755"/>
      <c r="TFZ1" s="1755"/>
      <c r="TGA1" s="1755"/>
      <c r="TGB1" s="1755"/>
      <c r="TGC1" s="1755"/>
      <c r="TGD1" s="1755"/>
      <c r="TGE1" s="1755"/>
      <c r="TGF1" s="1755"/>
      <c r="TGG1" s="1755"/>
      <c r="TGH1" s="1755"/>
      <c r="TGI1" s="1755"/>
      <c r="TGJ1" s="1755"/>
      <c r="TGK1" s="1755"/>
      <c r="TGL1" s="1755"/>
      <c r="TGM1" s="1755"/>
      <c r="TGN1" s="1755"/>
      <c r="TGO1" s="1755"/>
      <c r="TGP1" s="1755"/>
      <c r="TGQ1" s="1755"/>
      <c r="TGR1" s="1755"/>
      <c r="TGS1" s="1755"/>
      <c r="TGT1" s="1755"/>
      <c r="TGU1" s="1755"/>
      <c r="TGV1" s="1755"/>
      <c r="TGW1" s="1755"/>
      <c r="TGX1" s="1755"/>
      <c r="TGY1" s="1755"/>
      <c r="TGZ1" s="1755"/>
      <c r="THA1" s="1755"/>
      <c r="THB1" s="1755"/>
      <c r="THC1" s="1755"/>
      <c r="THD1" s="1755"/>
      <c r="THE1" s="1755"/>
      <c r="THF1" s="1755"/>
      <c r="THG1" s="1755"/>
      <c r="THH1" s="1755"/>
      <c r="THI1" s="1755"/>
      <c r="THJ1" s="1755"/>
      <c r="THK1" s="1755"/>
      <c r="THL1" s="1755"/>
      <c r="THM1" s="1755"/>
      <c r="THN1" s="1755"/>
      <c r="THO1" s="1755"/>
      <c r="THP1" s="1755"/>
      <c r="THQ1" s="1755"/>
      <c r="THR1" s="1755"/>
      <c r="THS1" s="1755"/>
      <c r="THT1" s="1755"/>
      <c r="THU1" s="1755"/>
      <c r="THV1" s="1755"/>
      <c r="THW1" s="1755"/>
      <c r="THX1" s="1755"/>
      <c r="THY1" s="1755"/>
      <c r="THZ1" s="1755"/>
      <c r="TIA1" s="1755"/>
      <c r="TIB1" s="1755"/>
      <c r="TIC1" s="1755"/>
      <c r="TID1" s="1755"/>
      <c r="TIE1" s="1755"/>
      <c r="TIF1" s="1755"/>
      <c r="TIG1" s="1755"/>
      <c r="TIH1" s="1755"/>
      <c r="TII1" s="1755"/>
      <c r="TIJ1" s="1755"/>
      <c r="TIK1" s="1755"/>
      <c r="TIL1" s="1755"/>
      <c r="TIM1" s="1755"/>
      <c r="TIN1" s="1755"/>
      <c r="TIO1" s="1755"/>
      <c r="TIP1" s="1755"/>
      <c r="TIQ1" s="1755"/>
      <c r="TIR1" s="1755"/>
      <c r="TIS1" s="1755"/>
      <c r="TIT1" s="1755"/>
      <c r="TIU1" s="1755"/>
      <c r="TIV1" s="1755"/>
      <c r="TIW1" s="1755"/>
      <c r="TIX1" s="1755"/>
      <c r="TIY1" s="1755"/>
      <c r="TIZ1" s="1755"/>
      <c r="TJA1" s="1755"/>
      <c r="TJB1" s="1755"/>
      <c r="TJC1" s="1755"/>
      <c r="TJD1" s="1755"/>
      <c r="TJE1" s="1755"/>
      <c r="TJF1" s="1755"/>
      <c r="TJG1" s="1755"/>
      <c r="TJH1" s="1755"/>
      <c r="TJI1" s="1755"/>
      <c r="TJJ1" s="1755"/>
      <c r="TJK1" s="1755"/>
      <c r="TJL1" s="1755"/>
      <c r="TJM1" s="1755"/>
      <c r="TJN1" s="1755"/>
      <c r="TJO1" s="1755"/>
      <c r="TJP1" s="1755"/>
      <c r="TJQ1" s="1755"/>
      <c r="TJR1" s="1755"/>
      <c r="TJS1" s="1755"/>
      <c r="TJT1" s="1755"/>
      <c r="TJU1" s="1755"/>
      <c r="TJV1" s="1755"/>
      <c r="TJW1" s="1755"/>
      <c r="TJX1" s="1755"/>
      <c r="TJY1" s="1755"/>
      <c r="TJZ1" s="1755"/>
      <c r="TKA1" s="1755"/>
      <c r="TKB1" s="1755"/>
      <c r="TKC1" s="1755"/>
      <c r="TKD1" s="1755"/>
      <c r="TKE1" s="1755"/>
      <c r="TKF1" s="1755"/>
      <c r="TKG1" s="1755"/>
      <c r="TKH1" s="1755"/>
      <c r="TKI1" s="1755"/>
      <c r="TKJ1" s="1755"/>
      <c r="TKK1" s="1755"/>
      <c r="TKL1" s="1755"/>
      <c r="TKM1" s="1755"/>
      <c r="TKN1" s="1755"/>
      <c r="TKO1" s="1755"/>
      <c r="TKP1" s="1755"/>
      <c r="TKQ1" s="1755"/>
      <c r="TKR1" s="1755"/>
      <c r="TKS1" s="1755"/>
      <c r="TKT1" s="1755"/>
      <c r="TKU1" s="1755"/>
      <c r="TKV1" s="1755"/>
      <c r="TKW1" s="1755"/>
      <c r="TKX1" s="1755"/>
      <c r="TKY1" s="1755"/>
      <c r="TKZ1" s="1755"/>
      <c r="TLA1" s="1755"/>
      <c r="TLB1" s="1755"/>
      <c r="TLC1" s="1755"/>
      <c r="TLD1" s="1755"/>
      <c r="TLE1" s="1755"/>
      <c r="TLF1" s="1755"/>
      <c r="TLG1" s="1755"/>
      <c r="TLH1" s="1755"/>
      <c r="TLI1" s="1755"/>
      <c r="TLJ1" s="1755"/>
      <c r="TLK1" s="1755"/>
      <c r="TLL1" s="1755"/>
      <c r="TLM1" s="1755"/>
      <c r="TLN1" s="1755"/>
      <c r="TLO1" s="1755"/>
      <c r="TLP1" s="1755"/>
      <c r="TLQ1" s="1755"/>
      <c r="TLR1" s="1755"/>
      <c r="TLS1" s="1755"/>
      <c r="TLT1" s="1755"/>
      <c r="TLU1" s="1755"/>
      <c r="TLV1" s="1755"/>
      <c r="TLW1" s="1755"/>
      <c r="TLX1" s="1755"/>
      <c r="TLY1" s="1755"/>
      <c r="TLZ1" s="1755"/>
      <c r="TMA1" s="1755"/>
      <c r="TMB1" s="1755"/>
      <c r="TMC1" s="1755"/>
      <c r="TMD1" s="1755"/>
      <c r="TME1" s="1755"/>
      <c r="TMF1" s="1755"/>
      <c r="TMG1" s="1755"/>
      <c r="TMH1" s="1755"/>
      <c r="TMI1" s="1755"/>
      <c r="TMJ1" s="1755"/>
      <c r="TMK1" s="1755"/>
      <c r="TML1" s="1755"/>
      <c r="TMM1" s="1755"/>
      <c r="TMN1" s="1755"/>
      <c r="TMO1" s="1755"/>
      <c r="TMP1" s="1755"/>
      <c r="TMQ1" s="1755"/>
      <c r="TMR1" s="1755"/>
      <c r="TMS1" s="1755"/>
      <c r="TMT1" s="1755"/>
      <c r="TMU1" s="1755"/>
      <c r="TMV1" s="1755"/>
      <c r="TMW1" s="1755"/>
      <c r="TMX1" s="1755"/>
      <c r="TMY1" s="1755"/>
      <c r="TMZ1" s="1755"/>
      <c r="TNA1" s="1755"/>
      <c r="TNB1" s="1755"/>
      <c r="TNC1" s="1755"/>
      <c r="TND1" s="1755"/>
      <c r="TNE1" s="1755"/>
      <c r="TNF1" s="1755"/>
      <c r="TNG1" s="1755"/>
      <c r="TNH1" s="1755"/>
      <c r="TNI1" s="1755"/>
      <c r="TNJ1" s="1755"/>
      <c r="TNK1" s="1755"/>
      <c r="TNL1" s="1755"/>
      <c r="TNM1" s="1755"/>
      <c r="TNN1" s="1755"/>
      <c r="TNO1" s="1755"/>
      <c r="TNP1" s="1755"/>
      <c r="TNQ1" s="1755"/>
      <c r="TNR1" s="1755"/>
      <c r="TNS1" s="1755"/>
      <c r="TNT1" s="1755"/>
      <c r="TNU1" s="1755"/>
      <c r="TNV1" s="1755"/>
      <c r="TNW1" s="1755"/>
      <c r="TNX1" s="1755"/>
      <c r="TNY1" s="1755"/>
      <c r="TNZ1" s="1755"/>
      <c r="TOA1" s="1755"/>
      <c r="TOB1" s="1755"/>
      <c r="TOC1" s="1755"/>
      <c r="TOD1" s="1755"/>
      <c r="TOE1" s="1755"/>
      <c r="TOF1" s="1755"/>
      <c r="TOG1" s="1755"/>
      <c r="TOH1" s="1755"/>
      <c r="TOI1" s="1755"/>
      <c r="TOJ1" s="1755"/>
      <c r="TOK1" s="1755"/>
      <c r="TOL1" s="1755"/>
      <c r="TOM1" s="1755"/>
      <c r="TON1" s="1755"/>
      <c r="TOO1" s="1755"/>
      <c r="TOP1" s="1755"/>
      <c r="TOQ1" s="1755"/>
      <c r="TOR1" s="1755"/>
      <c r="TOS1" s="1755"/>
      <c r="TOT1" s="1755"/>
      <c r="TOU1" s="1755"/>
      <c r="TOV1" s="1755"/>
      <c r="TOW1" s="1755"/>
      <c r="TOX1" s="1755"/>
      <c r="TOY1" s="1755"/>
      <c r="TOZ1" s="1755"/>
      <c r="TPA1" s="1755"/>
      <c r="TPB1" s="1755"/>
      <c r="TPC1" s="1755"/>
      <c r="TPD1" s="1755"/>
      <c r="TPE1" s="1755"/>
      <c r="TPF1" s="1755"/>
      <c r="TPG1" s="1755"/>
      <c r="TPH1" s="1755"/>
      <c r="TPI1" s="1755"/>
      <c r="TPJ1" s="1755"/>
      <c r="TPK1" s="1755"/>
      <c r="TPL1" s="1755"/>
      <c r="TPM1" s="1755"/>
      <c r="TPN1" s="1755"/>
      <c r="TPO1" s="1755"/>
      <c r="TPP1" s="1755"/>
      <c r="TPQ1" s="1755"/>
      <c r="TPR1" s="1755"/>
      <c r="TPS1" s="1755"/>
      <c r="TPT1" s="1755"/>
      <c r="TPU1" s="1755"/>
      <c r="TPV1" s="1755"/>
      <c r="TPW1" s="1755"/>
      <c r="TPX1" s="1755"/>
      <c r="TPY1" s="1755"/>
      <c r="TPZ1" s="1755"/>
      <c r="TQA1" s="1755"/>
      <c r="TQB1" s="1755"/>
      <c r="TQC1" s="1755"/>
      <c r="TQD1" s="1755"/>
      <c r="TQE1" s="1755"/>
      <c r="TQF1" s="1755"/>
      <c r="TQG1" s="1755"/>
      <c r="TQH1" s="1755"/>
      <c r="TQI1" s="1755"/>
      <c r="TQJ1" s="1755"/>
      <c r="TQK1" s="1755"/>
      <c r="TQL1" s="1755"/>
      <c r="TQM1" s="1755"/>
      <c r="TQN1" s="1755"/>
      <c r="TQO1" s="1755"/>
      <c r="TQP1" s="1755"/>
      <c r="TQQ1" s="1755"/>
      <c r="TQR1" s="1755"/>
      <c r="TQS1" s="1755"/>
      <c r="TQT1" s="1755"/>
      <c r="TQU1" s="1755"/>
      <c r="TQV1" s="1755"/>
      <c r="TQW1" s="1755"/>
      <c r="TQX1" s="1755"/>
      <c r="TQY1" s="1755"/>
      <c r="TQZ1" s="1755"/>
      <c r="TRA1" s="1755"/>
      <c r="TRB1" s="1755"/>
      <c r="TRC1" s="1755"/>
      <c r="TRD1" s="1755"/>
      <c r="TRE1" s="1755"/>
      <c r="TRF1" s="1755"/>
      <c r="TRG1" s="1755"/>
      <c r="TRH1" s="1755"/>
      <c r="TRI1" s="1755"/>
      <c r="TRJ1" s="1755"/>
      <c r="TRK1" s="1755"/>
      <c r="TRL1" s="1755"/>
      <c r="TRM1" s="1755"/>
      <c r="TRN1" s="1755"/>
      <c r="TRO1" s="1755"/>
      <c r="TRP1" s="1755"/>
      <c r="TRQ1" s="1755"/>
      <c r="TRR1" s="1755"/>
      <c r="TRS1" s="1755"/>
      <c r="TRT1" s="1755"/>
      <c r="TRU1" s="1755"/>
      <c r="TRV1" s="1755"/>
      <c r="TRW1" s="1755"/>
      <c r="TRX1" s="1755"/>
      <c r="TRY1" s="1755"/>
      <c r="TRZ1" s="1755"/>
      <c r="TSA1" s="1755"/>
      <c r="TSB1" s="1755"/>
      <c r="TSC1" s="1755"/>
      <c r="TSD1" s="1755"/>
      <c r="TSE1" s="1755"/>
      <c r="TSF1" s="1755"/>
      <c r="TSG1" s="1755"/>
      <c r="TSH1" s="1755"/>
      <c r="TSI1" s="1755"/>
      <c r="TSJ1" s="1755"/>
      <c r="TSK1" s="1755"/>
      <c r="TSL1" s="1755"/>
      <c r="TSM1" s="1755"/>
      <c r="TSN1" s="1755"/>
      <c r="TSO1" s="1755"/>
      <c r="TSP1" s="1755"/>
      <c r="TSQ1" s="1755"/>
      <c r="TSR1" s="1755"/>
      <c r="TSS1" s="1755"/>
      <c r="TST1" s="1755"/>
      <c r="TSU1" s="1755"/>
      <c r="TSV1" s="1755"/>
      <c r="TSW1" s="1755"/>
      <c r="TSX1" s="1755"/>
      <c r="TSY1" s="1755"/>
      <c r="TSZ1" s="1755"/>
      <c r="TTA1" s="1755"/>
      <c r="TTB1" s="1755"/>
      <c r="TTC1" s="1755"/>
      <c r="TTD1" s="1755"/>
      <c r="TTE1" s="1755"/>
      <c r="TTF1" s="1755"/>
      <c r="TTG1" s="1755"/>
      <c r="TTH1" s="1755"/>
      <c r="TTI1" s="1755"/>
      <c r="TTJ1" s="1755"/>
      <c r="TTK1" s="1755"/>
      <c r="TTL1" s="1755"/>
      <c r="TTM1" s="1755"/>
      <c r="TTN1" s="1755"/>
      <c r="TTO1" s="1755"/>
      <c r="TTP1" s="1755"/>
      <c r="TTQ1" s="1755"/>
      <c r="TTR1" s="1755"/>
      <c r="TTS1" s="1755"/>
      <c r="TTT1" s="1755"/>
      <c r="TTU1" s="1755"/>
      <c r="TTV1" s="1755"/>
      <c r="TTW1" s="1755"/>
      <c r="TTX1" s="1755"/>
      <c r="TTY1" s="1755"/>
      <c r="TTZ1" s="1755"/>
      <c r="TUA1" s="1755"/>
      <c r="TUB1" s="1755"/>
      <c r="TUC1" s="1755"/>
      <c r="TUD1" s="1755"/>
      <c r="TUE1" s="1755"/>
      <c r="TUF1" s="1755"/>
      <c r="TUG1" s="1755"/>
      <c r="TUH1" s="1755"/>
      <c r="TUI1" s="1755"/>
      <c r="TUJ1" s="1755"/>
      <c r="TUK1" s="1755"/>
      <c r="TUL1" s="1755"/>
      <c r="TUM1" s="1755"/>
      <c r="TUN1" s="1755"/>
      <c r="TUO1" s="1755"/>
      <c r="TUP1" s="1755"/>
      <c r="TUQ1" s="1755"/>
      <c r="TUR1" s="1755"/>
      <c r="TUS1" s="1755"/>
      <c r="TUT1" s="1755"/>
      <c r="TUU1" s="1755"/>
      <c r="TUV1" s="1755"/>
      <c r="TUW1" s="1755"/>
      <c r="TUX1" s="1755"/>
      <c r="TUY1" s="1755"/>
      <c r="TUZ1" s="1755"/>
      <c r="TVA1" s="1755"/>
      <c r="TVB1" s="1755"/>
      <c r="TVC1" s="1755"/>
      <c r="TVD1" s="1755"/>
      <c r="TVE1" s="1755"/>
      <c r="TVF1" s="1755"/>
      <c r="TVG1" s="1755"/>
      <c r="TVH1" s="1755"/>
      <c r="TVI1" s="1755"/>
      <c r="TVJ1" s="1755"/>
      <c r="TVK1" s="1755"/>
      <c r="TVL1" s="1755"/>
      <c r="TVM1" s="1755"/>
      <c r="TVN1" s="1755"/>
      <c r="TVO1" s="1755"/>
      <c r="TVP1" s="1755"/>
      <c r="TVQ1" s="1755"/>
      <c r="TVR1" s="1755"/>
      <c r="TVS1" s="1755"/>
      <c r="TVT1" s="1755"/>
      <c r="TVU1" s="1755"/>
      <c r="TVV1" s="1755"/>
      <c r="TVW1" s="1755"/>
      <c r="TVX1" s="1755"/>
      <c r="TVY1" s="1755"/>
      <c r="TVZ1" s="1755"/>
      <c r="TWA1" s="1755"/>
      <c r="TWB1" s="1755"/>
      <c r="TWC1" s="1755"/>
      <c r="TWD1" s="1755"/>
      <c r="TWE1" s="1755"/>
      <c r="TWF1" s="1755"/>
      <c r="TWG1" s="1755"/>
      <c r="TWH1" s="1755"/>
      <c r="TWI1" s="1755"/>
      <c r="TWJ1" s="1755"/>
      <c r="TWK1" s="1755"/>
      <c r="TWL1" s="1755"/>
      <c r="TWM1" s="1755"/>
      <c r="TWN1" s="1755"/>
      <c r="TWO1" s="1755"/>
      <c r="TWP1" s="1755"/>
      <c r="TWQ1" s="1755"/>
      <c r="TWR1" s="1755"/>
      <c r="TWS1" s="1755"/>
      <c r="TWT1" s="1755"/>
      <c r="TWU1" s="1755"/>
      <c r="TWV1" s="1755"/>
      <c r="TWW1" s="1755"/>
      <c r="TWX1" s="1755"/>
      <c r="TWY1" s="1755"/>
      <c r="TWZ1" s="1755"/>
      <c r="TXA1" s="1755"/>
      <c r="TXB1" s="1755"/>
      <c r="TXC1" s="1755"/>
      <c r="TXD1" s="1755"/>
      <c r="TXE1" s="1755"/>
      <c r="TXF1" s="1755"/>
      <c r="TXG1" s="1755"/>
      <c r="TXH1" s="1755"/>
      <c r="TXI1" s="1755"/>
      <c r="TXJ1" s="1755"/>
      <c r="TXK1" s="1755"/>
      <c r="TXL1" s="1755"/>
      <c r="TXM1" s="1755"/>
      <c r="TXN1" s="1755"/>
      <c r="TXO1" s="1755"/>
      <c r="TXP1" s="1755"/>
      <c r="TXQ1" s="1755"/>
      <c r="TXR1" s="1755"/>
      <c r="TXS1" s="1755"/>
      <c r="TXT1" s="1755"/>
      <c r="TXU1" s="1755"/>
      <c r="TXV1" s="1755"/>
      <c r="TXW1" s="1755"/>
      <c r="TXX1" s="1755"/>
      <c r="TXY1" s="1755"/>
      <c r="TXZ1" s="1755"/>
      <c r="TYA1" s="1755"/>
      <c r="TYB1" s="1755"/>
      <c r="TYC1" s="1755"/>
      <c r="TYD1" s="1755"/>
      <c r="TYE1" s="1755"/>
      <c r="TYF1" s="1755"/>
      <c r="TYG1" s="1755"/>
      <c r="TYH1" s="1755"/>
      <c r="TYI1" s="1755"/>
      <c r="TYJ1" s="1755"/>
      <c r="TYK1" s="1755"/>
      <c r="TYL1" s="1755"/>
      <c r="TYM1" s="1755"/>
      <c r="TYN1" s="1755"/>
      <c r="TYO1" s="1755"/>
      <c r="TYP1" s="1755"/>
      <c r="TYQ1" s="1755"/>
      <c r="TYR1" s="1755"/>
      <c r="TYS1" s="1755"/>
      <c r="TYT1" s="1755"/>
      <c r="TYU1" s="1755"/>
      <c r="TYV1" s="1755"/>
      <c r="TYW1" s="1755"/>
      <c r="TYX1" s="1755"/>
      <c r="TYY1" s="1755"/>
      <c r="TYZ1" s="1755"/>
      <c r="TZA1" s="1755"/>
      <c r="TZB1" s="1755"/>
      <c r="TZC1" s="1755"/>
      <c r="TZD1" s="1755"/>
      <c r="TZE1" s="1755"/>
      <c r="TZF1" s="1755"/>
      <c r="TZG1" s="1755"/>
      <c r="TZH1" s="1755"/>
      <c r="TZI1" s="1755"/>
      <c r="TZJ1" s="1755"/>
      <c r="TZK1" s="1755"/>
      <c r="TZL1" s="1755"/>
      <c r="TZM1" s="1755"/>
      <c r="TZN1" s="1755"/>
      <c r="TZO1" s="1755"/>
      <c r="TZP1" s="1755"/>
      <c r="TZQ1" s="1755"/>
      <c r="TZR1" s="1755"/>
      <c r="TZS1" s="1755"/>
      <c r="TZT1" s="1755"/>
      <c r="TZU1" s="1755"/>
      <c r="TZV1" s="1755"/>
      <c r="TZW1" s="1755"/>
      <c r="TZX1" s="1755"/>
      <c r="TZY1" s="1755"/>
      <c r="TZZ1" s="1755"/>
      <c r="UAA1" s="1755"/>
      <c r="UAB1" s="1755"/>
      <c r="UAC1" s="1755"/>
      <c r="UAD1" s="1755"/>
      <c r="UAE1" s="1755"/>
      <c r="UAF1" s="1755"/>
      <c r="UAG1" s="1755"/>
      <c r="UAH1" s="1755"/>
      <c r="UAI1" s="1755"/>
      <c r="UAJ1" s="1755"/>
      <c r="UAK1" s="1755"/>
      <c r="UAL1" s="1755"/>
      <c r="UAM1" s="1755"/>
      <c r="UAN1" s="1755"/>
      <c r="UAO1" s="1755"/>
      <c r="UAP1" s="1755"/>
      <c r="UAQ1" s="1755"/>
      <c r="UAR1" s="1755"/>
      <c r="UAS1" s="1755"/>
      <c r="UAT1" s="1755"/>
      <c r="UAU1" s="1755"/>
      <c r="UAV1" s="1755"/>
      <c r="UAW1" s="1755"/>
      <c r="UAX1" s="1755"/>
      <c r="UAY1" s="1755"/>
      <c r="UAZ1" s="1755"/>
      <c r="UBA1" s="1755"/>
      <c r="UBB1" s="1755"/>
      <c r="UBC1" s="1755"/>
      <c r="UBD1" s="1755"/>
      <c r="UBE1" s="1755"/>
      <c r="UBF1" s="1755"/>
      <c r="UBG1" s="1755"/>
      <c r="UBH1" s="1755"/>
      <c r="UBI1" s="1755"/>
      <c r="UBJ1" s="1755"/>
      <c r="UBK1" s="1755"/>
      <c r="UBL1" s="1755"/>
      <c r="UBM1" s="1755"/>
      <c r="UBN1" s="1755"/>
      <c r="UBO1" s="1755"/>
      <c r="UBP1" s="1755"/>
      <c r="UBQ1" s="1755"/>
      <c r="UBR1" s="1755"/>
      <c r="UBS1" s="1755"/>
      <c r="UBT1" s="1755"/>
      <c r="UBU1" s="1755"/>
      <c r="UBV1" s="1755"/>
      <c r="UBW1" s="1755"/>
      <c r="UBX1" s="1755"/>
      <c r="UBY1" s="1755"/>
      <c r="UBZ1" s="1755"/>
      <c r="UCA1" s="1755"/>
      <c r="UCB1" s="1755"/>
      <c r="UCC1" s="1755"/>
      <c r="UCD1" s="1755"/>
      <c r="UCE1" s="1755"/>
      <c r="UCF1" s="1755"/>
      <c r="UCG1" s="1755"/>
      <c r="UCH1" s="1755"/>
      <c r="UCI1" s="1755"/>
      <c r="UCJ1" s="1755"/>
      <c r="UCK1" s="1755"/>
      <c r="UCL1" s="1755"/>
      <c r="UCM1" s="1755"/>
      <c r="UCN1" s="1755"/>
      <c r="UCO1" s="1755"/>
      <c r="UCP1" s="1755"/>
      <c r="UCQ1" s="1755"/>
      <c r="UCR1" s="1755"/>
      <c r="UCS1" s="1755"/>
      <c r="UCT1" s="1755"/>
      <c r="UCU1" s="1755"/>
      <c r="UCV1" s="1755"/>
      <c r="UCW1" s="1755"/>
      <c r="UCX1" s="1755"/>
      <c r="UCY1" s="1755"/>
      <c r="UCZ1" s="1755"/>
      <c r="UDA1" s="1755"/>
      <c r="UDB1" s="1755"/>
      <c r="UDC1" s="1755"/>
      <c r="UDD1" s="1755"/>
      <c r="UDE1" s="1755"/>
      <c r="UDF1" s="1755"/>
      <c r="UDG1" s="1755"/>
      <c r="UDH1" s="1755"/>
      <c r="UDI1" s="1755"/>
      <c r="UDJ1" s="1755"/>
      <c r="UDK1" s="1755"/>
      <c r="UDL1" s="1755"/>
      <c r="UDM1" s="1755"/>
      <c r="UDN1" s="1755"/>
      <c r="UDO1" s="1755"/>
      <c r="UDP1" s="1755"/>
      <c r="UDQ1" s="1755"/>
      <c r="UDR1" s="1755"/>
      <c r="UDS1" s="1755"/>
      <c r="UDT1" s="1755"/>
      <c r="UDU1" s="1755"/>
      <c r="UDV1" s="1755"/>
      <c r="UDW1" s="1755"/>
      <c r="UDX1" s="1755"/>
      <c r="UDY1" s="1755"/>
      <c r="UDZ1" s="1755"/>
      <c r="UEA1" s="1755"/>
      <c r="UEB1" s="1755"/>
      <c r="UEC1" s="1755"/>
      <c r="UED1" s="1755"/>
      <c r="UEE1" s="1755"/>
      <c r="UEF1" s="1755"/>
      <c r="UEG1" s="1755"/>
      <c r="UEH1" s="1755"/>
      <c r="UEI1" s="1755"/>
      <c r="UEJ1" s="1755"/>
      <c r="UEK1" s="1755"/>
      <c r="UEL1" s="1755"/>
      <c r="UEM1" s="1755"/>
      <c r="UEN1" s="1755"/>
      <c r="UEO1" s="1755"/>
      <c r="UEP1" s="1755"/>
      <c r="UEQ1" s="1755"/>
      <c r="UER1" s="1755"/>
      <c r="UES1" s="1755"/>
      <c r="UET1" s="1755"/>
      <c r="UEU1" s="1755"/>
      <c r="UEV1" s="1755"/>
      <c r="UEW1" s="1755"/>
      <c r="UEX1" s="1755"/>
      <c r="UEY1" s="1755"/>
      <c r="UEZ1" s="1755"/>
      <c r="UFA1" s="1755"/>
      <c r="UFB1" s="1755"/>
      <c r="UFC1" s="1755"/>
      <c r="UFD1" s="1755"/>
      <c r="UFE1" s="1755"/>
      <c r="UFF1" s="1755"/>
      <c r="UFG1" s="1755"/>
      <c r="UFH1" s="1755"/>
      <c r="UFI1" s="1755"/>
      <c r="UFJ1" s="1755"/>
      <c r="UFK1" s="1755"/>
      <c r="UFL1" s="1755"/>
      <c r="UFM1" s="1755"/>
      <c r="UFN1" s="1755"/>
      <c r="UFO1" s="1755"/>
      <c r="UFP1" s="1755"/>
      <c r="UFQ1" s="1755"/>
      <c r="UFR1" s="1755"/>
      <c r="UFS1" s="1755"/>
      <c r="UFT1" s="1755"/>
      <c r="UFU1" s="1755"/>
      <c r="UFV1" s="1755"/>
      <c r="UFW1" s="1755"/>
      <c r="UFX1" s="1755"/>
      <c r="UFY1" s="1755"/>
      <c r="UFZ1" s="1755"/>
      <c r="UGA1" s="1755"/>
      <c r="UGB1" s="1755"/>
      <c r="UGC1" s="1755"/>
      <c r="UGD1" s="1755"/>
      <c r="UGE1" s="1755"/>
      <c r="UGF1" s="1755"/>
      <c r="UGG1" s="1755"/>
      <c r="UGH1" s="1755"/>
      <c r="UGI1" s="1755"/>
      <c r="UGJ1" s="1755"/>
      <c r="UGK1" s="1755"/>
      <c r="UGL1" s="1755"/>
      <c r="UGM1" s="1755"/>
      <c r="UGN1" s="1755"/>
      <c r="UGO1" s="1755"/>
      <c r="UGP1" s="1755"/>
      <c r="UGQ1" s="1755"/>
      <c r="UGR1" s="1755"/>
      <c r="UGS1" s="1755"/>
      <c r="UGT1" s="1755"/>
      <c r="UGU1" s="1755"/>
      <c r="UGV1" s="1755"/>
      <c r="UGW1" s="1755"/>
      <c r="UGX1" s="1755"/>
      <c r="UGY1" s="1755"/>
      <c r="UGZ1" s="1755"/>
      <c r="UHA1" s="1755"/>
      <c r="UHB1" s="1755"/>
      <c r="UHC1" s="1755"/>
      <c r="UHD1" s="1755"/>
      <c r="UHE1" s="1755"/>
      <c r="UHF1" s="1755"/>
      <c r="UHG1" s="1755"/>
      <c r="UHH1" s="1755"/>
      <c r="UHI1" s="1755"/>
      <c r="UHJ1" s="1755"/>
      <c r="UHK1" s="1755"/>
      <c r="UHL1" s="1755"/>
      <c r="UHM1" s="1755"/>
      <c r="UHN1" s="1755"/>
      <c r="UHO1" s="1755"/>
      <c r="UHP1" s="1755"/>
      <c r="UHQ1" s="1755"/>
      <c r="UHR1" s="1755"/>
      <c r="UHS1" s="1755"/>
      <c r="UHT1" s="1755"/>
      <c r="UHU1" s="1755"/>
      <c r="UHV1" s="1755"/>
      <c r="UHW1" s="1755"/>
      <c r="UHX1" s="1755"/>
      <c r="UHY1" s="1755"/>
      <c r="UHZ1" s="1755"/>
      <c r="UIA1" s="1755"/>
      <c r="UIB1" s="1755"/>
      <c r="UIC1" s="1755"/>
      <c r="UID1" s="1755"/>
      <c r="UIE1" s="1755"/>
      <c r="UIF1" s="1755"/>
      <c r="UIG1" s="1755"/>
      <c r="UIH1" s="1755"/>
      <c r="UII1" s="1755"/>
      <c r="UIJ1" s="1755"/>
      <c r="UIK1" s="1755"/>
      <c r="UIL1" s="1755"/>
      <c r="UIM1" s="1755"/>
      <c r="UIN1" s="1755"/>
      <c r="UIO1" s="1755"/>
      <c r="UIP1" s="1755"/>
      <c r="UIQ1" s="1755"/>
      <c r="UIR1" s="1755"/>
      <c r="UIS1" s="1755"/>
      <c r="UIT1" s="1755"/>
      <c r="UIU1" s="1755"/>
      <c r="UIV1" s="1755"/>
      <c r="UIW1" s="1755"/>
      <c r="UIX1" s="1755"/>
      <c r="UIY1" s="1755"/>
      <c r="UIZ1" s="1755"/>
      <c r="UJA1" s="1755"/>
      <c r="UJB1" s="1755"/>
      <c r="UJC1" s="1755"/>
      <c r="UJD1" s="1755"/>
      <c r="UJE1" s="1755"/>
      <c r="UJF1" s="1755"/>
      <c r="UJG1" s="1755"/>
      <c r="UJH1" s="1755"/>
      <c r="UJI1" s="1755"/>
      <c r="UJJ1" s="1755"/>
      <c r="UJK1" s="1755"/>
      <c r="UJL1" s="1755"/>
      <c r="UJM1" s="1755"/>
      <c r="UJN1" s="1755"/>
      <c r="UJO1" s="1755"/>
      <c r="UJP1" s="1755"/>
      <c r="UJQ1" s="1755"/>
      <c r="UJR1" s="1755"/>
      <c r="UJS1" s="1755"/>
      <c r="UJT1" s="1755"/>
      <c r="UJU1" s="1755"/>
      <c r="UJV1" s="1755"/>
      <c r="UJW1" s="1755"/>
      <c r="UJX1" s="1755"/>
      <c r="UJY1" s="1755"/>
      <c r="UJZ1" s="1755"/>
      <c r="UKA1" s="1755"/>
      <c r="UKB1" s="1755"/>
      <c r="UKC1" s="1755"/>
      <c r="UKD1" s="1755"/>
      <c r="UKE1" s="1755"/>
      <c r="UKF1" s="1755"/>
      <c r="UKG1" s="1755"/>
      <c r="UKH1" s="1755"/>
      <c r="UKI1" s="1755"/>
      <c r="UKJ1" s="1755"/>
      <c r="UKK1" s="1755"/>
      <c r="UKL1" s="1755"/>
      <c r="UKM1" s="1755"/>
      <c r="UKN1" s="1755"/>
      <c r="UKO1" s="1755"/>
      <c r="UKP1" s="1755"/>
      <c r="UKQ1" s="1755"/>
      <c r="UKR1" s="1755"/>
      <c r="UKS1" s="1755"/>
      <c r="UKT1" s="1755"/>
      <c r="UKU1" s="1755"/>
      <c r="UKV1" s="1755"/>
      <c r="UKW1" s="1755"/>
      <c r="UKX1" s="1755"/>
      <c r="UKY1" s="1755"/>
      <c r="UKZ1" s="1755"/>
      <c r="ULA1" s="1755"/>
      <c r="ULB1" s="1755"/>
      <c r="ULC1" s="1755"/>
      <c r="ULD1" s="1755"/>
      <c r="ULE1" s="1755"/>
      <c r="ULF1" s="1755"/>
      <c r="ULG1" s="1755"/>
      <c r="ULH1" s="1755"/>
      <c r="ULI1" s="1755"/>
      <c r="ULJ1" s="1755"/>
      <c r="ULK1" s="1755"/>
      <c r="ULL1" s="1755"/>
      <c r="ULM1" s="1755"/>
      <c r="ULN1" s="1755"/>
      <c r="ULO1" s="1755"/>
      <c r="ULP1" s="1755"/>
      <c r="ULQ1" s="1755"/>
      <c r="ULR1" s="1755"/>
      <c r="ULS1" s="1755"/>
      <c r="ULT1" s="1755"/>
      <c r="ULU1" s="1755"/>
      <c r="ULV1" s="1755"/>
      <c r="ULW1" s="1755"/>
      <c r="ULX1" s="1755"/>
      <c r="ULY1" s="1755"/>
      <c r="ULZ1" s="1755"/>
      <c r="UMA1" s="1755"/>
      <c r="UMB1" s="1755"/>
      <c r="UMC1" s="1755"/>
      <c r="UMD1" s="1755"/>
      <c r="UME1" s="1755"/>
      <c r="UMF1" s="1755"/>
      <c r="UMG1" s="1755"/>
      <c r="UMH1" s="1755"/>
      <c r="UMI1" s="1755"/>
      <c r="UMJ1" s="1755"/>
      <c r="UMK1" s="1755"/>
      <c r="UML1" s="1755"/>
      <c r="UMM1" s="1755"/>
      <c r="UMN1" s="1755"/>
      <c r="UMO1" s="1755"/>
      <c r="UMP1" s="1755"/>
      <c r="UMQ1" s="1755"/>
      <c r="UMR1" s="1755"/>
      <c r="UMS1" s="1755"/>
      <c r="UMT1" s="1755"/>
      <c r="UMU1" s="1755"/>
      <c r="UMV1" s="1755"/>
      <c r="UMW1" s="1755"/>
      <c r="UMX1" s="1755"/>
      <c r="UMY1" s="1755"/>
      <c r="UMZ1" s="1755"/>
      <c r="UNA1" s="1755"/>
      <c r="UNB1" s="1755"/>
      <c r="UNC1" s="1755"/>
      <c r="UND1" s="1755"/>
      <c r="UNE1" s="1755"/>
      <c r="UNF1" s="1755"/>
      <c r="UNG1" s="1755"/>
      <c r="UNH1" s="1755"/>
      <c r="UNI1" s="1755"/>
      <c r="UNJ1" s="1755"/>
      <c r="UNK1" s="1755"/>
      <c r="UNL1" s="1755"/>
      <c r="UNM1" s="1755"/>
      <c r="UNN1" s="1755"/>
      <c r="UNO1" s="1755"/>
      <c r="UNP1" s="1755"/>
      <c r="UNQ1" s="1755"/>
      <c r="UNR1" s="1755"/>
      <c r="UNS1" s="1755"/>
      <c r="UNT1" s="1755"/>
      <c r="UNU1" s="1755"/>
      <c r="UNV1" s="1755"/>
      <c r="UNW1" s="1755"/>
      <c r="UNX1" s="1755"/>
      <c r="UNY1" s="1755"/>
      <c r="UNZ1" s="1755"/>
      <c r="UOA1" s="1755"/>
      <c r="UOB1" s="1755"/>
      <c r="UOC1" s="1755"/>
      <c r="UOD1" s="1755"/>
      <c r="UOE1" s="1755"/>
      <c r="UOF1" s="1755"/>
      <c r="UOG1" s="1755"/>
      <c r="UOH1" s="1755"/>
      <c r="UOI1" s="1755"/>
      <c r="UOJ1" s="1755"/>
      <c r="UOK1" s="1755"/>
      <c r="UOL1" s="1755"/>
      <c r="UOM1" s="1755"/>
      <c r="UON1" s="1755"/>
      <c r="UOO1" s="1755"/>
      <c r="UOP1" s="1755"/>
      <c r="UOQ1" s="1755"/>
      <c r="UOR1" s="1755"/>
      <c r="UOS1" s="1755"/>
      <c r="UOT1" s="1755"/>
      <c r="UOU1" s="1755"/>
      <c r="UOV1" s="1755"/>
      <c r="UOW1" s="1755"/>
      <c r="UOX1" s="1755"/>
      <c r="UOY1" s="1755"/>
      <c r="UOZ1" s="1755"/>
      <c r="UPA1" s="1755"/>
      <c r="UPB1" s="1755"/>
      <c r="UPC1" s="1755"/>
      <c r="UPD1" s="1755"/>
      <c r="UPE1" s="1755"/>
      <c r="UPF1" s="1755"/>
      <c r="UPG1" s="1755"/>
      <c r="UPH1" s="1755"/>
      <c r="UPI1" s="1755"/>
      <c r="UPJ1" s="1755"/>
      <c r="UPK1" s="1755"/>
      <c r="UPL1" s="1755"/>
      <c r="UPM1" s="1755"/>
      <c r="UPN1" s="1755"/>
      <c r="UPO1" s="1755"/>
      <c r="UPP1" s="1755"/>
      <c r="UPQ1" s="1755"/>
      <c r="UPR1" s="1755"/>
      <c r="UPS1" s="1755"/>
      <c r="UPT1" s="1755"/>
      <c r="UPU1" s="1755"/>
      <c r="UPV1" s="1755"/>
      <c r="UPW1" s="1755"/>
      <c r="UPX1" s="1755"/>
      <c r="UPY1" s="1755"/>
      <c r="UPZ1" s="1755"/>
      <c r="UQA1" s="1755"/>
      <c r="UQB1" s="1755"/>
      <c r="UQC1" s="1755"/>
      <c r="UQD1" s="1755"/>
      <c r="UQE1" s="1755"/>
      <c r="UQF1" s="1755"/>
      <c r="UQG1" s="1755"/>
      <c r="UQH1" s="1755"/>
      <c r="UQI1" s="1755"/>
      <c r="UQJ1" s="1755"/>
      <c r="UQK1" s="1755"/>
      <c r="UQL1" s="1755"/>
      <c r="UQM1" s="1755"/>
      <c r="UQN1" s="1755"/>
      <c r="UQO1" s="1755"/>
      <c r="UQP1" s="1755"/>
      <c r="UQQ1" s="1755"/>
      <c r="UQR1" s="1755"/>
      <c r="UQS1" s="1755"/>
      <c r="UQT1" s="1755"/>
      <c r="UQU1" s="1755"/>
      <c r="UQV1" s="1755"/>
      <c r="UQW1" s="1755"/>
      <c r="UQX1" s="1755"/>
      <c r="UQY1" s="1755"/>
      <c r="UQZ1" s="1755"/>
      <c r="URA1" s="1755"/>
      <c r="URB1" s="1755"/>
      <c r="URC1" s="1755"/>
      <c r="URD1" s="1755"/>
      <c r="URE1" s="1755"/>
      <c r="URF1" s="1755"/>
      <c r="URG1" s="1755"/>
      <c r="URH1" s="1755"/>
      <c r="URI1" s="1755"/>
      <c r="URJ1" s="1755"/>
      <c r="URK1" s="1755"/>
      <c r="URL1" s="1755"/>
      <c r="URM1" s="1755"/>
      <c r="URN1" s="1755"/>
      <c r="URO1" s="1755"/>
      <c r="URP1" s="1755"/>
      <c r="URQ1" s="1755"/>
      <c r="URR1" s="1755"/>
      <c r="URS1" s="1755"/>
      <c r="URT1" s="1755"/>
      <c r="URU1" s="1755"/>
      <c r="URV1" s="1755"/>
      <c r="URW1" s="1755"/>
      <c r="URX1" s="1755"/>
      <c r="URY1" s="1755"/>
      <c r="URZ1" s="1755"/>
      <c r="USA1" s="1755"/>
      <c r="USB1" s="1755"/>
      <c r="USC1" s="1755"/>
      <c r="USD1" s="1755"/>
      <c r="USE1" s="1755"/>
      <c r="USF1" s="1755"/>
      <c r="USG1" s="1755"/>
      <c r="USH1" s="1755"/>
      <c r="USI1" s="1755"/>
      <c r="USJ1" s="1755"/>
      <c r="USK1" s="1755"/>
      <c r="USL1" s="1755"/>
      <c r="USM1" s="1755"/>
      <c r="USN1" s="1755"/>
      <c r="USO1" s="1755"/>
      <c r="USP1" s="1755"/>
      <c r="USQ1" s="1755"/>
      <c r="USR1" s="1755"/>
      <c r="USS1" s="1755"/>
      <c r="UST1" s="1755"/>
      <c r="USU1" s="1755"/>
      <c r="USV1" s="1755"/>
      <c r="USW1" s="1755"/>
      <c r="USX1" s="1755"/>
      <c r="USY1" s="1755"/>
      <c r="USZ1" s="1755"/>
      <c r="UTA1" s="1755"/>
      <c r="UTB1" s="1755"/>
      <c r="UTC1" s="1755"/>
      <c r="UTD1" s="1755"/>
      <c r="UTE1" s="1755"/>
      <c r="UTF1" s="1755"/>
      <c r="UTG1" s="1755"/>
      <c r="UTH1" s="1755"/>
      <c r="UTI1" s="1755"/>
      <c r="UTJ1" s="1755"/>
      <c r="UTK1" s="1755"/>
      <c r="UTL1" s="1755"/>
      <c r="UTM1" s="1755"/>
      <c r="UTN1" s="1755"/>
      <c r="UTO1" s="1755"/>
      <c r="UTP1" s="1755"/>
      <c r="UTQ1" s="1755"/>
      <c r="UTR1" s="1755"/>
      <c r="UTS1" s="1755"/>
      <c r="UTT1" s="1755"/>
      <c r="UTU1" s="1755"/>
      <c r="UTV1" s="1755"/>
      <c r="UTW1" s="1755"/>
      <c r="UTX1" s="1755"/>
      <c r="UTY1" s="1755"/>
      <c r="UTZ1" s="1755"/>
      <c r="UUA1" s="1755"/>
      <c r="UUB1" s="1755"/>
      <c r="UUC1" s="1755"/>
      <c r="UUD1" s="1755"/>
      <c r="UUE1" s="1755"/>
      <c r="UUF1" s="1755"/>
      <c r="UUG1" s="1755"/>
      <c r="UUH1" s="1755"/>
      <c r="UUI1" s="1755"/>
      <c r="UUJ1" s="1755"/>
      <c r="UUK1" s="1755"/>
      <c r="UUL1" s="1755"/>
      <c r="UUM1" s="1755"/>
      <c r="UUN1" s="1755"/>
      <c r="UUO1" s="1755"/>
      <c r="UUP1" s="1755"/>
      <c r="UUQ1" s="1755"/>
      <c r="UUR1" s="1755"/>
      <c r="UUS1" s="1755"/>
      <c r="UUT1" s="1755"/>
      <c r="UUU1" s="1755"/>
      <c r="UUV1" s="1755"/>
      <c r="UUW1" s="1755"/>
      <c r="UUX1" s="1755"/>
      <c r="UUY1" s="1755"/>
      <c r="UUZ1" s="1755"/>
      <c r="UVA1" s="1755"/>
      <c r="UVB1" s="1755"/>
      <c r="UVC1" s="1755"/>
      <c r="UVD1" s="1755"/>
      <c r="UVE1" s="1755"/>
      <c r="UVF1" s="1755"/>
      <c r="UVG1" s="1755"/>
      <c r="UVH1" s="1755"/>
      <c r="UVI1" s="1755"/>
      <c r="UVJ1" s="1755"/>
      <c r="UVK1" s="1755"/>
      <c r="UVL1" s="1755"/>
      <c r="UVM1" s="1755"/>
      <c r="UVN1" s="1755"/>
      <c r="UVO1" s="1755"/>
      <c r="UVP1" s="1755"/>
      <c r="UVQ1" s="1755"/>
      <c r="UVR1" s="1755"/>
      <c r="UVS1" s="1755"/>
      <c r="UVT1" s="1755"/>
      <c r="UVU1" s="1755"/>
      <c r="UVV1" s="1755"/>
      <c r="UVW1" s="1755"/>
      <c r="UVX1" s="1755"/>
      <c r="UVY1" s="1755"/>
      <c r="UVZ1" s="1755"/>
      <c r="UWA1" s="1755"/>
      <c r="UWB1" s="1755"/>
      <c r="UWC1" s="1755"/>
      <c r="UWD1" s="1755"/>
      <c r="UWE1" s="1755"/>
      <c r="UWF1" s="1755"/>
      <c r="UWG1" s="1755"/>
      <c r="UWH1" s="1755"/>
      <c r="UWI1" s="1755"/>
      <c r="UWJ1" s="1755"/>
      <c r="UWK1" s="1755"/>
      <c r="UWL1" s="1755"/>
      <c r="UWM1" s="1755"/>
      <c r="UWN1" s="1755"/>
      <c r="UWO1" s="1755"/>
      <c r="UWP1" s="1755"/>
      <c r="UWQ1" s="1755"/>
      <c r="UWR1" s="1755"/>
      <c r="UWS1" s="1755"/>
      <c r="UWT1" s="1755"/>
      <c r="UWU1" s="1755"/>
      <c r="UWV1" s="1755"/>
      <c r="UWW1" s="1755"/>
      <c r="UWX1" s="1755"/>
      <c r="UWY1" s="1755"/>
      <c r="UWZ1" s="1755"/>
      <c r="UXA1" s="1755"/>
      <c r="UXB1" s="1755"/>
      <c r="UXC1" s="1755"/>
      <c r="UXD1" s="1755"/>
      <c r="UXE1" s="1755"/>
      <c r="UXF1" s="1755"/>
      <c r="UXG1" s="1755"/>
      <c r="UXH1" s="1755"/>
      <c r="UXI1" s="1755"/>
      <c r="UXJ1" s="1755"/>
      <c r="UXK1" s="1755"/>
      <c r="UXL1" s="1755"/>
      <c r="UXM1" s="1755"/>
      <c r="UXN1" s="1755"/>
      <c r="UXO1" s="1755"/>
      <c r="UXP1" s="1755"/>
      <c r="UXQ1" s="1755"/>
      <c r="UXR1" s="1755"/>
      <c r="UXS1" s="1755"/>
      <c r="UXT1" s="1755"/>
      <c r="UXU1" s="1755"/>
      <c r="UXV1" s="1755"/>
      <c r="UXW1" s="1755"/>
      <c r="UXX1" s="1755"/>
      <c r="UXY1" s="1755"/>
      <c r="UXZ1" s="1755"/>
      <c r="UYA1" s="1755"/>
      <c r="UYB1" s="1755"/>
      <c r="UYC1" s="1755"/>
      <c r="UYD1" s="1755"/>
      <c r="UYE1" s="1755"/>
      <c r="UYF1" s="1755"/>
      <c r="UYG1" s="1755"/>
      <c r="UYH1" s="1755"/>
      <c r="UYI1" s="1755"/>
      <c r="UYJ1" s="1755"/>
      <c r="UYK1" s="1755"/>
      <c r="UYL1" s="1755"/>
      <c r="UYM1" s="1755"/>
      <c r="UYN1" s="1755"/>
      <c r="UYO1" s="1755"/>
      <c r="UYP1" s="1755"/>
      <c r="UYQ1" s="1755"/>
      <c r="UYR1" s="1755"/>
      <c r="UYS1" s="1755"/>
      <c r="UYT1" s="1755"/>
      <c r="UYU1" s="1755"/>
      <c r="UYV1" s="1755"/>
      <c r="UYW1" s="1755"/>
      <c r="UYX1" s="1755"/>
      <c r="UYY1" s="1755"/>
      <c r="UYZ1" s="1755"/>
      <c r="UZA1" s="1755"/>
      <c r="UZB1" s="1755"/>
      <c r="UZC1" s="1755"/>
      <c r="UZD1" s="1755"/>
      <c r="UZE1" s="1755"/>
      <c r="UZF1" s="1755"/>
      <c r="UZG1" s="1755"/>
      <c r="UZH1" s="1755"/>
      <c r="UZI1" s="1755"/>
      <c r="UZJ1" s="1755"/>
      <c r="UZK1" s="1755"/>
      <c r="UZL1" s="1755"/>
      <c r="UZM1" s="1755"/>
      <c r="UZN1" s="1755"/>
      <c r="UZO1" s="1755"/>
      <c r="UZP1" s="1755"/>
      <c r="UZQ1" s="1755"/>
      <c r="UZR1" s="1755"/>
      <c r="UZS1" s="1755"/>
      <c r="UZT1" s="1755"/>
      <c r="UZU1" s="1755"/>
      <c r="UZV1" s="1755"/>
      <c r="UZW1" s="1755"/>
      <c r="UZX1" s="1755"/>
      <c r="UZY1" s="1755"/>
      <c r="UZZ1" s="1755"/>
      <c r="VAA1" s="1755"/>
      <c r="VAB1" s="1755"/>
      <c r="VAC1" s="1755"/>
      <c r="VAD1" s="1755"/>
      <c r="VAE1" s="1755"/>
      <c r="VAF1" s="1755"/>
      <c r="VAG1" s="1755"/>
      <c r="VAH1" s="1755"/>
      <c r="VAI1" s="1755"/>
      <c r="VAJ1" s="1755"/>
      <c r="VAK1" s="1755"/>
      <c r="VAL1" s="1755"/>
      <c r="VAM1" s="1755"/>
      <c r="VAN1" s="1755"/>
      <c r="VAO1" s="1755"/>
      <c r="VAP1" s="1755"/>
      <c r="VAQ1" s="1755"/>
      <c r="VAR1" s="1755"/>
      <c r="VAS1" s="1755"/>
      <c r="VAT1" s="1755"/>
      <c r="VAU1" s="1755"/>
      <c r="VAV1" s="1755"/>
      <c r="VAW1" s="1755"/>
      <c r="VAX1" s="1755"/>
      <c r="VAY1" s="1755"/>
      <c r="VAZ1" s="1755"/>
      <c r="VBA1" s="1755"/>
      <c r="VBB1" s="1755"/>
      <c r="VBC1" s="1755"/>
      <c r="VBD1" s="1755"/>
      <c r="VBE1" s="1755"/>
      <c r="VBF1" s="1755"/>
      <c r="VBG1" s="1755"/>
      <c r="VBH1" s="1755"/>
      <c r="VBI1" s="1755"/>
      <c r="VBJ1" s="1755"/>
      <c r="VBK1" s="1755"/>
      <c r="VBL1" s="1755"/>
      <c r="VBM1" s="1755"/>
      <c r="VBN1" s="1755"/>
      <c r="VBO1" s="1755"/>
      <c r="VBP1" s="1755"/>
      <c r="VBQ1" s="1755"/>
      <c r="VBR1" s="1755"/>
      <c r="VBS1" s="1755"/>
      <c r="VBT1" s="1755"/>
      <c r="VBU1" s="1755"/>
      <c r="VBV1" s="1755"/>
      <c r="VBW1" s="1755"/>
      <c r="VBX1" s="1755"/>
      <c r="VBY1" s="1755"/>
      <c r="VBZ1" s="1755"/>
      <c r="VCA1" s="1755"/>
      <c r="VCB1" s="1755"/>
      <c r="VCC1" s="1755"/>
      <c r="VCD1" s="1755"/>
      <c r="VCE1" s="1755"/>
      <c r="VCF1" s="1755"/>
      <c r="VCG1" s="1755"/>
      <c r="VCH1" s="1755"/>
      <c r="VCI1" s="1755"/>
      <c r="VCJ1" s="1755"/>
      <c r="VCK1" s="1755"/>
      <c r="VCL1" s="1755"/>
      <c r="VCM1" s="1755"/>
      <c r="VCN1" s="1755"/>
      <c r="VCO1" s="1755"/>
      <c r="VCP1" s="1755"/>
      <c r="VCQ1" s="1755"/>
      <c r="VCR1" s="1755"/>
      <c r="VCS1" s="1755"/>
      <c r="VCT1" s="1755"/>
      <c r="VCU1" s="1755"/>
      <c r="VCV1" s="1755"/>
      <c r="VCW1" s="1755"/>
      <c r="VCX1" s="1755"/>
      <c r="VCY1" s="1755"/>
      <c r="VCZ1" s="1755"/>
      <c r="VDA1" s="1755"/>
      <c r="VDB1" s="1755"/>
      <c r="VDC1" s="1755"/>
      <c r="VDD1" s="1755"/>
      <c r="VDE1" s="1755"/>
      <c r="VDF1" s="1755"/>
      <c r="VDG1" s="1755"/>
      <c r="VDH1" s="1755"/>
      <c r="VDI1" s="1755"/>
      <c r="VDJ1" s="1755"/>
      <c r="VDK1" s="1755"/>
      <c r="VDL1" s="1755"/>
      <c r="VDM1" s="1755"/>
      <c r="VDN1" s="1755"/>
      <c r="VDO1" s="1755"/>
      <c r="VDP1" s="1755"/>
      <c r="VDQ1" s="1755"/>
      <c r="VDR1" s="1755"/>
      <c r="VDS1" s="1755"/>
      <c r="VDT1" s="1755"/>
      <c r="VDU1" s="1755"/>
      <c r="VDV1" s="1755"/>
      <c r="VDW1" s="1755"/>
      <c r="VDX1" s="1755"/>
      <c r="VDY1" s="1755"/>
      <c r="VDZ1" s="1755"/>
      <c r="VEA1" s="1755"/>
      <c r="VEB1" s="1755"/>
      <c r="VEC1" s="1755"/>
      <c r="VED1" s="1755"/>
      <c r="VEE1" s="1755"/>
      <c r="VEF1" s="1755"/>
      <c r="VEG1" s="1755"/>
      <c r="VEH1" s="1755"/>
      <c r="VEI1" s="1755"/>
      <c r="VEJ1" s="1755"/>
      <c r="VEK1" s="1755"/>
      <c r="VEL1" s="1755"/>
      <c r="VEM1" s="1755"/>
      <c r="VEN1" s="1755"/>
      <c r="VEO1" s="1755"/>
      <c r="VEP1" s="1755"/>
      <c r="VEQ1" s="1755"/>
      <c r="VER1" s="1755"/>
      <c r="VES1" s="1755"/>
      <c r="VET1" s="1755"/>
      <c r="VEU1" s="1755"/>
      <c r="VEV1" s="1755"/>
      <c r="VEW1" s="1755"/>
      <c r="VEX1" s="1755"/>
      <c r="VEY1" s="1755"/>
      <c r="VEZ1" s="1755"/>
      <c r="VFA1" s="1755"/>
      <c r="VFB1" s="1755"/>
      <c r="VFC1" s="1755"/>
      <c r="VFD1" s="1755"/>
      <c r="VFE1" s="1755"/>
      <c r="VFF1" s="1755"/>
      <c r="VFG1" s="1755"/>
      <c r="VFH1" s="1755"/>
      <c r="VFI1" s="1755"/>
      <c r="VFJ1" s="1755"/>
      <c r="VFK1" s="1755"/>
      <c r="VFL1" s="1755"/>
      <c r="VFM1" s="1755"/>
      <c r="VFN1" s="1755"/>
      <c r="VFO1" s="1755"/>
      <c r="VFP1" s="1755"/>
      <c r="VFQ1" s="1755"/>
      <c r="VFR1" s="1755"/>
      <c r="VFS1" s="1755"/>
      <c r="VFT1" s="1755"/>
      <c r="VFU1" s="1755"/>
      <c r="VFV1" s="1755"/>
      <c r="VFW1" s="1755"/>
      <c r="VFX1" s="1755"/>
      <c r="VFY1" s="1755"/>
      <c r="VFZ1" s="1755"/>
      <c r="VGA1" s="1755"/>
      <c r="VGB1" s="1755"/>
      <c r="VGC1" s="1755"/>
      <c r="VGD1" s="1755"/>
      <c r="VGE1" s="1755"/>
      <c r="VGF1" s="1755"/>
      <c r="VGG1" s="1755"/>
      <c r="VGH1" s="1755"/>
      <c r="VGI1" s="1755"/>
      <c r="VGJ1" s="1755"/>
      <c r="VGK1" s="1755"/>
      <c r="VGL1" s="1755"/>
      <c r="VGM1" s="1755"/>
      <c r="VGN1" s="1755"/>
      <c r="VGO1" s="1755"/>
      <c r="VGP1" s="1755"/>
      <c r="VGQ1" s="1755"/>
      <c r="VGR1" s="1755"/>
      <c r="VGS1" s="1755"/>
      <c r="VGT1" s="1755"/>
      <c r="VGU1" s="1755"/>
      <c r="VGV1" s="1755"/>
      <c r="VGW1" s="1755"/>
      <c r="VGX1" s="1755"/>
      <c r="VGY1" s="1755"/>
      <c r="VGZ1" s="1755"/>
      <c r="VHA1" s="1755"/>
      <c r="VHB1" s="1755"/>
      <c r="VHC1" s="1755"/>
      <c r="VHD1" s="1755"/>
      <c r="VHE1" s="1755"/>
      <c r="VHF1" s="1755"/>
      <c r="VHG1" s="1755"/>
      <c r="VHH1" s="1755"/>
      <c r="VHI1" s="1755"/>
      <c r="VHJ1" s="1755"/>
      <c r="VHK1" s="1755"/>
      <c r="VHL1" s="1755"/>
      <c r="VHM1" s="1755"/>
      <c r="VHN1" s="1755"/>
      <c r="VHO1" s="1755"/>
      <c r="VHP1" s="1755"/>
      <c r="VHQ1" s="1755"/>
      <c r="VHR1" s="1755"/>
      <c r="VHS1" s="1755"/>
      <c r="VHT1" s="1755"/>
      <c r="VHU1" s="1755"/>
      <c r="VHV1" s="1755"/>
      <c r="VHW1" s="1755"/>
      <c r="VHX1" s="1755"/>
      <c r="VHY1" s="1755"/>
      <c r="VHZ1" s="1755"/>
      <c r="VIA1" s="1755"/>
      <c r="VIB1" s="1755"/>
      <c r="VIC1" s="1755"/>
      <c r="VID1" s="1755"/>
      <c r="VIE1" s="1755"/>
      <c r="VIF1" s="1755"/>
      <c r="VIG1" s="1755"/>
      <c r="VIH1" s="1755"/>
      <c r="VII1" s="1755"/>
      <c r="VIJ1" s="1755"/>
      <c r="VIK1" s="1755"/>
      <c r="VIL1" s="1755"/>
      <c r="VIM1" s="1755"/>
      <c r="VIN1" s="1755"/>
      <c r="VIO1" s="1755"/>
      <c r="VIP1" s="1755"/>
      <c r="VIQ1" s="1755"/>
      <c r="VIR1" s="1755"/>
      <c r="VIS1" s="1755"/>
      <c r="VIT1" s="1755"/>
      <c r="VIU1" s="1755"/>
      <c r="VIV1" s="1755"/>
      <c r="VIW1" s="1755"/>
      <c r="VIX1" s="1755"/>
      <c r="VIY1" s="1755"/>
      <c r="VIZ1" s="1755"/>
      <c r="VJA1" s="1755"/>
      <c r="VJB1" s="1755"/>
      <c r="VJC1" s="1755"/>
      <c r="VJD1" s="1755"/>
      <c r="VJE1" s="1755"/>
      <c r="VJF1" s="1755"/>
      <c r="VJG1" s="1755"/>
      <c r="VJH1" s="1755"/>
      <c r="VJI1" s="1755"/>
      <c r="VJJ1" s="1755"/>
      <c r="VJK1" s="1755"/>
      <c r="VJL1" s="1755"/>
      <c r="VJM1" s="1755"/>
      <c r="VJN1" s="1755"/>
      <c r="VJO1" s="1755"/>
      <c r="VJP1" s="1755"/>
      <c r="VJQ1" s="1755"/>
      <c r="VJR1" s="1755"/>
      <c r="VJS1" s="1755"/>
      <c r="VJT1" s="1755"/>
      <c r="VJU1" s="1755"/>
      <c r="VJV1" s="1755"/>
      <c r="VJW1" s="1755"/>
      <c r="VJX1" s="1755"/>
      <c r="VJY1" s="1755"/>
      <c r="VJZ1" s="1755"/>
      <c r="VKA1" s="1755"/>
      <c r="VKB1" s="1755"/>
      <c r="VKC1" s="1755"/>
      <c r="VKD1" s="1755"/>
      <c r="VKE1" s="1755"/>
      <c r="VKF1" s="1755"/>
      <c r="VKG1" s="1755"/>
      <c r="VKH1" s="1755"/>
      <c r="VKI1" s="1755"/>
      <c r="VKJ1" s="1755"/>
      <c r="VKK1" s="1755"/>
      <c r="VKL1" s="1755"/>
      <c r="VKM1" s="1755"/>
      <c r="VKN1" s="1755"/>
      <c r="VKO1" s="1755"/>
      <c r="VKP1" s="1755"/>
      <c r="VKQ1" s="1755"/>
      <c r="VKR1" s="1755"/>
      <c r="VKS1" s="1755"/>
      <c r="VKT1" s="1755"/>
      <c r="VKU1" s="1755"/>
      <c r="VKV1" s="1755"/>
      <c r="VKW1" s="1755"/>
      <c r="VKX1" s="1755"/>
      <c r="VKY1" s="1755"/>
      <c r="VKZ1" s="1755"/>
      <c r="VLA1" s="1755"/>
      <c r="VLB1" s="1755"/>
      <c r="VLC1" s="1755"/>
      <c r="VLD1" s="1755"/>
      <c r="VLE1" s="1755"/>
      <c r="VLF1" s="1755"/>
      <c r="VLG1" s="1755"/>
      <c r="VLH1" s="1755"/>
      <c r="VLI1" s="1755"/>
      <c r="VLJ1" s="1755"/>
      <c r="VLK1" s="1755"/>
      <c r="VLL1" s="1755"/>
      <c r="VLM1" s="1755"/>
      <c r="VLN1" s="1755"/>
      <c r="VLO1" s="1755"/>
      <c r="VLP1" s="1755"/>
      <c r="VLQ1" s="1755"/>
      <c r="VLR1" s="1755"/>
      <c r="VLS1" s="1755"/>
      <c r="VLT1" s="1755"/>
      <c r="VLU1" s="1755"/>
      <c r="VLV1" s="1755"/>
      <c r="VLW1" s="1755"/>
      <c r="VLX1" s="1755"/>
      <c r="VLY1" s="1755"/>
      <c r="VLZ1" s="1755"/>
      <c r="VMA1" s="1755"/>
      <c r="VMB1" s="1755"/>
      <c r="VMC1" s="1755"/>
      <c r="VMD1" s="1755"/>
      <c r="VME1" s="1755"/>
      <c r="VMF1" s="1755"/>
      <c r="VMG1" s="1755"/>
      <c r="VMH1" s="1755"/>
      <c r="VMI1" s="1755"/>
      <c r="VMJ1" s="1755"/>
      <c r="VMK1" s="1755"/>
      <c r="VML1" s="1755"/>
      <c r="VMM1" s="1755"/>
      <c r="VMN1" s="1755"/>
      <c r="VMO1" s="1755"/>
      <c r="VMP1" s="1755"/>
      <c r="VMQ1" s="1755"/>
      <c r="VMR1" s="1755"/>
      <c r="VMS1" s="1755"/>
      <c r="VMT1" s="1755"/>
      <c r="VMU1" s="1755"/>
      <c r="VMV1" s="1755"/>
      <c r="VMW1" s="1755"/>
      <c r="VMX1" s="1755"/>
      <c r="VMY1" s="1755"/>
      <c r="VMZ1" s="1755"/>
      <c r="VNA1" s="1755"/>
      <c r="VNB1" s="1755"/>
      <c r="VNC1" s="1755"/>
      <c r="VND1" s="1755"/>
      <c r="VNE1" s="1755"/>
      <c r="VNF1" s="1755"/>
      <c r="VNG1" s="1755"/>
      <c r="VNH1" s="1755"/>
      <c r="VNI1" s="1755"/>
      <c r="VNJ1" s="1755"/>
      <c r="VNK1" s="1755"/>
      <c r="VNL1" s="1755"/>
      <c r="VNM1" s="1755"/>
      <c r="VNN1" s="1755"/>
      <c r="VNO1" s="1755"/>
      <c r="VNP1" s="1755"/>
      <c r="VNQ1" s="1755"/>
      <c r="VNR1" s="1755"/>
      <c r="VNS1" s="1755"/>
      <c r="VNT1" s="1755"/>
      <c r="VNU1" s="1755"/>
      <c r="VNV1" s="1755"/>
      <c r="VNW1" s="1755"/>
      <c r="VNX1" s="1755"/>
      <c r="VNY1" s="1755"/>
      <c r="VNZ1" s="1755"/>
      <c r="VOA1" s="1755"/>
      <c r="VOB1" s="1755"/>
      <c r="VOC1" s="1755"/>
      <c r="VOD1" s="1755"/>
      <c r="VOE1" s="1755"/>
      <c r="VOF1" s="1755"/>
      <c r="VOG1" s="1755"/>
      <c r="VOH1" s="1755"/>
      <c r="VOI1" s="1755"/>
      <c r="VOJ1" s="1755"/>
      <c r="VOK1" s="1755"/>
      <c r="VOL1" s="1755"/>
      <c r="VOM1" s="1755"/>
      <c r="VON1" s="1755"/>
      <c r="VOO1" s="1755"/>
      <c r="VOP1" s="1755"/>
      <c r="VOQ1" s="1755"/>
      <c r="VOR1" s="1755"/>
      <c r="VOS1" s="1755"/>
      <c r="VOT1" s="1755"/>
      <c r="VOU1" s="1755"/>
      <c r="VOV1" s="1755"/>
      <c r="VOW1" s="1755"/>
      <c r="VOX1" s="1755"/>
      <c r="VOY1" s="1755"/>
      <c r="VOZ1" s="1755"/>
      <c r="VPA1" s="1755"/>
      <c r="VPB1" s="1755"/>
      <c r="VPC1" s="1755"/>
      <c r="VPD1" s="1755"/>
      <c r="VPE1" s="1755"/>
      <c r="VPF1" s="1755"/>
      <c r="VPG1" s="1755"/>
      <c r="VPH1" s="1755"/>
      <c r="VPI1" s="1755"/>
      <c r="VPJ1" s="1755"/>
      <c r="VPK1" s="1755"/>
      <c r="VPL1" s="1755"/>
      <c r="VPM1" s="1755"/>
      <c r="VPN1" s="1755"/>
      <c r="VPO1" s="1755"/>
      <c r="VPP1" s="1755"/>
      <c r="VPQ1" s="1755"/>
      <c r="VPR1" s="1755"/>
      <c r="VPS1" s="1755"/>
      <c r="VPT1" s="1755"/>
      <c r="VPU1" s="1755"/>
      <c r="VPV1" s="1755"/>
      <c r="VPW1" s="1755"/>
      <c r="VPX1" s="1755"/>
      <c r="VPY1" s="1755"/>
      <c r="VPZ1" s="1755"/>
      <c r="VQA1" s="1755"/>
      <c r="VQB1" s="1755"/>
      <c r="VQC1" s="1755"/>
      <c r="VQD1" s="1755"/>
      <c r="VQE1" s="1755"/>
      <c r="VQF1" s="1755"/>
      <c r="VQG1" s="1755"/>
      <c r="VQH1" s="1755"/>
      <c r="VQI1" s="1755"/>
      <c r="VQJ1" s="1755"/>
      <c r="VQK1" s="1755"/>
      <c r="VQL1" s="1755"/>
      <c r="VQM1" s="1755"/>
      <c r="VQN1" s="1755"/>
      <c r="VQO1" s="1755"/>
      <c r="VQP1" s="1755"/>
      <c r="VQQ1" s="1755"/>
      <c r="VQR1" s="1755"/>
      <c r="VQS1" s="1755"/>
      <c r="VQT1" s="1755"/>
      <c r="VQU1" s="1755"/>
      <c r="VQV1" s="1755"/>
      <c r="VQW1" s="1755"/>
      <c r="VQX1" s="1755"/>
      <c r="VQY1" s="1755"/>
      <c r="VQZ1" s="1755"/>
      <c r="VRA1" s="1755"/>
      <c r="VRB1" s="1755"/>
      <c r="VRC1" s="1755"/>
      <c r="VRD1" s="1755"/>
      <c r="VRE1" s="1755"/>
      <c r="VRF1" s="1755"/>
      <c r="VRG1" s="1755"/>
      <c r="VRH1" s="1755"/>
      <c r="VRI1" s="1755"/>
      <c r="VRJ1" s="1755"/>
      <c r="VRK1" s="1755"/>
      <c r="VRL1" s="1755"/>
      <c r="VRM1" s="1755"/>
      <c r="VRN1" s="1755"/>
      <c r="VRO1" s="1755"/>
      <c r="VRP1" s="1755"/>
      <c r="VRQ1" s="1755"/>
      <c r="VRR1" s="1755"/>
      <c r="VRS1" s="1755"/>
      <c r="VRT1" s="1755"/>
      <c r="VRU1" s="1755"/>
      <c r="VRV1" s="1755"/>
      <c r="VRW1" s="1755"/>
      <c r="VRX1" s="1755"/>
      <c r="VRY1" s="1755"/>
      <c r="VRZ1" s="1755"/>
      <c r="VSA1" s="1755"/>
      <c r="VSB1" s="1755"/>
      <c r="VSC1" s="1755"/>
      <c r="VSD1" s="1755"/>
      <c r="VSE1" s="1755"/>
      <c r="VSF1" s="1755"/>
      <c r="VSG1" s="1755"/>
      <c r="VSH1" s="1755"/>
      <c r="VSI1" s="1755"/>
      <c r="VSJ1" s="1755"/>
      <c r="VSK1" s="1755"/>
      <c r="VSL1" s="1755"/>
      <c r="VSM1" s="1755"/>
      <c r="VSN1" s="1755"/>
      <c r="VSO1" s="1755"/>
      <c r="VSP1" s="1755"/>
      <c r="VSQ1" s="1755"/>
      <c r="VSR1" s="1755"/>
      <c r="VSS1" s="1755"/>
      <c r="VST1" s="1755"/>
      <c r="VSU1" s="1755"/>
      <c r="VSV1" s="1755"/>
      <c r="VSW1" s="1755"/>
      <c r="VSX1" s="1755"/>
      <c r="VSY1" s="1755"/>
      <c r="VSZ1" s="1755"/>
      <c r="VTA1" s="1755"/>
      <c r="VTB1" s="1755"/>
      <c r="VTC1" s="1755"/>
      <c r="VTD1" s="1755"/>
      <c r="VTE1" s="1755"/>
      <c r="VTF1" s="1755"/>
      <c r="VTG1" s="1755"/>
      <c r="VTH1" s="1755"/>
      <c r="VTI1" s="1755"/>
      <c r="VTJ1" s="1755"/>
      <c r="VTK1" s="1755"/>
      <c r="VTL1" s="1755"/>
      <c r="VTM1" s="1755"/>
      <c r="VTN1" s="1755"/>
      <c r="VTO1" s="1755"/>
      <c r="VTP1" s="1755"/>
      <c r="VTQ1" s="1755"/>
      <c r="VTR1" s="1755"/>
      <c r="VTS1" s="1755"/>
      <c r="VTT1" s="1755"/>
      <c r="VTU1" s="1755"/>
      <c r="VTV1" s="1755"/>
      <c r="VTW1" s="1755"/>
      <c r="VTX1" s="1755"/>
      <c r="VTY1" s="1755"/>
      <c r="VTZ1" s="1755"/>
      <c r="VUA1" s="1755"/>
      <c r="VUB1" s="1755"/>
      <c r="VUC1" s="1755"/>
      <c r="VUD1" s="1755"/>
      <c r="VUE1" s="1755"/>
      <c r="VUF1" s="1755"/>
      <c r="VUG1" s="1755"/>
      <c r="VUH1" s="1755"/>
      <c r="VUI1" s="1755"/>
      <c r="VUJ1" s="1755"/>
      <c r="VUK1" s="1755"/>
      <c r="VUL1" s="1755"/>
      <c r="VUM1" s="1755"/>
      <c r="VUN1" s="1755"/>
      <c r="VUO1" s="1755"/>
      <c r="VUP1" s="1755"/>
      <c r="VUQ1" s="1755"/>
      <c r="VUR1" s="1755"/>
      <c r="VUS1" s="1755"/>
      <c r="VUT1" s="1755"/>
      <c r="VUU1" s="1755"/>
      <c r="VUV1" s="1755"/>
      <c r="VUW1" s="1755"/>
      <c r="VUX1" s="1755"/>
      <c r="VUY1" s="1755"/>
      <c r="VUZ1" s="1755"/>
      <c r="VVA1" s="1755"/>
      <c r="VVB1" s="1755"/>
      <c r="VVC1" s="1755"/>
      <c r="VVD1" s="1755"/>
      <c r="VVE1" s="1755"/>
      <c r="VVF1" s="1755"/>
      <c r="VVG1" s="1755"/>
      <c r="VVH1" s="1755"/>
      <c r="VVI1" s="1755"/>
      <c r="VVJ1" s="1755"/>
      <c r="VVK1" s="1755"/>
      <c r="VVL1" s="1755"/>
      <c r="VVM1" s="1755"/>
      <c r="VVN1" s="1755"/>
      <c r="VVO1" s="1755"/>
      <c r="VVP1" s="1755"/>
      <c r="VVQ1" s="1755"/>
      <c r="VVR1" s="1755"/>
      <c r="VVS1" s="1755"/>
      <c r="VVT1" s="1755"/>
      <c r="VVU1" s="1755"/>
      <c r="VVV1" s="1755"/>
      <c r="VVW1" s="1755"/>
      <c r="VVX1" s="1755"/>
      <c r="VVY1" s="1755"/>
      <c r="VVZ1" s="1755"/>
      <c r="VWA1" s="1755"/>
      <c r="VWB1" s="1755"/>
      <c r="VWC1" s="1755"/>
      <c r="VWD1" s="1755"/>
      <c r="VWE1" s="1755"/>
      <c r="VWF1" s="1755"/>
      <c r="VWG1" s="1755"/>
      <c r="VWH1" s="1755"/>
      <c r="VWI1" s="1755"/>
      <c r="VWJ1" s="1755"/>
      <c r="VWK1" s="1755"/>
      <c r="VWL1" s="1755"/>
      <c r="VWM1" s="1755"/>
      <c r="VWN1" s="1755"/>
      <c r="VWO1" s="1755"/>
      <c r="VWP1" s="1755"/>
      <c r="VWQ1" s="1755"/>
      <c r="VWR1" s="1755"/>
      <c r="VWS1" s="1755"/>
      <c r="VWT1" s="1755"/>
      <c r="VWU1" s="1755"/>
      <c r="VWV1" s="1755"/>
      <c r="VWW1" s="1755"/>
      <c r="VWX1" s="1755"/>
      <c r="VWY1" s="1755"/>
      <c r="VWZ1" s="1755"/>
      <c r="VXA1" s="1755"/>
      <c r="VXB1" s="1755"/>
      <c r="VXC1" s="1755"/>
      <c r="VXD1" s="1755"/>
      <c r="VXE1" s="1755"/>
      <c r="VXF1" s="1755"/>
      <c r="VXG1" s="1755"/>
      <c r="VXH1" s="1755"/>
      <c r="VXI1" s="1755"/>
      <c r="VXJ1" s="1755"/>
      <c r="VXK1" s="1755"/>
      <c r="VXL1" s="1755"/>
      <c r="VXM1" s="1755"/>
      <c r="VXN1" s="1755"/>
      <c r="VXO1" s="1755"/>
      <c r="VXP1" s="1755"/>
      <c r="VXQ1" s="1755"/>
      <c r="VXR1" s="1755"/>
      <c r="VXS1" s="1755"/>
      <c r="VXT1" s="1755"/>
      <c r="VXU1" s="1755"/>
      <c r="VXV1" s="1755"/>
      <c r="VXW1" s="1755"/>
      <c r="VXX1" s="1755"/>
      <c r="VXY1" s="1755"/>
      <c r="VXZ1" s="1755"/>
      <c r="VYA1" s="1755"/>
      <c r="VYB1" s="1755"/>
      <c r="VYC1" s="1755"/>
      <c r="VYD1" s="1755"/>
      <c r="VYE1" s="1755"/>
      <c r="VYF1" s="1755"/>
      <c r="VYG1" s="1755"/>
      <c r="VYH1" s="1755"/>
      <c r="VYI1" s="1755"/>
      <c r="VYJ1" s="1755"/>
      <c r="VYK1" s="1755"/>
      <c r="VYL1" s="1755"/>
      <c r="VYM1" s="1755"/>
      <c r="VYN1" s="1755"/>
      <c r="VYO1" s="1755"/>
      <c r="VYP1" s="1755"/>
      <c r="VYQ1" s="1755"/>
      <c r="VYR1" s="1755"/>
      <c r="VYS1" s="1755"/>
      <c r="VYT1" s="1755"/>
      <c r="VYU1" s="1755"/>
      <c r="VYV1" s="1755"/>
      <c r="VYW1" s="1755"/>
      <c r="VYX1" s="1755"/>
      <c r="VYY1" s="1755"/>
      <c r="VYZ1" s="1755"/>
      <c r="VZA1" s="1755"/>
      <c r="VZB1" s="1755"/>
      <c r="VZC1" s="1755"/>
      <c r="VZD1" s="1755"/>
      <c r="VZE1" s="1755"/>
      <c r="VZF1" s="1755"/>
      <c r="VZG1" s="1755"/>
      <c r="VZH1" s="1755"/>
      <c r="VZI1" s="1755"/>
      <c r="VZJ1" s="1755"/>
      <c r="VZK1" s="1755"/>
      <c r="VZL1" s="1755"/>
      <c r="VZM1" s="1755"/>
      <c r="VZN1" s="1755"/>
      <c r="VZO1" s="1755"/>
      <c r="VZP1" s="1755"/>
      <c r="VZQ1" s="1755"/>
      <c r="VZR1" s="1755"/>
      <c r="VZS1" s="1755"/>
      <c r="VZT1" s="1755"/>
      <c r="VZU1" s="1755"/>
      <c r="VZV1" s="1755"/>
      <c r="VZW1" s="1755"/>
      <c r="VZX1" s="1755"/>
      <c r="VZY1" s="1755"/>
      <c r="VZZ1" s="1755"/>
      <c r="WAA1" s="1755"/>
      <c r="WAB1" s="1755"/>
      <c r="WAC1" s="1755"/>
      <c r="WAD1" s="1755"/>
      <c r="WAE1" s="1755"/>
      <c r="WAF1" s="1755"/>
      <c r="WAG1" s="1755"/>
      <c r="WAH1" s="1755"/>
      <c r="WAI1" s="1755"/>
      <c r="WAJ1" s="1755"/>
      <c r="WAK1" s="1755"/>
      <c r="WAL1" s="1755"/>
      <c r="WAM1" s="1755"/>
      <c r="WAN1" s="1755"/>
      <c r="WAO1" s="1755"/>
      <c r="WAP1" s="1755"/>
      <c r="WAQ1" s="1755"/>
      <c r="WAR1" s="1755"/>
      <c r="WAS1" s="1755"/>
      <c r="WAT1" s="1755"/>
      <c r="WAU1" s="1755"/>
      <c r="WAV1" s="1755"/>
      <c r="WAW1" s="1755"/>
      <c r="WAX1" s="1755"/>
      <c r="WAY1" s="1755"/>
      <c r="WAZ1" s="1755"/>
      <c r="WBA1" s="1755"/>
      <c r="WBB1" s="1755"/>
      <c r="WBC1" s="1755"/>
      <c r="WBD1" s="1755"/>
      <c r="WBE1" s="1755"/>
      <c r="WBF1" s="1755"/>
      <c r="WBG1" s="1755"/>
      <c r="WBH1" s="1755"/>
      <c r="WBI1" s="1755"/>
      <c r="WBJ1" s="1755"/>
      <c r="WBK1" s="1755"/>
      <c r="WBL1" s="1755"/>
      <c r="WBM1" s="1755"/>
      <c r="WBN1" s="1755"/>
      <c r="WBO1" s="1755"/>
      <c r="WBP1" s="1755"/>
      <c r="WBQ1" s="1755"/>
      <c r="WBR1" s="1755"/>
      <c r="WBS1" s="1755"/>
      <c r="WBT1" s="1755"/>
      <c r="WBU1" s="1755"/>
      <c r="WBV1" s="1755"/>
      <c r="WBW1" s="1755"/>
      <c r="WBX1" s="1755"/>
      <c r="WBY1" s="1755"/>
      <c r="WBZ1" s="1755"/>
      <c r="WCA1" s="1755"/>
      <c r="WCB1" s="1755"/>
      <c r="WCC1" s="1755"/>
      <c r="WCD1" s="1755"/>
      <c r="WCE1" s="1755"/>
      <c r="WCF1" s="1755"/>
      <c r="WCG1" s="1755"/>
      <c r="WCH1" s="1755"/>
      <c r="WCI1" s="1755"/>
      <c r="WCJ1" s="1755"/>
      <c r="WCK1" s="1755"/>
      <c r="WCL1" s="1755"/>
      <c r="WCM1" s="1755"/>
      <c r="WCN1" s="1755"/>
      <c r="WCO1" s="1755"/>
      <c r="WCP1" s="1755"/>
      <c r="WCQ1" s="1755"/>
      <c r="WCR1" s="1755"/>
      <c r="WCS1" s="1755"/>
      <c r="WCT1" s="1755"/>
      <c r="WCU1" s="1755"/>
      <c r="WCV1" s="1755"/>
      <c r="WCW1" s="1755"/>
      <c r="WCX1" s="1755"/>
      <c r="WCY1" s="1755"/>
      <c r="WCZ1" s="1755"/>
      <c r="WDA1" s="1755"/>
      <c r="WDB1" s="1755"/>
      <c r="WDC1" s="1755"/>
      <c r="WDD1" s="1755"/>
      <c r="WDE1" s="1755"/>
      <c r="WDF1" s="1755"/>
      <c r="WDG1" s="1755"/>
      <c r="WDH1" s="1755"/>
      <c r="WDI1" s="1755"/>
      <c r="WDJ1" s="1755"/>
      <c r="WDK1" s="1755"/>
      <c r="WDL1" s="1755"/>
      <c r="WDM1" s="1755"/>
      <c r="WDN1" s="1755"/>
      <c r="WDO1" s="1755"/>
      <c r="WDP1" s="1755"/>
      <c r="WDQ1" s="1755"/>
      <c r="WDR1" s="1755"/>
      <c r="WDS1" s="1755"/>
      <c r="WDT1" s="1755"/>
      <c r="WDU1" s="1755"/>
      <c r="WDV1" s="1755"/>
      <c r="WDW1" s="1755"/>
      <c r="WDX1" s="1755"/>
      <c r="WDY1" s="1755"/>
      <c r="WDZ1" s="1755"/>
      <c r="WEA1" s="1755"/>
      <c r="WEB1" s="1755"/>
      <c r="WEC1" s="1755"/>
      <c r="WED1" s="1755"/>
      <c r="WEE1" s="1755"/>
      <c r="WEF1" s="1755"/>
      <c r="WEG1" s="1755"/>
      <c r="WEH1" s="1755"/>
      <c r="WEI1" s="1755"/>
      <c r="WEJ1" s="1755"/>
      <c r="WEK1" s="1755"/>
      <c r="WEL1" s="1755"/>
      <c r="WEM1" s="1755"/>
      <c r="WEN1" s="1755"/>
      <c r="WEO1" s="1755"/>
      <c r="WEP1" s="1755"/>
      <c r="WEQ1" s="1755"/>
      <c r="WER1" s="1755"/>
      <c r="WES1" s="1755"/>
      <c r="WET1" s="1755"/>
      <c r="WEU1" s="1755"/>
      <c r="WEV1" s="1755"/>
      <c r="WEW1" s="1755"/>
      <c r="WEX1" s="1755"/>
      <c r="WEY1" s="1755"/>
      <c r="WEZ1" s="1755"/>
      <c r="WFA1" s="1755"/>
      <c r="WFB1" s="1755"/>
      <c r="WFC1" s="1755"/>
      <c r="WFD1" s="1755"/>
      <c r="WFE1" s="1755"/>
      <c r="WFF1" s="1755"/>
      <c r="WFG1" s="1755"/>
      <c r="WFH1" s="1755"/>
      <c r="WFI1" s="1755"/>
      <c r="WFJ1" s="1755"/>
      <c r="WFK1" s="1755"/>
      <c r="WFL1" s="1755"/>
      <c r="WFM1" s="1755"/>
      <c r="WFN1" s="1755"/>
      <c r="WFO1" s="1755"/>
      <c r="WFP1" s="1755"/>
      <c r="WFQ1" s="1755"/>
      <c r="WFR1" s="1755"/>
      <c r="WFS1" s="1755"/>
      <c r="WFT1" s="1755"/>
      <c r="WFU1" s="1755"/>
      <c r="WFV1" s="1755"/>
      <c r="WFW1" s="1755"/>
      <c r="WFX1" s="1755"/>
      <c r="WFY1" s="1755"/>
      <c r="WFZ1" s="1755"/>
      <c r="WGA1" s="1755"/>
      <c r="WGB1" s="1755"/>
      <c r="WGC1" s="1755"/>
      <c r="WGD1" s="1755"/>
      <c r="WGE1" s="1755"/>
      <c r="WGF1" s="1755"/>
      <c r="WGG1" s="1755"/>
      <c r="WGH1" s="1755"/>
      <c r="WGI1" s="1755"/>
      <c r="WGJ1" s="1755"/>
      <c r="WGK1" s="1755"/>
      <c r="WGL1" s="1755"/>
      <c r="WGM1" s="1755"/>
      <c r="WGN1" s="1755"/>
      <c r="WGO1" s="1755"/>
      <c r="WGP1" s="1755"/>
      <c r="WGQ1" s="1755"/>
      <c r="WGR1" s="1755"/>
      <c r="WGS1" s="1755"/>
      <c r="WGT1" s="1755"/>
      <c r="WGU1" s="1755"/>
      <c r="WGV1" s="1755"/>
      <c r="WGW1" s="1755"/>
      <c r="WGX1" s="1755"/>
      <c r="WGY1" s="1755"/>
      <c r="WGZ1" s="1755"/>
      <c r="WHA1" s="1755"/>
      <c r="WHB1" s="1755"/>
      <c r="WHC1" s="1755"/>
      <c r="WHD1" s="1755"/>
      <c r="WHE1" s="1755"/>
      <c r="WHF1" s="1755"/>
      <c r="WHG1" s="1755"/>
      <c r="WHH1" s="1755"/>
      <c r="WHI1" s="1755"/>
      <c r="WHJ1" s="1755"/>
      <c r="WHK1" s="1755"/>
      <c r="WHL1" s="1755"/>
      <c r="WHM1" s="1755"/>
      <c r="WHN1" s="1755"/>
      <c r="WHO1" s="1755"/>
      <c r="WHP1" s="1755"/>
      <c r="WHQ1" s="1755"/>
      <c r="WHR1" s="1755"/>
      <c r="WHS1" s="1755"/>
      <c r="WHT1" s="1755"/>
      <c r="WHU1" s="1755"/>
      <c r="WHV1" s="1755"/>
      <c r="WHW1" s="1755"/>
      <c r="WHX1" s="1755"/>
      <c r="WHY1" s="1755"/>
      <c r="WHZ1" s="1755"/>
      <c r="WIA1" s="1755"/>
      <c r="WIB1" s="1755"/>
      <c r="WIC1" s="1755"/>
      <c r="WID1" s="1755"/>
      <c r="WIE1" s="1755"/>
      <c r="WIF1" s="1755"/>
      <c r="WIG1" s="1755"/>
      <c r="WIH1" s="1755"/>
      <c r="WII1" s="1755"/>
      <c r="WIJ1" s="1755"/>
      <c r="WIK1" s="1755"/>
      <c r="WIL1" s="1755"/>
      <c r="WIM1" s="1755"/>
      <c r="WIN1" s="1755"/>
      <c r="WIO1" s="1755"/>
      <c r="WIP1" s="1755"/>
      <c r="WIQ1" s="1755"/>
      <c r="WIR1" s="1755"/>
      <c r="WIS1" s="1755"/>
      <c r="WIT1" s="1755"/>
      <c r="WIU1" s="1755"/>
      <c r="WIV1" s="1755"/>
      <c r="WIW1" s="1755"/>
      <c r="WIX1" s="1755"/>
      <c r="WIY1" s="1755"/>
      <c r="WIZ1" s="1755"/>
      <c r="WJA1" s="1755"/>
      <c r="WJB1" s="1755"/>
      <c r="WJC1" s="1755"/>
      <c r="WJD1" s="1755"/>
      <c r="WJE1" s="1755"/>
      <c r="WJF1" s="1755"/>
      <c r="WJG1" s="1755"/>
      <c r="WJH1" s="1755"/>
      <c r="WJI1" s="1755"/>
      <c r="WJJ1" s="1755"/>
      <c r="WJK1" s="1755"/>
      <c r="WJL1" s="1755"/>
      <c r="WJM1" s="1755"/>
      <c r="WJN1" s="1755"/>
      <c r="WJO1" s="1755"/>
      <c r="WJP1" s="1755"/>
      <c r="WJQ1" s="1755"/>
      <c r="WJR1" s="1755"/>
      <c r="WJS1" s="1755"/>
      <c r="WJT1" s="1755"/>
      <c r="WJU1" s="1755"/>
      <c r="WJV1" s="1755"/>
      <c r="WJW1" s="1755"/>
      <c r="WJX1" s="1755"/>
      <c r="WJY1" s="1755"/>
      <c r="WJZ1" s="1755"/>
      <c r="WKA1" s="1755"/>
      <c r="WKB1" s="1755"/>
      <c r="WKC1" s="1755"/>
      <c r="WKD1" s="1755"/>
      <c r="WKE1" s="1755"/>
      <c r="WKF1" s="1755"/>
      <c r="WKG1" s="1755"/>
      <c r="WKH1" s="1755"/>
      <c r="WKI1" s="1755"/>
      <c r="WKJ1" s="1755"/>
      <c r="WKK1" s="1755"/>
      <c r="WKL1" s="1755"/>
      <c r="WKM1" s="1755"/>
      <c r="WKN1" s="1755"/>
      <c r="WKO1" s="1755"/>
      <c r="WKP1" s="1755"/>
      <c r="WKQ1" s="1755"/>
      <c r="WKR1" s="1755"/>
      <c r="WKS1" s="1755"/>
      <c r="WKT1" s="1755"/>
      <c r="WKU1" s="1755"/>
      <c r="WKV1" s="1755"/>
      <c r="WKW1" s="1755"/>
      <c r="WKX1" s="1755"/>
      <c r="WKY1" s="1755"/>
      <c r="WKZ1" s="1755"/>
      <c r="WLA1" s="1755"/>
      <c r="WLB1" s="1755"/>
      <c r="WLC1" s="1755"/>
      <c r="WLD1" s="1755"/>
      <c r="WLE1" s="1755"/>
      <c r="WLF1" s="1755"/>
      <c r="WLG1" s="1755"/>
      <c r="WLH1" s="1755"/>
      <c r="WLI1" s="1755"/>
      <c r="WLJ1" s="1755"/>
      <c r="WLK1" s="1755"/>
      <c r="WLL1" s="1755"/>
      <c r="WLM1" s="1755"/>
      <c r="WLN1" s="1755"/>
      <c r="WLO1" s="1755"/>
      <c r="WLP1" s="1755"/>
      <c r="WLQ1" s="1755"/>
      <c r="WLR1" s="1755"/>
      <c r="WLS1" s="1755"/>
      <c r="WLT1" s="1755"/>
      <c r="WLU1" s="1755"/>
      <c r="WLV1" s="1755"/>
      <c r="WLW1" s="1755"/>
      <c r="WLX1" s="1755"/>
      <c r="WLY1" s="1755"/>
      <c r="WLZ1" s="1755"/>
      <c r="WMA1" s="1755"/>
      <c r="WMB1" s="1755"/>
      <c r="WMC1" s="1755"/>
      <c r="WMD1" s="1755"/>
      <c r="WME1" s="1755"/>
      <c r="WMF1" s="1755"/>
      <c r="WMG1" s="1755"/>
      <c r="WMH1" s="1755"/>
      <c r="WMI1" s="1755"/>
      <c r="WMJ1" s="1755"/>
      <c r="WMK1" s="1755"/>
      <c r="WML1" s="1755"/>
      <c r="WMM1" s="1755"/>
      <c r="WMN1" s="1755"/>
      <c r="WMO1" s="1755"/>
      <c r="WMP1" s="1755"/>
      <c r="WMQ1" s="1755"/>
      <c r="WMR1" s="1755"/>
      <c r="WMS1" s="1755"/>
      <c r="WMT1" s="1755"/>
      <c r="WMU1" s="1755"/>
      <c r="WMV1" s="1755"/>
      <c r="WMW1" s="1755"/>
      <c r="WMX1" s="1755"/>
      <c r="WMY1" s="1755"/>
      <c r="WMZ1" s="1755"/>
      <c r="WNA1" s="1755"/>
      <c r="WNB1" s="1755"/>
      <c r="WNC1" s="1755"/>
      <c r="WND1" s="1755"/>
      <c r="WNE1" s="1755"/>
      <c r="WNF1" s="1755"/>
      <c r="WNG1" s="1755"/>
      <c r="WNH1" s="1755"/>
      <c r="WNI1" s="1755"/>
      <c r="WNJ1" s="1755"/>
      <c r="WNK1" s="1755"/>
      <c r="WNL1" s="1755"/>
      <c r="WNM1" s="1755"/>
      <c r="WNN1" s="1755"/>
      <c r="WNO1" s="1755"/>
      <c r="WNP1" s="1755"/>
      <c r="WNQ1" s="1755"/>
      <c r="WNR1" s="1755"/>
      <c r="WNS1" s="1755"/>
      <c r="WNT1" s="1755"/>
      <c r="WNU1" s="1755"/>
      <c r="WNV1" s="1755"/>
      <c r="WNW1" s="1755"/>
      <c r="WNX1" s="1755"/>
      <c r="WNY1" s="1755"/>
      <c r="WNZ1" s="1755"/>
      <c r="WOA1" s="1755"/>
      <c r="WOB1" s="1755"/>
      <c r="WOC1" s="1755"/>
      <c r="WOD1" s="1755"/>
      <c r="WOE1" s="1755"/>
      <c r="WOF1" s="1755"/>
      <c r="WOG1" s="1755"/>
      <c r="WOH1" s="1755"/>
      <c r="WOI1" s="1755"/>
      <c r="WOJ1" s="1755"/>
      <c r="WOK1" s="1755"/>
      <c r="WOL1" s="1755"/>
      <c r="WOM1" s="1755"/>
      <c r="WON1" s="1755"/>
      <c r="WOO1" s="1755"/>
      <c r="WOP1" s="1755"/>
      <c r="WOQ1" s="1755"/>
      <c r="WOR1" s="1755"/>
      <c r="WOS1" s="1755"/>
      <c r="WOT1" s="1755"/>
      <c r="WOU1" s="1755"/>
      <c r="WOV1" s="1755"/>
      <c r="WOW1" s="1755"/>
      <c r="WOX1" s="1755"/>
      <c r="WOY1" s="1755"/>
      <c r="WOZ1" s="1755"/>
      <c r="WPA1" s="1755"/>
      <c r="WPB1" s="1755"/>
      <c r="WPC1" s="1755"/>
      <c r="WPD1" s="1755"/>
      <c r="WPE1" s="1755"/>
      <c r="WPF1" s="1755"/>
      <c r="WPG1" s="1755"/>
      <c r="WPH1" s="1755"/>
      <c r="WPI1" s="1755"/>
      <c r="WPJ1" s="1755"/>
      <c r="WPK1" s="1755"/>
      <c r="WPL1" s="1755"/>
      <c r="WPM1" s="1755"/>
      <c r="WPN1" s="1755"/>
      <c r="WPO1" s="1755"/>
      <c r="WPP1" s="1755"/>
      <c r="WPQ1" s="1755"/>
      <c r="WPR1" s="1755"/>
      <c r="WPS1" s="1755"/>
      <c r="WPT1" s="1755"/>
      <c r="WPU1" s="1755"/>
      <c r="WPV1" s="1755"/>
      <c r="WPW1" s="1755"/>
      <c r="WPX1" s="1755"/>
      <c r="WPY1" s="1755"/>
      <c r="WPZ1" s="1755"/>
      <c r="WQA1" s="1755"/>
      <c r="WQB1" s="1755"/>
      <c r="WQC1" s="1755"/>
      <c r="WQD1" s="1755"/>
      <c r="WQE1" s="1755"/>
      <c r="WQF1" s="1755"/>
      <c r="WQG1" s="1755"/>
      <c r="WQH1" s="1755"/>
      <c r="WQI1" s="1755"/>
      <c r="WQJ1" s="1755"/>
      <c r="WQK1" s="1755"/>
      <c r="WQL1" s="1755"/>
      <c r="WQM1" s="1755"/>
      <c r="WQN1" s="1755"/>
      <c r="WQO1" s="1755"/>
      <c r="WQP1" s="1755"/>
      <c r="WQQ1" s="1755"/>
      <c r="WQR1" s="1755"/>
      <c r="WQS1" s="1755"/>
      <c r="WQT1" s="1755"/>
      <c r="WQU1" s="1755"/>
      <c r="WQV1" s="1755"/>
      <c r="WQW1" s="1755"/>
      <c r="WQX1" s="1755"/>
      <c r="WQY1" s="1755"/>
      <c r="WQZ1" s="1755"/>
      <c r="WRA1" s="1755"/>
      <c r="WRB1" s="1755"/>
      <c r="WRC1" s="1755"/>
      <c r="WRD1" s="1755"/>
      <c r="WRE1" s="1755"/>
      <c r="WRF1" s="1755"/>
      <c r="WRG1" s="1755"/>
      <c r="WRH1" s="1755"/>
      <c r="WRI1" s="1755"/>
      <c r="WRJ1" s="1755"/>
      <c r="WRK1" s="1755"/>
      <c r="WRL1" s="1755"/>
      <c r="WRM1" s="1755"/>
      <c r="WRN1" s="1755"/>
      <c r="WRO1" s="1755"/>
      <c r="WRP1" s="1755"/>
      <c r="WRQ1" s="1755"/>
      <c r="WRR1" s="1755"/>
      <c r="WRS1" s="1755"/>
      <c r="WRT1" s="1755"/>
      <c r="WRU1" s="1755"/>
      <c r="WRV1" s="1755"/>
      <c r="WRW1" s="1755"/>
      <c r="WRX1" s="1755"/>
      <c r="WRY1" s="1755"/>
      <c r="WRZ1" s="1755"/>
      <c r="WSA1" s="1755"/>
      <c r="WSB1" s="1755"/>
      <c r="WSC1" s="1755"/>
      <c r="WSD1" s="1755"/>
      <c r="WSE1" s="1755"/>
      <c r="WSF1" s="1755"/>
      <c r="WSG1" s="1755"/>
      <c r="WSH1" s="1755"/>
      <c r="WSI1" s="1755"/>
      <c r="WSJ1" s="1755"/>
      <c r="WSK1" s="1755"/>
      <c r="WSL1" s="1755"/>
      <c r="WSM1" s="1755"/>
      <c r="WSN1" s="1755"/>
      <c r="WSO1" s="1755"/>
      <c r="WSP1" s="1755"/>
      <c r="WSQ1" s="1755"/>
      <c r="WSR1" s="1755"/>
      <c r="WSS1" s="1755"/>
      <c r="WST1" s="1755"/>
      <c r="WSU1" s="1755"/>
      <c r="WSV1" s="1755"/>
      <c r="WSW1" s="1755"/>
      <c r="WSX1" s="1755"/>
      <c r="WSY1" s="1755"/>
      <c r="WSZ1" s="1755"/>
      <c r="WTA1" s="1755"/>
      <c r="WTB1" s="1755"/>
      <c r="WTC1" s="1755"/>
      <c r="WTD1" s="1755"/>
      <c r="WTE1" s="1755"/>
      <c r="WTF1" s="1755"/>
      <c r="WTG1" s="1755"/>
      <c r="WTH1" s="1755"/>
      <c r="WTI1" s="1755"/>
      <c r="WTJ1" s="1755"/>
      <c r="WTK1" s="1755"/>
      <c r="WTL1" s="1755"/>
      <c r="WTM1" s="1755"/>
      <c r="WTN1" s="1755"/>
      <c r="WTO1" s="1755"/>
      <c r="WTP1" s="1755"/>
      <c r="WTQ1" s="1755"/>
      <c r="WTR1" s="1755"/>
      <c r="WTS1" s="1755"/>
      <c r="WTT1" s="1755"/>
      <c r="WTU1" s="1755"/>
      <c r="WTV1" s="1755"/>
      <c r="WTW1" s="1755"/>
      <c r="WTX1" s="1755"/>
      <c r="WTY1" s="1755"/>
      <c r="WTZ1" s="1755"/>
      <c r="WUA1" s="1755"/>
      <c r="WUB1" s="1755"/>
      <c r="WUC1" s="1755"/>
      <c r="WUD1" s="1755"/>
      <c r="WUE1" s="1755"/>
      <c r="WUF1" s="1755"/>
      <c r="WUG1" s="1755"/>
      <c r="WUH1" s="1755"/>
      <c r="WUI1" s="1755"/>
      <c r="WUJ1" s="1755"/>
      <c r="WUK1" s="1755"/>
      <c r="WUL1" s="1755"/>
      <c r="WUM1" s="1755"/>
      <c r="WUN1" s="1755"/>
      <c r="WUO1" s="1755"/>
      <c r="WUP1" s="1755"/>
      <c r="WUQ1" s="1755"/>
      <c r="WUR1" s="1755"/>
      <c r="WUS1" s="1755"/>
      <c r="WUT1" s="1755"/>
      <c r="WUU1" s="1755"/>
      <c r="WUV1" s="1755"/>
      <c r="WUW1" s="1755"/>
      <c r="WUX1" s="1755"/>
      <c r="WUY1" s="1755"/>
      <c r="WUZ1" s="1755"/>
      <c r="WVA1" s="1755"/>
      <c r="WVB1" s="1755"/>
      <c r="WVC1" s="1755"/>
      <c r="WVD1" s="1755"/>
      <c r="WVE1" s="1755"/>
      <c r="WVF1" s="1755"/>
      <c r="WVG1" s="1755"/>
      <c r="WVH1" s="1755"/>
      <c r="WVI1" s="1755"/>
      <c r="WVJ1" s="1755"/>
      <c r="WVK1" s="1755"/>
      <c r="WVL1" s="1755"/>
      <c r="WVM1" s="1755"/>
      <c r="WVN1" s="1755"/>
      <c r="WVO1" s="1755"/>
      <c r="WVP1" s="1755"/>
      <c r="WVQ1" s="1755"/>
      <c r="WVR1" s="1755"/>
      <c r="WVS1" s="1755"/>
      <c r="WVT1" s="1755"/>
      <c r="WVU1" s="1755"/>
      <c r="WVV1" s="1755"/>
      <c r="WVW1" s="1755"/>
      <c r="WVX1" s="1755"/>
      <c r="WVY1" s="1755"/>
      <c r="WVZ1" s="1755"/>
      <c r="WWA1" s="1755"/>
      <c r="WWB1" s="1755"/>
      <c r="WWC1" s="1755"/>
      <c r="WWD1" s="1755"/>
      <c r="WWE1" s="1755"/>
      <c r="WWF1" s="1755"/>
      <c r="WWG1" s="1755"/>
      <c r="WWH1" s="1755"/>
      <c r="WWI1" s="1755"/>
      <c r="WWJ1" s="1755"/>
      <c r="WWK1" s="1755"/>
      <c r="WWL1" s="1755"/>
      <c r="WWM1" s="1755"/>
      <c r="WWN1" s="1755"/>
      <c r="WWO1" s="1755"/>
      <c r="WWP1" s="1755"/>
      <c r="WWQ1" s="1755"/>
      <c r="WWR1" s="1755"/>
      <c r="WWS1" s="1755"/>
      <c r="WWT1" s="1755"/>
      <c r="WWU1" s="1755"/>
      <c r="WWV1" s="1755"/>
      <c r="WWW1" s="1755"/>
      <c r="WWX1" s="1755"/>
      <c r="WWY1" s="1755"/>
      <c r="WWZ1" s="1755"/>
      <c r="WXA1" s="1755"/>
      <c r="WXB1" s="1755"/>
      <c r="WXC1" s="1755"/>
      <c r="WXD1" s="1755"/>
      <c r="WXE1" s="1755"/>
      <c r="WXF1" s="1755"/>
      <c r="WXG1" s="1755"/>
      <c r="WXH1" s="1755"/>
      <c r="WXI1" s="1755"/>
      <c r="WXJ1" s="1755"/>
      <c r="WXK1" s="1755"/>
      <c r="WXL1" s="1755"/>
      <c r="WXM1" s="1755"/>
      <c r="WXN1" s="1755"/>
      <c r="WXO1" s="1755"/>
      <c r="WXP1" s="1755"/>
      <c r="WXQ1" s="1755"/>
      <c r="WXR1" s="1755"/>
      <c r="WXS1" s="1755"/>
      <c r="WXT1" s="1755"/>
      <c r="WXU1" s="1755"/>
      <c r="WXV1" s="1755"/>
      <c r="WXW1" s="1755"/>
      <c r="WXX1" s="1755"/>
      <c r="WXY1" s="1755"/>
      <c r="WXZ1" s="1755"/>
      <c r="WYA1" s="1755"/>
      <c r="WYB1" s="1755"/>
      <c r="WYC1" s="1755"/>
      <c r="WYD1" s="1755"/>
      <c r="WYE1" s="1755"/>
      <c r="WYF1" s="1755"/>
      <c r="WYG1" s="1755"/>
      <c r="WYH1" s="1755"/>
      <c r="WYI1" s="1755"/>
      <c r="WYJ1" s="1755"/>
      <c r="WYK1" s="1755"/>
      <c r="WYL1" s="1755"/>
      <c r="WYM1" s="1755"/>
      <c r="WYN1" s="1755"/>
      <c r="WYO1" s="1755"/>
      <c r="WYP1" s="1755"/>
      <c r="WYQ1" s="1755"/>
      <c r="WYR1" s="1755"/>
      <c r="WYS1" s="1755"/>
      <c r="WYT1" s="1755"/>
      <c r="WYU1" s="1755"/>
      <c r="WYV1" s="1755"/>
      <c r="WYW1" s="1755"/>
      <c r="WYX1" s="1755"/>
      <c r="WYY1" s="1755"/>
      <c r="WYZ1" s="1755"/>
      <c r="WZA1" s="1755"/>
      <c r="WZB1" s="1755"/>
      <c r="WZC1" s="1755"/>
      <c r="WZD1" s="1755"/>
      <c r="WZE1" s="1755"/>
      <c r="WZF1" s="1755"/>
      <c r="WZG1" s="1755"/>
      <c r="WZH1" s="1755"/>
      <c r="WZI1" s="1755"/>
      <c r="WZJ1" s="1755"/>
      <c r="WZK1" s="1755"/>
      <c r="WZL1" s="1755"/>
      <c r="WZM1" s="1755"/>
      <c r="WZN1" s="1755"/>
      <c r="WZO1" s="1755"/>
      <c r="WZP1" s="1755"/>
      <c r="WZQ1" s="1755"/>
      <c r="WZR1" s="1755"/>
      <c r="WZS1" s="1755"/>
      <c r="WZT1" s="1755"/>
      <c r="WZU1" s="1755"/>
      <c r="WZV1" s="1755"/>
      <c r="WZW1" s="1755"/>
      <c r="WZX1" s="1755"/>
      <c r="WZY1" s="1755"/>
      <c r="WZZ1" s="1755"/>
      <c r="XAA1" s="1755"/>
      <c r="XAB1" s="1755"/>
      <c r="XAC1" s="1755"/>
      <c r="XAD1" s="1755"/>
      <c r="XAE1" s="1755"/>
      <c r="XAF1" s="1755"/>
      <c r="XAG1" s="1755"/>
      <c r="XAH1" s="1755"/>
      <c r="XAI1" s="1755"/>
      <c r="XAJ1" s="1755"/>
      <c r="XAK1" s="1755"/>
      <c r="XAL1" s="1755"/>
      <c r="XAM1" s="1755"/>
      <c r="XAN1" s="1755"/>
      <c r="XAO1" s="1755"/>
      <c r="XAP1" s="1755"/>
      <c r="XAQ1" s="1755"/>
      <c r="XAR1" s="1755"/>
      <c r="XAS1" s="1755"/>
      <c r="XAT1" s="1755"/>
      <c r="XAU1" s="1755"/>
      <c r="XAV1" s="1755"/>
      <c r="XAW1" s="1755"/>
      <c r="XAX1" s="1755"/>
      <c r="XAY1" s="1755"/>
      <c r="XAZ1" s="1755"/>
      <c r="XBA1" s="1755"/>
      <c r="XBB1" s="1755"/>
      <c r="XBC1" s="1755"/>
      <c r="XBD1" s="1755"/>
      <c r="XBE1" s="1755"/>
      <c r="XBF1" s="1755"/>
      <c r="XBG1" s="1755"/>
      <c r="XBH1" s="1755"/>
      <c r="XBI1" s="1755"/>
      <c r="XBJ1" s="1755"/>
      <c r="XBK1" s="1755"/>
      <c r="XBL1" s="1755"/>
      <c r="XBM1" s="1755"/>
      <c r="XBN1" s="1755"/>
      <c r="XBO1" s="1755"/>
      <c r="XBP1" s="1755"/>
      <c r="XBQ1" s="1755"/>
      <c r="XBR1" s="1755"/>
      <c r="XBS1" s="1755"/>
      <c r="XBT1" s="1755"/>
      <c r="XBU1" s="1755"/>
      <c r="XBV1" s="1755"/>
      <c r="XBW1" s="1755"/>
      <c r="XBX1" s="1755"/>
      <c r="XBY1" s="1755"/>
      <c r="XBZ1" s="1755"/>
      <c r="XCA1" s="1755"/>
      <c r="XCB1" s="1755"/>
      <c r="XCC1" s="1755"/>
      <c r="XCD1" s="1755"/>
      <c r="XCE1" s="1755"/>
      <c r="XCF1" s="1755"/>
      <c r="XCG1" s="1755"/>
      <c r="XCH1" s="1755"/>
      <c r="XCI1" s="1755"/>
      <c r="XCJ1" s="1755"/>
      <c r="XCK1" s="1755"/>
      <c r="XCL1" s="1755"/>
      <c r="XCM1" s="1755"/>
      <c r="XCN1" s="1755"/>
      <c r="XCO1" s="1755"/>
      <c r="XCP1" s="1755"/>
      <c r="XCQ1" s="1755"/>
      <c r="XCR1" s="1755"/>
      <c r="XCS1" s="1755"/>
      <c r="XCT1" s="1755"/>
      <c r="XCU1" s="1755"/>
      <c r="XCV1" s="1755"/>
      <c r="XCW1" s="1755"/>
      <c r="XCX1" s="1755"/>
      <c r="XCY1" s="1755"/>
      <c r="XCZ1" s="1755"/>
      <c r="XDA1" s="1755"/>
      <c r="XDB1" s="1755"/>
      <c r="XDC1" s="1755"/>
      <c r="XDD1" s="1755"/>
      <c r="XDE1" s="1755"/>
      <c r="XDF1" s="1755"/>
      <c r="XDG1" s="1755"/>
      <c r="XDH1" s="1755"/>
      <c r="XDI1" s="1755"/>
      <c r="XDJ1" s="1755"/>
      <c r="XDK1" s="1755"/>
      <c r="XDL1" s="1755"/>
      <c r="XDM1" s="1755"/>
      <c r="XDN1" s="1755"/>
      <c r="XDO1" s="1755"/>
      <c r="XDP1" s="1755"/>
      <c r="XDQ1" s="1755"/>
      <c r="XDR1" s="1755"/>
      <c r="XDS1" s="1755"/>
      <c r="XDT1" s="1755"/>
      <c r="XDU1" s="1755"/>
      <c r="XDV1" s="1755"/>
      <c r="XDW1" s="1755"/>
      <c r="XDX1" s="1755"/>
      <c r="XDY1" s="1755"/>
      <c r="XDZ1" s="1755"/>
      <c r="XEA1" s="1755"/>
      <c r="XEB1" s="1755"/>
      <c r="XEC1" s="1755"/>
      <c r="XED1" s="1755"/>
      <c r="XEE1" s="1755"/>
      <c r="XEF1" s="1755"/>
      <c r="XEG1" s="1755"/>
      <c r="XEH1" s="1755"/>
      <c r="XEI1" s="1755"/>
      <c r="XEJ1" s="1755"/>
      <c r="XEK1" s="1755"/>
      <c r="XEL1" s="1755"/>
      <c r="XEM1" s="1755"/>
      <c r="XEN1" s="1755"/>
      <c r="XEO1" s="1755"/>
      <c r="XEP1" s="1755"/>
      <c r="XEQ1" s="1755"/>
      <c r="XER1" s="1755"/>
      <c r="XES1" s="1755"/>
      <c r="XET1" s="1755"/>
      <c r="XEU1" s="1755"/>
      <c r="XEV1" s="1755"/>
      <c r="XEW1" s="1755"/>
      <c r="XEX1" s="1755"/>
      <c r="XEY1" s="1755"/>
      <c r="XEZ1" s="1755"/>
    </row>
    <row r="2" spans="1:16380" ht="25.5" customHeight="1">
      <c r="A2" s="2144" t="s">
        <v>3295</v>
      </c>
      <c r="B2" s="2144"/>
      <c r="C2" s="2144"/>
      <c r="D2" s="2144"/>
      <c r="E2" s="2144"/>
      <c r="F2" s="2144"/>
      <c r="G2" s="2144"/>
      <c r="H2" s="2144"/>
      <c r="I2" s="2144"/>
      <c r="J2" s="2144"/>
      <c r="K2" s="2144"/>
      <c r="L2" s="2144"/>
    </row>
    <row r="4" spans="1:16380" s="1778" customFormat="1" ht="26.25" customHeight="1">
      <c r="A4" s="2146" t="s">
        <v>0</v>
      </c>
      <c r="B4" s="2141" t="s">
        <v>3795</v>
      </c>
      <c r="C4" s="2142"/>
      <c r="D4" s="2142"/>
      <c r="E4" s="2142"/>
      <c r="F4" s="2142"/>
      <c r="G4" s="2142"/>
      <c r="H4" s="2145"/>
      <c r="I4" s="2148" t="s">
        <v>3796</v>
      </c>
      <c r="J4" s="2148"/>
      <c r="K4" s="2148"/>
      <c r="L4" s="2148"/>
    </row>
    <row r="5" spans="1:16380" s="1778" customFormat="1" ht="21" customHeight="1">
      <c r="A5" s="2147"/>
      <c r="B5" s="1734">
        <v>2008</v>
      </c>
      <c r="C5" s="1734">
        <v>2009</v>
      </c>
      <c r="D5" s="1734">
        <v>2010</v>
      </c>
      <c r="E5" s="1734">
        <v>2011</v>
      </c>
      <c r="F5" s="1734">
        <v>2012</v>
      </c>
      <c r="G5" s="1734">
        <v>2013</v>
      </c>
      <c r="H5" s="1734">
        <v>2014</v>
      </c>
      <c r="I5" s="1734">
        <v>2008</v>
      </c>
      <c r="J5" s="1734">
        <v>2010</v>
      </c>
      <c r="K5" s="1734">
        <v>2012</v>
      </c>
      <c r="L5" s="1734">
        <v>2014</v>
      </c>
    </row>
    <row r="6" spans="1:16380" s="1755" customFormat="1" ht="11.25">
      <c r="A6" s="1755" t="s">
        <v>679</v>
      </c>
      <c r="B6" s="1779">
        <f>SUM(B7:B21)</f>
        <v>20</v>
      </c>
      <c r="C6" s="1779">
        <f t="shared" ref="C6:L6" si="0">SUM(C7:C21)</f>
        <v>12</v>
      </c>
      <c r="D6" s="1779">
        <f t="shared" si="0"/>
        <v>10</v>
      </c>
      <c r="E6" s="1779">
        <f t="shared" si="0"/>
        <v>18</v>
      </c>
      <c r="F6" s="1779">
        <f t="shared" si="0"/>
        <v>9</v>
      </c>
      <c r="G6" s="1779">
        <f t="shared" si="0"/>
        <v>7</v>
      </c>
      <c r="H6" s="1779">
        <f>SUM(H7:H21)</f>
        <v>7</v>
      </c>
      <c r="I6" s="1779">
        <f t="shared" si="0"/>
        <v>8</v>
      </c>
      <c r="J6" s="1779">
        <f t="shared" si="0"/>
        <v>8</v>
      </c>
      <c r="K6" s="1779">
        <f t="shared" si="0"/>
        <v>6</v>
      </c>
      <c r="L6" s="1779">
        <f t="shared" si="0"/>
        <v>6</v>
      </c>
    </row>
    <row r="7" spans="1:16380" ht="11.25">
      <c r="A7" s="1612" t="s">
        <v>7</v>
      </c>
      <c r="B7" s="1780">
        <v>0</v>
      </c>
      <c r="C7" s="1780">
        <v>1</v>
      </c>
      <c r="D7" s="1780">
        <v>0</v>
      </c>
      <c r="E7" s="1780">
        <v>1</v>
      </c>
      <c r="F7" s="1780">
        <v>0</v>
      </c>
      <c r="G7" s="1780">
        <v>0</v>
      </c>
      <c r="H7" s="1715">
        <v>1</v>
      </c>
      <c r="I7" s="1780">
        <v>0</v>
      </c>
      <c r="J7" s="1780">
        <v>1</v>
      </c>
      <c r="K7" s="1780">
        <v>0</v>
      </c>
      <c r="L7" s="1781">
        <v>1</v>
      </c>
    </row>
    <row r="8" spans="1:16380" ht="11.25">
      <c r="A8" s="1612" t="s">
        <v>8</v>
      </c>
      <c r="B8" s="1780">
        <v>0</v>
      </c>
      <c r="C8" s="1780">
        <v>0</v>
      </c>
      <c r="D8" s="1780">
        <v>1</v>
      </c>
      <c r="E8" s="1780">
        <v>1</v>
      </c>
      <c r="F8" s="1780">
        <v>1</v>
      </c>
      <c r="G8" s="1780">
        <v>0</v>
      </c>
      <c r="H8" s="1715">
        <v>1</v>
      </c>
      <c r="I8" s="1780">
        <v>0</v>
      </c>
      <c r="J8" s="1780">
        <v>0</v>
      </c>
      <c r="K8" s="1780">
        <v>0</v>
      </c>
      <c r="L8" s="1780">
        <v>0</v>
      </c>
    </row>
    <row r="9" spans="1:16380" ht="11.25">
      <c r="A9" s="1612" t="s">
        <v>9</v>
      </c>
      <c r="B9" s="1780">
        <v>0</v>
      </c>
      <c r="C9" s="1780">
        <v>0</v>
      </c>
      <c r="D9" s="1780">
        <v>0</v>
      </c>
      <c r="E9" s="1780">
        <v>0</v>
      </c>
      <c r="F9" s="1780">
        <v>0</v>
      </c>
      <c r="G9" s="1780">
        <v>1</v>
      </c>
      <c r="H9" s="1780">
        <v>0</v>
      </c>
      <c r="I9" s="1780">
        <v>0</v>
      </c>
      <c r="J9" s="1780">
        <v>0</v>
      </c>
      <c r="K9" s="1780">
        <v>0</v>
      </c>
      <c r="L9" s="1781">
        <v>1</v>
      </c>
    </row>
    <row r="10" spans="1:16380" ht="11.25">
      <c r="A10" s="1612" t="s">
        <v>10</v>
      </c>
      <c r="B10" s="1780">
        <v>0</v>
      </c>
      <c r="C10" s="1780">
        <v>0</v>
      </c>
      <c r="D10" s="1780">
        <v>0</v>
      </c>
      <c r="E10" s="1780">
        <v>0</v>
      </c>
      <c r="F10" s="1780">
        <v>0</v>
      </c>
      <c r="G10" s="1780">
        <v>0</v>
      </c>
      <c r="H10" s="1780">
        <v>0</v>
      </c>
      <c r="I10" s="1780">
        <v>0</v>
      </c>
      <c r="J10" s="1780">
        <v>0</v>
      </c>
      <c r="K10" s="1780">
        <v>0</v>
      </c>
      <c r="L10" s="1780">
        <v>0</v>
      </c>
    </row>
    <row r="11" spans="1:16380" ht="11.25">
      <c r="A11" s="1612" t="s">
        <v>11</v>
      </c>
      <c r="B11" s="1780">
        <v>0</v>
      </c>
      <c r="C11" s="1780">
        <v>0</v>
      </c>
      <c r="D11" s="1780">
        <v>1</v>
      </c>
      <c r="E11" s="1780">
        <v>0</v>
      </c>
      <c r="F11" s="1780">
        <v>0</v>
      </c>
      <c r="G11" s="1780">
        <v>0</v>
      </c>
      <c r="H11" s="1715">
        <v>1</v>
      </c>
      <c r="I11" s="1780">
        <v>0</v>
      </c>
      <c r="J11" s="1780">
        <v>0</v>
      </c>
      <c r="K11" s="1780">
        <v>0</v>
      </c>
      <c r="L11" s="1780">
        <v>0</v>
      </c>
    </row>
    <row r="12" spans="1:16380" ht="11.25">
      <c r="A12" s="1612" t="s">
        <v>12</v>
      </c>
      <c r="B12" s="1780">
        <v>4</v>
      </c>
      <c r="C12" s="1780">
        <v>2</v>
      </c>
      <c r="D12" s="1780">
        <v>0</v>
      </c>
      <c r="E12" s="1780">
        <v>3</v>
      </c>
      <c r="F12" s="1780">
        <v>2</v>
      </c>
      <c r="G12" s="1780">
        <v>0</v>
      </c>
      <c r="H12" s="1715">
        <v>1</v>
      </c>
      <c r="I12" s="1780">
        <v>3</v>
      </c>
      <c r="J12" s="1780">
        <v>0</v>
      </c>
      <c r="K12" s="1780">
        <v>2</v>
      </c>
      <c r="L12" s="1781">
        <v>1</v>
      </c>
    </row>
    <row r="13" spans="1:16380" ht="11.25">
      <c r="A13" s="1612" t="s">
        <v>13</v>
      </c>
      <c r="B13" s="1780">
        <v>4</v>
      </c>
      <c r="C13" s="1780">
        <v>4</v>
      </c>
      <c r="D13" s="1780">
        <v>2</v>
      </c>
      <c r="E13" s="1780">
        <v>3</v>
      </c>
      <c r="F13" s="1780">
        <v>1</v>
      </c>
      <c r="G13" s="1780">
        <v>1</v>
      </c>
      <c r="H13" s="1715">
        <v>1</v>
      </c>
      <c r="I13" s="1780">
        <v>2</v>
      </c>
      <c r="J13" s="1780">
        <v>1</v>
      </c>
      <c r="K13" s="1780">
        <v>2</v>
      </c>
      <c r="L13" s="1780">
        <v>0</v>
      </c>
    </row>
    <row r="14" spans="1:16380" ht="11.25">
      <c r="A14" s="1612" t="s">
        <v>14</v>
      </c>
      <c r="B14" s="1780">
        <v>1</v>
      </c>
      <c r="C14" s="1780">
        <v>0</v>
      </c>
      <c r="D14" s="1780">
        <v>2</v>
      </c>
      <c r="E14" s="1780">
        <v>2</v>
      </c>
      <c r="F14" s="1780">
        <v>1</v>
      </c>
      <c r="G14" s="1780">
        <v>1</v>
      </c>
      <c r="H14" s="1780">
        <v>0</v>
      </c>
      <c r="I14" s="1780">
        <v>0</v>
      </c>
      <c r="J14" s="1780">
        <v>2</v>
      </c>
      <c r="K14" s="1780">
        <v>1</v>
      </c>
      <c r="L14" s="1780">
        <v>0</v>
      </c>
    </row>
    <row r="15" spans="1:16380" ht="11.25">
      <c r="A15" s="1612" t="s">
        <v>15</v>
      </c>
      <c r="B15" s="1780">
        <v>0</v>
      </c>
      <c r="C15" s="1780">
        <v>1</v>
      </c>
      <c r="D15" s="1780">
        <v>0</v>
      </c>
      <c r="E15" s="1780">
        <v>2</v>
      </c>
      <c r="F15" s="1780">
        <v>2</v>
      </c>
      <c r="G15" s="1780">
        <v>1</v>
      </c>
      <c r="H15" s="1780">
        <v>0</v>
      </c>
      <c r="I15" s="1780">
        <v>0</v>
      </c>
      <c r="J15" s="1780">
        <v>1</v>
      </c>
      <c r="K15" s="1780">
        <v>1</v>
      </c>
      <c r="L15" s="1780">
        <v>0</v>
      </c>
    </row>
    <row r="16" spans="1:16380" ht="11.25">
      <c r="A16" s="1612" t="s">
        <v>16</v>
      </c>
      <c r="B16" s="1780">
        <v>0</v>
      </c>
      <c r="C16" s="1780">
        <v>0</v>
      </c>
      <c r="D16" s="1780">
        <v>2</v>
      </c>
      <c r="E16" s="1780">
        <v>2</v>
      </c>
      <c r="F16" s="1780">
        <v>0</v>
      </c>
      <c r="G16" s="1780">
        <v>1</v>
      </c>
      <c r="H16" s="1780">
        <v>0</v>
      </c>
      <c r="I16" s="1780">
        <v>0</v>
      </c>
      <c r="J16" s="1780">
        <v>1</v>
      </c>
      <c r="K16" s="1780">
        <v>0</v>
      </c>
      <c r="L16" s="1780">
        <v>0</v>
      </c>
    </row>
    <row r="17" spans="1:13" ht="11.25">
      <c r="A17" s="1612" t="s">
        <v>17</v>
      </c>
      <c r="B17" s="1780">
        <v>8</v>
      </c>
      <c r="C17" s="1780">
        <v>1</v>
      </c>
      <c r="D17" s="1780">
        <v>0</v>
      </c>
      <c r="E17" s="1780">
        <v>1</v>
      </c>
      <c r="F17" s="1780">
        <v>1</v>
      </c>
      <c r="G17" s="1780">
        <v>1</v>
      </c>
      <c r="H17" s="1715">
        <v>1</v>
      </c>
      <c r="I17" s="1780">
        <v>3</v>
      </c>
      <c r="J17" s="1780">
        <v>1</v>
      </c>
      <c r="K17" s="1780">
        <v>0</v>
      </c>
      <c r="L17" s="1781">
        <v>2</v>
      </c>
    </row>
    <row r="18" spans="1:13" ht="11.25">
      <c r="A18" s="1612" t="s">
        <v>18</v>
      </c>
      <c r="B18" s="1780">
        <v>1</v>
      </c>
      <c r="C18" s="1780">
        <v>2</v>
      </c>
      <c r="D18" s="1780">
        <v>0</v>
      </c>
      <c r="E18" s="1780">
        <v>1</v>
      </c>
      <c r="F18" s="1780">
        <v>1</v>
      </c>
      <c r="G18" s="1780">
        <v>0</v>
      </c>
      <c r="H18" s="1780">
        <v>0</v>
      </c>
      <c r="I18" s="1780">
        <v>0</v>
      </c>
      <c r="J18" s="1780">
        <v>1</v>
      </c>
      <c r="K18" s="1780">
        <v>0</v>
      </c>
      <c r="L18" s="1780">
        <v>0</v>
      </c>
    </row>
    <row r="19" spans="1:13" ht="11.25">
      <c r="A19" s="1612" t="s">
        <v>19</v>
      </c>
      <c r="B19" s="1780">
        <v>2</v>
      </c>
      <c r="C19" s="1780">
        <v>1</v>
      </c>
      <c r="D19" s="1780">
        <v>1</v>
      </c>
      <c r="E19" s="1780">
        <v>2</v>
      </c>
      <c r="F19" s="1780">
        <v>0</v>
      </c>
      <c r="G19" s="1780">
        <v>1</v>
      </c>
      <c r="H19" s="1715">
        <v>1</v>
      </c>
      <c r="I19" s="1780">
        <v>0</v>
      </c>
      <c r="J19" s="1780">
        <v>0</v>
      </c>
      <c r="K19" s="1780">
        <v>0</v>
      </c>
      <c r="L19" s="1781">
        <v>1</v>
      </c>
    </row>
    <row r="20" spans="1:13" ht="11.25">
      <c r="A20" s="1612" t="s">
        <v>20</v>
      </c>
      <c r="B20" s="1780">
        <v>0</v>
      </c>
      <c r="C20" s="1780">
        <v>0</v>
      </c>
      <c r="D20" s="1780">
        <v>0</v>
      </c>
      <c r="E20" s="1780">
        <v>0</v>
      </c>
      <c r="F20" s="1780">
        <v>0</v>
      </c>
      <c r="G20" s="1780">
        <v>0</v>
      </c>
      <c r="H20" s="1780">
        <v>0</v>
      </c>
      <c r="I20" s="1780">
        <v>0</v>
      </c>
      <c r="J20" s="1780">
        <v>0</v>
      </c>
      <c r="K20" s="1780">
        <v>0</v>
      </c>
      <c r="L20" s="1780">
        <v>0</v>
      </c>
    </row>
    <row r="21" spans="1:13" ht="11.25">
      <c r="A21" s="1612" t="s">
        <v>21</v>
      </c>
      <c r="B21" s="1780">
        <v>0</v>
      </c>
      <c r="C21" s="1780">
        <v>0</v>
      </c>
      <c r="D21" s="1780">
        <v>1</v>
      </c>
      <c r="E21" s="1780">
        <v>0</v>
      </c>
      <c r="F21" s="1780">
        <v>0</v>
      </c>
      <c r="G21" s="1780">
        <v>0</v>
      </c>
      <c r="H21" s="1780">
        <v>0</v>
      </c>
      <c r="I21" s="1780">
        <v>0</v>
      </c>
      <c r="J21" s="1780">
        <v>0</v>
      </c>
      <c r="K21" s="1780">
        <v>0</v>
      </c>
      <c r="L21" s="1780">
        <v>0</v>
      </c>
    </row>
    <row r="22" spans="1:13" ht="11.25">
      <c r="A22" s="1760"/>
      <c r="B22" s="1749"/>
      <c r="C22" s="1749"/>
      <c r="D22" s="1749"/>
      <c r="E22" s="1749"/>
      <c r="F22" s="1749"/>
      <c r="G22" s="1749"/>
      <c r="H22" s="1749"/>
      <c r="I22" s="1749"/>
      <c r="J22" s="1749"/>
      <c r="K22" s="1749"/>
    </row>
    <row r="23" spans="1:13" ht="28.5" customHeight="1">
      <c r="A23" s="2667" t="s">
        <v>3792</v>
      </c>
      <c r="B23" s="2667"/>
      <c r="C23" s="2667"/>
      <c r="D23" s="2667"/>
      <c r="E23" s="2667"/>
      <c r="F23" s="2667"/>
      <c r="G23" s="2667"/>
      <c r="H23" s="2667"/>
      <c r="I23" s="2667"/>
      <c r="J23" s="2667"/>
      <c r="K23" s="2667"/>
      <c r="L23" s="2667"/>
    </row>
    <row r="24" spans="1:13" ht="48.75" customHeight="1">
      <c r="A24" s="2666" t="s">
        <v>3797</v>
      </c>
      <c r="B24" s="2666"/>
      <c r="C24" s="2666"/>
      <c r="D24" s="2666"/>
      <c r="E24" s="2666"/>
      <c r="F24" s="2666"/>
      <c r="G24" s="2666"/>
      <c r="H24" s="2666"/>
      <c r="I24" s="2666"/>
      <c r="J24" s="2666"/>
      <c r="K24" s="2666"/>
      <c r="L24" s="2666"/>
    </row>
    <row r="25" spans="1:13" ht="57.75" customHeight="1">
      <c r="A25" s="2666" t="s">
        <v>3798</v>
      </c>
      <c r="B25" s="2666"/>
      <c r="C25" s="2666"/>
      <c r="D25" s="2666"/>
      <c r="E25" s="2666"/>
      <c r="F25" s="2666"/>
      <c r="G25" s="2666"/>
      <c r="H25" s="2666"/>
      <c r="I25" s="2666"/>
      <c r="J25" s="2666"/>
      <c r="K25" s="2666"/>
      <c r="L25" s="2666"/>
    </row>
    <row r="26" spans="1:13" ht="27" customHeight="1">
      <c r="A26" s="2167" t="s">
        <v>3799</v>
      </c>
      <c r="B26" s="2167"/>
      <c r="C26" s="2167"/>
      <c r="D26" s="2167"/>
      <c r="E26" s="2167"/>
      <c r="F26" s="2167"/>
      <c r="G26" s="2167"/>
      <c r="H26" s="2167"/>
      <c r="I26" s="2167"/>
      <c r="J26" s="2167"/>
      <c r="K26" s="2167"/>
      <c r="L26" s="2167"/>
    </row>
    <row r="27" spans="1:13">
      <c r="A27" s="1727" t="s">
        <v>22</v>
      </c>
      <c r="B27" s="1727"/>
      <c r="C27" s="1727"/>
      <c r="D27" s="1727"/>
      <c r="E27" s="1727"/>
      <c r="F27" s="1727"/>
      <c r="G27" s="1727"/>
      <c r="H27" s="1727"/>
      <c r="I27" s="1727"/>
      <c r="J27" s="1782"/>
    </row>
    <row r="28" spans="1:13" ht="11.25">
      <c r="A28" s="2143" t="s">
        <v>1034</v>
      </c>
      <c r="B28" s="2143"/>
      <c r="C28" s="2143"/>
      <c r="D28" s="2143"/>
      <c r="E28" s="2143"/>
      <c r="F28" s="2143"/>
      <c r="G28" s="2143"/>
      <c r="H28" s="2143"/>
      <c r="I28" s="2143"/>
      <c r="J28" s="2143"/>
      <c r="K28" s="2143"/>
      <c r="L28" s="2143"/>
    </row>
    <row r="29" spans="1:13" ht="10.5" customHeight="1">
      <c r="M29" s="1776"/>
    </row>
  </sheetData>
  <mergeCells count="10">
    <mergeCell ref="A24:L24"/>
    <mergeCell ref="A25:L25"/>
    <mergeCell ref="A26:L26"/>
    <mergeCell ref="A28:L28"/>
    <mergeCell ref="A23:L23"/>
    <mergeCell ref="A1:K1"/>
    <mergeCell ref="A4:A5"/>
    <mergeCell ref="B4:H4"/>
    <mergeCell ref="I4:L4"/>
    <mergeCell ref="A2:L2"/>
  </mergeCells>
  <pageMargins left="0.7" right="0.7" top="0.75" bottom="0.75" header="0.3" footer="0.3"/>
  <pageSetup paperSize="14" scale="91" orientation="landscape" r:id="rId1"/>
</worksheet>
</file>

<file path=xl/worksheets/sheet73.xml><?xml version="1.0" encoding="utf-8"?>
<worksheet xmlns="http://schemas.openxmlformats.org/spreadsheetml/2006/main" xmlns:r="http://schemas.openxmlformats.org/officeDocument/2006/relationships">
  <dimension ref="A2:L71"/>
  <sheetViews>
    <sheetView zoomScaleNormal="100" workbookViewId="0">
      <selection activeCell="D31" sqref="D31"/>
    </sheetView>
  </sheetViews>
  <sheetFormatPr baseColWidth="10" defaultRowHeight="11.25"/>
  <cols>
    <col min="1" max="1" width="7.140625" style="1723" customWidth="1"/>
    <col min="2" max="2" width="16.7109375" style="1723" customWidth="1"/>
    <col min="3" max="3" width="16.28515625" style="1723" customWidth="1"/>
    <col min="4" max="4" width="42.7109375" style="1723" customWidth="1"/>
    <col min="5" max="5" width="17.5703125" style="1723" customWidth="1"/>
    <col min="6" max="6" width="17.140625" style="1723" customWidth="1"/>
    <col min="7" max="7" width="28.85546875" style="1723" customWidth="1"/>
    <col min="8" max="16" width="14.7109375" style="1723" customWidth="1"/>
    <col min="17" max="16384" width="11.42578125" style="1723"/>
  </cols>
  <sheetData>
    <row r="2" spans="1:9" ht="24" customHeight="1">
      <c r="A2" s="2150" t="s">
        <v>3294</v>
      </c>
      <c r="B2" s="2150"/>
      <c r="C2" s="2150"/>
      <c r="D2" s="2150"/>
      <c r="E2" s="2150"/>
      <c r="F2" s="2150"/>
      <c r="G2" s="2150"/>
      <c r="I2" s="1765"/>
    </row>
    <row r="3" spans="1:9">
      <c r="A3" s="1766"/>
      <c r="B3" s="1730"/>
      <c r="C3" s="1730"/>
      <c r="D3" s="1730"/>
      <c r="E3" s="1730"/>
      <c r="F3" s="1730"/>
      <c r="G3" s="1730"/>
      <c r="I3" s="1765"/>
    </row>
    <row r="4" spans="1:9" ht="35.25">
      <c r="A4" s="1734" t="s">
        <v>3790</v>
      </c>
      <c r="B4" s="1767" t="s">
        <v>1035</v>
      </c>
      <c r="C4" s="1768" t="s">
        <v>3791</v>
      </c>
      <c r="D4" s="1767" t="s">
        <v>1036</v>
      </c>
      <c r="E4" s="1767" t="s">
        <v>1016</v>
      </c>
      <c r="F4" s="1767" t="s">
        <v>190</v>
      </c>
      <c r="G4" s="1767" t="s">
        <v>224</v>
      </c>
      <c r="H4" s="1765"/>
    </row>
    <row r="5" spans="1:9">
      <c r="A5" s="1769">
        <v>70</v>
      </c>
      <c r="B5" s="1769">
        <v>2013</v>
      </c>
      <c r="C5" s="1770">
        <v>2014</v>
      </c>
      <c r="D5" s="1709" t="s">
        <v>1037</v>
      </c>
      <c r="E5" s="1723" t="s">
        <v>1038</v>
      </c>
      <c r="F5" s="1723" t="s">
        <v>9</v>
      </c>
      <c r="G5" s="1723" t="s">
        <v>42</v>
      </c>
    </row>
    <row r="6" spans="1:9">
      <c r="A6" s="1769">
        <v>71</v>
      </c>
      <c r="B6" s="1769">
        <v>2013</v>
      </c>
      <c r="C6" s="1770">
        <v>2014</v>
      </c>
      <c r="D6" s="1709" t="s">
        <v>1039</v>
      </c>
      <c r="E6" s="1723" t="s">
        <v>1040</v>
      </c>
      <c r="F6" s="1771" t="s">
        <v>379</v>
      </c>
      <c r="G6" s="1771" t="s">
        <v>1041</v>
      </c>
    </row>
    <row r="7" spans="1:9">
      <c r="A7" s="1769">
        <v>72</v>
      </c>
      <c r="B7" s="1769">
        <v>2013</v>
      </c>
      <c r="C7" s="1770">
        <v>2014</v>
      </c>
      <c r="D7" s="1709" t="s">
        <v>1042</v>
      </c>
      <c r="E7" s="1723" t="s">
        <v>1043</v>
      </c>
      <c r="F7" s="1771" t="s">
        <v>280</v>
      </c>
      <c r="G7" s="1771" t="s">
        <v>1044</v>
      </c>
    </row>
    <row r="8" spans="1:9">
      <c r="A8" s="1769">
        <v>73</v>
      </c>
      <c r="B8" s="1769">
        <v>2014</v>
      </c>
      <c r="C8" s="1770">
        <v>2014</v>
      </c>
      <c r="D8" s="1772" t="s">
        <v>1045</v>
      </c>
      <c r="E8" s="1723" t="s">
        <v>1046</v>
      </c>
      <c r="F8" s="1771" t="s">
        <v>7</v>
      </c>
      <c r="G8" s="1771" t="s">
        <v>33</v>
      </c>
    </row>
    <row r="9" spans="1:9">
      <c r="A9" s="1769">
        <v>74</v>
      </c>
      <c r="B9" s="1769">
        <v>2014</v>
      </c>
      <c r="C9" s="1770">
        <v>2014</v>
      </c>
      <c r="D9" s="1773" t="s">
        <v>1047</v>
      </c>
      <c r="E9" s="1723" t="s">
        <v>1040</v>
      </c>
      <c r="F9" s="1771" t="s">
        <v>379</v>
      </c>
      <c r="G9" s="1771" t="s">
        <v>383</v>
      </c>
    </row>
    <row r="10" spans="1:9">
      <c r="A10" s="1769">
        <v>75</v>
      </c>
      <c r="B10" s="1769">
        <v>2014</v>
      </c>
      <c r="C10" s="1770">
        <v>2014</v>
      </c>
      <c r="D10" s="1772" t="s">
        <v>1048</v>
      </c>
      <c r="E10" s="1723" t="s">
        <v>1049</v>
      </c>
      <c r="F10" s="1771" t="s">
        <v>12</v>
      </c>
      <c r="G10" s="1771" t="s">
        <v>1050</v>
      </c>
    </row>
    <row r="11" spans="1:9">
      <c r="A11" s="1769">
        <v>76</v>
      </c>
      <c r="B11" s="1769">
        <v>2014</v>
      </c>
      <c r="C11" s="1770" t="s">
        <v>155</v>
      </c>
      <c r="D11" s="1771" t="s">
        <v>1051</v>
      </c>
      <c r="E11" s="157" t="s">
        <v>1046</v>
      </c>
      <c r="F11" s="1771" t="s">
        <v>8</v>
      </c>
      <c r="G11" s="1771" t="s">
        <v>1052</v>
      </c>
    </row>
    <row r="12" spans="1:9">
      <c r="A12" s="1769">
        <v>77</v>
      </c>
      <c r="B12" s="1769">
        <v>2014</v>
      </c>
      <c r="C12" s="1770" t="s">
        <v>155</v>
      </c>
      <c r="D12" s="1771" t="s">
        <v>1053</v>
      </c>
      <c r="E12" s="157" t="s">
        <v>1054</v>
      </c>
      <c r="F12" s="1771" t="s">
        <v>280</v>
      </c>
      <c r="G12" s="1771" t="s">
        <v>1055</v>
      </c>
    </row>
    <row r="13" spans="1:9">
      <c r="A13" s="1769">
        <v>78</v>
      </c>
      <c r="B13" s="1769">
        <v>2014</v>
      </c>
      <c r="C13" s="1770" t="s">
        <v>155</v>
      </c>
      <c r="D13" s="1771" t="s">
        <v>1056</v>
      </c>
      <c r="E13" s="157" t="s">
        <v>1043</v>
      </c>
      <c r="F13" s="1771" t="s">
        <v>11</v>
      </c>
      <c r="G13" s="1771" t="s">
        <v>1057</v>
      </c>
    </row>
    <row r="14" spans="1:9">
      <c r="A14" s="1769">
        <v>79</v>
      </c>
      <c r="B14" s="1769">
        <v>2014</v>
      </c>
      <c r="C14" s="1770" t="s">
        <v>155</v>
      </c>
      <c r="D14" s="1771" t="s">
        <v>1058</v>
      </c>
      <c r="E14" s="157" t="s">
        <v>1043</v>
      </c>
      <c r="F14" s="1771" t="s">
        <v>13</v>
      </c>
      <c r="G14" s="1771" t="s">
        <v>1059</v>
      </c>
    </row>
    <row r="16" spans="1:9" ht="24" customHeight="1">
      <c r="A16" s="2667" t="s">
        <v>3792</v>
      </c>
      <c r="B16" s="2667"/>
      <c r="C16" s="2667"/>
      <c r="D16" s="2667"/>
      <c r="E16" s="2667"/>
      <c r="F16" s="2667"/>
      <c r="G16" s="2667"/>
    </row>
    <row r="17" spans="1:12" s="1715" customFormat="1">
      <c r="A17" s="1715" t="s">
        <v>3793</v>
      </c>
      <c r="D17" s="2668"/>
    </row>
    <row r="18" spans="1:12" s="1715" customFormat="1">
      <c r="A18" s="2670" t="s">
        <v>3794</v>
      </c>
      <c r="B18" s="2670"/>
      <c r="C18" s="2670"/>
      <c r="D18" s="2670"/>
      <c r="E18" s="2670"/>
      <c r="F18" s="2670"/>
      <c r="G18" s="2670"/>
      <c r="H18" s="1774"/>
      <c r="I18" s="1774"/>
      <c r="J18" s="1774"/>
      <c r="K18" s="1774"/>
      <c r="L18" s="1774"/>
    </row>
    <row r="19" spans="1:12" s="1715" customFormat="1">
      <c r="A19" s="2151" t="s">
        <v>22</v>
      </c>
      <c r="B19" s="2151"/>
      <c r="C19" s="2151"/>
      <c r="D19" s="1775"/>
      <c r="E19" s="1775"/>
      <c r="F19" s="1775"/>
      <c r="G19" s="1775"/>
      <c r="H19" s="1774"/>
      <c r="I19" s="1774"/>
      <c r="J19" s="1774"/>
      <c r="K19" s="1774"/>
      <c r="L19" s="1774"/>
    </row>
    <row r="20" spans="1:12" ht="12.75" customHeight="1">
      <c r="A20" s="2143" t="s">
        <v>1013</v>
      </c>
      <c r="B20" s="2143"/>
      <c r="C20" s="2143"/>
      <c r="D20" s="2143"/>
      <c r="E20" s="2143"/>
      <c r="F20" s="2143"/>
      <c r="G20" s="2143"/>
      <c r="H20" s="1776"/>
      <c r="I20" s="1776"/>
      <c r="J20" s="1776"/>
      <c r="K20" s="1776"/>
      <c r="L20" s="1776"/>
    </row>
    <row r="21" spans="1:12">
      <c r="D21" s="2669"/>
    </row>
    <row r="22" spans="1:12">
      <c r="C22" s="1777"/>
    </row>
    <row r="23" spans="1:12">
      <c r="C23" s="1777"/>
    </row>
    <row r="24" spans="1:12">
      <c r="C24" s="1777"/>
    </row>
    <row r="25" spans="1:12">
      <c r="C25" s="1777"/>
    </row>
    <row r="26" spans="1:12">
      <c r="C26" s="1777"/>
    </row>
    <row r="27" spans="1:12">
      <c r="C27" s="1777"/>
    </row>
    <row r="28" spans="1:12">
      <c r="C28" s="1777"/>
    </row>
    <row r="29" spans="1:12">
      <c r="C29" s="1777"/>
    </row>
    <row r="30" spans="1:12">
      <c r="C30" s="1777"/>
    </row>
    <row r="31" spans="1:12">
      <c r="C31" s="1777"/>
    </row>
    <row r="32" spans="1:12">
      <c r="C32" s="1777"/>
    </row>
    <row r="33" spans="3:3">
      <c r="C33" s="1777"/>
    </row>
    <row r="34" spans="3:3">
      <c r="C34" s="1777"/>
    </row>
    <row r="35" spans="3:3">
      <c r="C35" s="1777"/>
    </row>
    <row r="36" spans="3:3">
      <c r="C36" s="1777"/>
    </row>
    <row r="37" spans="3:3">
      <c r="C37" s="1777"/>
    </row>
    <row r="38" spans="3:3">
      <c r="C38" s="1777"/>
    </row>
    <row r="39" spans="3:3">
      <c r="C39" s="1777"/>
    </row>
    <row r="40" spans="3:3">
      <c r="C40" s="1777"/>
    </row>
    <row r="41" spans="3:3">
      <c r="C41" s="1777"/>
    </row>
    <row r="42" spans="3:3">
      <c r="C42" s="1777"/>
    </row>
    <row r="43" spans="3:3">
      <c r="C43" s="1777"/>
    </row>
    <row r="44" spans="3:3">
      <c r="C44" s="1777"/>
    </row>
    <row r="45" spans="3:3">
      <c r="C45" s="1777"/>
    </row>
    <row r="46" spans="3:3">
      <c r="C46" s="1777"/>
    </row>
    <row r="47" spans="3:3">
      <c r="C47" s="1777"/>
    </row>
    <row r="48" spans="3:3">
      <c r="C48" s="1777"/>
    </row>
    <row r="49" spans="3:3">
      <c r="C49" s="1777"/>
    </row>
    <row r="50" spans="3:3">
      <c r="C50" s="1777"/>
    </row>
    <row r="51" spans="3:3">
      <c r="C51" s="1777"/>
    </row>
    <row r="52" spans="3:3">
      <c r="C52" s="1777"/>
    </row>
    <row r="53" spans="3:3">
      <c r="C53" s="1777"/>
    </row>
    <row r="54" spans="3:3">
      <c r="C54" s="1777"/>
    </row>
    <row r="55" spans="3:3">
      <c r="C55" s="1777"/>
    </row>
    <row r="56" spans="3:3">
      <c r="C56" s="1777"/>
    </row>
    <row r="57" spans="3:3">
      <c r="C57" s="1777"/>
    </row>
    <row r="58" spans="3:3">
      <c r="C58" s="1777"/>
    </row>
    <row r="59" spans="3:3">
      <c r="C59" s="1777"/>
    </row>
    <row r="60" spans="3:3">
      <c r="C60" s="1777"/>
    </row>
    <row r="61" spans="3:3">
      <c r="C61" s="1777"/>
    </row>
    <row r="62" spans="3:3">
      <c r="C62" s="1777"/>
    </row>
    <row r="63" spans="3:3">
      <c r="C63" s="1777"/>
    </row>
    <row r="64" spans="3:3">
      <c r="C64" s="1777"/>
    </row>
    <row r="65" spans="1:7">
      <c r="C65" s="1777"/>
    </row>
    <row r="66" spans="1:7">
      <c r="C66" s="1777"/>
    </row>
    <row r="67" spans="1:7">
      <c r="C67" s="1777"/>
    </row>
    <row r="68" spans="1:7">
      <c r="C68" s="1777"/>
    </row>
    <row r="69" spans="1:7">
      <c r="C69" s="1777"/>
    </row>
    <row r="71" spans="1:7">
      <c r="A71" s="1776"/>
      <c r="B71" s="1776"/>
      <c r="C71" s="1776"/>
      <c r="D71" s="1776"/>
      <c r="E71" s="1776"/>
      <c r="F71" s="1776"/>
      <c r="G71" s="1776"/>
    </row>
  </sheetData>
  <mergeCells count="5">
    <mergeCell ref="A2:G2"/>
    <mergeCell ref="A16:G16"/>
    <mergeCell ref="A18:G18"/>
    <mergeCell ref="A19:C19"/>
    <mergeCell ref="A20:G20"/>
  </mergeCells>
  <pageMargins left="0.7" right="0.7" top="0.75" bottom="0.75" header="0.3" footer="0.3"/>
  <pageSetup paperSize="14" orientation="landscape" r:id="rId1"/>
</worksheet>
</file>

<file path=xl/worksheets/sheet74.xml><?xml version="1.0" encoding="utf-8"?>
<worksheet xmlns="http://schemas.openxmlformats.org/spreadsheetml/2006/main" xmlns:r="http://schemas.openxmlformats.org/officeDocument/2006/relationships">
  <dimension ref="A1:U26"/>
  <sheetViews>
    <sheetView zoomScaleNormal="100" workbookViewId="0">
      <selection activeCell="E9" sqref="E9"/>
    </sheetView>
  </sheetViews>
  <sheetFormatPr baseColWidth="10" defaultRowHeight="12"/>
  <cols>
    <col min="1" max="1" width="26.5703125" style="143" customWidth="1"/>
    <col min="2" max="16384" width="11.42578125" style="143"/>
  </cols>
  <sheetData>
    <row r="1" spans="1:19" s="1715" customFormat="1" ht="11.25">
      <c r="A1" s="1752"/>
    </row>
    <row r="2" spans="1:19" s="1715" customFormat="1" ht="38.25" customHeight="1">
      <c r="A2" s="2153" t="s">
        <v>1060</v>
      </c>
      <c r="B2" s="2153"/>
      <c r="C2" s="2153"/>
      <c r="D2" s="2153"/>
      <c r="E2" s="144"/>
      <c r="F2" s="144"/>
      <c r="G2" s="144"/>
      <c r="I2" s="1411"/>
      <c r="J2" s="1731"/>
      <c r="K2" s="1731"/>
      <c r="L2" s="1731"/>
      <c r="M2" s="1731"/>
      <c r="N2" s="1731"/>
    </row>
    <row r="3" spans="1:19" s="1715" customFormat="1" ht="11.25">
      <c r="A3" s="130"/>
      <c r="B3" s="130"/>
      <c r="I3" s="1411"/>
      <c r="J3" s="1731"/>
      <c r="K3" s="1731"/>
      <c r="L3" s="1731"/>
      <c r="M3" s="1731"/>
      <c r="N3" s="1731"/>
    </row>
    <row r="4" spans="1:19" s="1715" customFormat="1" ht="14.25" customHeight="1">
      <c r="A4" s="2154" t="s">
        <v>0</v>
      </c>
      <c r="B4" s="2155" t="s">
        <v>26</v>
      </c>
      <c r="C4" s="2156" t="s">
        <v>1061</v>
      </c>
      <c r="D4" s="2156"/>
      <c r="E4" s="1731"/>
      <c r="F4" s="1731"/>
      <c r="G4" s="1731"/>
      <c r="I4" s="1411"/>
      <c r="J4" s="1761"/>
      <c r="K4" s="1761"/>
      <c r="L4" s="1731"/>
      <c r="M4" s="1731"/>
      <c r="N4" s="1731"/>
      <c r="O4" s="1731"/>
      <c r="P4" s="1731"/>
      <c r="Q4" s="1731"/>
      <c r="R4" s="1731"/>
      <c r="S4" s="1731"/>
    </row>
    <row r="5" spans="1:19" s="1715" customFormat="1" ht="14.25" customHeight="1">
      <c r="A5" s="2154"/>
      <c r="B5" s="2155"/>
      <c r="C5" s="2138" t="s">
        <v>1062</v>
      </c>
      <c r="D5" s="2138"/>
      <c r="E5" s="1731"/>
      <c r="F5" s="1731"/>
      <c r="G5" s="1731"/>
      <c r="I5" s="1411"/>
      <c r="J5" s="1761"/>
      <c r="K5" s="1761"/>
      <c r="L5" s="1731"/>
      <c r="M5" s="1731"/>
      <c r="N5" s="1731"/>
      <c r="O5" s="1731"/>
      <c r="P5" s="1731"/>
      <c r="Q5" s="1731"/>
      <c r="R5" s="1731"/>
      <c r="S5" s="1731"/>
    </row>
    <row r="6" spans="1:19" s="1732" customFormat="1" ht="14.25" customHeight="1">
      <c r="A6" s="2154"/>
      <c r="B6" s="2155"/>
      <c r="C6" s="2002" t="s">
        <v>163</v>
      </c>
      <c r="D6" s="2002" t="s">
        <v>164</v>
      </c>
      <c r="E6" s="1762"/>
      <c r="F6" s="1762"/>
      <c r="G6" s="1762"/>
      <c r="I6" s="763"/>
      <c r="J6" s="763"/>
      <c r="K6" s="763"/>
      <c r="L6" s="1762"/>
      <c r="M6" s="1762"/>
      <c r="N6" s="1762"/>
      <c r="O6" s="1762"/>
      <c r="P6" s="1762"/>
      <c r="Q6" s="1762"/>
      <c r="R6" s="1762"/>
      <c r="S6" s="1762"/>
    </row>
    <row r="7" spans="1:19" s="1715" customFormat="1" ht="11.25">
      <c r="A7" s="16" t="s">
        <v>6</v>
      </c>
      <c r="B7" s="2671">
        <f t="shared" ref="B7:B22" si="0">SUM(C7:D7)</f>
        <v>351</v>
      </c>
      <c r="C7" s="2672">
        <f>SUM(C8:C22)</f>
        <v>240</v>
      </c>
      <c r="D7" s="2672">
        <f>SUM(D8:D22)</f>
        <v>111</v>
      </c>
      <c r="E7" s="1756"/>
      <c r="F7" s="1756"/>
      <c r="G7" s="1763"/>
      <c r="I7" s="1764"/>
      <c r="J7" s="1761"/>
      <c r="K7" s="1761"/>
      <c r="L7" s="1761"/>
      <c r="M7" s="1761"/>
      <c r="N7" s="1761"/>
      <c r="O7" s="1719"/>
      <c r="P7" s="1719"/>
      <c r="Q7" s="1719"/>
      <c r="R7" s="1719"/>
      <c r="S7" s="1719"/>
    </row>
    <row r="8" spans="1:19" s="1715" customFormat="1" ht="11.25">
      <c r="A8" s="2673" t="s">
        <v>7</v>
      </c>
      <c r="B8" s="2671">
        <f t="shared" si="0"/>
        <v>0</v>
      </c>
      <c r="C8" s="2674">
        <v>0</v>
      </c>
      <c r="D8" s="2674">
        <v>0</v>
      </c>
      <c r="E8" s="1756"/>
      <c r="F8" s="1756"/>
      <c r="G8" s="1756"/>
      <c r="I8" s="1759"/>
      <c r="J8" s="1761"/>
      <c r="K8" s="1761"/>
      <c r="L8" s="1761"/>
      <c r="M8" s="1761"/>
      <c r="N8" s="1761"/>
      <c r="O8" s="1719"/>
      <c r="P8" s="1719"/>
      <c r="Q8" s="1719"/>
      <c r="R8" s="1719"/>
      <c r="S8" s="1719"/>
    </row>
    <row r="9" spans="1:19" s="1715" customFormat="1" ht="11.25">
      <c r="A9" s="2673" t="s">
        <v>8</v>
      </c>
      <c r="B9" s="2671">
        <f t="shared" si="0"/>
        <v>1</v>
      </c>
      <c r="C9" s="2674">
        <v>1</v>
      </c>
      <c r="D9" s="2674">
        <v>0</v>
      </c>
      <c r="E9" s="1756"/>
      <c r="F9" s="1756"/>
      <c r="G9" s="1756"/>
      <c r="I9" s="1759"/>
      <c r="J9" s="1761"/>
      <c r="K9" s="1761"/>
      <c r="L9" s="1761"/>
      <c r="M9" s="1761"/>
      <c r="N9" s="1761"/>
      <c r="O9" s="1719"/>
      <c r="P9" s="1719"/>
      <c r="Q9" s="1719"/>
      <c r="R9" s="1719"/>
      <c r="S9" s="1719"/>
    </row>
    <row r="10" spans="1:19" s="1715" customFormat="1" ht="11.25">
      <c r="A10" s="2673" t="s">
        <v>9</v>
      </c>
      <c r="B10" s="2671">
        <f t="shared" si="0"/>
        <v>0</v>
      </c>
      <c r="C10" s="2674">
        <v>0</v>
      </c>
      <c r="D10" s="2674">
        <v>0</v>
      </c>
      <c r="E10" s="1756"/>
      <c r="F10" s="1756"/>
      <c r="G10" s="1756"/>
      <c r="I10" s="1759"/>
      <c r="J10" s="1761"/>
      <c r="K10" s="1761"/>
      <c r="L10" s="1761"/>
      <c r="M10" s="1761"/>
      <c r="N10" s="1761"/>
      <c r="O10" s="1755"/>
      <c r="P10" s="1755"/>
      <c r="Q10" s="1755"/>
      <c r="R10" s="1755"/>
      <c r="S10" s="1755"/>
    </row>
    <row r="11" spans="1:19" s="1715" customFormat="1" ht="11.25">
      <c r="A11" s="2673" t="s">
        <v>10</v>
      </c>
      <c r="B11" s="2671">
        <f t="shared" si="0"/>
        <v>0</v>
      </c>
      <c r="C11" s="2674">
        <v>0</v>
      </c>
      <c r="D11" s="2674">
        <v>0</v>
      </c>
      <c r="E11" s="1756"/>
      <c r="F11" s="1756"/>
      <c r="G11" s="1756"/>
      <c r="I11" s="1759"/>
      <c r="J11" s="1761"/>
      <c r="K11" s="1761"/>
      <c r="L11" s="1761"/>
      <c r="M11" s="1761"/>
      <c r="N11" s="1761"/>
      <c r="O11" s="1755"/>
      <c r="P11" s="1755"/>
      <c r="Q11" s="1755"/>
      <c r="R11" s="1755"/>
      <c r="S11" s="1755"/>
    </row>
    <row r="12" spans="1:19" s="1715" customFormat="1" ht="11.25">
      <c r="A12" s="2673" t="s">
        <v>11</v>
      </c>
      <c r="B12" s="2671">
        <f t="shared" si="0"/>
        <v>2</v>
      </c>
      <c r="C12" s="2674">
        <v>0</v>
      </c>
      <c r="D12" s="2674">
        <v>2</v>
      </c>
      <c r="E12" s="1756"/>
      <c r="F12" s="1756"/>
      <c r="G12" s="1756"/>
      <c r="I12" s="1759"/>
      <c r="J12" s="1761"/>
      <c r="K12" s="1761"/>
      <c r="L12" s="1761"/>
      <c r="M12" s="1761"/>
      <c r="N12" s="1761"/>
      <c r="O12" s="1755"/>
      <c r="P12" s="1755"/>
      <c r="Q12" s="1755"/>
      <c r="R12" s="1755"/>
      <c r="S12" s="1755"/>
    </row>
    <row r="13" spans="1:19" s="1715" customFormat="1" ht="11.25">
      <c r="A13" s="2673" t="s">
        <v>12</v>
      </c>
      <c r="B13" s="2671">
        <f t="shared" si="0"/>
        <v>9</v>
      </c>
      <c r="C13" s="2674">
        <v>4</v>
      </c>
      <c r="D13" s="2674">
        <v>5</v>
      </c>
      <c r="E13" s="1756"/>
      <c r="F13" s="1756"/>
      <c r="G13" s="1756"/>
      <c r="I13" s="1759"/>
      <c r="J13" s="1761"/>
      <c r="K13" s="1761"/>
      <c r="L13" s="1761"/>
      <c r="M13" s="1761"/>
      <c r="N13" s="1761"/>
      <c r="O13" s="1755"/>
      <c r="P13" s="1755"/>
      <c r="Q13" s="1755"/>
      <c r="R13" s="1755"/>
      <c r="S13" s="1755"/>
    </row>
    <row r="14" spans="1:19" s="1715" customFormat="1" ht="11.25">
      <c r="A14" s="2673" t="s">
        <v>13</v>
      </c>
      <c r="B14" s="2671">
        <f t="shared" si="0"/>
        <v>334</v>
      </c>
      <c r="C14" s="2674">
        <v>230</v>
      </c>
      <c r="D14" s="2674">
        <v>104</v>
      </c>
      <c r="E14" s="1756"/>
      <c r="F14" s="1756"/>
      <c r="G14" s="1756"/>
      <c r="I14" s="1759"/>
      <c r="J14" s="1761"/>
      <c r="K14" s="1761"/>
      <c r="L14" s="1761"/>
      <c r="M14" s="1761"/>
      <c r="N14" s="1761"/>
      <c r="O14" s="1755"/>
      <c r="P14" s="1755"/>
      <c r="Q14" s="1755"/>
      <c r="R14" s="1755"/>
      <c r="S14" s="1755"/>
    </row>
    <row r="15" spans="1:19" s="1715" customFormat="1" ht="11.25">
      <c r="A15" s="2673" t="s">
        <v>14</v>
      </c>
      <c r="B15" s="2671">
        <f t="shared" si="0"/>
        <v>0</v>
      </c>
      <c r="C15" s="2674">
        <v>0</v>
      </c>
      <c r="D15" s="2674">
        <v>0</v>
      </c>
      <c r="E15" s="1756"/>
      <c r="F15" s="1756"/>
      <c r="G15" s="1756"/>
      <c r="I15" s="1759"/>
      <c r="J15" s="1761"/>
      <c r="K15" s="1761"/>
      <c r="L15" s="1761"/>
      <c r="M15" s="1761"/>
      <c r="N15" s="1761"/>
      <c r="O15" s="1755"/>
      <c r="P15" s="1755"/>
      <c r="Q15" s="1755"/>
      <c r="R15" s="1755"/>
      <c r="S15" s="1755"/>
    </row>
    <row r="16" spans="1:19" s="1715" customFormat="1" ht="11.25">
      <c r="A16" s="2673" t="s">
        <v>15</v>
      </c>
      <c r="B16" s="2671">
        <f t="shared" si="0"/>
        <v>0</v>
      </c>
      <c r="C16" s="2674">
        <v>0</v>
      </c>
      <c r="D16" s="2674">
        <v>0</v>
      </c>
      <c r="E16" s="1756"/>
      <c r="F16" s="1756"/>
      <c r="G16" s="1756"/>
      <c r="I16" s="1759"/>
      <c r="J16" s="1761"/>
      <c r="K16" s="1761"/>
      <c r="L16" s="1761"/>
      <c r="M16" s="1761"/>
      <c r="N16" s="1761"/>
      <c r="O16" s="1755"/>
      <c r="P16" s="1755"/>
      <c r="Q16" s="1755"/>
      <c r="R16" s="1755"/>
      <c r="S16" s="1755"/>
    </row>
    <row r="17" spans="1:21" s="1715" customFormat="1" ht="11.25">
      <c r="A17" s="2673" t="s">
        <v>16</v>
      </c>
      <c r="B17" s="2671">
        <f t="shared" si="0"/>
        <v>0</v>
      </c>
      <c r="C17" s="2674">
        <v>0</v>
      </c>
      <c r="D17" s="2674">
        <v>0</v>
      </c>
      <c r="E17" s="1756"/>
      <c r="F17" s="1756"/>
      <c r="G17" s="1756"/>
      <c r="I17" s="1759"/>
      <c r="J17" s="1761"/>
      <c r="K17" s="1761"/>
      <c r="L17" s="1761"/>
      <c r="M17" s="1761"/>
      <c r="N17" s="1761"/>
      <c r="O17" s="1755"/>
      <c r="P17" s="1755"/>
      <c r="Q17" s="1755"/>
      <c r="R17" s="1755"/>
      <c r="S17" s="1755"/>
    </row>
    <row r="18" spans="1:21" s="1715" customFormat="1" ht="11.25">
      <c r="A18" s="2673" t="s">
        <v>17</v>
      </c>
      <c r="B18" s="2671">
        <f t="shared" si="0"/>
        <v>1</v>
      </c>
      <c r="C18" s="2674">
        <v>1</v>
      </c>
      <c r="D18" s="2674">
        <v>0</v>
      </c>
      <c r="E18" s="1756"/>
      <c r="F18" s="1756"/>
      <c r="G18" s="1756"/>
      <c r="I18" s="1759"/>
      <c r="J18" s="1761"/>
      <c r="K18" s="1761"/>
      <c r="L18" s="1761"/>
      <c r="M18" s="1761"/>
      <c r="N18" s="1761"/>
      <c r="O18" s="1755"/>
      <c r="P18" s="1755"/>
      <c r="Q18" s="1755"/>
      <c r="R18" s="1755"/>
      <c r="S18" s="1755"/>
    </row>
    <row r="19" spans="1:21" s="1715" customFormat="1" ht="11.25">
      <c r="A19" s="2673" t="s">
        <v>18</v>
      </c>
      <c r="B19" s="2671">
        <f t="shared" si="0"/>
        <v>0</v>
      </c>
      <c r="C19" s="2674">
        <v>0</v>
      </c>
      <c r="D19" s="2674">
        <v>0</v>
      </c>
      <c r="E19" s="1756"/>
      <c r="F19" s="1756"/>
      <c r="G19" s="1756"/>
      <c r="I19" s="1759"/>
      <c r="J19" s="1761"/>
      <c r="K19" s="1761"/>
      <c r="L19" s="1761"/>
      <c r="M19" s="1761"/>
      <c r="N19" s="1761"/>
      <c r="O19" s="1755"/>
      <c r="P19" s="1755"/>
      <c r="Q19" s="1755"/>
      <c r="R19" s="1755"/>
      <c r="S19" s="1755"/>
    </row>
    <row r="20" spans="1:21" s="1715" customFormat="1" ht="11.25">
      <c r="A20" s="2673" t="s">
        <v>19</v>
      </c>
      <c r="B20" s="2671">
        <f t="shared" si="0"/>
        <v>3</v>
      </c>
      <c r="C20" s="2674">
        <v>3</v>
      </c>
      <c r="D20" s="2674">
        <v>0</v>
      </c>
      <c r="E20" s="1756"/>
      <c r="F20" s="1756"/>
      <c r="G20" s="1756"/>
      <c r="I20" s="1759"/>
      <c r="J20" s="1761"/>
      <c r="K20" s="1761"/>
      <c r="L20" s="1761"/>
      <c r="M20" s="1761"/>
      <c r="N20" s="1761"/>
      <c r="O20" s="1755"/>
      <c r="P20" s="1755"/>
      <c r="Q20" s="1755"/>
      <c r="R20" s="1755"/>
      <c r="S20" s="1755"/>
    </row>
    <row r="21" spans="1:21" s="1715" customFormat="1" ht="11.25">
      <c r="A21" s="2673" t="s">
        <v>20</v>
      </c>
      <c r="B21" s="2671">
        <f t="shared" si="0"/>
        <v>0</v>
      </c>
      <c r="C21" s="2674">
        <v>0</v>
      </c>
      <c r="D21" s="2674">
        <v>0</v>
      </c>
      <c r="E21" s="1756"/>
      <c r="F21" s="1756"/>
      <c r="G21" s="1756"/>
      <c r="I21" s="1759"/>
      <c r="J21" s="1761"/>
      <c r="K21" s="1761"/>
      <c r="L21" s="1761"/>
      <c r="M21" s="1761"/>
      <c r="N21" s="1761"/>
      <c r="O21" s="1755"/>
      <c r="P21" s="1755"/>
      <c r="Q21" s="1755"/>
      <c r="R21" s="1755"/>
      <c r="S21" s="1755"/>
    </row>
    <row r="22" spans="1:21" s="1715" customFormat="1" ht="11.25">
      <c r="A22" s="2673" t="s">
        <v>21</v>
      </c>
      <c r="B22" s="2671">
        <f t="shared" si="0"/>
        <v>1</v>
      </c>
      <c r="C22" s="2674">
        <v>1</v>
      </c>
      <c r="D22" s="2674">
        <v>0</v>
      </c>
      <c r="E22" s="1756"/>
      <c r="F22" s="1756"/>
      <c r="G22" s="1756"/>
      <c r="I22" s="1759"/>
      <c r="J22" s="1761"/>
      <c r="K22" s="1761"/>
      <c r="L22" s="1761"/>
      <c r="M22" s="1761"/>
      <c r="N22" s="1761"/>
      <c r="O22" s="1755"/>
      <c r="P22" s="1755"/>
      <c r="Q22" s="1755"/>
      <c r="R22" s="1755"/>
      <c r="S22" s="1755"/>
    </row>
    <row r="23" spans="1:21" s="1715" customFormat="1" ht="6" customHeight="1">
      <c r="A23" s="1760"/>
      <c r="B23" s="1760"/>
      <c r="C23" s="1719"/>
      <c r="D23" s="1719"/>
      <c r="E23" s="1756"/>
      <c r="F23" s="1756"/>
      <c r="G23" s="1756"/>
      <c r="I23" s="1759"/>
      <c r="J23" s="1761"/>
      <c r="K23" s="1761"/>
      <c r="L23" s="1761"/>
      <c r="M23" s="1761"/>
      <c r="N23" s="1761"/>
      <c r="O23" s="1755"/>
      <c r="P23" s="1755"/>
      <c r="Q23" s="1755"/>
      <c r="R23" s="1755"/>
      <c r="S23" s="1755"/>
    </row>
    <row r="24" spans="1:21" s="14" customFormat="1" ht="11.25" customHeight="1">
      <c r="A24" s="2151" t="s">
        <v>22</v>
      </c>
      <c r="B24" s="2151"/>
      <c r="C24" s="2151"/>
      <c r="D24" s="2151"/>
      <c r="E24" s="1727"/>
      <c r="F24" s="1727"/>
      <c r="G24" s="1727"/>
      <c r="H24" s="1727"/>
      <c r="I24" s="1727"/>
      <c r="J24" s="1727"/>
      <c r="K24" s="1727"/>
      <c r="L24" s="1727"/>
      <c r="M24" s="1727"/>
      <c r="N24" s="1727"/>
      <c r="O24" s="28"/>
      <c r="P24" s="28"/>
      <c r="Q24" s="28"/>
      <c r="R24" s="28"/>
      <c r="S24" s="28"/>
      <c r="T24" s="28"/>
      <c r="U24" s="28"/>
    </row>
    <row r="25" spans="1:21" s="1715" customFormat="1" ht="11.25">
      <c r="A25" s="2152" t="s">
        <v>1063</v>
      </c>
      <c r="B25" s="2152"/>
      <c r="C25" s="2152"/>
      <c r="D25" s="2152"/>
      <c r="I25" s="1381"/>
      <c r="J25" s="1731"/>
      <c r="K25" s="1731"/>
      <c r="L25" s="1731"/>
      <c r="M25" s="1731"/>
      <c r="N25" s="1731"/>
    </row>
    <row r="26" spans="1:21" s="1715" customFormat="1" ht="11.25">
      <c r="A26" s="129"/>
      <c r="B26" s="129"/>
      <c r="C26" s="750"/>
      <c r="D26" s="750"/>
      <c r="I26" s="144"/>
      <c r="J26" s="144"/>
      <c r="K26" s="144"/>
      <c r="L26" s="144"/>
      <c r="M26" s="144"/>
      <c r="N26" s="144"/>
    </row>
  </sheetData>
  <mergeCells count="7">
    <mergeCell ref="A25:D25"/>
    <mergeCell ref="A2:D2"/>
    <mergeCell ref="A4:A6"/>
    <mergeCell ref="B4:B6"/>
    <mergeCell ref="C4:D4"/>
    <mergeCell ref="C5:D5"/>
    <mergeCell ref="A24:D24"/>
  </mergeCells>
  <pageMargins left="0.7" right="0.7" top="0.75" bottom="0.75" header="0.3" footer="0.3"/>
  <pageSetup paperSize="14" orientation="portrait" verticalDpi="300" r:id="rId1"/>
</worksheet>
</file>

<file path=xl/worksheets/sheet75.xml><?xml version="1.0" encoding="utf-8"?>
<worksheet xmlns="http://schemas.openxmlformats.org/spreadsheetml/2006/main" xmlns:r="http://schemas.openxmlformats.org/officeDocument/2006/relationships">
  <dimension ref="A1:U30"/>
  <sheetViews>
    <sheetView zoomScaleNormal="100" workbookViewId="0">
      <selection activeCell="F11" sqref="F11"/>
    </sheetView>
  </sheetViews>
  <sheetFormatPr baseColWidth="10" defaultRowHeight="12"/>
  <cols>
    <col min="1" max="1" width="18.5703125" style="143" customWidth="1"/>
    <col min="2" max="16384" width="11.42578125" style="143"/>
  </cols>
  <sheetData>
    <row r="1" spans="1:19">
      <c r="A1" s="1729"/>
    </row>
    <row r="2" spans="1:19" s="1715" customFormat="1" ht="33.75" customHeight="1">
      <c r="A2" s="2153" t="s">
        <v>1064</v>
      </c>
      <c r="B2" s="2153"/>
      <c r="C2" s="2153"/>
      <c r="D2" s="2153"/>
      <c r="E2" s="144"/>
      <c r="F2" s="144"/>
      <c r="G2" s="144"/>
      <c r="J2" s="1381"/>
      <c r="K2" s="1731"/>
      <c r="L2" s="1731"/>
      <c r="M2" s="1731"/>
      <c r="N2" s="1731"/>
      <c r="O2" s="1731"/>
      <c r="P2" s="1733"/>
      <c r="Q2" s="1733"/>
      <c r="R2" s="1733"/>
      <c r="S2" s="1733"/>
    </row>
    <row r="3" spans="1:19" s="1715" customFormat="1" ht="11.25">
      <c r="A3" s="130"/>
      <c r="B3" s="130"/>
      <c r="E3" s="1719"/>
      <c r="F3" s="1719"/>
      <c r="G3" s="1719"/>
      <c r="J3" s="1381"/>
      <c r="K3" s="1731"/>
      <c r="L3" s="1731"/>
      <c r="M3" s="1731"/>
      <c r="N3" s="1731"/>
      <c r="O3" s="1731"/>
      <c r="P3" s="1719"/>
      <c r="Q3" s="1719"/>
      <c r="R3" s="1719"/>
      <c r="S3" s="1719"/>
    </row>
    <row r="4" spans="1:19" s="1732" customFormat="1" ht="14.25" customHeight="1">
      <c r="A4" s="2154" t="s">
        <v>0</v>
      </c>
      <c r="B4" s="2154" t="s">
        <v>26</v>
      </c>
      <c r="C4" s="2138" t="s">
        <v>1065</v>
      </c>
      <c r="D4" s="2138"/>
      <c r="E4" s="1742"/>
      <c r="F4" s="1742"/>
      <c r="G4" s="1742"/>
      <c r="J4" s="1373"/>
      <c r="K4" s="1742"/>
      <c r="L4" s="1742"/>
      <c r="M4" s="1742"/>
      <c r="N4" s="1742"/>
      <c r="O4" s="1742"/>
      <c r="P4" s="1742"/>
      <c r="Q4" s="1742"/>
      <c r="R4" s="1742"/>
      <c r="S4" s="1742"/>
    </row>
    <row r="5" spans="1:19" s="1732" customFormat="1" ht="14.25" customHeight="1">
      <c r="A5" s="2154"/>
      <c r="B5" s="2154"/>
      <c r="C5" s="2138" t="s">
        <v>1062</v>
      </c>
      <c r="D5" s="2138"/>
      <c r="E5" s="1742"/>
      <c r="F5" s="1742"/>
      <c r="G5" s="1742"/>
      <c r="J5" s="1373"/>
      <c r="K5" s="1742"/>
      <c r="L5" s="1742"/>
      <c r="M5" s="1742"/>
      <c r="N5" s="1742"/>
      <c r="O5" s="1742"/>
      <c r="P5" s="1742"/>
      <c r="Q5" s="1742"/>
      <c r="R5" s="1742"/>
      <c r="S5" s="1742"/>
    </row>
    <row r="6" spans="1:19" s="1732" customFormat="1" ht="14.25" customHeight="1">
      <c r="A6" s="2154"/>
      <c r="B6" s="2154"/>
      <c r="C6" s="2002" t="s">
        <v>163</v>
      </c>
      <c r="D6" s="2002" t="s">
        <v>164</v>
      </c>
      <c r="E6" s="1742"/>
      <c r="F6" s="1742"/>
      <c r="G6" s="1742"/>
      <c r="J6" s="1373"/>
      <c r="K6" s="1373"/>
      <c r="L6" s="1373"/>
      <c r="M6" s="1742"/>
      <c r="N6" s="1742"/>
      <c r="O6" s="1742"/>
      <c r="P6" s="1742"/>
      <c r="Q6" s="1742"/>
      <c r="R6" s="1742"/>
      <c r="S6" s="1742"/>
    </row>
    <row r="7" spans="1:19" s="1715" customFormat="1" ht="11.25">
      <c r="A7" s="16" t="s">
        <v>6</v>
      </c>
      <c r="B7" s="2671">
        <f>SUM(C7:D7)</f>
        <v>4</v>
      </c>
      <c r="C7" s="2675">
        <f>SUM(C8:C22)</f>
        <v>3</v>
      </c>
      <c r="D7" s="2675">
        <f>SUM(D8:D22)</f>
        <v>1</v>
      </c>
      <c r="J7" s="15"/>
      <c r="K7" s="1731"/>
      <c r="L7" s="1731"/>
      <c r="M7" s="1731"/>
      <c r="N7" s="1731"/>
      <c r="O7" s="1731"/>
      <c r="P7" s="1719"/>
      <c r="Q7" s="1719"/>
      <c r="R7" s="1719"/>
      <c r="S7" s="1719"/>
    </row>
    <row r="8" spans="1:19" s="1715" customFormat="1" ht="12.75" customHeight="1">
      <c r="A8" s="2676" t="s">
        <v>7</v>
      </c>
      <c r="B8" s="2671">
        <f t="shared" ref="B8:B22" si="0">SUM(C8:D8)</f>
        <v>0</v>
      </c>
      <c r="C8" s="1791">
        <v>0</v>
      </c>
      <c r="D8" s="1791">
        <v>0</v>
      </c>
      <c r="J8" s="1759"/>
      <c r="K8" s="1731"/>
      <c r="L8" s="1731"/>
      <c r="M8" s="1731"/>
      <c r="N8" s="1731"/>
      <c r="O8" s="1731"/>
      <c r="P8" s="1719"/>
      <c r="Q8" s="1719"/>
      <c r="R8" s="1719"/>
      <c r="S8" s="1719"/>
    </row>
    <row r="9" spans="1:19" s="1715" customFormat="1" ht="12.75" customHeight="1">
      <c r="A9" s="2676" t="s">
        <v>8</v>
      </c>
      <c r="B9" s="2671">
        <f t="shared" si="0"/>
        <v>0</v>
      </c>
      <c r="C9" s="1791">
        <v>0</v>
      </c>
      <c r="D9" s="1791">
        <v>0</v>
      </c>
      <c r="J9" s="1759"/>
      <c r="K9" s="1731"/>
      <c r="L9" s="1731"/>
      <c r="M9" s="1731"/>
      <c r="N9" s="1731"/>
      <c r="O9" s="1731"/>
      <c r="P9" s="1719"/>
      <c r="Q9" s="1719"/>
      <c r="R9" s="1719"/>
      <c r="S9" s="1719"/>
    </row>
    <row r="10" spans="1:19" s="1715" customFormat="1" ht="12.75" customHeight="1">
      <c r="A10" s="2676" t="s">
        <v>9</v>
      </c>
      <c r="B10" s="2671">
        <f t="shared" si="0"/>
        <v>0</v>
      </c>
      <c r="C10" s="1791">
        <v>0</v>
      </c>
      <c r="D10" s="1791">
        <v>0</v>
      </c>
      <c r="J10" s="1759"/>
      <c r="K10" s="1731"/>
      <c r="L10" s="1731"/>
      <c r="M10" s="1731"/>
      <c r="N10" s="1731"/>
      <c r="O10" s="1731"/>
      <c r="P10" s="1719"/>
      <c r="Q10" s="1719"/>
      <c r="R10" s="1719"/>
      <c r="S10" s="1719"/>
    </row>
    <row r="11" spans="1:19" s="1715" customFormat="1" ht="12.75" customHeight="1">
      <c r="A11" s="2676" t="s">
        <v>10</v>
      </c>
      <c r="B11" s="2671">
        <f t="shared" si="0"/>
        <v>0</v>
      </c>
      <c r="C11" s="1791">
        <v>0</v>
      </c>
      <c r="D11" s="1791">
        <v>0</v>
      </c>
      <c r="J11" s="1759"/>
      <c r="K11" s="1731"/>
      <c r="L11" s="1731"/>
      <c r="M11" s="1731"/>
      <c r="N11" s="1731"/>
      <c r="O11" s="1731"/>
      <c r="P11" s="1719"/>
      <c r="Q11" s="1719"/>
      <c r="R11" s="1719"/>
      <c r="S11" s="1719"/>
    </row>
    <row r="12" spans="1:19" s="1715" customFormat="1" ht="12.75" customHeight="1">
      <c r="A12" s="2676" t="s">
        <v>11</v>
      </c>
      <c r="B12" s="2671">
        <f t="shared" si="0"/>
        <v>0</v>
      </c>
      <c r="C12" s="1791">
        <v>0</v>
      </c>
      <c r="D12" s="1791">
        <v>0</v>
      </c>
      <c r="J12" s="1759"/>
      <c r="K12" s="1731"/>
      <c r="L12" s="1731"/>
      <c r="M12" s="1731"/>
      <c r="N12" s="1731"/>
      <c r="O12" s="1731"/>
      <c r="P12" s="1719"/>
      <c r="Q12" s="1719"/>
      <c r="R12" s="1719"/>
      <c r="S12" s="1719"/>
    </row>
    <row r="13" spans="1:19" s="1715" customFormat="1" ht="11.25">
      <c r="A13" s="2676" t="s">
        <v>12</v>
      </c>
      <c r="B13" s="2671">
        <f t="shared" si="0"/>
        <v>0</v>
      </c>
      <c r="C13" s="1791">
        <v>0</v>
      </c>
      <c r="D13" s="1791">
        <v>0</v>
      </c>
      <c r="J13" s="1759"/>
      <c r="K13" s="1731"/>
      <c r="L13" s="1731"/>
      <c r="M13" s="1731"/>
      <c r="N13" s="1731"/>
      <c r="O13" s="1731"/>
    </row>
    <row r="14" spans="1:19" s="1715" customFormat="1" ht="12.75" customHeight="1">
      <c r="A14" s="2676" t="s">
        <v>13</v>
      </c>
      <c r="B14" s="2671">
        <f t="shared" si="0"/>
        <v>4</v>
      </c>
      <c r="C14" s="1791">
        <v>3</v>
      </c>
      <c r="D14" s="1791">
        <v>1</v>
      </c>
      <c r="J14" s="1759"/>
      <c r="K14" s="1731"/>
      <c r="L14" s="1731"/>
      <c r="M14" s="1731"/>
      <c r="N14" s="1731"/>
      <c r="O14" s="1731"/>
    </row>
    <row r="15" spans="1:19" s="1715" customFormat="1" ht="12.75" customHeight="1">
      <c r="A15" s="2676" t="s">
        <v>14</v>
      </c>
      <c r="B15" s="2671">
        <f t="shared" si="0"/>
        <v>0</v>
      </c>
      <c r="C15" s="1791">
        <v>0</v>
      </c>
      <c r="D15" s="1791">
        <v>0</v>
      </c>
      <c r="J15" s="1759"/>
      <c r="K15" s="1731"/>
      <c r="L15" s="1731"/>
      <c r="M15" s="1731"/>
      <c r="N15" s="1731"/>
      <c r="O15" s="1731"/>
    </row>
    <row r="16" spans="1:19" s="1715" customFormat="1" ht="12.75" customHeight="1">
      <c r="A16" s="2676" t="s">
        <v>15</v>
      </c>
      <c r="B16" s="2671">
        <f t="shared" si="0"/>
        <v>0</v>
      </c>
      <c r="C16" s="1791">
        <v>0</v>
      </c>
      <c r="D16" s="1791">
        <v>0</v>
      </c>
      <c r="J16" s="1759"/>
      <c r="K16" s="1731"/>
      <c r="L16" s="1731"/>
      <c r="M16" s="1731"/>
      <c r="N16" s="1731"/>
      <c r="O16" s="1731"/>
    </row>
    <row r="17" spans="1:21" s="1715" customFormat="1" ht="12.75" customHeight="1">
      <c r="A17" s="2676" t="s">
        <v>16</v>
      </c>
      <c r="B17" s="2671">
        <f t="shared" si="0"/>
        <v>0</v>
      </c>
      <c r="C17" s="1791">
        <v>0</v>
      </c>
      <c r="D17" s="1791">
        <v>0</v>
      </c>
      <c r="J17" s="1759"/>
      <c r="K17" s="1731"/>
      <c r="L17" s="1731"/>
      <c r="M17" s="1731"/>
      <c r="N17" s="1731"/>
      <c r="O17" s="1731"/>
    </row>
    <row r="18" spans="1:21" s="1715" customFormat="1" ht="12.75" customHeight="1">
      <c r="A18" s="2676" t="s">
        <v>17</v>
      </c>
      <c r="B18" s="2671">
        <f t="shared" si="0"/>
        <v>0</v>
      </c>
      <c r="C18" s="1791">
        <v>0</v>
      </c>
      <c r="D18" s="1791">
        <v>0</v>
      </c>
      <c r="J18" s="1759"/>
      <c r="K18" s="1731"/>
      <c r="L18" s="1731"/>
      <c r="M18" s="1731"/>
      <c r="N18" s="1731"/>
      <c r="O18" s="1731"/>
    </row>
    <row r="19" spans="1:21" s="1715" customFormat="1" ht="12.75" customHeight="1">
      <c r="A19" s="2676" t="s">
        <v>18</v>
      </c>
      <c r="B19" s="2671">
        <f t="shared" si="0"/>
        <v>0</v>
      </c>
      <c r="C19" s="1791">
        <v>0</v>
      </c>
      <c r="D19" s="1791">
        <v>0</v>
      </c>
      <c r="J19" s="1759"/>
      <c r="K19" s="1731"/>
      <c r="L19" s="1731"/>
      <c r="M19" s="1731"/>
      <c r="N19" s="1731"/>
      <c r="O19" s="1731"/>
    </row>
    <row r="20" spans="1:21" s="1715" customFormat="1" ht="12.75" customHeight="1">
      <c r="A20" s="2676" t="s">
        <v>19</v>
      </c>
      <c r="B20" s="2671">
        <f t="shared" si="0"/>
        <v>0</v>
      </c>
      <c r="C20" s="1791">
        <v>0</v>
      </c>
      <c r="D20" s="1791">
        <v>0</v>
      </c>
      <c r="J20" s="1759"/>
      <c r="K20" s="1731"/>
      <c r="L20" s="1731"/>
      <c r="M20" s="1731"/>
      <c r="N20" s="1731"/>
      <c r="O20" s="1731"/>
    </row>
    <row r="21" spans="1:21" s="1715" customFormat="1" ht="12.75" customHeight="1">
      <c r="A21" s="2676" t="s">
        <v>20</v>
      </c>
      <c r="B21" s="2671">
        <f t="shared" si="0"/>
        <v>0</v>
      </c>
      <c r="C21" s="1791">
        <v>0</v>
      </c>
      <c r="D21" s="1791">
        <v>0</v>
      </c>
      <c r="J21" s="1759"/>
      <c r="K21" s="1731"/>
      <c r="L21" s="1731"/>
      <c r="M21" s="1731"/>
      <c r="N21" s="1731"/>
      <c r="O21" s="1731"/>
    </row>
    <row r="22" spans="1:21" s="1715" customFormat="1" ht="12.75" customHeight="1">
      <c r="A22" s="2676" t="s">
        <v>21</v>
      </c>
      <c r="B22" s="2671">
        <f t="shared" si="0"/>
        <v>0</v>
      </c>
      <c r="C22" s="1791">
        <v>0</v>
      </c>
      <c r="D22" s="1791">
        <v>0</v>
      </c>
      <c r="J22" s="1759"/>
      <c r="K22" s="1731"/>
      <c r="L22" s="1731"/>
      <c r="M22" s="1731"/>
      <c r="N22" s="1731"/>
      <c r="O22" s="1731"/>
    </row>
    <row r="23" spans="1:21" s="1715" customFormat="1" ht="7.5" customHeight="1">
      <c r="A23" s="1760"/>
      <c r="B23" s="1760"/>
      <c r="C23" s="1756"/>
      <c r="D23" s="1756"/>
      <c r="J23" s="1759"/>
      <c r="K23" s="1731"/>
      <c r="L23" s="1731"/>
      <c r="M23" s="1731"/>
      <c r="N23" s="1731"/>
      <c r="O23" s="1731"/>
    </row>
    <row r="24" spans="1:21" s="14" customFormat="1" ht="11.25" customHeight="1">
      <c r="A24" s="2151" t="s">
        <v>22</v>
      </c>
      <c r="B24" s="2151"/>
      <c r="C24" s="2151"/>
      <c r="D24" s="2151"/>
      <c r="E24" s="1727"/>
      <c r="F24" s="1727"/>
      <c r="G24" s="1727"/>
      <c r="H24" s="1727"/>
      <c r="I24" s="1727"/>
      <c r="J24" s="1727"/>
      <c r="K24" s="1727"/>
      <c r="L24" s="1727"/>
      <c r="M24" s="1727"/>
      <c r="N24" s="1727"/>
      <c r="O24" s="28"/>
      <c r="P24" s="28"/>
      <c r="Q24" s="28"/>
      <c r="R24" s="28"/>
      <c r="S24" s="28"/>
      <c r="T24" s="28"/>
      <c r="U24" s="28"/>
    </row>
    <row r="25" spans="1:21" s="1715" customFormat="1" ht="11.25">
      <c r="A25" s="2152" t="s">
        <v>1063</v>
      </c>
      <c r="B25" s="2152"/>
      <c r="C25" s="2152"/>
      <c r="D25" s="2152"/>
      <c r="J25" s="1381"/>
      <c r="K25" s="1731"/>
      <c r="L25" s="1731"/>
      <c r="M25" s="1731"/>
      <c r="N25" s="1731"/>
      <c r="O25" s="1731"/>
    </row>
    <row r="26" spans="1:21" s="1715" customFormat="1" ht="11.25">
      <c r="A26" s="1386"/>
      <c r="B26" s="1386"/>
      <c r="C26" s="1386"/>
      <c r="D26" s="1386"/>
      <c r="J26" s="1381"/>
      <c r="K26" s="1731"/>
      <c r="L26" s="1731"/>
      <c r="M26" s="1731"/>
      <c r="N26" s="1731"/>
      <c r="O26" s="1731"/>
    </row>
    <row r="30" spans="1:21">
      <c r="A30" s="1711"/>
      <c r="B30" s="1711"/>
      <c r="C30" s="1711"/>
    </row>
  </sheetData>
  <mergeCells count="7">
    <mergeCell ref="A25:D25"/>
    <mergeCell ref="A2:D2"/>
    <mergeCell ref="A4:A6"/>
    <mergeCell ref="B4:B6"/>
    <mergeCell ref="C4:D4"/>
    <mergeCell ref="C5:D5"/>
    <mergeCell ref="A24:D24"/>
  </mergeCells>
  <pageMargins left="0.7" right="0.7" top="0.75" bottom="0.75" header="0.3" footer="0.3"/>
  <pageSetup paperSize="14" orientation="portrait" r:id="rId1"/>
</worksheet>
</file>

<file path=xl/worksheets/sheet76.xml><?xml version="1.0" encoding="utf-8"?>
<worksheet xmlns="http://schemas.openxmlformats.org/spreadsheetml/2006/main" xmlns:r="http://schemas.openxmlformats.org/officeDocument/2006/relationships">
  <dimension ref="A1:O11"/>
  <sheetViews>
    <sheetView zoomScaleNormal="100" workbookViewId="0">
      <selection activeCell="B15" sqref="B15"/>
    </sheetView>
  </sheetViews>
  <sheetFormatPr baseColWidth="10" defaultRowHeight="12"/>
  <cols>
    <col min="1" max="1" width="25.140625" style="143" customWidth="1"/>
    <col min="2" max="16384" width="11.42578125" style="143"/>
  </cols>
  <sheetData>
    <row r="1" spans="1:15" s="1715" customFormat="1" ht="11.25">
      <c r="A1" s="1752"/>
      <c r="B1" s="1386"/>
      <c r="C1" s="1386"/>
      <c r="D1" s="1386"/>
      <c r="J1" s="1381"/>
      <c r="K1" s="1731"/>
      <c r="L1" s="1731"/>
      <c r="M1" s="1731"/>
      <c r="N1" s="1731"/>
      <c r="O1" s="1731"/>
    </row>
    <row r="2" spans="1:15" s="1715" customFormat="1" ht="31.5" customHeight="1">
      <c r="A2" s="2160" t="s">
        <v>1066</v>
      </c>
      <c r="B2" s="2160"/>
      <c r="C2" s="2160"/>
      <c r="D2" s="2160"/>
      <c r="E2" s="2160"/>
      <c r="F2" s="2160"/>
      <c r="G2" s="2160"/>
      <c r="J2" s="1731"/>
      <c r="K2" s="1731"/>
      <c r="L2" s="1731"/>
      <c r="M2" s="1731"/>
      <c r="N2" s="1731"/>
      <c r="O2" s="1731"/>
    </row>
    <row r="3" spans="1:15" s="1715" customFormat="1" ht="11.25">
      <c r="A3" s="1756"/>
      <c r="B3" s="1756"/>
      <c r="J3" s="1731"/>
      <c r="K3" s="1731"/>
      <c r="L3" s="1731"/>
      <c r="M3" s="1731"/>
      <c r="N3" s="1731"/>
      <c r="O3" s="1731"/>
    </row>
    <row r="4" spans="1:15" s="1715" customFormat="1" ht="15.75" customHeight="1">
      <c r="A4" s="2138" t="s">
        <v>1067</v>
      </c>
      <c r="B4" s="2138" t="s">
        <v>671</v>
      </c>
      <c r="C4" s="2138"/>
      <c r="D4" s="2138"/>
      <c r="E4" s="2138"/>
      <c r="F4" s="2138"/>
      <c r="G4" s="2138"/>
      <c r="H4" s="1731"/>
      <c r="I4" s="1735"/>
      <c r="J4" s="1731"/>
      <c r="K4" s="1731"/>
      <c r="L4" s="1731"/>
      <c r="M4" s="1731"/>
    </row>
    <row r="5" spans="1:15" s="1715" customFormat="1" ht="15.75" customHeight="1">
      <c r="A5" s="2138"/>
      <c r="B5" s="1757">
        <v>2009</v>
      </c>
      <c r="C5" s="1757">
        <v>2010</v>
      </c>
      <c r="D5" s="1757">
        <v>2011</v>
      </c>
      <c r="E5" s="1757">
        <v>2012</v>
      </c>
      <c r="F5" s="1757">
        <v>2013</v>
      </c>
      <c r="G5" s="1757">
        <v>2014</v>
      </c>
      <c r="H5" s="1731"/>
      <c r="I5" s="1735"/>
      <c r="J5" s="1731"/>
      <c r="K5" s="1731"/>
      <c r="L5" s="1731"/>
      <c r="M5" s="1731"/>
    </row>
    <row r="6" spans="1:15" s="1715" customFormat="1" ht="11.25">
      <c r="A6" s="16" t="s">
        <v>6</v>
      </c>
      <c r="B6" s="1756">
        <f t="shared" ref="B6:G6" si="0">SUM(B7:B8)</f>
        <v>47</v>
      </c>
      <c r="C6" s="1756">
        <f t="shared" si="0"/>
        <v>81</v>
      </c>
      <c r="D6" s="1756">
        <f t="shared" si="0"/>
        <v>26</v>
      </c>
      <c r="E6" s="1756">
        <f t="shared" si="0"/>
        <v>16</v>
      </c>
      <c r="F6" s="1756">
        <f t="shared" si="0"/>
        <v>33</v>
      </c>
      <c r="G6" s="1756">
        <f t="shared" si="0"/>
        <v>33</v>
      </c>
      <c r="H6" s="15"/>
      <c r="I6" s="1731"/>
      <c r="J6" s="1731"/>
      <c r="K6" s="1731"/>
      <c r="L6" s="1731"/>
      <c r="M6" s="1731"/>
    </row>
    <row r="7" spans="1:15" s="1715" customFormat="1" ht="11.25">
      <c r="A7" s="129" t="s">
        <v>755</v>
      </c>
      <c r="B7" s="1719">
        <v>45</v>
      </c>
      <c r="C7" s="1719">
        <v>46</v>
      </c>
      <c r="D7" s="1719">
        <v>18</v>
      </c>
      <c r="E7" s="1719">
        <v>10</v>
      </c>
      <c r="F7" s="1719">
        <v>12</v>
      </c>
      <c r="G7" s="1719">
        <v>10</v>
      </c>
      <c r="H7" s="1381"/>
      <c r="I7" s="1731"/>
      <c r="J7" s="1731"/>
      <c r="K7" s="1731"/>
      <c r="L7" s="1731"/>
      <c r="M7" s="1731"/>
    </row>
    <row r="8" spans="1:15" s="1715" customFormat="1" ht="11.25">
      <c r="A8" s="129" t="s">
        <v>166</v>
      </c>
      <c r="B8" s="1719">
        <v>2</v>
      </c>
      <c r="C8" s="1719">
        <v>35</v>
      </c>
      <c r="D8" s="1719">
        <v>8</v>
      </c>
      <c r="E8" s="1719">
        <v>6</v>
      </c>
      <c r="F8" s="1719">
        <v>21</v>
      </c>
      <c r="G8" s="1719">
        <v>23</v>
      </c>
      <c r="H8" s="1381"/>
      <c r="I8" s="1731"/>
      <c r="J8" s="1731"/>
      <c r="K8" s="1731"/>
      <c r="L8" s="1731"/>
      <c r="M8" s="1731"/>
    </row>
    <row r="9" spans="1:15" s="1715" customFormat="1" ht="6" customHeight="1">
      <c r="A9" s="129"/>
      <c r="F9" s="1719"/>
      <c r="H9" s="1381"/>
      <c r="I9" s="1731"/>
      <c r="J9" s="1731"/>
      <c r="K9" s="1731"/>
      <c r="L9" s="1731"/>
      <c r="M9" s="1731"/>
    </row>
    <row r="10" spans="1:15" s="1715" customFormat="1" ht="11.25">
      <c r="A10" s="2152" t="s">
        <v>1063</v>
      </c>
      <c r="B10" s="2152"/>
      <c r="C10" s="2152"/>
      <c r="D10" s="2152"/>
      <c r="E10" s="2152"/>
      <c r="F10" s="2152"/>
      <c r="H10" s="1381"/>
      <c r="I10" s="1731"/>
      <c r="J10" s="1731"/>
      <c r="K10" s="1731"/>
      <c r="L10" s="1731"/>
      <c r="M10" s="1731"/>
    </row>
    <row r="11" spans="1:15" s="1715" customFormat="1" ht="11.25">
      <c r="A11" s="129"/>
      <c r="B11" s="129"/>
      <c r="M11" s="1758"/>
      <c r="N11" s="129"/>
    </row>
  </sheetData>
  <mergeCells count="4">
    <mergeCell ref="A2:G2"/>
    <mergeCell ref="A4:A5"/>
    <mergeCell ref="B4:G4"/>
    <mergeCell ref="A10:F10"/>
  </mergeCells>
  <pageMargins left="0.7" right="0.7" top="0.75" bottom="0.75" header="0.3" footer="0.3"/>
  <pageSetup paperSize="14" orientation="portrait" r:id="rId1"/>
</worksheet>
</file>

<file path=xl/worksheets/sheet77.xml><?xml version="1.0" encoding="utf-8"?>
<worksheet xmlns="http://schemas.openxmlformats.org/spreadsheetml/2006/main" xmlns:r="http://schemas.openxmlformats.org/officeDocument/2006/relationships">
  <dimension ref="A1:T14"/>
  <sheetViews>
    <sheetView zoomScaleNormal="100" workbookViewId="0">
      <selection activeCell="B18" sqref="B18"/>
    </sheetView>
  </sheetViews>
  <sheetFormatPr baseColWidth="10" defaultRowHeight="12"/>
  <cols>
    <col min="1" max="1" width="32.42578125" style="143" customWidth="1"/>
    <col min="2" max="16384" width="11.42578125" style="143"/>
  </cols>
  <sheetData>
    <row r="1" spans="1:20" s="1715" customFormat="1" ht="11.25">
      <c r="A1" s="1752"/>
    </row>
    <row r="2" spans="1:20" s="1715" customFormat="1" ht="24.75" customHeight="1">
      <c r="A2" s="2162" t="s">
        <v>1068</v>
      </c>
      <c r="B2" s="2162"/>
      <c r="C2" s="2162"/>
      <c r="D2" s="2162"/>
      <c r="E2" s="2162"/>
      <c r="F2" s="2162"/>
      <c r="G2" s="2162"/>
      <c r="I2" s="1731"/>
      <c r="J2" s="1731"/>
      <c r="K2" s="1731"/>
      <c r="L2" s="1731"/>
      <c r="M2" s="1731"/>
      <c r="N2" s="1731"/>
    </row>
    <row r="3" spans="1:20" s="1715" customFormat="1" ht="12" customHeight="1">
      <c r="A3" s="1753"/>
      <c r="B3" s="1753"/>
      <c r="C3" s="1753"/>
      <c r="D3" s="1753"/>
      <c r="E3" s="1753"/>
      <c r="F3" s="1753"/>
      <c r="G3" s="1754"/>
      <c r="I3" s="1731"/>
      <c r="J3" s="1731"/>
      <c r="K3" s="1731"/>
      <c r="L3" s="1731"/>
      <c r="M3" s="1731"/>
      <c r="N3" s="1731"/>
    </row>
    <row r="4" spans="1:20" s="1715" customFormat="1" ht="12.75" customHeight="1">
      <c r="A4" s="2154" t="s">
        <v>1069</v>
      </c>
      <c r="B4" s="2156" t="s">
        <v>671</v>
      </c>
      <c r="C4" s="2156"/>
      <c r="D4" s="2156"/>
      <c r="E4" s="2156"/>
      <c r="F4" s="2156"/>
      <c r="G4" s="2156"/>
      <c r="I4" s="1731"/>
      <c r="J4" s="1731"/>
      <c r="K4" s="1731"/>
      <c r="L4" s="1731"/>
      <c r="M4" s="1731"/>
      <c r="N4" s="1731"/>
    </row>
    <row r="5" spans="1:20" s="1715" customFormat="1" ht="21.75" customHeight="1">
      <c r="A5" s="2154"/>
      <c r="B5" s="2001">
        <v>2009</v>
      </c>
      <c r="C5" s="2001">
        <v>2010</v>
      </c>
      <c r="D5" s="2001">
        <v>2011</v>
      </c>
      <c r="E5" s="2001">
        <v>2012</v>
      </c>
      <c r="F5" s="2001">
        <v>2013</v>
      </c>
      <c r="G5" s="2001">
        <v>2014</v>
      </c>
      <c r="H5" s="1731"/>
      <c r="I5" s="1731"/>
      <c r="J5" s="1735"/>
      <c r="K5" s="1735"/>
      <c r="L5" s="1735"/>
      <c r="M5" s="1735"/>
    </row>
    <row r="6" spans="1:20" s="1715" customFormat="1" ht="15.75" customHeight="1">
      <c r="A6" s="763" t="s">
        <v>6</v>
      </c>
      <c r="B6" s="1756">
        <f t="shared" ref="B6:G6" si="0">SUM(B7:B8)</f>
        <v>10</v>
      </c>
      <c r="C6" s="1756">
        <f t="shared" si="0"/>
        <v>14</v>
      </c>
      <c r="D6" s="1756">
        <f t="shared" si="0"/>
        <v>26</v>
      </c>
      <c r="E6" s="1756">
        <f t="shared" si="0"/>
        <v>16</v>
      </c>
      <c r="F6" s="1756">
        <f t="shared" si="0"/>
        <v>17</v>
      </c>
      <c r="G6" s="1756">
        <f t="shared" si="0"/>
        <v>33</v>
      </c>
      <c r="H6" s="1381"/>
      <c r="I6" s="1731"/>
      <c r="J6" s="1731"/>
      <c r="K6" s="1731"/>
      <c r="L6" s="1731"/>
      <c r="M6" s="1731"/>
    </row>
    <row r="7" spans="1:20" s="1715" customFormat="1" ht="15.75" customHeight="1">
      <c r="A7" s="1004" t="s">
        <v>3788</v>
      </c>
      <c r="B7" s="1719">
        <v>10</v>
      </c>
      <c r="C7" s="1719">
        <v>14</v>
      </c>
      <c r="D7" s="1719">
        <v>26</v>
      </c>
      <c r="E7" s="1719">
        <v>16</v>
      </c>
      <c r="F7" s="1719">
        <v>15</v>
      </c>
      <c r="G7" s="1719">
        <v>10</v>
      </c>
      <c r="H7" s="1381"/>
      <c r="I7" s="1381"/>
      <c r="J7" s="1731"/>
      <c r="K7" s="1731"/>
      <c r="L7" s="1731"/>
      <c r="M7" s="1731"/>
    </row>
    <row r="8" spans="1:20" s="1715" customFormat="1" ht="25.5" customHeight="1">
      <c r="A8" s="1004" t="s">
        <v>3238</v>
      </c>
      <c r="B8" s="1791">
        <v>0</v>
      </c>
      <c r="C8" s="1791">
        <v>0</v>
      </c>
      <c r="D8" s="1791">
        <v>0</v>
      </c>
      <c r="E8" s="1791">
        <v>0</v>
      </c>
      <c r="F8" s="1719">
        <v>2</v>
      </c>
      <c r="G8" s="1719">
        <v>23</v>
      </c>
      <c r="H8" s="1381"/>
      <c r="I8" s="1381"/>
      <c r="J8" s="1731"/>
      <c r="K8" s="1731"/>
      <c r="L8" s="1731"/>
      <c r="M8" s="1731"/>
    </row>
    <row r="9" spans="1:20" s="1715" customFormat="1" ht="11.25">
      <c r="A9" s="129"/>
      <c r="B9" s="1755"/>
      <c r="H9" s="1381"/>
      <c r="I9" s="1731"/>
      <c r="J9" s="1731"/>
      <c r="K9" s="1731"/>
      <c r="L9" s="1731"/>
      <c r="M9" s="1731"/>
    </row>
    <row r="10" spans="1:20" s="1732" customFormat="1" ht="15" customHeight="1">
      <c r="A10" s="2161" t="s">
        <v>3789</v>
      </c>
      <c r="B10" s="2161"/>
      <c r="C10" s="2161"/>
      <c r="D10" s="2161"/>
      <c r="E10" s="2161"/>
      <c r="F10" s="2161"/>
      <c r="I10" s="1373"/>
      <c r="J10" s="1742"/>
      <c r="K10" s="1742"/>
      <c r="L10" s="1742"/>
      <c r="M10" s="1742"/>
      <c r="N10" s="1742"/>
    </row>
    <row r="11" spans="1:20" s="1525" customFormat="1" ht="11.25" customHeight="1">
      <c r="A11" s="2151" t="s">
        <v>22</v>
      </c>
      <c r="B11" s="2151"/>
      <c r="C11" s="2151"/>
      <c r="D11" s="2151"/>
      <c r="E11" s="2151"/>
      <c r="F11" s="2151"/>
      <c r="G11" s="1727"/>
      <c r="H11" s="1727"/>
      <c r="I11" s="1727"/>
      <c r="J11" s="1727"/>
      <c r="K11" s="1727"/>
      <c r="L11" s="1727"/>
      <c r="M11" s="1727"/>
      <c r="N11" s="1524"/>
      <c r="O11" s="1524"/>
      <c r="P11" s="1524"/>
      <c r="Q11" s="1524"/>
      <c r="R11" s="1524"/>
      <c r="S11" s="1524"/>
      <c r="T11" s="1524"/>
    </row>
    <row r="12" spans="1:20" s="1732" customFormat="1" ht="10.7" customHeight="1">
      <c r="A12" s="2161" t="s">
        <v>1063</v>
      </c>
      <c r="B12" s="2161"/>
      <c r="C12" s="2161"/>
      <c r="D12" s="2161"/>
      <c r="E12" s="2161"/>
      <c r="F12" s="2161"/>
      <c r="G12" s="1373"/>
      <c r="I12" s="1373"/>
      <c r="J12" s="1742"/>
      <c r="K12" s="1742"/>
      <c r="L12" s="1742"/>
      <c r="M12" s="1742"/>
      <c r="N12" s="1742"/>
    </row>
    <row r="13" spans="1:20" s="1715" customFormat="1" ht="11.25"/>
    <row r="14" spans="1:20">
      <c r="F14" s="1720"/>
    </row>
  </sheetData>
  <mergeCells count="6">
    <mergeCell ref="A12:F12"/>
    <mergeCell ref="A2:G2"/>
    <mergeCell ref="A4:A5"/>
    <mergeCell ref="B4:G4"/>
    <mergeCell ref="A10:F10"/>
    <mergeCell ref="A11:F11"/>
  </mergeCells>
  <pageMargins left="0.7" right="0.7" top="0.75" bottom="0.75" header="0.3" footer="0.3"/>
  <pageSetup paperSize="14" orientation="portrait" r:id="rId1"/>
</worksheet>
</file>

<file path=xl/worksheets/sheet78.xml><?xml version="1.0" encoding="utf-8"?>
<worksheet xmlns="http://schemas.openxmlformats.org/spreadsheetml/2006/main" xmlns:r="http://schemas.openxmlformats.org/officeDocument/2006/relationships">
  <dimension ref="A1:S13"/>
  <sheetViews>
    <sheetView zoomScaleNormal="100" workbookViewId="0">
      <selection activeCell="C22" sqref="C22"/>
    </sheetView>
  </sheetViews>
  <sheetFormatPr baseColWidth="10" defaultRowHeight="12"/>
  <cols>
    <col min="1" max="1" width="18.42578125" style="143" customWidth="1"/>
    <col min="2" max="2" width="13" style="143" bestFit="1" customWidth="1"/>
    <col min="3" max="3" width="11.5703125" style="143" customWidth="1"/>
    <col min="4" max="4" width="13" style="143" customWidth="1"/>
    <col min="5" max="5" width="13.85546875" style="143" bestFit="1" customWidth="1"/>
    <col min="6" max="6" width="13.42578125" style="143" bestFit="1" customWidth="1"/>
    <col min="7" max="7" width="14.42578125" style="143" bestFit="1" customWidth="1"/>
    <col min="8" max="16384" width="11.42578125" style="143"/>
  </cols>
  <sheetData>
    <row r="1" spans="1:19">
      <c r="A1" s="1729"/>
    </row>
    <row r="2" spans="1:19" s="1732" customFormat="1" ht="34.5" customHeight="1">
      <c r="A2" s="2163" t="s">
        <v>1070</v>
      </c>
      <c r="B2" s="2163"/>
      <c r="C2" s="2163"/>
      <c r="D2" s="2163"/>
      <c r="E2" s="2163"/>
      <c r="F2" s="2163"/>
      <c r="G2" s="2163"/>
      <c r="J2" s="1373"/>
      <c r="K2" s="1742"/>
      <c r="L2" s="1742"/>
      <c r="M2" s="1742"/>
      <c r="N2" s="1742"/>
      <c r="O2" s="1742"/>
      <c r="P2" s="1743"/>
      <c r="Q2" s="1743"/>
      <c r="R2" s="1743"/>
      <c r="S2" s="1743"/>
    </row>
    <row r="3" spans="1:19" s="1715" customFormat="1" ht="11.25">
      <c r="A3" s="129"/>
      <c r="B3" s="129"/>
      <c r="J3" s="1381"/>
      <c r="K3" s="1731"/>
      <c r="L3" s="1731"/>
      <c r="M3" s="1731"/>
      <c r="N3" s="1731"/>
      <c r="O3" s="1731"/>
      <c r="P3" s="1719"/>
      <c r="Q3" s="1719"/>
      <c r="R3" s="1719"/>
      <c r="S3" s="1719"/>
    </row>
    <row r="4" spans="1:19" s="1715" customFormat="1" ht="16.5" customHeight="1">
      <c r="A4" s="2154" t="s">
        <v>3780</v>
      </c>
      <c r="B4" s="2138" t="s">
        <v>671</v>
      </c>
      <c r="C4" s="2138"/>
      <c r="D4" s="2138"/>
      <c r="E4" s="2138"/>
      <c r="F4" s="2138"/>
      <c r="G4" s="2138"/>
      <c r="I4" s="1381"/>
      <c r="J4" s="1731"/>
      <c r="K4" s="1731"/>
      <c r="L4" s="1731"/>
      <c r="M4" s="1731"/>
      <c r="N4" s="1731"/>
      <c r="O4" s="1731"/>
      <c r="P4" s="1731"/>
      <c r="Q4" s="1731"/>
      <c r="R4" s="1731"/>
    </row>
    <row r="5" spans="1:19" s="1715" customFormat="1" ht="16.5" customHeight="1">
      <c r="A5" s="2154"/>
      <c r="B5" s="2001" t="s">
        <v>3781</v>
      </c>
      <c r="C5" s="2001">
        <v>2010</v>
      </c>
      <c r="D5" s="2001">
        <v>2011</v>
      </c>
      <c r="E5" s="2001">
        <v>2012</v>
      </c>
      <c r="F5" s="2001">
        <v>2013</v>
      </c>
      <c r="G5" s="2001">
        <v>2014</v>
      </c>
      <c r="I5" s="1381"/>
      <c r="J5" s="1731"/>
      <c r="K5" s="1731"/>
      <c r="L5" s="1731"/>
      <c r="M5" s="1731"/>
      <c r="N5" s="1731"/>
      <c r="O5" s="1719"/>
      <c r="P5" s="1719"/>
      <c r="Q5" s="1719"/>
      <c r="R5" s="1719"/>
    </row>
    <row r="6" spans="1:19" s="1732" customFormat="1" ht="24">
      <c r="A6" s="2677" t="s">
        <v>3782</v>
      </c>
      <c r="B6" s="2678">
        <v>11681179</v>
      </c>
      <c r="C6" s="2679">
        <v>6395220</v>
      </c>
      <c r="D6" s="2679">
        <v>14511852</v>
      </c>
      <c r="E6" s="2679">
        <v>15076109</v>
      </c>
      <c r="F6" s="2679">
        <v>5907195</v>
      </c>
      <c r="G6" s="1745">
        <v>10274139</v>
      </c>
      <c r="H6" s="1744"/>
      <c r="I6" s="1373"/>
      <c r="J6" s="1745"/>
      <c r="K6" s="1746"/>
      <c r="L6" s="1746"/>
      <c r="M6" s="1746"/>
      <c r="N6" s="1742"/>
      <c r="O6" s="1746"/>
      <c r="P6" s="1746"/>
      <c r="Q6" s="1746"/>
      <c r="R6" s="1742"/>
    </row>
    <row r="7" spans="1:19" s="1732" customFormat="1" ht="24">
      <c r="A7" s="2677" t="s">
        <v>3783</v>
      </c>
      <c r="B7" s="2680">
        <v>45</v>
      </c>
      <c r="C7" s="2678">
        <v>5940138</v>
      </c>
      <c r="D7" s="2678">
        <v>1561336</v>
      </c>
      <c r="E7" s="2678">
        <v>1917304</v>
      </c>
      <c r="F7" s="2679">
        <v>632322</v>
      </c>
      <c r="G7" s="1745">
        <v>1323764</v>
      </c>
      <c r="H7" s="1744"/>
      <c r="I7" s="1373"/>
      <c r="J7" s="1747"/>
      <c r="K7" s="1748"/>
      <c r="L7" s="1748"/>
      <c r="M7" s="1748"/>
      <c r="N7" s="1742"/>
      <c r="O7" s="1748"/>
      <c r="P7" s="1748"/>
      <c r="Q7" s="1748"/>
      <c r="R7" s="1742"/>
    </row>
    <row r="8" spans="1:19" s="1715" customFormat="1" ht="7.5" customHeight="1">
      <c r="A8" s="1004"/>
      <c r="B8" s="1004"/>
      <c r="C8" s="1749"/>
      <c r="D8" s="1737"/>
      <c r="E8" s="1737"/>
      <c r="F8" s="1737"/>
      <c r="G8" s="1168"/>
      <c r="J8" s="1381"/>
      <c r="K8" s="1750"/>
      <c r="L8" s="1718"/>
      <c r="M8" s="1718"/>
      <c r="N8" s="1718"/>
      <c r="O8" s="1731"/>
      <c r="P8" s="1718"/>
      <c r="Q8" s="1718"/>
      <c r="R8" s="1718"/>
      <c r="S8" s="1719"/>
    </row>
    <row r="9" spans="1:19" s="144" customFormat="1" ht="24" customHeight="1">
      <c r="A9" s="2133" t="s">
        <v>3784</v>
      </c>
      <c r="B9" s="2133"/>
      <c r="C9" s="2133"/>
      <c r="D9" s="2133"/>
      <c r="E9" s="2133"/>
      <c r="F9" s="2133"/>
      <c r="G9" s="2133"/>
      <c r="J9" s="775"/>
      <c r="K9" s="1751"/>
      <c r="L9" s="1718"/>
      <c r="M9" s="1718"/>
      <c r="N9" s="1718"/>
      <c r="O9" s="1731"/>
      <c r="P9" s="1733"/>
      <c r="Q9" s="1733"/>
      <c r="R9" s="1733"/>
      <c r="S9" s="1733"/>
    </row>
    <row r="10" spans="1:19" s="144" customFormat="1" ht="24.75" customHeight="1">
      <c r="A10" s="2133" t="s">
        <v>3785</v>
      </c>
      <c r="B10" s="2133"/>
      <c r="C10" s="2133"/>
      <c r="D10" s="2133"/>
      <c r="E10" s="2133"/>
      <c r="F10" s="2133"/>
      <c r="G10" s="2133"/>
      <c r="J10" s="775"/>
      <c r="K10" s="1751"/>
      <c r="L10" s="1718"/>
      <c r="M10" s="1718"/>
      <c r="N10" s="1718"/>
      <c r="O10" s="1731"/>
      <c r="P10" s="1733"/>
      <c r="Q10" s="1733"/>
      <c r="R10" s="1733"/>
      <c r="S10" s="1733"/>
    </row>
    <row r="11" spans="1:19" s="144" customFormat="1" ht="24.75" customHeight="1">
      <c r="A11" s="2133" t="s">
        <v>3786</v>
      </c>
      <c r="B11" s="2133"/>
      <c r="C11" s="2133"/>
      <c r="D11" s="2133"/>
      <c r="E11" s="2133"/>
      <c r="F11" s="2133"/>
      <c r="G11" s="2133"/>
      <c r="J11" s="775"/>
      <c r="K11" s="1751"/>
      <c r="L11" s="1718"/>
      <c r="M11" s="1718"/>
      <c r="N11" s="1718"/>
      <c r="O11" s="1731"/>
      <c r="P11" s="1733"/>
      <c r="Q11" s="1733"/>
      <c r="R11" s="1733"/>
      <c r="S11" s="1733"/>
    </row>
    <row r="12" spans="1:19" s="144" customFormat="1" ht="12.75" customHeight="1">
      <c r="A12" s="2133" t="s">
        <v>3787</v>
      </c>
      <c r="B12" s="2133"/>
      <c r="C12" s="2133"/>
      <c r="D12" s="2133"/>
      <c r="E12" s="2133"/>
      <c r="F12" s="2133"/>
      <c r="G12" s="2133"/>
      <c r="J12" s="775"/>
      <c r="K12" s="1751"/>
      <c r="L12" s="1718"/>
      <c r="M12" s="1718"/>
      <c r="N12" s="1718"/>
      <c r="O12" s="1731"/>
      <c r="P12" s="1733"/>
      <c r="Q12" s="1733"/>
      <c r="R12" s="1733"/>
      <c r="S12" s="1733"/>
    </row>
    <row r="13" spans="1:19" s="144" customFormat="1" ht="14.25" customHeight="1">
      <c r="A13" s="2164" t="s">
        <v>1063</v>
      </c>
      <c r="B13" s="2164"/>
      <c r="C13" s="2164"/>
      <c r="D13" s="2164"/>
      <c r="E13" s="2164"/>
      <c r="F13" s="2164"/>
      <c r="G13" s="1381"/>
      <c r="J13" s="1731"/>
      <c r="K13" s="1731"/>
      <c r="L13" s="1731"/>
      <c r="M13" s="1731"/>
      <c r="N13" s="1731"/>
      <c r="O13" s="1731"/>
      <c r="P13" s="1733"/>
      <c r="Q13" s="1733"/>
      <c r="R13" s="1733"/>
      <c r="S13" s="1733"/>
    </row>
  </sheetData>
  <mergeCells count="8">
    <mergeCell ref="A2:G2"/>
    <mergeCell ref="A4:A5"/>
    <mergeCell ref="B4:G4"/>
    <mergeCell ref="A11:G11"/>
    <mergeCell ref="A13:F13"/>
    <mergeCell ref="A9:G9"/>
    <mergeCell ref="A10:G10"/>
    <mergeCell ref="A12:G12"/>
  </mergeCells>
  <pageMargins left="0.7" right="0.7" top="0.75" bottom="0.75" header="0.3" footer="0.3"/>
  <pageSetup paperSize="14" orientation="portrait" r:id="rId1"/>
</worksheet>
</file>

<file path=xl/worksheets/sheet79.xml><?xml version="1.0" encoding="utf-8"?>
<worksheet xmlns="http://schemas.openxmlformats.org/spreadsheetml/2006/main" xmlns:r="http://schemas.openxmlformats.org/officeDocument/2006/relationships">
  <dimension ref="A1:S13"/>
  <sheetViews>
    <sheetView zoomScaleNormal="100" workbookViewId="0">
      <selection activeCell="B20" sqref="B20"/>
    </sheetView>
  </sheetViews>
  <sheetFormatPr baseColWidth="10" defaultRowHeight="11.25"/>
  <cols>
    <col min="1" max="1" width="26.85546875" style="1715" customWidth="1"/>
    <col min="2" max="2" width="15.7109375" style="1715" bestFit="1" customWidth="1"/>
    <col min="3" max="3" width="14.85546875" style="1715" bestFit="1" customWidth="1"/>
    <col min="4" max="5" width="14.7109375" style="1715" bestFit="1" customWidth="1"/>
    <col min="6" max="6" width="14.85546875" style="1715" bestFit="1" customWidth="1"/>
    <col min="7" max="7" width="14.7109375" style="1715" bestFit="1" customWidth="1"/>
    <col min="8" max="10" width="11.42578125" style="1715"/>
    <col min="11" max="11" width="34" style="1715" customWidth="1"/>
    <col min="12" max="16384" width="11.42578125" style="1715"/>
  </cols>
  <sheetData>
    <row r="1" spans="1:19" ht="12">
      <c r="A1" s="1729"/>
      <c r="B1" s="1730"/>
      <c r="C1" s="1730"/>
      <c r="D1" s="1730"/>
      <c r="E1" s="1730"/>
      <c r="F1" s="1730"/>
      <c r="G1" s="1730"/>
      <c r="J1" s="1381"/>
      <c r="K1" s="1731"/>
      <c r="L1" s="1731"/>
      <c r="M1" s="1731"/>
      <c r="N1" s="1731"/>
      <c r="O1" s="1731"/>
      <c r="P1" s="1719"/>
      <c r="Q1" s="1719"/>
      <c r="R1" s="1719"/>
      <c r="S1" s="1719"/>
    </row>
    <row r="2" spans="1:19" s="1732" customFormat="1" ht="30" customHeight="1">
      <c r="A2" s="2166" t="s">
        <v>4617</v>
      </c>
      <c r="B2" s="2166"/>
      <c r="C2" s="2166"/>
      <c r="D2" s="2166"/>
      <c r="E2" s="2166"/>
      <c r="F2" s="2166"/>
      <c r="G2" s="2166"/>
      <c r="I2" s="763"/>
      <c r="J2" s="763"/>
      <c r="K2" s="763"/>
      <c r="L2" s="763"/>
      <c r="M2" s="763"/>
      <c r="N2" s="763"/>
      <c r="O2" s="1525"/>
      <c r="P2" s="1525"/>
      <c r="Q2" s="1525"/>
    </row>
    <row r="3" spans="1:19">
      <c r="A3" s="129"/>
      <c r="B3" s="129"/>
      <c r="I3" s="129"/>
      <c r="J3" s="1719"/>
      <c r="K3" s="1719"/>
      <c r="L3" s="1719"/>
      <c r="M3" s="1719"/>
      <c r="N3" s="1719"/>
    </row>
    <row r="4" spans="1:19" ht="18.75" customHeight="1">
      <c r="A4" s="2154" t="s">
        <v>1071</v>
      </c>
      <c r="B4" s="2138" t="s">
        <v>671</v>
      </c>
      <c r="C4" s="2138"/>
      <c r="D4" s="2138"/>
      <c r="E4" s="2138"/>
      <c r="F4" s="2138"/>
      <c r="G4" s="2138"/>
      <c r="H4" s="1381"/>
      <c r="I4" s="1733"/>
      <c r="J4" s="1733"/>
      <c r="K4" s="1733"/>
      <c r="L4" s="1733"/>
      <c r="M4" s="1733"/>
    </row>
    <row r="5" spans="1:19" ht="17.25" customHeight="1">
      <c r="A5" s="2154"/>
      <c r="B5" s="2001" t="s">
        <v>3506</v>
      </c>
      <c r="C5" s="2001">
        <v>2010</v>
      </c>
      <c r="D5" s="2001">
        <v>2011</v>
      </c>
      <c r="E5" s="2001">
        <v>2012</v>
      </c>
      <c r="F5" s="2001" t="s">
        <v>3514</v>
      </c>
      <c r="G5" s="2001">
        <v>2014</v>
      </c>
      <c r="H5" s="1381"/>
      <c r="I5" s="1735"/>
      <c r="J5" s="1719"/>
      <c r="K5" s="1719"/>
      <c r="L5" s="1719"/>
      <c r="M5" s="1719"/>
    </row>
    <row r="6" spans="1:19">
      <c r="A6" s="1004" t="s">
        <v>1072</v>
      </c>
      <c r="B6" s="2681">
        <v>11681179</v>
      </c>
      <c r="C6" s="2681">
        <v>6395220</v>
      </c>
      <c r="D6" s="2681">
        <v>14511852</v>
      </c>
      <c r="E6" s="2681">
        <v>15076109</v>
      </c>
      <c r="F6" s="2682">
        <v>5907195</v>
      </c>
      <c r="G6" s="2683">
        <v>10274139</v>
      </c>
      <c r="H6" s="1004"/>
      <c r="I6" s="1716"/>
      <c r="J6" s="1717"/>
      <c r="K6" s="1717"/>
      <c r="L6" s="1717"/>
      <c r="M6" s="1719"/>
    </row>
    <row r="7" spans="1:19">
      <c r="A7" s="1004" t="s">
        <v>1073</v>
      </c>
      <c r="B7" s="1791">
        <v>0</v>
      </c>
      <c r="C7" s="2681">
        <v>5940138</v>
      </c>
      <c r="D7" s="2684">
        <v>1561336</v>
      </c>
      <c r="E7" s="2684">
        <v>1917304</v>
      </c>
      <c r="F7" s="2682">
        <v>632322</v>
      </c>
      <c r="G7" s="2683">
        <v>1323764</v>
      </c>
      <c r="H7" s="1004"/>
      <c r="I7" s="1716"/>
      <c r="J7" s="1717"/>
      <c r="K7" s="1718"/>
      <c r="L7" s="1718"/>
      <c r="M7" s="1719"/>
    </row>
    <row r="8" spans="1:19" ht="9" customHeight="1">
      <c r="A8" s="1004"/>
      <c r="C8" s="1736"/>
      <c r="D8" s="1737"/>
      <c r="E8" s="1737"/>
      <c r="F8" s="1738"/>
      <c r="H8" s="1004"/>
      <c r="I8" s="1716"/>
      <c r="J8" s="1717"/>
      <c r="K8" s="1718"/>
      <c r="L8" s="1718"/>
      <c r="M8" s="1719"/>
    </row>
    <row r="9" spans="1:19" ht="71.25" customHeight="1">
      <c r="A9" s="2167" t="s">
        <v>3778</v>
      </c>
      <c r="B9" s="2167"/>
      <c r="C9" s="2167"/>
      <c r="D9" s="2167"/>
      <c r="E9" s="2167"/>
      <c r="F9" s="2167"/>
      <c r="G9" s="2167"/>
      <c r="H9" s="1739"/>
      <c r="I9" s="1719"/>
      <c r="J9" s="1717"/>
      <c r="K9" s="1718"/>
      <c r="L9" s="1718"/>
      <c r="M9" s="1719"/>
    </row>
    <row r="10" spans="1:19" ht="27" customHeight="1">
      <c r="A10" s="2149" t="s">
        <v>3779</v>
      </c>
      <c r="B10" s="2149"/>
      <c r="C10" s="2149"/>
      <c r="D10" s="2149"/>
      <c r="E10" s="2149"/>
      <c r="F10" s="2149"/>
      <c r="G10" s="2149"/>
      <c r="H10" s="1004"/>
      <c r="I10" s="1716"/>
      <c r="J10" s="1717"/>
      <c r="K10" s="1718"/>
      <c r="L10" s="1718"/>
      <c r="M10" s="1719"/>
    </row>
    <row r="11" spans="1:19">
      <c r="A11" s="1740" t="s">
        <v>22</v>
      </c>
      <c r="B11" s="1714"/>
      <c r="C11" s="1714"/>
      <c r="D11" s="1714"/>
      <c r="E11" s="1714"/>
      <c r="F11" s="1714"/>
      <c r="H11" s="1004"/>
      <c r="I11" s="1716"/>
      <c r="J11" s="1717"/>
      <c r="K11" s="1718"/>
      <c r="L11" s="1718"/>
      <c r="M11" s="1719"/>
    </row>
    <row r="12" spans="1:19">
      <c r="A12" s="2165" t="s">
        <v>1063</v>
      </c>
      <c r="B12" s="2165"/>
      <c r="C12" s="2165"/>
      <c r="D12" s="2165"/>
      <c r="E12" s="2165"/>
      <c r="F12" s="2165"/>
      <c r="G12" s="144"/>
      <c r="I12" s="129"/>
      <c r="J12" s="1719"/>
      <c r="K12" s="1719"/>
      <c r="L12" s="1719"/>
      <c r="M12" s="1719"/>
      <c r="N12" s="1719"/>
    </row>
    <row r="13" spans="1:19">
      <c r="J13" s="1733"/>
      <c r="K13" s="1741"/>
      <c r="L13" s="1719"/>
      <c r="M13" s="1719"/>
    </row>
  </sheetData>
  <mergeCells count="6">
    <mergeCell ref="A12:F12"/>
    <mergeCell ref="A2:G2"/>
    <mergeCell ref="A4:A5"/>
    <mergeCell ref="B4:G4"/>
    <mergeCell ref="A9:G9"/>
    <mergeCell ref="A10:G10"/>
  </mergeCells>
  <pageMargins left="0.7" right="0.7" top="0.75" bottom="0.75" header="0.3" footer="0.3"/>
  <pageSetup paperSize="14" scale="89" orientation="portrait" r:id="rId1"/>
</worksheet>
</file>

<file path=xl/worksheets/sheet8.xml><?xml version="1.0" encoding="utf-8"?>
<worksheet xmlns="http://schemas.openxmlformats.org/spreadsheetml/2006/main" xmlns:r="http://schemas.openxmlformats.org/officeDocument/2006/relationships">
  <dimension ref="A1:G11"/>
  <sheetViews>
    <sheetView zoomScaleNormal="100" workbookViewId="0">
      <selection activeCell="A21" sqref="A21"/>
    </sheetView>
  </sheetViews>
  <sheetFormatPr baseColWidth="10" defaultColWidth="11.42578125" defaultRowHeight="11.25"/>
  <cols>
    <col min="1" max="1" width="38.140625" style="117" customWidth="1"/>
    <col min="2" max="16384" width="11.42578125" style="117"/>
  </cols>
  <sheetData>
    <row r="1" spans="1:7">
      <c r="A1" s="1590"/>
    </row>
    <row r="2" spans="1:7" s="152" customFormat="1" ht="25.5" customHeight="1">
      <c r="A2" s="2281" t="s">
        <v>3172</v>
      </c>
      <c r="B2" s="2281"/>
      <c r="C2" s="2281"/>
      <c r="D2" s="2281"/>
      <c r="E2" s="2281"/>
      <c r="F2" s="2281"/>
      <c r="G2" s="2281"/>
    </row>
    <row r="4" spans="1:7">
      <c r="A4" s="2038" t="s">
        <v>782</v>
      </c>
      <c r="B4" s="2026" t="s">
        <v>671</v>
      </c>
      <c r="C4" s="2026"/>
      <c r="D4" s="2026"/>
      <c r="E4" s="2026"/>
      <c r="F4" s="2026"/>
      <c r="G4" s="2026"/>
    </row>
    <row r="5" spans="1:7">
      <c r="A5" s="2039"/>
      <c r="B5" s="154">
        <v>2009</v>
      </c>
      <c r="C5" s="154">
        <v>2010</v>
      </c>
      <c r="D5" s="154">
        <v>2011</v>
      </c>
      <c r="E5" s="154">
        <v>2012</v>
      </c>
      <c r="F5" s="154">
        <v>2013</v>
      </c>
      <c r="G5" s="154">
        <v>2014</v>
      </c>
    </row>
    <row r="6" spans="1:7" ht="45">
      <c r="A6" s="1298" t="s">
        <v>783</v>
      </c>
      <c r="B6" s="1316">
        <v>24</v>
      </c>
      <c r="C6" s="1316">
        <v>49</v>
      </c>
      <c r="D6" s="1316">
        <v>43</v>
      </c>
      <c r="E6" s="1316">
        <v>36</v>
      </c>
      <c r="F6" s="1316">
        <v>26</v>
      </c>
      <c r="G6" s="1250">
        <v>41</v>
      </c>
    </row>
    <row r="7" spans="1:7">
      <c r="A7" s="1298" t="s">
        <v>784</v>
      </c>
      <c r="B7" s="1316">
        <v>97</v>
      </c>
      <c r="C7" s="1316">
        <v>95</v>
      </c>
      <c r="D7" s="1316">
        <v>97</v>
      </c>
      <c r="E7" s="1316">
        <v>92</v>
      </c>
      <c r="F7" s="1316">
        <v>88</v>
      </c>
      <c r="G7" s="1250">
        <v>92</v>
      </c>
    </row>
    <row r="8" spans="1:7" ht="33.75">
      <c r="A8" s="1298" t="s">
        <v>785</v>
      </c>
      <c r="B8" s="1316">
        <v>40</v>
      </c>
      <c r="C8" s="1316">
        <v>51</v>
      </c>
      <c r="D8" s="1316">
        <v>76</v>
      </c>
      <c r="E8" s="1316">
        <v>66</v>
      </c>
      <c r="F8" s="1316">
        <v>89</v>
      </c>
      <c r="G8" s="1250">
        <v>95</v>
      </c>
    </row>
    <row r="9" spans="1:7" ht="26.25" customHeight="1">
      <c r="A9" s="1298" t="s">
        <v>786</v>
      </c>
      <c r="B9" s="1316">
        <v>1178</v>
      </c>
      <c r="C9" s="1316">
        <v>1141</v>
      </c>
      <c r="D9" s="1316">
        <v>980</v>
      </c>
      <c r="E9" s="1316">
        <v>1576</v>
      </c>
      <c r="F9" s="1316">
        <v>2698</v>
      </c>
      <c r="G9" s="1250">
        <v>2528</v>
      </c>
    </row>
    <row r="11" spans="1:7">
      <c r="A11" s="2027" t="s">
        <v>680</v>
      </c>
      <c r="B11" s="2027"/>
      <c r="C11" s="2027"/>
      <c r="D11" s="2027"/>
      <c r="E11" s="2027"/>
      <c r="F11" s="2027"/>
    </row>
  </sheetData>
  <mergeCells count="4">
    <mergeCell ref="A2:G2"/>
    <mergeCell ref="A4:A5"/>
    <mergeCell ref="B4:G4"/>
    <mergeCell ref="A11:F11"/>
  </mergeCells>
  <pageMargins left="0.7" right="0.7" top="0.75" bottom="0.75" header="0.3" footer="0.3"/>
  <pageSetup paperSize="9" orientation="portrait" verticalDpi="599" r:id="rId1"/>
</worksheet>
</file>

<file path=xl/worksheets/sheet80.xml><?xml version="1.0" encoding="utf-8"?>
<worksheet xmlns="http://schemas.openxmlformats.org/spreadsheetml/2006/main" xmlns:r="http://schemas.openxmlformats.org/officeDocument/2006/relationships">
  <dimension ref="A1:U26"/>
  <sheetViews>
    <sheetView zoomScaleNormal="100" workbookViewId="0">
      <selection activeCell="B35" sqref="B35"/>
    </sheetView>
  </sheetViews>
  <sheetFormatPr baseColWidth="10" defaultRowHeight="12"/>
  <cols>
    <col min="1" max="1" width="16.42578125" style="143" customWidth="1"/>
    <col min="2" max="3" width="9.42578125" style="143" customWidth="1"/>
    <col min="4" max="21" width="9.140625" style="143" customWidth="1"/>
    <col min="22" max="16384" width="11.42578125" style="143"/>
  </cols>
  <sheetData>
    <row r="1" spans="1:21">
      <c r="A1" s="1721"/>
      <c r="B1" s="1721"/>
      <c r="C1" s="1721"/>
      <c r="D1" s="1721"/>
      <c r="E1" s="1722"/>
      <c r="F1" s="1721"/>
      <c r="G1" s="1721"/>
      <c r="H1" s="1721"/>
      <c r="I1" s="1721"/>
      <c r="J1" s="1721"/>
      <c r="K1" s="1721"/>
      <c r="L1" s="1721"/>
      <c r="M1" s="1723"/>
      <c r="N1" s="1723"/>
      <c r="O1" s="1723"/>
      <c r="P1" s="1723"/>
      <c r="Q1" s="1723"/>
      <c r="R1" s="1723"/>
      <c r="S1" s="1723"/>
      <c r="T1" s="1723"/>
      <c r="U1" s="1723"/>
    </row>
    <row r="2" spans="1:21" ht="20.25" customHeight="1">
      <c r="A2" s="2168" t="s">
        <v>3176</v>
      </c>
      <c r="B2" s="2168"/>
      <c r="C2" s="2168"/>
      <c r="D2" s="2168"/>
      <c r="E2" s="2168"/>
      <c r="F2" s="2168"/>
      <c r="G2" s="2168"/>
      <c r="H2" s="2168"/>
      <c r="I2" s="2168"/>
      <c r="J2" s="2168"/>
      <c r="K2" s="2168"/>
      <c r="L2" s="2168"/>
      <c r="M2" s="2168"/>
      <c r="N2" s="2168"/>
      <c r="O2" s="2168"/>
      <c r="P2" s="2168"/>
      <c r="Q2" s="2168"/>
      <c r="R2" s="2168"/>
      <c r="S2" s="2168"/>
      <c r="T2" s="2168"/>
      <c r="U2" s="2168"/>
    </row>
    <row r="3" spans="1:21">
      <c r="A3" s="1724"/>
      <c r="B3" s="1724"/>
      <c r="C3" s="1724"/>
      <c r="D3" s="1724"/>
      <c r="E3" s="1724"/>
      <c r="F3" s="1724"/>
      <c r="G3" s="1724"/>
      <c r="H3" s="1724"/>
      <c r="I3" s="1724"/>
      <c r="J3" s="1724"/>
      <c r="K3" s="1724"/>
      <c r="L3" s="1724"/>
      <c r="M3" s="1723"/>
      <c r="N3" s="1723"/>
      <c r="O3" s="1723"/>
      <c r="P3" s="1723"/>
      <c r="Q3" s="1723"/>
      <c r="R3" s="1723"/>
      <c r="S3" s="1723"/>
      <c r="T3" s="1723"/>
      <c r="U3" s="1723"/>
    </row>
    <row r="4" spans="1:21">
      <c r="A4" s="2169" t="s">
        <v>0</v>
      </c>
      <c r="B4" s="2169" t="s">
        <v>26</v>
      </c>
      <c r="C4" s="2170" t="s">
        <v>1074</v>
      </c>
      <c r="D4" s="2170"/>
      <c r="E4" s="2170"/>
      <c r="F4" s="2170"/>
      <c r="G4" s="2170"/>
      <c r="H4" s="2170"/>
      <c r="I4" s="2170"/>
      <c r="J4" s="2170"/>
      <c r="K4" s="2170"/>
      <c r="L4" s="2170" t="s">
        <v>1075</v>
      </c>
      <c r="M4" s="2170"/>
      <c r="N4" s="2170"/>
      <c r="O4" s="2170"/>
      <c r="P4" s="2170"/>
      <c r="Q4" s="2170"/>
      <c r="R4" s="2170"/>
      <c r="S4" s="2170"/>
      <c r="T4" s="2170"/>
      <c r="U4" s="2170"/>
    </row>
    <row r="5" spans="1:21">
      <c r="A5" s="2169"/>
      <c r="B5" s="2169"/>
      <c r="C5" s="2169" t="s">
        <v>26</v>
      </c>
      <c r="D5" s="2171" t="s">
        <v>1076</v>
      </c>
      <c r="E5" s="2171"/>
      <c r="F5" s="2171"/>
      <c r="G5" s="2171"/>
      <c r="H5" s="2171" t="s">
        <v>1077</v>
      </c>
      <c r="I5" s="2171"/>
      <c r="J5" s="2171"/>
      <c r="K5" s="2171"/>
      <c r="L5" s="2171" t="s">
        <v>26</v>
      </c>
      <c r="M5" s="2171" t="s">
        <v>1076</v>
      </c>
      <c r="N5" s="2171"/>
      <c r="O5" s="2171"/>
      <c r="P5" s="2171"/>
      <c r="Q5" s="2171" t="s">
        <v>26</v>
      </c>
      <c r="R5" s="2171" t="s">
        <v>1077</v>
      </c>
      <c r="S5" s="2171"/>
      <c r="T5" s="2171"/>
      <c r="U5" s="2171"/>
    </row>
    <row r="6" spans="1:21">
      <c r="A6" s="2169"/>
      <c r="B6" s="2169"/>
      <c r="C6" s="2169"/>
      <c r="D6" s="2171" t="s">
        <v>163</v>
      </c>
      <c r="E6" s="2171"/>
      <c r="F6" s="2169" t="s">
        <v>164</v>
      </c>
      <c r="G6" s="2169"/>
      <c r="H6" s="2171" t="s">
        <v>163</v>
      </c>
      <c r="I6" s="2171"/>
      <c r="J6" s="2169" t="s">
        <v>164</v>
      </c>
      <c r="K6" s="2169"/>
      <c r="L6" s="2171"/>
      <c r="M6" s="2171" t="s">
        <v>163</v>
      </c>
      <c r="N6" s="2171"/>
      <c r="O6" s="2169" t="s">
        <v>164</v>
      </c>
      <c r="P6" s="2169"/>
      <c r="Q6" s="2171"/>
      <c r="R6" s="2171" t="s">
        <v>163</v>
      </c>
      <c r="S6" s="2171"/>
      <c r="T6" s="2169" t="s">
        <v>164</v>
      </c>
      <c r="U6" s="2169"/>
    </row>
    <row r="7" spans="1:21">
      <c r="A7" s="2169"/>
      <c r="B7" s="2169"/>
      <c r="C7" s="2169"/>
      <c r="D7" s="2003" t="s">
        <v>1078</v>
      </c>
      <c r="E7" s="2003" t="s">
        <v>1079</v>
      </c>
      <c r="F7" s="2003" t="s">
        <v>1078</v>
      </c>
      <c r="G7" s="2003" t="s">
        <v>1079</v>
      </c>
      <c r="H7" s="2003" t="s">
        <v>1078</v>
      </c>
      <c r="I7" s="2003" t="s">
        <v>1079</v>
      </c>
      <c r="J7" s="2003" t="s">
        <v>1078</v>
      </c>
      <c r="K7" s="2003" t="s">
        <v>1079</v>
      </c>
      <c r="L7" s="2171"/>
      <c r="M7" s="2003" t="s">
        <v>1078</v>
      </c>
      <c r="N7" s="2003" t="s">
        <v>1079</v>
      </c>
      <c r="O7" s="2003" t="s">
        <v>1078</v>
      </c>
      <c r="P7" s="2003" t="s">
        <v>1079</v>
      </c>
      <c r="Q7" s="2171"/>
      <c r="R7" s="2003" t="s">
        <v>1078</v>
      </c>
      <c r="S7" s="2003" t="s">
        <v>1079</v>
      </c>
      <c r="T7" s="2003" t="s">
        <v>1078</v>
      </c>
      <c r="U7" s="2003" t="s">
        <v>1079</v>
      </c>
    </row>
    <row r="8" spans="1:21">
      <c r="A8" s="996" t="s">
        <v>6</v>
      </c>
      <c r="B8" s="755">
        <f>SUM(C8+L8)</f>
        <v>215</v>
      </c>
      <c r="C8" s="755">
        <f>SUM(C9:C23)</f>
        <v>106</v>
      </c>
      <c r="D8" s="755">
        <f t="shared" ref="D8:J8" si="0">SUM(D9:D23)</f>
        <v>95</v>
      </c>
      <c r="E8" s="755">
        <f t="shared" si="0"/>
        <v>0</v>
      </c>
      <c r="F8" s="755">
        <f t="shared" si="0"/>
        <v>11</v>
      </c>
      <c r="G8" s="755">
        <f t="shared" si="0"/>
        <v>0</v>
      </c>
      <c r="H8" s="755">
        <f t="shared" si="0"/>
        <v>0</v>
      </c>
      <c r="I8" s="755">
        <f t="shared" si="0"/>
        <v>0</v>
      </c>
      <c r="J8" s="755">
        <f t="shared" si="0"/>
        <v>0</v>
      </c>
      <c r="K8" s="755">
        <f t="shared" ref="K8:U8" si="1">SUM(K9:K23)</f>
        <v>0</v>
      </c>
      <c r="L8" s="1034">
        <f t="shared" si="1"/>
        <v>109</v>
      </c>
      <c r="M8" s="1034">
        <f t="shared" si="1"/>
        <v>26</v>
      </c>
      <c r="N8" s="1034">
        <f t="shared" si="1"/>
        <v>79</v>
      </c>
      <c r="O8" s="1034">
        <f t="shared" si="1"/>
        <v>0</v>
      </c>
      <c r="P8" s="1034">
        <f t="shared" si="1"/>
        <v>4</v>
      </c>
      <c r="Q8" s="1034">
        <f t="shared" si="1"/>
        <v>1</v>
      </c>
      <c r="R8" s="1034">
        <f t="shared" si="1"/>
        <v>1</v>
      </c>
      <c r="S8" s="1034">
        <f t="shared" si="1"/>
        <v>0</v>
      </c>
      <c r="T8" s="1034">
        <f t="shared" si="1"/>
        <v>0</v>
      </c>
      <c r="U8" s="1034">
        <f t="shared" si="1"/>
        <v>0</v>
      </c>
    </row>
    <row r="9" spans="1:21" ht="22.5">
      <c r="A9" s="1712" t="s">
        <v>7</v>
      </c>
      <c r="B9" s="755">
        <f t="shared" ref="B9:B23" si="2">SUM(C9+L9)</f>
        <v>3</v>
      </c>
      <c r="C9" s="2685">
        <f>SUM(D9:G9)</f>
        <v>1</v>
      </c>
      <c r="D9" s="2685">
        <v>1</v>
      </c>
      <c r="E9" s="2685">
        <v>0</v>
      </c>
      <c r="F9" s="2685">
        <v>0</v>
      </c>
      <c r="G9" s="2685">
        <v>0</v>
      </c>
      <c r="H9" s="2685">
        <v>0</v>
      </c>
      <c r="I9" s="2685">
        <v>0</v>
      </c>
      <c r="J9" s="2685">
        <v>0</v>
      </c>
      <c r="K9" s="2685">
        <v>0</v>
      </c>
      <c r="L9" s="1034">
        <f t="shared" ref="L9:L23" si="3">SUM(M9:P9)</f>
        <v>2</v>
      </c>
      <c r="M9" s="1168">
        <v>0</v>
      </c>
      <c r="N9" s="1168">
        <v>2</v>
      </c>
      <c r="O9" s="1168">
        <v>0</v>
      </c>
      <c r="P9" s="1168">
        <v>0</v>
      </c>
      <c r="Q9" s="1034">
        <f>SUM(R9:U9)</f>
        <v>1</v>
      </c>
      <c r="R9" s="1168">
        <v>1</v>
      </c>
      <c r="S9" s="1168">
        <v>0</v>
      </c>
      <c r="T9" s="1168">
        <v>0</v>
      </c>
      <c r="U9" s="1168">
        <v>0</v>
      </c>
    </row>
    <row r="10" spans="1:21">
      <c r="A10" s="1712" t="s">
        <v>8</v>
      </c>
      <c r="B10" s="755">
        <f t="shared" si="2"/>
        <v>0</v>
      </c>
      <c r="C10" s="2685">
        <f>SUM(D10:G10)</f>
        <v>0</v>
      </c>
      <c r="D10" s="2685">
        <v>0</v>
      </c>
      <c r="E10" s="2685">
        <v>0</v>
      </c>
      <c r="F10" s="2685">
        <v>0</v>
      </c>
      <c r="G10" s="2685">
        <v>0</v>
      </c>
      <c r="H10" s="2685">
        <v>0</v>
      </c>
      <c r="I10" s="2685">
        <v>0</v>
      </c>
      <c r="J10" s="2685">
        <v>0</v>
      </c>
      <c r="K10" s="2685">
        <v>0</v>
      </c>
      <c r="L10" s="1034">
        <f t="shared" si="3"/>
        <v>0</v>
      </c>
      <c r="M10" s="1168">
        <v>0</v>
      </c>
      <c r="N10" s="1168">
        <v>0</v>
      </c>
      <c r="O10" s="1168">
        <v>0</v>
      </c>
      <c r="P10" s="1168">
        <v>0</v>
      </c>
      <c r="Q10" s="1034">
        <f t="shared" ref="Q10:Q23" si="4">SUM(R10:U10)</f>
        <v>0</v>
      </c>
      <c r="R10" s="1168">
        <v>0</v>
      </c>
      <c r="S10" s="1168">
        <v>0</v>
      </c>
      <c r="T10" s="1168">
        <v>0</v>
      </c>
      <c r="U10" s="1168">
        <v>0</v>
      </c>
    </row>
    <row r="11" spans="1:21">
      <c r="A11" s="1712" t="s">
        <v>9</v>
      </c>
      <c r="B11" s="755">
        <f t="shared" si="2"/>
        <v>1</v>
      </c>
      <c r="C11" s="2685">
        <f t="shared" ref="C11:C23" si="5">SUM(D11:G11)</f>
        <v>1</v>
      </c>
      <c r="D11" s="2685">
        <v>1</v>
      </c>
      <c r="E11" s="2685">
        <v>0</v>
      </c>
      <c r="F11" s="2685">
        <v>0</v>
      </c>
      <c r="G11" s="2685">
        <v>0</v>
      </c>
      <c r="H11" s="2685">
        <v>0</v>
      </c>
      <c r="I11" s="2685">
        <v>0</v>
      </c>
      <c r="J11" s="2685">
        <v>0</v>
      </c>
      <c r="K11" s="2685">
        <v>0</v>
      </c>
      <c r="L11" s="1034">
        <f t="shared" si="3"/>
        <v>0</v>
      </c>
      <c r="M11" s="1168">
        <v>0</v>
      </c>
      <c r="N11" s="1168">
        <v>0</v>
      </c>
      <c r="O11" s="1168">
        <v>0</v>
      </c>
      <c r="P11" s="1168">
        <v>0</v>
      </c>
      <c r="Q11" s="1034">
        <f t="shared" si="4"/>
        <v>0</v>
      </c>
      <c r="R11" s="1168">
        <v>0</v>
      </c>
      <c r="S11" s="1168">
        <v>0</v>
      </c>
      <c r="T11" s="1168">
        <v>0</v>
      </c>
      <c r="U11" s="1168">
        <v>0</v>
      </c>
    </row>
    <row r="12" spans="1:21">
      <c r="A12" s="1712" t="s">
        <v>10</v>
      </c>
      <c r="B12" s="755">
        <f t="shared" si="2"/>
        <v>0</v>
      </c>
      <c r="C12" s="2685">
        <f t="shared" si="5"/>
        <v>0</v>
      </c>
      <c r="D12" s="2685">
        <v>0</v>
      </c>
      <c r="E12" s="2685">
        <v>0</v>
      </c>
      <c r="F12" s="2685">
        <v>0</v>
      </c>
      <c r="G12" s="2685">
        <v>0</v>
      </c>
      <c r="H12" s="2685">
        <v>0</v>
      </c>
      <c r="I12" s="2685">
        <v>0</v>
      </c>
      <c r="J12" s="2685">
        <v>0</v>
      </c>
      <c r="K12" s="2685">
        <v>0</v>
      </c>
      <c r="L12" s="1034">
        <f t="shared" si="3"/>
        <v>0</v>
      </c>
      <c r="M12" s="1168">
        <v>0</v>
      </c>
      <c r="N12" s="1168">
        <v>0</v>
      </c>
      <c r="O12" s="1168">
        <v>0</v>
      </c>
      <c r="P12" s="1168">
        <v>0</v>
      </c>
      <c r="Q12" s="1034">
        <f t="shared" si="4"/>
        <v>0</v>
      </c>
      <c r="R12" s="1168">
        <v>0</v>
      </c>
      <c r="S12" s="1168">
        <v>0</v>
      </c>
      <c r="T12" s="1168">
        <v>0</v>
      </c>
      <c r="U12" s="1168">
        <v>0</v>
      </c>
    </row>
    <row r="13" spans="1:21">
      <c r="A13" s="1712" t="s">
        <v>11</v>
      </c>
      <c r="B13" s="755">
        <f t="shared" si="2"/>
        <v>0</v>
      </c>
      <c r="C13" s="2685">
        <f>SUM(D13:G13)</f>
        <v>0</v>
      </c>
      <c r="D13" s="2685">
        <v>0</v>
      </c>
      <c r="E13" s="2685">
        <v>0</v>
      </c>
      <c r="F13" s="2685">
        <v>0</v>
      </c>
      <c r="G13" s="2685">
        <v>0</v>
      </c>
      <c r="H13" s="2685">
        <v>0</v>
      </c>
      <c r="I13" s="2685">
        <v>0</v>
      </c>
      <c r="J13" s="2685">
        <v>0</v>
      </c>
      <c r="K13" s="2685">
        <v>0</v>
      </c>
      <c r="L13" s="1034">
        <f t="shared" si="3"/>
        <v>0</v>
      </c>
      <c r="M13" s="1168">
        <v>0</v>
      </c>
      <c r="N13" s="1168">
        <v>0</v>
      </c>
      <c r="O13" s="1168">
        <v>0</v>
      </c>
      <c r="P13" s="1168">
        <v>0</v>
      </c>
      <c r="Q13" s="1034">
        <f t="shared" si="4"/>
        <v>0</v>
      </c>
      <c r="R13" s="1168">
        <v>0</v>
      </c>
      <c r="S13" s="1168">
        <v>0</v>
      </c>
      <c r="T13" s="1168">
        <v>0</v>
      </c>
      <c r="U13" s="1168">
        <v>0</v>
      </c>
    </row>
    <row r="14" spans="1:21">
      <c r="A14" s="1712" t="s">
        <v>12</v>
      </c>
      <c r="B14" s="755">
        <f t="shared" si="2"/>
        <v>7</v>
      </c>
      <c r="C14" s="2685">
        <f t="shared" si="5"/>
        <v>5</v>
      </c>
      <c r="D14" s="2685">
        <v>5</v>
      </c>
      <c r="E14" s="2685">
        <v>0</v>
      </c>
      <c r="F14" s="2685">
        <v>0</v>
      </c>
      <c r="G14" s="2685">
        <v>0</v>
      </c>
      <c r="H14" s="2685">
        <v>0</v>
      </c>
      <c r="I14" s="2685">
        <v>0</v>
      </c>
      <c r="J14" s="2685">
        <v>0</v>
      </c>
      <c r="K14" s="2685">
        <v>0</v>
      </c>
      <c r="L14" s="1034">
        <f t="shared" si="3"/>
        <v>2</v>
      </c>
      <c r="M14" s="1168">
        <v>0</v>
      </c>
      <c r="N14" s="1168">
        <v>2</v>
      </c>
      <c r="O14" s="1168">
        <v>0</v>
      </c>
      <c r="P14" s="1168">
        <v>0</v>
      </c>
      <c r="Q14" s="1034">
        <f t="shared" si="4"/>
        <v>0</v>
      </c>
      <c r="R14" s="1168">
        <v>0</v>
      </c>
      <c r="S14" s="1168">
        <v>0</v>
      </c>
      <c r="T14" s="1168">
        <v>0</v>
      </c>
      <c r="U14" s="1168">
        <v>0</v>
      </c>
    </row>
    <row r="15" spans="1:21">
      <c r="A15" s="1712" t="s">
        <v>13</v>
      </c>
      <c r="B15" s="755">
        <f t="shared" si="2"/>
        <v>201</v>
      </c>
      <c r="C15" s="2685">
        <f t="shared" si="5"/>
        <v>98</v>
      </c>
      <c r="D15" s="2685">
        <v>87</v>
      </c>
      <c r="E15" s="2685">
        <v>0</v>
      </c>
      <c r="F15" s="2685">
        <v>11</v>
      </c>
      <c r="G15" s="2685">
        <v>0</v>
      </c>
      <c r="H15" s="2685">
        <v>0</v>
      </c>
      <c r="I15" s="2685">
        <v>0</v>
      </c>
      <c r="J15" s="2685">
        <v>0</v>
      </c>
      <c r="K15" s="2685">
        <v>0</v>
      </c>
      <c r="L15" s="1034">
        <f t="shared" si="3"/>
        <v>103</v>
      </c>
      <c r="M15" s="1168">
        <v>26</v>
      </c>
      <c r="N15" s="1168">
        <v>73</v>
      </c>
      <c r="O15" s="1168">
        <v>0</v>
      </c>
      <c r="P15" s="1168">
        <v>4</v>
      </c>
      <c r="Q15" s="1034">
        <f t="shared" si="4"/>
        <v>0</v>
      </c>
      <c r="R15" s="1168">
        <v>0</v>
      </c>
      <c r="S15" s="1168">
        <v>0</v>
      </c>
      <c r="T15" s="1168">
        <v>0</v>
      </c>
      <c r="U15" s="1168">
        <v>0</v>
      </c>
    </row>
    <row r="16" spans="1:21">
      <c r="A16" s="1712" t="s">
        <v>14</v>
      </c>
      <c r="B16" s="755">
        <f t="shared" si="2"/>
        <v>0</v>
      </c>
      <c r="C16" s="2685">
        <f t="shared" si="5"/>
        <v>0</v>
      </c>
      <c r="D16" s="2685">
        <v>0</v>
      </c>
      <c r="E16" s="2685">
        <v>0</v>
      </c>
      <c r="F16" s="2685">
        <v>0</v>
      </c>
      <c r="G16" s="2685">
        <v>0</v>
      </c>
      <c r="H16" s="2685">
        <v>0</v>
      </c>
      <c r="I16" s="2685">
        <v>0</v>
      </c>
      <c r="J16" s="2685">
        <v>0</v>
      </c>
      <c r="K16" s="2685">
        <v>0</v>
      </c>
      <c r="L16" s="1034">
        <f t="shared" si="3"/>
        <v>0</v>
      </c>
      <c r="M16" s="1168">
        <v>0</v>
      </c>
      <c r="N16" s="1168">
        <v>0</v>
      </c>
      <c r="O16" s="1168">
        <v>0</v>
      </c>
      <c r="P16" s="1168">
        <v>0</v>
      </c>
      <c r="Q16" s="1034">
        <f t="shared" si="4"/>
        <v>0</v>
      </c>
      <c r="R16" s="1168">
        <v>0</v>
      </c>
      <c r="S16" s="1168">
        <v>0</v>
      </c>
      <c r="T16" s="1168">
        <v>0</v>
      </c>
      <c r="U16" s="1168">
        <v>0</v>
      </c>
    </row>
    <row r="17" spans="1:21">
      <c r="A17" s="1712" t="s">
        <v>15</v>
      </c>
      <c r="B17" s="755">
        <f t="shared" si="2"/>
        <v>0</v>
      </c>
      <c r="C17" s="2685">
        <f t="shared" si="5"/>
        <v>0</v>
      </c>
      <c r="D17" s="2685">
        <v>0</v>
      </c>
      <c r="E17" s="2685">
        <v>0</v>
      </c>
      <c r="F17" s="2685">
        <v>0</v>
      </c>
      <c r="G17" s="2685">
        <v>0</v>
      </c>
      <c r="H17" s="2685">
        <v>0</v>
      </c>
      <c r="I17" s="2685">
        <v>0</v>
      </c>
      <c r="J17" s="2685">
        <v>0</v>
      </c>
      <c r="K17" s="2685">
        <v>0</v>
      </c>
      <c r="L17" s="1034">
        <f t="shared" si="3"/>
        <v>0</v>
      </c>
      <c r="M17" s="1168">
        <v>0</v>
      </c>
      <c r="N17" s="1168">
        <v>0</v>
      </c>
      <c r="O17" s="1168">
        <v>0</v>
      </c>
      <c r="P17" s="1168">
        <v>0</v>
      </c>
      <c r="Q17" s="1034">
        <f t="shared" si="4"/>
        <v>0</v>
      </c>
      <c r="R17" s="1168">
        <v>0</v>
      </c>
      <c r="S17" s="1168">
        <v>0</v>
      </c>
      <c r="T17" s="1168">
        <v>0</v>
      </c>
      <c r="U17" s="1168">
        <v>0</v>
      </c>
    </row>
    <row r="18" spans="1:21">
      <c r="A18" s="1712" t="s">
        <v>16</v>
      </c>
      <c r="B18" s="755">
        <f>SUM(C18+L18)</f>
        <v>2</v>
      </c>
      <c r="C18" s="2685">
        <f t="shared" si="5"/>
        <v>1</v>
      </c>
      <c r="D18" s="2685">
        <v>1</v>
      </c>
      <c r="E18" s="2685">
        <v>0</v>
      </c>
      <c r="F18" s="2685">
        <v>0</v>
      </c>
      <c r="G18" s="2685">
        <v>0</v>
      </c>
      <c r="H18" s="2685">
        <v>0</v>
      </c>
      <c r="I18" s="2685">
        <v>0</v>
      </c>
      <c r="J18" s="2685">
        <v>0</v>
      </c>
      <c r="K18" s="2685">
        <v>0</v>
      </c>
      <c r="L18" s="1034">
        <f t="shared" si="3"/>
        <v>1</v>
      </c>
      <c r="M18" s="1168">
        <v>0</v>
      </c>
      <c r="N18" s="1168">
        <v>1</v>
      </c>
      <c r="O18" s="1168">
        <v>0</v>
      </c>
      <c r="P18" s="1168">
        <v>0</v>
      </c>
      <c r="Q18" s="1034">
        <f t="shared" si="4"/>
        <v>0</v>
      </c>
      <c r="R18" s="1168">
        <v>0</v>
      </c>
      <c r="S18" s="1168">
        <v>0</v>
      </c>
      <c r="T18" s="1168">
        <v>0</v>
      </c>
      <c r="U18" s="1168">
        <v>0</v>
      </c>
    </row>
    <row r="19" spans="1:21">
      <c r="A19" s="1712" t="s">
        <v>17</v>
      </c>
      <c r="B19" s="755">
        <f t="shared" si="2"/>
        <v>1</v>
      </c>
      <c r="C19" s="2685">
        <f t="shared" si="5"/>
        <v>0</v>
      </c>
      <c r="D19" s="2685">
        <v>0</v>
      </c>
      <c r="E19" s="2685">
        <v>0</v>
      </c>
      <c r="F19" s="2685">
        <v>0</v>
      </c>
      <c r="G19" s="2685">
        <v>0</v>
      </c>
      <c r="H19" s="2685">
        <v>0</v>
      </c>
      <c r="I19" s="2685">
        <v>0</v>
      </c>
      <c r="J19" s="2685">
        <v>0</v>
      </c>
      <c r="K19" s="2685">
        <v>0</v>
      </c>
      <c r="L19" s="1034">
        <f t="shared" si="3"/>
        <v>1</v>
      </c>
      <c r="M19" s="1168">
        <v>0</v>
      </c>
      <c r="N19" s="1168">
        <v>1</v>
      </c>
      <c r="O19" s="1168">
        <v>0</v>
      </c>
      <c r="P19" s="1168">
        <v>0</v>
      </c>
      <c r="Q19" s="1034">
        <f t="shared" si="4"/>
        <v>0</v>
      </c>
      <c r="R19" s="1168">
        <v>0</v>
      </c>
      <c r="S19" s="1168">
        <v>0</v>
      </c>
      <c r="T19" s="1168">
        <v>0</v>
      </c>
      <c r="U19" s="1168">
        <v>0</v>
      </c>
    </row>
    <row r="20" spans="1:21">
      <c r="A20" s="1712" t="s">
        <v>18</v>
      </c>
      <c r="B20" s="755">
        <f t="shared" si="2"/>
        <v>0</v>
      </c>
      <c r="C20" s="2685">
        <f t="shared" si="5"/>
        <v>0</v>
      </c>
      <c r="D20" s="2685">
        <v>0</v>
      </c>
      <c r="E20" s="2685">
        <v>0</v>
      </c>
      <c r="F20" s="2685">
        <v>0</v>
      </c>
      <c r="G20" s="2685">
        <v>0</v>
      </c>
      <c r="H20" s="2685">
        <v>0</v>
      </c>
      <c r="I20" s="2685">
        <v>0</v>
      </c>
      <c r="J20" s="2685">
        <v>0</v>
      </c>
      <c r="K20" s="2685">
        <v>0</v>
      </c>
      <c r="L20" s="1034">
        <f t="shared" si="3"/>
        <v>0</v>
      </c>
      <c r="M20" s="1168">
        <v>0</v>
      </c>
      <c r="N20" s="1168">
        <v>0</v>
      </c>
      <c r="O20" s="1168">
        <v>0</v>
      </c>
      <c r="P20" s="1168">
        <v>0</v>
      </c>
      <c r="Q20" s="1034">
        <f t="shared" si="4"/>
        <v>0</v>
      </c>
      <c r="R20" s="1168">
        <v>0</v>
      </c>
      <c r="S20" s="1168">
        <v>0</v>
      </c>
      <c r="T20" s="1168">
        <v>0</v>
      </c>
      <c r="U20" s="1168">
        <v>0</v>
      </c>
    </row>
    <row r="21" spans="1:21">
      <c r="A21" s="1712" t="s">
        <v>19</v>
      </c>
      <c r="B21" s="755">
        <f t="shared" si="2"/>
        <v>0</v>
      </c>
      <c r="C21" s="2685">
        <f t="shared" si="5"/>
        <v>0</v>
      </c>
      <c r="D21" s="2685">
        <v>0</v>
      </c>
      <c r="E21" s="2685">
        <v>0</v>
      </c>
      <c r="F21" s="2685">
        <v>0</v>
      </c>
      <c r="G21" s="2685">
        <v>0</v>
      </c>
      <c r="H21" s="2685">
        <v>0</v>
      </c>
      <c r="I21" s="2685">
        <v>0</v>
      </c>
      <c r="J21" s="2685">
        <v>0</v>
      </c>
      <c r="K21" s="2685">
        <v>0</v>
      </c>
      <c r="L21" s="1034">
        <f t="shared" si="3"/>
        <v>0</v>
      </c>
      <c r="M21" s="1168">
        <v>0</v>
      </c>
      <c r="N21" s="1168">
        <v>0</v>
      </c>
      <c r="O21" s="1168">
        <v>0</v>
      </c>
      <c r="P21" s="1168">
        <v>0</v>
      </c>
      <c r="Q21" s="1034">
        <f t="shared" si="4"/>
        <v>0</v>
      </c>
      <c r="R21" s="1168">
        <v>0</v>
      </c>
      <c r="S21" s="1168">
        <v>0</v>
      </c>
      <c r="T21" s="1168">
        <v>0</v>
      </c>
      <c r="U21" s="1168">
        <v>0</v>
      </c>
    </row>
    <row r="22" spans="1:21">
      <c r="A22" s="1712" t="s">
        <v>20</v>
      </c>
      <c r="B22" s="755">
        <f t="shared" si="2"/>
        <v>0</v>
      </c>
      <c r="C22" s="2685">
        <f t="shared" si="5"/>
        <v>0</v>
      </c>
      <c r="D22" s="2685">
        <v>0</v>
      </c>
      <c r="E22" s="2685">
        <v>0</v>
      </c>
      <c r="F22" s="2685">
        <v>0</v>
      </c>
      <c r="G22" s="2685">
        <v>0</v>
      </c>
      <c r="H22" s="2685">
        <v>0</v>
      </c>
      <c r="I22" s="2685">
        <v>0</v>
      </c>
      <c r="J22" s="2685">
        <v>0</v>
      </c>
      <c r="K22" s="2685">
        <v>0</v>
      </c>
      <c r="L22" s="1034">
        <f t="shared" si="3"/>
        <v>0</v>
      </c>
      <c r="M22" s="1168">
        <v>0</v>
      </c>
      <c r="N22" s="1168">
        <v>0</v>
      </c>
      <c r="O22" s="1168">
        <v>0</v>
      </c>
      <c r="P22" s="1168">
        <v>0</v>
      </c>
      <c r="Q22" s="1034">
        <f t="shared" si="4"/>
        <v>0</v>
      </c>
      <c r="R22" s="1168">
        <v>0</v>
      </c>
      <c r="S22" s="1168">
        <v>0</v>
      </c>
      <c r="T22" s="1168">
        <v>0</v>
      </c>
      <c r="U22" s="1168">
        <v>0</v>
      </c>
    </row>
    <row r="23" spans="1:21">
      <c r="A23" s="1712" t="s">
        <v>21</v>
      </c>
      <c r="B23" s="755">
        <f t="shared" si="2"/>
        <v>0</v>
      </c>
      <c r="C23" s="2685">
        <f t="shared" si="5"/>
        <v>0</v>
      </c>
      <c r="D23" s="2685">
        <v>0</v>
      </c>
      <c r="E23" s="2685">
        <v>0</v>
      </c>
      <c r="F23" s="2685">
        <v>0</v>
      </c>
      <c r="G23" s="2685">
        <v>0</v>
      </c>
      <c r="H23" s="2685">
        <v>0</v>
      </c>
      <c r="I23" s="2685">
        <v>0</v>
      </c>
      <c r="J23" s="2685">
        <v>0</v>
      </c>
      <c r="K23" s="2685">
        <v>0</v>
      </c>
      <c r="L23" s="1034">
        <f t="shared" si="3"/>
        <v>0</v>
      </c>
      <c r="M23" s="1168">
        <v>0</v>
      </c>
      <c r="N23" s="1168">
        <v>0</v>
      </c>
      <c r="O23" s="1168">
        <v>0</v>
      </c>
      <c r="P23" s="1168">
        <v>0</v>
      </c>
      <c r="Q23" s="1034">
        <f t="shared" si="4"/>
        <v>0</v>
      </c>
      <c r="R23" s="1168">
        <v>0</v>
      </c>
      <c r="S23" s="1168">
        <v>0</v>
      </c>
      <c r="T23" s="1168">
        <v>0</v>
      </c>
      <c r="U23" s="1168">
        <v>0</v>
      </c>
    </row>
    <row r="24" spans="1:21">
      <c r="A24" s="1725"/>
      <c r="B24" s="1725"/>
      <c r="C24" s="1725"/>
      <c r="D24" s="1726"/>
      <c r="E24" s="1726"/>
      <c r="F24" s="1726"/>
      <c r="G24" s="1726"/>
      <c r="H24" s="1726"/>
      <c r="I24" s="1726"/>
      <c r="J24" s="1726"/>
      <c r="K24" s="1726"/>
      <c r="L24" s="1726"/>
      <c r="M24" s="1723"/>
      <c r="N24" s="1723"/>
      <c r="O24" s="1723"/>
      <c r="P24" s="1723"/>
      <c r="Q24" s="1723"/>
      <c r="R24" s="1723"/>
      <c r="S24" s="1723"/>
      <c r="T24" s="1723"/>
      <c r="U24" s="1723"/>
    </row>
    <row r="25" spans="1:21" s="14" customFormat="1" ht="11.25" customHeight="1">
      <c r="A25" s="2151" t="s">
        <v>22</v>
      </c>
      <c r="B25" s="2151"/>
      <c r="C25" s="2151"/>
      <c r="D25" s="2151"/>
      <c r="E25" s="1727"/>
      <c r="F25" s="1727"/>
      <c r="G25" s="1727"/>
      <c r="H25" s="1727"/>
      <c r="I25" s="1727"/>
      <c r="J25" s="1727"/>
      <c r="K25" s="1727"/>
      <c r="L25" s="1727"/>
      <c r="M25" s="1727"/>
      <c r="N25" s="1727"/>
      <c r="O25" s="28"/>
      <c r="P25" s="28"/>
      <c r="Q25" s="28"/>
      <c r="R25" s="28"/>
      <c r="S25" s="28"/>
      <c r="T25" s="28"/>
      <c r="U25" s="28"/>
    </row>
    <row r="26" spans="1:21">
      <c r="A26" s="2172" t="s">
        <v>1080</v>
      </c>
      <c r="B26" s="2172"/>
      <c r="C26" s="2172"/>
      <c r="D26" s="2172"/>
      <c r="E26" s="2172"/>
      <c r="F26" s="2172"/>
      <c r="G26" s="2172"/>
      <c r="H26" s="2172"/>
      <c r="I26" s="2172"/>
      <c r="J26" s="2172"/>
      <c r="K26" s="2172"/>
      <c r="L26" s="1728"/>
      <c r="M26" s="1723"/>
      <c r="N26" s="1723"/>
      <c r="O26" s="1723"/>
      <c r="P26" s="1723"/>
      <c r="Q26" s="1723"/>
      <c r="R26" s="1723"/>
      <c r="S26" s="1723"/>
      <c r="T26" s="1723"/>
      <c r="U26" s="1723"/>
    </row>
  </sheetData>
  <mergeCells count="22">
    <mergeCell ref="A26:K26"/>
    <mergeCell ref="Q5:Q7"/>
    <mergeCell ref="R5:U5"/>
    <mergeCell ref="D6:E6"/>
    <mergeCell ref="F6:G6"/>
    <mergeCell ref="H6:I6"/>
    <mergeCell ref="J6:K6"/>
    <mergeCell ref="M6:N6"/>
    <mergeCell ref="O6:P6"/>
    <mergeCell ref="R6:S6"/>
    <mergeCell ref="T6:U6"/>
    <mergeCell ref="A25:D25"/>
    <mergeCell ref="A2:U2"/>
    <mergeCell ref="A4:A7"/>
    <mergeCell ref="B4:B7"/>
    <mergeCell ref="C4:K4"/>
    <mergeCell ref="L4:U4"/>
    <mergeCell ref="C5:C7"/>
    <mergeCell ref="D5:G5"/>
    <mergeCell ref="H5:K5"/>
    <mergeCell ref="L5:L7"/>
    <mergeCell ref="M5:P5"/>
  </mergeCell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dimension ref="A2:S26"/>
  <sheetViews>
    <sheetView zoomScaleNormal="100" workbookViewId="0">
      <selection activeCell="A31" sqref="A31"/>
    </sheetView>
  </sheetViews>
  <sheetFormatPr baseColWidth="10" defaultRowHeight="12"/>
  <cols>
    <col min="1" max="1" width="13.28515625" style="143" customWidth="1"/>
    <col min="2" max="2" width="11.28515625" style="143" bestFit="1" customWidth="1"/>
    <col min="3" max="4" width="13.5703125" style="143" bestFit="1" customWidth="1"/>
    <col min="5" max="5" width="11.42578125" style="143"/>
    <col min="6" max="7" width="13.5703125" style="143" bestFit="1" customWidth="1"/>
    <col min="8" max="8" width="11.42578125" style="143"/>
    <col min="9" max="10" width="13.5703125" style="143" bestFit="1" customWidth="1"/>
    <col min="11" max="11" width="11.42578125" style="143"/>
    <col min="12" max="13" width="13.5703125" style="143" bestFit="1" customWidth="1"/>
    <col min="14" max="14" width="11.28515625" style="143" bestFit="1" customWidth="1"/>
    <col min="15" max="16" width="13.5703125" style="143" bestFit="1" customWidth="1"/>
    <col min="17" max="17" width="11.28515625" style="143" bestFit="1" customWidth="1"/>
    <col min="18" max="19" width="13.5703125" style="143" bestFit="1" customWidth="1"/>
    <col min="20" max="16384" width="11.42578125" style="143"/>
  </cols>
  <sheetData>
    <row r="2" spans="1:19">
      <c r="A2" s="142" t="s">
        <v>3177</v>
      </c>
      <c r="B2" s="96"/>
    </row>
    <row r="3" spans="1:19">
      <c r="A3" s="142"/>
      <c r="B3" s="96"/>
      <c r="C3" s="1709"/>
      <c r="D3" s="1709"/>
      <c r="E3" s="1709"/>
      <c r="F3" s="1709"/>
      <c r="G3" s="1709"/>
    </row>
    <row r="4" spans="1:19">
      <c r="A4" s="2174" t="s">
        <v>0</v>
      </c>
      <c r="B4" s="2175">
        <v>2009</v>
      </c>
      <c r="C4" s="2175"/>
      <c r="D4" s="2175"/>
      <c r="E4" s="2175">
        <v>2010</v>
      </c>
      <c r="F4" s="2175"/>
      <c r="G4" s="2175"/>
      <c r="H4" s="2175">
        <v>2011</v>
      </c>
      <c r="I4" s="2175"/>
      <c r="J4" s="2175"/>
      <c r="K4" s="2175">
        <v>2012</v>
      </c>
      <c r="L4" s="2175"/>
      <c r="M4" s="2175"/>
      <c r="N4" s="2173">
        <v>2013</v>
      </c>
      <c r="O4" s="2173"/>
      <c r="P4" s="2173"/>
      <c r="Q4" s="2173">
        <v>2014</v>
      </c>
      <c r="R4" s="2173"/>
      <c r="S4" s="2173"/>
    </row>
    <row r="5" spans="1:19" s="1711" customFormat="1" ht="33.75">
      <c r="A5" s="2174"/>
      <c r="B5" s="1710" t="s">
        <v>3168</v>
      </c>
      <c r="C5" s="1710" t="s">
        <v>1082</v>
      </c>
      <c r="D5" s="1710" t="s">
        <v>1083</v>
      </c>
      <c r="E5" s="1710" t="s">
        <v>3168</v>
      </c>
      <c r="F5" s="1710" t="s">
        <v>1082</v>
      </c>
      <c r="G5" s="1710" t="s">
        <v>1083</v>
      </c>
      <c r="H5" s="1710" t="s">
        <v>3168</v>
      </c>
      <c r="I5" s="1710" t="s">
        <v>1082</v>
      </c>
      <c r="J5" s="1710" t="s">
        <v>1083</v>
      </c>
      <c r="K5" s="1710" t="s">
        <v>1081</v>
      </c>
      <c r="L5" s="1710" t="s">
        <v>1082</v>
      </c>
      <c r="M5" s="1710" t="s">
        <v>1083</v>
      </c>
      <c r="N5" s="1710" t="s">
        <v>1081</v>
      </c>
      <c r="O5" s="1710" t="s">
        <v>1082</v>
      </c>
      <c r="P5" s="1710" t="s">
        <v>1083</v>
      </c>
      <c r="Q5" s="1710" t="s">
        <v>1081</v>
      </c>
      <c r="R5" s="1710" t="s">
        <v>1082</v>
      </c>
      <c r="S5" s="1710" t="s">
        <v>1083</v>
      </c>
    </row>
    <row r="6" spans="1:19">
      <c r="A6" s="130" t="s">
        <v>6</v>
      </c>
      <c r="B6" s="2686">
        <f t="shared" ref="B6:S6" si="0">SUM(B7:B21)</f>
        <v>0</v>
      </c>
      <c r="C6" s="2686">
        <f t="shared" si="0"/>
        <v>0</v>
      </c>
      <c r="D6" s="2686">
        <f t="shared" si="0"/>
        <v>0</v>
      </c>
      <c r="E6" s="2686">
        <f t="shared" si="0"/>
        <v>0</v>
      </c>
      <c r="F6" s="2686">
        <f t="shared" si="0"/>
        <v>0</v>
      </c>
      <c r="G6" s="2686">
        <f t="shared" si="0"/>
        <v>0</v>
      </c>
      <c r="H6" s="2686">
        <f t="shared" si="0"/>
        <v>0</v>
      </c>
      <c r="I6" s="2686">
        <f t="shared" si="0"/>
        <v>0</v>
      </c>
      <c r="J6" s="2686">
        <f t="shared" si="0"/>
        <v>0</v>
      </c>
      <c r="K6" s="2686">
        <f t="shared" si="0"/>
        <v>0</v>
      </c>
      <c r="L6" s="2686">
        <f t="shared" si="0"/>
        <v>0</v>
      </c>
      <c r="M6" s="2686">
        <f t="shared" si="0"/>
        <v>0</v>
      </c>
      <c r="N6" s="2686">
        <f t="shared" si="0"/>
        <v>1</v>
      </c>
      <c r="O6" s="2686">
        <f t="shared" si="0"/>
        <v>1</v>
      </c>
      <c r="P6" s="2686">
        <f t="shared" si="0"/>
        <v>8288</v>
      </c>
      <c r="Q6" s="2686">
        <f t="shared" si="0"/>
        <v>1</v>
      </c>
      <c r="R6" s="2686">
        <f t="shared" si="0"/>
        <v>4</v>
      </c>
      <c r="S6" s="2686">
        <f t="shared" si="0"/>
        <v>11620</v>
      </c>
    </row>
    <row r="7" spans="1:19" ht="22.5">
      <c r="A7" s="1712" t="s">
        <v>7</v>
      </c>
      <c r="B7" s="1168">
        <v>0</v>
      </c>
      <c r="C7" s="1168">
        <v>0</v>
      </c>
      <c r="D7" s="1168">
        <v>0</v>
      </c>
      <c r="E7" s="1168">
        <v>0</v>
      </c>
      <c r="F7" s="1168">
        <v>0</v>
      </c>
      <c r="G7" s="1168">
        <v>0</v>
      </c>
      <c r="H7" s="1168">
        <v>0</v>
      </c>
      <c r="I7" s="1168">
        <v>0</v>
      </c>
      <c r="J7" s="1168">
        <v>0</v>
      </c>
      <c r="K7" s="1168">
        <v>0</v>
      </c>
      <c r="L7" s="1168">
        <v>0</v>
      </c>
      <c r="M7" s="1168">
        <v>0</v>
      </c>
      <c r="N7" s="1168">
        <v>0</v>
      </c>
      <c r="O7" s="1168">
        <v>0</v>
      </c>
      <c r="P7" s="1168">
        <v>0</v>
      </c>
      <c r="Q7" s="1168">
        <v>0</v>
      </c>
      <c r="R7" s="1168">
        <v>0</v>
      </c>
      <c r="S7" s="1168">
        <v>0</v>
      </c>
    </row>
    <row r="8" spans="1:19">
      <c r="A8" s="1712" t="s">
        <v>8</v>
      </c>
      <c r="B8" s="1168">
        <v>0</v>
      </c>
      <c r="C8" s="1168">
        <v>0</v>
      </c>
      <c r="D8" s="1168">
        <v>0</v>
      </c>
      <c r="E8" s="1168">
        <v>0</v>
      </c>
      <c r="F8" s="1168">
        <v>0</v>
      </c>
      <c r="G8" s="1168">
        <v>0</v>
      </c>
      <c r="H8" s="1168">
        <v>0</v>
      </c>
      <c r="I8" s="1168">
        <v>0</v>
      </c>
      <c r="J8" s="1168">
        <v>0</v>
      </c>
      <c r="K8" s="1168">
        <v>0</v>
      </c>
      <c r="L8" s="1168">
        <v>0</v>
      </c>
      <c r="M8" s="1168">
        <v>0</v>
      </c>
      <c r="N8" s="1168">
        <v>0</v>
      </c>
      <c r="O8" s="1168">
        <v>0</v>
      </c>
      <c r="P8" s="1168">
        <v>0</v>
      </c>
      <c r="Q8" s="1168">
        <v>0</v>
      </c>
      <c r="R8" s="1168">
        <v>0</v>
      </c>
      <c r="S8" s="1168">
        <v>0</v>
      </c>
    </row>
    <row r="9" spans="1:19">
      <c r="A9" s="1712" t="s">
        <v>9</v>
      </c>
      <c r="B9" s="1168">
        <v>0</v>
      </c>
      <c r="C9" s="1168">
        <v>0</v>
      </c>
      <c r="D9" s="1168">
        <v>0</v>
      </c>
      <c r="E9" s="1168">
        <v>0</v>
      </c>
      <c r="F9" s="1168">
        <v>0</v>
      </c>
      <c r="G9" s="1168">
        <v>0</v>
      </c>
      <c r="H9" s="1168">
        <v>0</v>
      </c>
      <c r="I9" s="1168">
        <v>0</v>
      </c>
      <c r="J9" s="1168">
        <v>0</v>
      </c>
      <c r="K9" s="1168">
        <v>0</v>
      </c>
      <c r="L9" s="1168">
        <v>0</v>
      </c>
      <c r="M9" s="1168">
        <v>0</v>
      </c>
      <c r="N9" s="1168">
        <v>0</v>
      </c>
      <c r="O9" s="1168">
        <v>0</v>
      </c>
      <c r="P9" s="1168">
        <v>0</v>
      </c>
      <c r="Q9" s="1168">
        <v>0</v>
      </c>
      <c r="R9" s="1168">
        <v>0</v>
      </c>
      <c r="S9" s="1168">
        <v>0</v>
      </c>
    </row>
    <row r="10" spans="1:19">
      <c r="A10" s="1712" t="s">
        <v>10</v>
      </c>
      <c r="B10" s="1168">
        <v>0</v>
      </c>
      <c r="C10" s="1168">
        <v>0</v>
      </c>
      <c r="D10" s="1168">
        <v>0</v>
      </c>
      <c r="E10" s="1168">
        <v>0</v>
      </c>
      <c r="F10" s="1168">
        <v>0</v>
      </c>
      <c r="G10" s="1168">
        <v>0</v>
      </c>
      <c r="H10" s="1168">
        <v>0</v>
      </c>
      <c r="I10" s="1168">
        <v>0</v>
      </c>
      <c r="J10" s="1168">
        <v>0</v>
      </c>
      <c r="K10" s="1168">
        <v>0</v>
      </c>
      <c r="L10" s="1168">
        <v>0</v>
      </c>
      <c r="M10" s="1168">
        <v>0</v>
      </c>
      <c r="N10" s="1168">
        <v>0</v>
      </c>
      <c r="O10" s="1168">
        <v>0</v>
      </c>
      <c r="P10" s="1168">
        <v>0</v>
      </c>
      <c r="Q10" s="1168">
        <v>0</v>
      </c>
      <c r="R10" s="1168">
        <v>0</v>
      </c>
      <c r="S10" s="1168">
        <v>0</v>
      </c>
    </row>
    <row r="11" spans="1:19">
      <c r="A11" s="1712" t="s">
        <v>11</v>
      </c>
      <c r="B11" s="1168">
        <v>0</v>
      </c>
      <c r="C11" s="1168">
        <v>0</v>
      </c>
      <c r="D11" s="1168">
        <v>0</v>
      </c>
      <c r="E11" s="1168">
        <v>0</v>
      </c>
      <c r="F11" s="1168">
        <v>0</v>
      </c>
      <c r="G11" s="1168">
        <v>0</v>
      </c>
      <c r="H11" s="1168">
        <v>0</v>
      </c>
      <c r="I11" s="1168">
        <v>0</v>
      </c>
      <c r="J11" s="1168">
        <v>0</v>
      </c>
      <c r="K11" s="1168">
        <v>0</v>
      </c>
      <c r="L11" s="1168">
        <v>0</v>
      </c>
      <c r="M11" s="1168">
        <v>0</v>
      </c>
      <c r="N11" s="1168">
        <v>0</v>
      </c>
      <c r="O11" s="1168">
        <v>0</v>
      </c>
      <c r="P11" s="1168">
        <v>0</v>
      </c>
      <c r="Q11" s="1168">
        <v>0</v>
      </c>
      <c r="R11" s="1168">
        <v>0</v>
      </c>
      <c r="S11" s="1168">
        <v>0</v>
      </c>
    </row>
    <row r="12" spans="1:19">
      <c r="A12" s="1712" t="s">
        <v>12</v>
      </c>
      <c r="B12" s="1168">
        <v>0</v>
      </c>
      <c r="C12" s="1168">
        <v>0</v>
      </c>
      <c r="D12" s="1168">
        <v>0</v>
      </c>
      <c r="E12" s="1168">
        <v>0</v>
      </c>
      <c r="F12" s="1168">
        <v>0</v>
      </c>
      <c r="G12" s="1168">
        <v>0</v>
      </c>
      <c r="H12" s="1168">
        <v>0</v>
      </c>
      <c r="I12" s="1168">
        <v>0</v>
      </c>
      <c r="J12" s="1168">
        <v>0</v>
      </c>
      <c r="K12" s="1168">
        <v>0</v>
      </c>
      <c r="L12" s="1168">
        <v>0</v>
      </c>
      <c r="M12" s="1168">
        <v>0</v>
      </c>
      <c r="N12" s="1168">
        <v>0</v>
      </c>
      <c r="O12" s="1168">
        <v>0</v>
      </c>
      <c r="P12" s="1168">
        <v>0</v>
      </c>
      <c r="Q12" s="1168">
        <v>0</v>
      </c>
      <c r="R12" s="1168">
        <v>0</v>
      </c>
      <c r="S12" s="1168">
        <v>0</v>
      </c>
    </row>
    <row r="13" spans="1:19" ht="22.5">
      <c r="A13" s="1712" t="s">
        <v>13</v>
      </c>
      <c r="B13" s="1168">
        <v>0</v>
      </c>
      <c r="C13" s="1168">
        <v>0</v>
      </c>
      <c r="D13" s="1168">
        <v>0</v>
      </c>
      <c r="E13" s="1168">
        <v>0</v>
      </c>
      <c r="F13" s="1168">
        <v>0</v>
      </c>
      <c r="G13" s="1168">
        <v>0</v>
      </c>
      <c r="H13" s="1168">
        <v>0</v>
      </c>
      <c r="I13" s="1168">
        <v>0</v>
      </c>
      <c r="J13" s="1168">
        <v>0</v>
      </c>
      <c r="K13" s="1168">
        <v>0</v>
      </c>
      <c r="L13" s="1168">
        <v>0</v>
      </c>
      <c r="M13" s="1168">
        <v>0</v>
      </c>
      <c r="N13" s="1168">
        <v>1</v>
      </c>
      <c r="O13" s="1168">
        <v>1</v>
      </c>
      <c r="P13" s="1168">
        <v>8288</v>
      </c>
      <c r="Q13" s="1168">
        <v>1</v>
      </c>
      <c r="R13" s="1168">
        <v>2</v>
      </c>
      <c r="S13" s="1168">
        <v>8320</v>
      </c>
    </row>
    <row r="14" spans="1:19">
      <c r="A14" s="1712" t="s">
        <v>14</v>
      </c>
      <c r="B14" s="1168">
        <v>0</v>
      </c>
      <c r="C14" s="1168">
        <v>0</v>
      </c>
      <c r="D14" s="1168">
        <v>0</v>
      </c>
      <c r="E14" s="1168">
        <v>0</v>
      </c>
      <c r="F14" s="1168">
        <v>0</v>
      </c>
      <c r="G14" s="1168">
        <v>0</v>
      </c>
      <c r="H14" s="1168">
        <v>0</v>
      </c>
      <c r="I14" s="1168">
        <v>0</v>
      </c>
      <c r="J14" s="1168">
        <v>0</v>
      </c>
      <c r="K14" s="1168">
        <v>0</v>
      </c>
      <c r="L14" s="1168">
        <v>0</v>
      </c>
      <c r="M14" s="1168">
        <v>0</v>
      </c>
      <c r="N14" s="1168">
        <v>0</v>
      </c>
      <c r="O14" s="1168">
        <v>0</v>
      </c>
      <c r="P14" s="1168">
        <v>0</v>
      </c>
      <c r="Q14" s="1168">
        <v>0</v>
      </c>
      <c r="R14" s="1168">
        <v>0</v>
      </c>
      <c r="S14" s="1168">
        <v>0</v>
      </c>
    </row>
    <row r="15" spans="1:19">
      <c r="A15" s="1712" t="s">
        <v>15</v>
      </c>
      <c r="B15" s="1168">
        <v>0</v>
      </c>
      <c r="C15" s="1168">
        <v>0</v>
      </c>
      <c r="D15" s="1168">
        <v>0</v>
      </c>
      <c r="E15" s="1168">
        <v>0</v>
      </c>
      <c r="F15" s="1168">
        <v>0</v>
      </c>
      <c r="G15" s="1168">
        <v>0</v>
      </c>
      <c r="H15" s="1168">
        <v>0</v>
      </c>
      <c r="I15" s="1168">
        <v>0</v>
      </c>
      <c r="J15" s="1168">
        <v>0</v>
      </c>
      <c r="K15" s="1168">
        <v>0</v>
      </c>
      <c r="L15" s="1168">
        <v>0</v>
      </c>
      <c r="M15" s="1168">
        <v>0</v>
      </c>
      <c r="N15" s="1168">
        <v>0</v>
      </c>
      <c r="O15" s="1168">
        <v>0</v>
      </c>
      <c r="P15" s="1168">
        <v>0</v>
      </c>
      <c r="Q15" s="1168">
        <v>0</v>
      </c>
      <c r="R15" s="1168">
        <v>0</v>
      </c>
      <c r="S15" s="1168">
        <v>0</v>
      </c>
    </row>
    <row r="16" spans="1:19">
      <c r="A16" s="1712" t="s">
        <v>16</v>
      </c>
      <c r="B16" s="1168">
        <v>0</v>
      </c>
      <c r="C16" s="1168">
        <v>0</v>
      </c>
      <c r="D16" s="1168">
        <v>0</v>
      </c>
      <c r="E16" s="1168">
        <v>0</v>
      </c>
      <c r="F16" s="1168">
        <v>0</v>
      </c>
      <c r="G16" s="1168">
        <v>0</v>
      </c>
      <c r="H16" s="1168">
        <v>0</v>
      </c>
      <c r="I16" s="1168">
        <v>0</v>
      </c>
      <c r="J16" s="1168">
        <v>0</v>
      </c>
      <c r="K16" s="1168">
        <v>0</v>
      </c>
      <c r="L16" s="1168">
        <v>0</v>
      </c>
      <c r="M16" s="1168">
        <v>0</v>
      </c>
      <c r="N16" s="1168">
        <v>0</v>
      </c>
      <c r="O16" s="1168">
        <v>0</v>
      </c>
      <c r="P16" s="1168">
        <v>0</v>
      </c>
      <c r="Q16" s="1168">
        <v>0</v>
      </c>
      <c r="R16" s="1168">
        <v>0</v>
      </c>
      <c r="S16" s="1168">
        <v>0</v>
      </c>
    </row>
    <row r="17" spans="1:19">
      <c r="A17" s="1712" t="s">
        <v>17</v>
      </c>
      <c r="B17" s="1168">
        <v>0</v>
      </c>
      <c r="C17" s="1168">
        <v>0</v>
      </c>
      <c r="D17" s="1168">
        <v>0</v>
      </c>
      <c r="E17" s="1168">
        <v>0</v>
      </c>
      <c r="F17" s="1168">
        <v>0</v>
      </c>
      <c r="G17" s="1168">
        <v>0</v>
      </c>
      <c r="H17" s="1168">
        <v>0</v>
      </c>
      <c r="I17" s="1168">
        <v>0</v>
      </c>
      <c r="J17" s="1168">
        <v>0</v>
      </c>
      <c r="K17" s="1168">
        <v>0</v>
      </c>
      <c r="L17" s="1168">
        <v>0</v>
      </c>
      <c r="M17" s="1168">
        <v>0</v>
      </c>
      <c r="N17" s="1168">
        <v>0</v>
      </c>
      <c r="O17" s="1168">
        <v>0</v>
      </c>
      <c r="P17" s="1168">
        <v>0</v>
      </c>
      <c r="Q17" s="1168">
        <v>0</v>
      </c>
      <c r="R17" s="1168">
        <v>0</v>
      </c>
      <c r="S17" s="1168">
        <v>0</v>
      </c>
    </row>
    <row r="18" spans="1:19">
      <c r="A18" s="1712" t="s">
        <v>18</v>
      </c>
      <c r="B18" s="1168">
        <v>0</v>
      </c>
      <c r="C18" s="1168">
        <v>0</v>
      </c>
      <c r="D18" s="1168">
        <v>0</v>
      </c>
      <c r="E18" s="1168">
        <v>0</v>
      </c>
      <c r="F18" s="1168">
        <v>0</v>
      </c>
      <c r="G18" s="1168">
        <v>0</v>
      </c>
      <c r="H18" s="1168">
        <v>0</v>
      </c>
      <c r="I18" s="1168">
        <v>0</v>
      </c>
      <c r="J18" s="1168">
        <v>0</v>
      </c>
      <c r="K18" s="1168">
        <v>0</v>
      </c>
      <c r="L18" s="1168">
        <v>0</v>
      </c>
      <c r="M18" s="1168">
        <v>0</v>
      </c>
      <c r="N18" s="1168">
        <v>0</v>
      </c>
      <c r="O18" s="1168">
        <v>0</v>
      </c>
      <c r="P18" s="1168">
        <v>0</v>
      </c>
      <c r="Q18" s="1168">
        <v>0</v>
      </c>
      <c r="R18" s="1168">
        <v>0</v>
      </c>
      <c r="S18" s="1168">
        <v>0</v>
      </c>
    </row>
    <row r="19" spans="1:19">
      <c r="A19" s="1712" t="s">
        <v>19</v>
      </c>
      <c r="B19" s="1168">
        <v>0</v>
      </c>
      <c r="C19" s="1168">
        <v>0</v>
      </c>
      <c r="D19" s="1168">
        <v>0</v>
      </c>
      <c r="E19" s="1168">
        <v>0</v>
      </c>
      <c r="F19" s="1168">
        <v>0</v>
      </c>
      <c r="G19" s="1168">
        <v>0</v>
      </c>
      <c r="H19" s="1168">
        <v>0</v>
      </c>
      <c r="I19" s="1168">
        <v>0</v>
      </c>
      <c r="J19" s="1168">
        <v>0</v>
      </c>
      <c r="K19" s="1168">
        <v>0</v>
      </c>
      <c r="L19" s="1168">
        <v>0</v>
      </c>
      <c r="M19" s="1168">
        <v>0</v>
      </c>
      <c r="N19" s="1168">
        <v>0</v>
      </c>
      <c r="O19" s="1168">
        <v>0</v>
      </c>
      <c r="P19" s="1168">
        <v>0</v>
      </c>
      <c r="Q19" s="1168">
        <v>0</v>
      </c>
      <c r="R19" s="1168">
        <v>1</v>
      </c>
      <c r="S19" s="1168">
        <v>3300</v>
      </c>
    </row>
    <row r="20" spans="1:19">
      <c r="A20" s="1712" t="s">
        <v>20</v>
      </c>
      <c r="B20" s="1168">
        <v>0</v>
      </c>
      <c r="C20" s="1168">
        <v>0</v>
      </c>
      <c r="D20" s="1168">
        <v>0</v>
      </c>
      <c r="E20" s="1168">
        <v>0</v>
      </c>
      <c r="F20" s="1168">
        <v>0</v>
      </c>
      <c r="G20" s="1168">
        <v>0</v>
      </c>
      <c r="H20" s="1168">
        <v>0</v>
      </c>
      <c r="I20" s="1168">
        <v>0</v>
      </c>
      <c r="J20" s="1168">
        <v>0</v>
      </c>
      <c r="K20" s="1168">
        <v>0</v>
      </c>
      <c r="L20" s="1168">
        <v>0</v>
      </c>
      <c r="M20" s="1168">
        <v>0</v>
      </c>
      <c r="N20" s="1168">
        <v>0</v>
      </c>
      <c r="O20" s="1168">
        <v>0</v>
      </c>
      <c r="P20" s="1168">
        <v>0</v>
      </c>
      <c r="Q20" s="1168">
        <v>0</v>
      </c>
      <c r="R20" s="1168">
        <v>1</v>
      </c>
      <c r="S20" s="1168">
        <v>0</v>
      </c>
    </row>
    <row r="21" spans="1:19">
      <c r="A21" s="1712" t="s">
        <v>21</v>
      </c>
      <c r="B21" s="1168">
        <v>0</v>
      </c>
      <c r="C21" s="1168">
        <v>0</v>
      </c>
      <c r="D21" s="1168">
        <v>0</v>
      </c>
      <c r="E21" s="1168">
        <v>0</v>
      </c>
      <c r="F21" s="1168">
        <v>0</v>
      </c>
      <c r="G21" s="1168">
        <v>0</v>
      </c>
      <c r="H21" s="1168">
        <v>0</v>
      </c>
      <c r="I21" s="1168">
        <v>0</v>
      </c>
      <c r="J21" s="1168">
        <v>0</v>
      </c>
      <c r="K21" s="1168">
        <v>0</v>
      </c>
      <c r="L21" s="1168">
        <v>0</v>
      </c>
      <c r="M21" s="1168">
        <v>0</v>
      </c>
      <c r="N21" s="1168">
        <v>0</v>
      </c>
      <c r="O21" s="1168">
        <v>0</v>
      </c>
      <c r="P21" s="1168">
        <v>0</v>
      </c>
      <c r="Q21" s="1168">
        <v>0</v>
      </c>
      <c r="R21" s="1168">
        <v>0</v>
      </c>
      <c r="S21" s="1168">
        <v>0</v>
      </c>
    </row>
    <row r="22" spans="1:19">
      <c r="A22" s="1712"/>
      <c r="B22" s="1168"/>
      <c r="C22" s="1168"/>
      <c r="D22" s="1168"/>
      <c r="E22" s="1168"/>
      <c r="F22" s="1168"/>
      <c r="G22" s="1168"/>
      <c r="H22" s="1168"/>
      <c r="I22" s="1168"/>
      <c r="J22" s="1168"/>
      <c r="K22" s="1168"/>
      <c r="L22" s="1168"/>
      <c r="M22" s="1168"/>
      <c r="N22" s="1168"/>
      <c r="O22" s="1168"/>
      <c r="P22" s="1168"/>
      <c r="Q22" s="1168"/>
      <c r="R22" s="1168"/>
      <c r="S22" s="1168"/>
    </row>
    <row r="23" spans="1:19">
      <c r="A23" s="469" t="s">
        <v>3179</v>
      </c>
      <c r="B23" s="48"/>
      <c r="C23" s="1711"/>
    </row>
    <row r="24" spans="1:19" s="1715" customFormat="1" ht="11.25">
      <c r="A24" s="1713" t="s">
        <v>22</v>
      </c>
      <c r="B24" s="1714"/>
      <c r="C24" s="1714"/>
      <c r="D24" s="1714"/>
      <c r="E24" s="1714"/>
      <c r="F24" s="1714"/>
      <c r="H24" s="1004"/>
      <c r="I24" s="1716"/>
      <c r="J24" s="1717"/>
      <c r="K24" s="1718"/>
      <c r="L24" s="1718"/>
      <c r="M24" s="1719"/>
    </row>
    <row r="25" spans="1:19">
      <c r="A25" s="469" t="s">
        <v>3178</v>
      </c>
      <c r="B25" s="469"/>
    </row>
    <row r="26" spans="1:19">
      <c r="S26" s="1720"/>
    </row>
  </sheetData>
  <mergeCells count="7">
    <mergeCell ref="Q4:S4"/>
    <mergeCell ref="A4:A5"/>
    <mergeCell ref="B4:D4"/>
    <mergeCell ref="E4:G4"/>
    <mergeCell ref="H4:J4"/>
    <mergeCell ref="K4:M4"/>
    <mergeCell ref="N4:P4"/>
  </mergeCells>
  <pageMargins left="0.7" right="0.7" top="0.75" bottom="0.75" header="0.3" footer="0.3"/>
</worksheet>
</file>

<file path=xl/worksheets/sheet82.xml><?xml version="1.0" encoding="utf-8"?>
<worksheet xmlns="http://schemas.openxmlformats.org/spreadsheetml/2006/main" xmlns:r="http://schemas.openxmlformats.org/officeDocument/2006/relationships">
  <dimension ref="A1:P28"/>
  <sheetViews>
    <sheetView zoomScaleNormal="100" workbookViewId="0">
      <selection activeCell="A31" sqref="A31"/>
    </sheetView>
  </sheetViews>
  <sheetFormatPr baseColWidth="10" defaultRowHeight="12"/>
  <cols>
    <col min="1" max="1" width="26.7109375" style="141" customWidth="1"/>
    <col min="2" max="16384" width="11.42578125" style="141"/>
  </cols>
  <sheetData>
    <row r="1" spans="1:16" ht="9.75" customHeight="1">
      <c r="A1" s="1676"/>
    </row>
    <row r="2" spans="1:16" s="129" customFormat="1" ht="16.5" customHeight="1">
      <c r="A2" s="2176" t="s">
        <v>1084</v>
      </c>
      <c r="B2" s="2176"/>
      <c r="C2" s="2176"/>
      <c r="D2" s="2176"/>
      <c r="E2" s="2176"/>
      <c r="F2" s="2176"/>
      <c r="G2" s="2176"/>
      <c r="H2" s="2176"/>
      <c r="I2" s="2176"/>
      <c r="J2" s="2176"/>
      <c r="K2" s="2176"/>
      <c r="L2" s="2176"/>
      <c r="M2" s="2176"/>
    </row>
    <row r="3" spans="1:16" s="129" customFormat="1" ht="11.25">
      <c r="A3" s="1665"/>
      <c r="B3" s="1666"/>
      <c r="C3" s="1170"/>
      <c r="D3" s="1170"/>
    </row>
    <row r="4" spans="1:16" s="129" customFormat="1" ht="16.5" customHeight="1">
      <c r="A4" s="2177" t="s">
        <v>0</v>
      </c>
      <c r="B4" s="2178" t="s">
        <v>3776</v>
      </c>
      <c r="C4" s="2178"/>
      <c r="D4" s="2178"/>
      <c r="E4" s="2178">
        <v>2012</v>
      </c>
      <c r="F4" s="2178"/>
      <c r="G4" s="2178"/>
      <c r="H4" s="2178">
        <v>2013</v>
      </c>
      <c r="I4" s="2178"/>
      <c r="J4" s="2178"/>
      <c r="K4" s="2178">
        <v>2014</v>
      </c>
      <c r="L4" s="2178"/>
      <c r="M4" s="2178"/>
      <c r="N4" s="1707"/>
      <c r="O4" s="1707"/>
      <c r="P4" s="1707"/>
    </row>
    <row r="5" spans="1:16" s="129" customFormat="1" ht="18.75" customHeight="1">
      <c r="A5" s="2177"/>
      <c r="B5" s="1668" t="s">
        <v>26</v>
      </c>
      <c r="C5" s="1668" t="s">
        <v>163</v>
      </c>
      <c r="D5" s="1668" t="s">
        <v>164</v>
      </c>
      <c r="E5" s="1668" t="s">
        <v>26</v>
      </c>
      <c r="F5" s="1668" t="s">
        <v>163</v>
      </c>
      <c r="G5" s="1668" t="s">
        <v>164</v>
      </c>
      <c r="H5" s="1668" t="s">
        <v>26</v>
      </c>
      <c r="I5" s="1668" t="s">
        <v>163</v>
      </c>
      <c r="J5" s="1668" t="s">
        <v>164</v>
      </c>
      <c r="K5" s="1668" t="s">
        <v>26</v>
      </c>
      <c r="L5" s="1668" t="s">
        <v>163</v>
      </c>
      <c r="M5" s="1668" t="s">
        <v>164</v>
      </c>
      <c r="N5" s="1703"/>
      <c r="O5" s="1703"/>
      <c r="P5" s="1703"/>
    </row>
    <row r="6" spans="1:16" s="129" customFormat="1" ht="11.25">
      <c r="A6" s="276" t="s">
        <v>6</v>
      </c>
      <c r="B6" s="1666">
        <f>SUM(C6:D6)</f>
        <v>1668</v>
      </c>
      <c r="C6" s="1666">
        <v>1041</v>
      </c>
      <c r="D6" s="1666">
        <v>627</v>
      </c>
      <c r="E6" s="745">
        <f>SUM(E7:E22)</f>
        <v>1560</v>
      </c>
      <c r="F6" s="745">
        <f t="shared" ref="F6:M6" si="0">SUM(F7:F22)</f>
        <v>761</v>
      </c>
      <c r="G6" s="745">
        <f t="shared" si="0"/>
        <v>799</v>
      </c>
      <c r="H6" s="745">
        <f t="shared" si="0"/>
        <v>1651</v>
      </c>
      <c r="I6" s="745">
        <f t="shared" si="0"/>
        <v>810</v>
      </c>
      <c r="J6" s="745">
        <f t="shared" si="0"/>
        <v>841</v>
      </c>
      <c r="K6" s="745">
        <f t="shared" si="0"/>
        <v>1809</v>
      </c>
      <c r="L6" s="745">
        <f t="shared" si="0"/>
        <v>857</v>
      </c>
      <c r="M6" s="745">
        <f t="shared" si="0"/>
        <v>952</v>
      </c>
      <c r="N6" s="745"/>
      <c r="O6" s="745"/>
      <c r="P6" s="745"/>
    </row>
    <row r="7" spans="1:16" s="129" customFormat="1" ht="11.25">
      <c r="A7" s="2687" t="s">
        <v>7</v>
      </c>
      <c r="B7" s="775" t="s">
        <v>55</v>
      </c>
      <c r="C7" s="775" t="s">
        <v>55</v>
      </c>
      <c r="D7" s="775" t="s">
        <v>55</v>
      </c>
      <c r="E7" s="1673">
        <f>SUM(F7:G7)</f>
        <v>0</v>
      </c>
      <c r="F7" s="1670">
        <v>0</v>
      </c>
      <c r="G7" s="1670">
        <v>0</v>
      </c>
      <c r="H7" s="745">
        <f>SUM(I7:J7)</f>
        <v>0</v>
      </c>
      <c r="I7" s="747">
        <v>0</v>
      </c>
      <c r="J7" s="747">
        <v>0</v>
      </c>
      <c r="K7" s="745">
        <f>SUM(L7:M7)</f>
        <v>0</v>
      </c>
      <c r="L7" s="747">
        <v>0</v>
      </c>
      <c r="M7" s="747">
        <v>0</v>
      </c>
      <c r="N7" s="745"/>
      <c r="O7" s="747"/>
      <c r="P7" s="747"/>
    </row>
    <row r="8" spans="1:16" s="129" customFormat="1" ht="11.25">
      <c r="A8" s="2687" t="s">
        <v>8</v>
      </c>
      <c r="B8" s="775" t="s">
        <v>55</v>
      </c>
      <c r="C8" s="775" t="s">
        <v>55</v>
      </c>
      <c r="D8" s="775" t="s">
        <v>55</v>
      </c>
      <c r="E8" s="1673">
        <f t="shared" ref="E8:E22" si="1">SUM(F8:G8)</f>
        <v>0</v>
      </c>
      <c r="F8" s="1670">
        <v>0</v>
      </c>
      <c r="G8" s="1670">
        <v>0</v>
      </c>
      <c r="H8" s="745">
        <f t="shared" ref="H8:H22" si="2">SUM(I8:J8)</f>
        <v>0</v>
      </c>
      <c r="I8" s="747">
        <v>0</v>
      </c>
      <c r="J8" s="747">
        <v>0</v>
      </c>
      <c r="K8" s="745">
        <f t="shared" ref="K8:K14" si="3">SUM(L8:M8)</f>
        <v>11</v>
      </c>
      <c r="L8" s="747">
        <v>9</v>
      </c>
      <c r="M8" s="747">
        <v>2</v>
      </c>
      <c r="N8" s="745"/>
      <c r="O8" s="747"/>
      <c r="P8" s="747"/>
    </row>
    <row r="9" spans="1:16" s="129" customFormat="1" ht="11.25">
      <c r="A9" s="2687" t="s">
        <v>9</v>
      </c>
      <c r="B9" s="775" t="s">
        <v>55</v>
      </c>
      <c r="C9" s="775" t="s">
        <v>55</v>
      </c>
      <c r="D9" s="775" t="s">
        <v>55</v>
      </c>
      <c r="E9" s="1673">
        <f t="shared" si="1"/>
        <v>0</v>
      </c>
      <c r="F9" s="1670">
        <v>0</v>
      </c>
      <c r="G9" s="1670">
        <v>0</v>
      </c>
      <c r="H9" s="745">
        <f t="shared" si="2"/>
        <v>0</v>
      </c>
      <c r="I9" s="747">
        <v>0</v>
      </c>
      <c r="J9" s="747">
        <v>0</v>
      </c>
      <c r="K9" s="745">
        <f t="shared" si="3"/>
        <v>11</v>
      </c>
      <c r="L9" s="747">
        <v>3</v>
      </c>
      <c r="M9" s="747">
        <v>8</v>
      </c>
      <c r="N9" s="745"/>
      <c r="O9" s="747"/>
      <c r="P9" s="747"/>
    </row>
    <row r="10" spans="1:16" s="129" customFormat="1" ht="11.25">
      <c r="A10" s="2687" t="s">
        <v>10</v>
      </c>
      <c r="B10" s="775" t="s">
        <v>55</v>
      </c>
      <c r="C10" s="775" t="s">
        <v>55</v>
      </c>
      <c r="D10" s="775" t="s">
        <v>55</v>
      </c>
      <c r="E10" s="1673">
        <f t="shared" si="1"/>
        <v>1</v>
      </c>
      <c r="F10" s="1670">
        <v>1</v>
      </c>
      <c r="G10" s="1670">
        <v>0</v>
      </c>
      <c r="H10" s="745">
        <f t="shared" si="2"/>
        <v>0</v>
      </c>
      <c r="I10" s="747">
        <v>0</v>
      </c>
      <c r="J10" s="747">
        <v>0</v>
      </c>
      <c r="K10" s="745">
        <f t="shared" si="3"/>
        <v>1</v>
      </c>
      <c r="L10" s="747">
        <v>1</v>
      </c>
      <c r="M10" s="747">
        <v>0</v>
      </c>
      <c r="N10" s="745"/>
      <c r="O10" s="747"/>
      <c r="P10" s="747"/>
    </row>
    <row r="11" spans="1:16" s="129" customFormat="1" ht="11.25">
      <c r="A11" s="2687" t="s">
        <v>11</v>
      </c>
      <c r="B11" s="775" t="s">
        <v>55</v>
      </c>
      <c r="C11" s="775" t="s">
        <v>55</v>
      </c>
      <c r="D11" s="775" t="s">
        <v>55</v>
      </c>
      <c r="E11" s="1673">
        <f t="shared" si="1"/>
        <v>0</v>
      </c>
      <c r="F11" s="1670">
        <v>0</v>
      </c>
      <c r="G11" s="1670">
        <v>0</v>
      </c>
      <c r="H11" s="745">
        <f t="shared" si="2"/>
        <v>0</v>
      </c>
      <c r="I11" s="747">
        <v>0</v>
      </c>
      <c r="J11" s="747">
        <v>0</v>
      </c>
      <c r="K11" s="745">
        <f t="shared" si="3"/>
        <v>1</v>
      </c>
      <c r="L11" s="747">
        <v>0</v>
      </c>
      <c r="M11" s="747">
        <v>1</v>
      </c>
      <c r="N11" s="745"/>
      <c r="O11" s="747"/>
      <c r="P11" s="747"/>
    </row>
    <row r="12" spans="1:16" s="129" customFormat="1" ht="11.25">
      <c r="A12" s="2687" t="s">
        <v>12</v>
      </c>
      <c r="B12" s="775" t="s">
        <v>55</v>
      </c>
      <c r="C12" s="775" t="s">
        <v>55</v>
      </c>
      <c r="D12" s="775" t="s">
        <v>55</v>
      </c>
      <c r="E12" s="1673">
        <f t="shared" si="1"/>
        <v>18</v>
      </c>
      <c r="F12" s="1670">
        <v>13</v>
      </c>
      <c r="G12" s="1670">
        <v>5</v>
      </c>
      <c r="H12" s="745">
        <f t="shared" si="2"/>
        <v>20</v>
      </c>
      <c r="I12" s="747">
        <v>14</v>
      </c>
      <c r="J12" s="747">
        <v>6</v>
      </c>
      <c r="K12" s="745">
        <f t="shared" si="3"/>
        <v>24</v>
      </c>
      <c r="L12" s="747">
        <v>15</v>
      </c>
      <c r="M12" s="747">
        <v>9</v>
      </c>
      <c r="N12" s="745"/>
      <c r="O12" s="747"/>
      <c r="P12" s="747"/>
    </row>
    <row r="13" spans="1:16" s="129" customFormat="1" ht="11.25">
      <c r="A13" s="2687" t="s">
        <v>13</v>
      </c>
      <c r="B13" s="775" t="s">
        <v>55</v>
      </c>
      <c r="C13" s="775" t="s">
        <v>55</v>
      </c>
      <c r="D13" s="775" t="s">
        <v>55</v>
      </c>
      <c r="E13" s="1673">
        <f t="shared" si="1"/>
        <v>1081</v>
      </c>
      <c r="F13" s="1670">
        <v>513</v>
      </c>
      <c r="G13" s="1670">
        <v>568</v>
      </c>
      <c r="H13" s="745">
        <f t="shared" si="2"/>
        <v>1129</v>
      </c>
      <c r="I13" s="747">
        <v>547</v>
      </c>
      <c r="J13" s="747">
        <v>582</v>
      </c>
      <c r="K13" s="745">
        <f t="shared" si="3"/>
        <v>1211</v>
      </c>
      <c r="L13" s="747">
        <v>555</v>
      </c>
      <c r="M13" s="747">
        <v>656</v>
      </c>
      <c r="N13" s="745"/>
      <c r="O13" s="747"/>
      <c r="P13" s="747"/>
    </row>
    <row r="14" spans="1:16" s="129" customFormat="1" ht="11.25">
      <c r="A14" s="2687" t="s">
        <v>14</v>
      </c>
      <c r="B14" s="775" t="s">
        <v>55</v>
      </c>
      <c r="C14" s="775" t="s">
        <v>55</v>
      </c>
      <c r="D14" s="775" t="s">
        <v>55</v>
      </c>
      <c r="E14" s="1673">
        <f t="shared" si="1"/>
        <v>9</v>
      </c>
      <c r="F14" s="1670">
        <v>5</v>
      </c>
      <c r="G14" s="1670">
        <v>4</v>
      </c>
      <c r="H14" s="745">
        <f t="shared" si="2"/>
        <v>9</v>
      </c>
      <c r="I14" s="747">
        <v>5</v>
      </c>
      <c r="J14" s="747">
        <v>4</v>
      </c>
      <c r="K14" s="745">
        <f t="shared" si="3"/>
        <v>9</v>
      </c>
      <c r="L14" s="747">
        <v>5</v>
      </c>
      <c r="M14" s="747">
        <v>4</v>
      </c>
      <c r="N14" s="745"/>
      <c r="O14" s="747"/>
      <c r="P14" s="747"/>
    </row>
    <row r="15" spans="1:16" s="129" customFormat="1" ht="11.25">
      <c r="A15" s="2687" t="s">
        <v>15</v>
      </c>
      <c r="B15" s="775" t="s">
        <v>55</v>
      </c>
      <c r="C15" s="775" t="s">
        <v>55</v>
      </c>
      <c r="D15" s="775" t="s">
        <v>55</v>
      </c>
      <c r="E15" s="1673">
        <f t="shared" si="1"/>
        <v>10</v>
      </c>
      <c r="F15" s="1670">
        <v>4</v>
      </c>
      <c r="G15" s="1670">
        <v>6</v>
      </c>
      <c r="H15" s="745">
        <f>SUM(I15:J15)</f>
        <v>10</v>
      </c>
      <c r="I15" s="747">
        <v>4</v>
      </c>
      <c r="J15" s="747">
        <v>6</v>
      </c>
      <c r="K15" s="745">
        <f>SUM(L15:M15)</f>
        <v>19</v>
      </c>
      <c r="L15" s="747">
        <v>7</v>
      </c>
      <c r="M15" s="747">
        <v>12</v>
      </c>
      <c r="N15" s="745"/>
      <c r="O15" s="747"/>
      <c r="P15" s="747"/>
    </row>
    <row r="16" spans="1:16" s="129" customFormat="1" ht="11.25">
      <c r="A16" s="2687" t="s">
        <v>16</v>
      </c>
      <c r="B16" s="775" t="s">
        <v>55</v>
      </c>
      <c r="C16" s="775" t="s">
        <v>55</v>
      </c>
      <c r="D16" s="775" t="s">
        <v>55</v>
      </c>
      <c r="E16" s="1673">
        <f t="shared" si="1"/>
        <v>0</v>
      </c>
      <c r="F16" s="1670">
        <v>0</v>
      </c>
      <c r="G16" s="1670">
        <v>0</v>
      </c>
      <c r="H16" s="745">
        <f t="shared" si="2"/>
        <v>0</v>
      </c>
      <c r="I16" s="747">
        <v>0</v>
      </c>
      <c r="J16" s="747">
        <v>0</v>
      </c>
      <c r="K16" s="745">
        <f t="shared" ref="K16:K22" si="4">SUM(L16:M16)</f>
        <v>20</v>
      </c>
      <c r="L16" s="747">
        <v>9</v>
      </c>
      <c r="M16" s="747">
        <v>11</v>
      </c>
      <c r="N16" s="745"/>
      <c r="O16" s="747"/>
      <c r="P16" s="747"/>
    </row>
    <row r="17" spans="1:16" s="129" customFormat="1" ht="11.25">
      <c r="A17" s="2687" t="s">
        <v>17</v>
      </c>
      <c r="B17" s="775" t="s">
        <v>55</v>
      </c>
      <c r="C17" s="775" t="s">
        <v>55</v>
      </c>
      <c r="D17" s="775" t="s">
        <v>55</v>
      </c>
      <c r="E17" s="1673">
        <f t="shared" si="1"/>
        <v>0</v>
      </c>
      <c r="F17" s="1670">
        <v>0</v>
      </c>
      <c r="G17" s="1670">
        <v>0</v>
      </c>
      <c r="H17" s="745">
        <f t="shared" si="2"/>
        <v>0</v>
      </c>
      <c r="I17" s="747">
        <v>0</v>
      </c>
      <c r="J17" s="747">
        <v>0</v>
      </c>
      <c r="K17" s="745">
        <f t="shared" si="4"/>
        <v>18</v>
      </c>
      <c r="L17" s="747">
        <v>12</v>
      </c>
      <c r="M17" s="747">
        <v>6</v>
      </c>
      <c r="N17" s="745"/>
      <c r="O17" s="747"/>
      <c r="P17" s="747"/>
    </row>
    <row r="18" spans="1:16" s="129" customFormat="1" ht="11.25">
      <c r="A18" s="2687" t="s">
        <v>18</v>
      </c>
      <c r="B18" s="775" t="s">
        <v>55</v>
      </c>
      <c r="C18" s="775" t="s">
        <v>55</v>
      </c>
      <c r="D18" s="775" t="s">
        <v>55</v>
      </c>
      <c r="E18" s="1673">
        <f t="shared" si="1"/>
        <v>0</v>
      </c>
      <c r="F18" s="1670">
        <v>0</v>
      </c>
      <c r="G18" s="1670">
        <v>0</v>
      </c>
      <c r="H18" s="745">
        <f t="shared" si="2"/>
        <v>0</v>
      </c>
      <c r="I18" s="747">
        <v>0</v>
      </c>
      <c r="J18" s="747">
        <v>0</v>
      </c>
      <c r="K18" s="745">
        <f t="shared" si="4"/>
        <v>0</v>
      </c>
      <c r="L18" s="747"/>
      <c r="M18" s="747"/>
      <c r="N18" s="745"/>
      <c r="O18" s="747"/>
      <c r="P18" s="747"/>
    </row>
    <row r="19" spans="1:16" s="129" customFormat="1" ht="11.25">
      <c r="A19" s="2687" t="s">
        <v>19</v>
      </c>
      <c r="B19" s="775" t="s">
        <v>55</v>
      </c>
      <c r="C19" s="775" t="s">
        <v>55</v>
      </c>
      <c r="D19" s="775" t="s">
        <v>55</v>
      </c>
      <c r="E19" s="1673">
        <f t="shared" si="1"/>
        <v>1</v>
      </c>
      <c r="F19" s="1670">
        <v>0</v>
      </c>
      <c r="G19" s="1670">
        <v>1</v>
      </c>
      <c r="H19" s="745">
        <f t="shared" si="2"/>
        <v>1</v>
      </c>
      <c r="I19" s="747">
        <v>0</v>
      </c>
      <c r="J19" s="747">
        <v>1</v>
      </c>
      <c r="K19" s="745">
        <f t="shared" si="4"/>
        <v>2</v>
      </c>
      <c r="L19" s="747">
        <v>1</v>
      </c>
      <c r="M19" s="747">
        <v>1</v>
      </c>
      <c r="N19" s="745"/>
      <c r="O19" s="747"/>
      <c r="P19" s="747"/>
    </row>
    <row r="20" spans="1:16" s="129" customFormat="1" ht="11.25">
      <c r="A20" s="2687" t="s">
        <v>20</v>
      </c>
      <c r="B20" s="775" t="s">
        <v>55</v>
      </c>
      <c r="C20" s="775" t="s">
        <v>55</v>
      </c>
      <c r="D20" s="775" t="s">
        <v>55</v>
      </c>
      <c r="E20" s="1673">
        <f t="shared" si="1"/>
        <v>0</v>
      </c>
      <c r="F20" s="1670">
        <v>0</v>
      </c>
      <c r="G20" s="1670">
        <v>0</v>
      </c>
      <c r="H20" s="745">
        <f t="shared" si="2"/>
        <v>0</v>
      </c>
      <c r="I20" s="747">
        <v>0</v>
      </c>
      <c r="J20" s="747">
        <v>0</v>
      </c>
      <c r="K20" s="745">
        <f t="shared" si="4"/>
        <v>0</v>
      </c>
      <c r="L20" s="747">
        <v>0</v>
      </c>
      <c r="M20" s="747">
        <v>0</v>
      </c>
      <c r="N20" s="745"/>
      <c r="O20" s="747"/>
      <c r="P20" s="747"/>
    </row>
    <row r="21" spans="1:16" s="129" customFormat="1" ht="11.25">
      <c r="A21" s="2687" t="s">
        <v>21</v>
      </c>
      <c r="B21" s="775" t="s">
        <v>55</v>
      </c>
      <c r="C21" s="775" t="s">
        <v>55</v>
      </c>
      <c r="D21" s="775" t="s">
        <v>55</v>
      </c>
      <c r="E21" s="1673">
        <f t="shared" si="1"/>
        <v>0</v>
      </c>
      <c r="F21" s="1670">
        <v>0</v>
      </c>
      <c r="G21" s="1670">
        <v>0</v>
      </c>
      <c r="H21" s="745">
        <f t="shared" si="2"/>
        <v>0</v>
      </c>
      <c r="I21" s="747">
        <v>0</v>
      </c>
      <c r="J21" s="747">
        <v>0</v>
      </c>
      <c r="K21" s="745">
        <f t="shared" si="4"/>
        <v>0</v>
      </c>
      <c r="L21" s="747">
        <v>0</v>
      </c>
      <c r="M21" s="747">
        <v>0</v>
      </c>
      <c r="N21" s="745"/>
      <c r="O21" s="747"/>
      <c r="P21" s="747"/>
    </row>
    <row r="22" spans="1:16" s="129" customFormat="1" ht="11.25">
      <c r="A22" s="129" t="s">
        <v>1085</v>
      </c>
      <c r="B22" s="775" t="s">
        <v>55</v>
      </c>
      <c r="C22" s="775" t="s">
        <v>55</v>
      </c>
      <c r="D22" s="775" t="s">
        <v>55</v>
      </c>
      <c r="E22" s="1673">
        <f t="shared" si="1"/>
        <v>440</v>
      </c>
      <c r="F22" s="1670">
        <v>225</v>
      </c>
      <c r="G22" s="1670">
        <v>215</v>
      </c>
      <c r="H22" s="745">
        <f t="shared" si="2"/>
        <v>482</v>
      </c>
      <c r="I22" s="747">
        <v>240</v>
      </c>
      <c r="J22" s="747">
        <v>242</v>
      </c>
      <c r="K22" s="745">
        <f t="shared" si="4"/>
        <v>482</v>
      </c>
      <c r="L22" s="747">
        <v>240</v>
      </c>
      <c r="M22" s="747">
        <v>242</v>
      </c>
      <c r="N22" s="745"/>
      <c r="O22" s="747"/>
      <c r="P22" s="747"/>
    </row>
    <row r="23" spans="1:16" s="129" customFormat="1" ht="12" customHeight="1">
      <c r="B23" s="1671"/>
      <c r="C23" s="1672"/>
      <c r="D23" s="1672"/>
      <c r="K23" s="950"/>
      <c r="L23" s="1670"/>
      <c r="M23" s="1670"/>
      <c r="N23" s="745"/>
      <c r="O23" s="747"/>
      <c r="P23" s="747"/>
    </row>
    <row r="24" spans="1:16" s="129" customFormat="1" ht="11.25">
      <c r="A24" s="130" t="s">
        <v>3777</v>
      </c>
      <c r="B24" s="1671"/>
      <c r="C24" s="1672"/>
      <c r="D24" s="1672"/>
      <c r="K24" s="950"/>
      <c r="L24" s="1670"/>
      <c r="M24" s="1670"/>
      <c r="N24" s="745"/>
      <c r="O24" s="747"/>
      <c r="P24" s="747"/>
    </row>
    <row r="25" spans="1:16" s="129" customFormat="1" ht="12" customHeight="1">
      <c r="A25" s="1061" t="s">
        <v>734</v>
      </c>
      <c r="B25" s="1671"/>
      <c r="C25" s="1672"/>
      <c r="D25" s="1672"/>
      <c r="K25" s="950"/>
      <c r="L25" s="1670"/>
      <c r="M25" s="1670"/>
      <c r="N25" s="745"/>
      <c r="O25" s="747"/>
      <c r="P25" s="747"/>
    </row>
    <row r="26" spans="1:16" s="129" customFormat="1" ht="12" customHeight="1">
      <c r="A26" s="1708" t="s">
        <v>149</v>
      </c>
      <c r="B26" s="1708"/>
      <c r="C26" s="1708"/>
      <c r="D26" s="1708"/>
      <c r="E26" s="1708"/>
      <c r="F26" s="1708"/>
      <c r="G26" s="1708"/>
      <c r="H26" s="1708"/>
      <c r="K26" s="950"/>
      <c r="L26" s="1670"/>
      <c r="M26" s="1670"/>
      <c r="N26" s="745"/>
      <c r="O26" s="747"/>
      <c r="P26" s="747"/>
    </row>
    <row r="27" spans="1:16" s="129" customFormat="1" ht="11.25">
      <c r="A27" s="606" t="s">
        <v>1086</v>
      </c>
      <c r="B27" s="104"/>
      <c r="C27" s="104"/>
      <c r="D27" s="104"/>
    </row>
    <row r="28" spans="1:16" s="129" customFormat="1" ht="11.25"/>
  </sheetData>
  <mergeCells count="6">
    <mergeCell ref="A2:M2"/>
    <mergeCell ref="A4:A5"/>
    <mergeCell ref="B4:D4"/>
    <mergeCell ref="E4:G4"/>
    <mergeCell ref="H4:J4"/>
    <mergeCell ref="K4:M4"/>
  </mergeCells>
  <pageMargins left="0.7" right="0.7" top="0.75" bottom="0.75" header="0.3" footer="0.3"/>
  <pageSetup paperSize="14" orientation="landscape" r:id="rId1"/>
</worksheet>
</file>

<file path=xl/worksheets/sheet83.xml><?xml version="1.0" encoding="utf-8"?>
<worksheet xmlns="http://schemas.openxmlformats.org/spreadsheetml/2006/main" xmlns:r="http://schemas.openxmlformats.org/officeDocument/2006/relationships">
  <dimension ref="A1:P27"/>
  <sheetViews>
    <sheetView zoomScaleNormal="100" workbookViewId="0">
      <selection activeCell="D35" sqref="D35"/>
    </sheetView>
  </sheetViews>
  <sheetFormatPr baseColWidth="10" defaultRowHeight="12"/>
  <cols>
    <col min="1" max="1" width="27.42578125" style="141" customWidth="1"/>
    <col min="2" max="16384" width="11.42578125" style="141"/>
  </cols>
  <sheetData>
    <row r="1" spans="1:10">
      <c r="A1" s="1676"/>
    </row>
    <row r="2" spans="1:10" s="129" customFormat="1" ht="25.5" customHeight="1">
      <c r="A2" s="2180" t="s">
        <v>1087</v>
      </c>
      <c r="B2" s="2180"/>
      <c r="C2" s="2180"/>
      <c r="D2" s="2180"/>
      <c r="E2" s="2180"/>
      <c r="F2" s="2180"/>
      <c r="G2" s="2180"/>
      <c r="H2" s="2180"/>
      <c r="I2" s="2180"/>
      <c r="J2" s="2180"/>
    </row>
    <row r="3" spans="1:10" s="129" customFormat="1" ht="11.25">
      <c r="A3" s="104"/>
      <c r="B3" s="104"/>
      <c r="C3" s="104"/>
      <c r="D3" s="104"/>
    </row>
    <row r="4" spans="1:10" s="129" customFormat="1" ht="17.25" customHeight="1">
      <c r="A4" s="2177" t="s">
        <v>0</v>
      </c>
      <c r="B4" s="2178">
        <v>2012</v>
      </c>
      <c r="C4" s="2178"/>
      <c r="D4" s="2178"/>
      <c r="E4" s="2178">
        <v>2013</v>
      </c>
      <c r="F4" s="2178"/>
      <c r="G4" s="2178"/>
      <c r="H4" s="2178">
        <v>2014</v>
      </c>
      <c r="I4" s="2178"/>
      <c r="J4" s="2178"/>
    </row>
    <row r="5" spans="1:10" s="129" customFormat="1" ht="18.75" customHeight="1">
      <c r="A5" s="2177"/>
      <c r="B5" s="1668" t="s">
        <v>26</v>
      </c>
      <c r="C5" s="1668" t="s">
        <v>163</v>
      </c>
      <c r="D5" s="1668" t="s">
        <v>164</v>
      </c>
      <c r="E5" s="1668" t="s">
        <v>26</v>
      </c>
      <c r="F5" s="1668" t="s">
        <v>163</v>
      </c>
      <c r="G5" s="1668" t="s">
        <v>164</v>
      </c>
      <c r="H5" s="1668" t="s">
        <v>26</v>
      </c>
      <c r="I5" s="1668" t="s">
        <v>163</v>
      </c>
      <c r="J5" s="1668" t="s">
        <v>164</v>
      </c>
    </row>
    <row r="6" spans="1:10" s="129" customFormat="1" ht="11.25">
      <c r="A6" s="276" t="s">
        <v>6</v>
      </c>
      <c r="B6" s="745">
        <f t="shared" ref="B6:G6" si="0">SUM(B7:B22)</f>
        <v>1345</v>
      </c>
      <c r="C6" s="745">
        <f t="shared" si="0"/>
        <v>620</v>
      </c>
      <c r="D6" s="745">
        <f t="shared" si="0"/>
        <v>725</v>
      </c>
      <c r="E6" s="745">
        <f>SUM(E7:E22)</f>
        <v>1382</v>
      </c>
      <c r="F6" s="745">
        <f t="shared" si="0"/>
        <v>637</v>
      </c>
      <c r="G6" s="745">
        <f t="shared" si="0"/>
        <v>745</v>
      </c>
      <c r="H6" s="745">
        <f>SUM(H7:H22)</f>
        <v>1070</v>
      </c>
      <c r="I6" s="745">
        <f>SUM(I7:I22)</f>
        <v>477</v>
      </c>
      <c r="J6" s="745">
        <f>SUM(J7:J22)</f>
        <v>593</v>
      </c>
    </row>
    <row r="7" spans="1:10" s="129" customFormat="1" ht="11.25">
      <c r="A7" s="2688" t="s">
        <v>7</v>
      </c>
      <c r="B7" s="1673">
        <f>SUM(C7:D7)</f>
        <v>0</v>
      </c>
      <c r="C7" s="1670">
        <v>0</v>
      </c>
      <c r="D7" s="1670">
        <v>0</v>
      </c>
      <c r="E7" s="745">
        <f>SUM(F7:G7)</f>
        <v>0</v>
      </c>
      <c r="F7" s="747">
        <v>0</v>
      </c>
      <c r="G7" s="747">
        <v>0</v>
      </c>
      <c r="H7" s="745">
        <f>SUM(I7:J7)</f>
        <v>0</v>
      </c>
      <c r="I7" s="747"/>
      <c r="J7" s="747"/>
    </row>
    <row r="8" spans="1:10" s="129" customFormat="1" ht="11.25">
      <c r="A8" s="2688" t="s">
        <v>8</v>
      </c>
      <c r="B8" s="1673">
        <f t="shared" ref="B8:B22" si="1">SUM(C8:D8)</f>
        <v>0</v>
      </c>
      <c r="C8" s="1670">
        <v>0</v>
      </c>
      <c r="D8" s="1670">
        <v>0</v>
      </c>
      <c r="E8" s="745">
        <f t="shared" ref="E8:E22" si="2">SUM(F8:G8)</f>
        <v>0</v>
      </c>
      <c r="F8" s="747">
        <v>0</v>
      </c>
      <c r="G8" s="747">
        <v>0</v>
      </c>
      <c r="H8" s="745">
        <f t="shared" ref="H8:H22" si="3">SUM(I8:J8)</f>
        <v>8</v>
      </c>
      <c r="I8" s="747">
        <v>6</v>
      </c>
      <c r="J8" s="747">
        <v>2</v>
      </c>
    </row>
    <row r="9" spans="1:10" s="129" customFormat="1" ht="11.25">
      <c r="A9" s="2688" t="s">
        <v>9</v>
      </c>
      <c r="B9" s="1673">
        <f t="shared" si="1"/>
        <v>0</v>
      </c>
      <c r="C9" s="1670">
        <v>0</v>
      </c>
      <c r="D9" s="1670">
        <v>0</v>
      </c>
      <c r="E9" s="745">
        <f t="shared" si="2"/>
        <v>0</v>
      </c>
      <c r="F9" s="747">
        <v>0</v>
      </c>
      <c r="G9" s="747">
        <v>0</v>
      </c>
      <c r="H9" s="745">
        <f t="shared" si="3"/>
        <v>6</v>
      </c>
      <c r="I9" s="747">
        <v>3</v>
      </c>
      <c r="J9" s="747">
        <v>3</v>
      </c>
    </row>
    <row r="10" spans="1:10" s="129" customFormat="1" ht="11.25">
      <c r="A10" s="2688" t="s">
        <v>10</v>
      </c>
      <c r="B10" s="1673">
        <f t="shared" si="1"/>
        <v>0</v>
      </c>
      <c r="C10" s="1670">
        <v>0</v>
      </c>
      <c r="D10" s="1670">
        <v>0</v>
      </c>
      <c r="E10" s="745">
        <f t="shared" si="2"/>
        <v>0</v>
      </c>
      <c r="F10" s="747">
        <v>0</v>
      </c>
      <c r="G10" s="747">
        <v>0</v>
      </c>
      <c r="H10" s="745">
        <f t="shared" si="3"/>
        <v>0</v>
      </c>
      <c r="I10" s="747"/>
      <c r="J10" s="747"/>
    </row>
    <row r="11" spans="1:10" s="129" customFormat="1" ht="11.25">
      <c r="A11" s="2688" t="s">
        <v>11</v>
      </c>
      <c r="B11" s="1673">
        <f t="shared" si="1"/>
        <v>0</v>
      </c>
      <c r="C11" s="1670">
        <v>0</v>
      </c>
      <c r="D11" s="1670">
        <v>0</v>
      </c>
      <c r="E11" s="745">
        <f t="shared" si="2"/>
        <v>0</v>
      </c>
      <c r="F11" s="747">
        <v>0</v>
      </c>
      <c r="G11" s="747">
        <v>0</v>
      </c>
      <c r="H11" s="745">
        <f t="shared" si="3"/>
        <v>0</v>
      </c>
      <c r="I11" s="747"/>
      <c r="J11" s="747"/>
    </row>
    <row r="12" spans="1:10" s="129" customFormat="1" ht="11.25">
      <c r="A12" s="2688" t="s">
        <v>12</v>
      </c>
      <c r="B12" s="1673">
        <f t="shared" si="1"/>
        <v>12</v>
      </c>
      <c r="C12" s="1670">
        <v>9</v>
      </c>
      <c r="D12" s="1670">
        <v>3</v>
      </c>
      <c r="E12" s="745">
        <f t="shared" si="2"/>
        <v>12</v>
      </c>
      <c r="F12" s="747">
        <v>9</v>
      </c>
      <c r="G12" s="747">
        <v>3</v>
      </c>
      <c r="H12" s="745">
        <f t="shared" si="3"/>
        <v>15</v>
      </c>
      <c r="I12" s="747">
        <v>10</v>
      </c>
      <c r="J12" s="747">
        <v>5</v>
      </c>
    </row>
    <row r="13" spans="1:10" s="129" customFormat="1" ht="11.25">
      <c r="A13" s="2688" t="s">
        <v>13</v>
      </c>
      <c r="B13" s="1673">
        <f t="shared" si="1"/>
        <v>886</v>
      </c>
      <c r="C13" s="1670">
        <v>382</v>
      </c>
      <c r="D13" s="1670">
        <v>504</v>
      </c>
      <c r="E13" s="745">
        <f t="shared" si="2"/>
        <v>922</v>
      </c>
      <c r="F13" s="747">
        <f>C13+16</f>
        <v>398</v>
      </c>
      <c r="G13" s="747">
        <f>D13+20</f>
        <v>524</v>
      </c>
      <c r="H13" s="745">
        <f t="shared" si="3"/>
        <v>989</v>
      </c>
      <c r="I13" s="747">
        <v>436</v>
      </c>
      <c r="J13" s="747">
        <v>553</v>
      </c>
    </row>
    <row r="14" spans="1:10" s="129" customFormat="1" ht="11.25">
      <c r="A14" s="2688" t="s">
        <v>14</v>
      </c>
      <c r="B14" s="1673">
        <f t="shared" si="1"/>
        <v>6</v>
      </c>
      <c r="C14" s="1670">
        <v>4</v>
      </c>
      <c r="D14" s="1670">
        <v>2</v>
      </c>
      <c r="E14" s="745">
        <f t="shared" si="2"/>
        <v>7</v>
      </c>
      <c r="F14" s="747">
        <v>5</v>
      </c>
      <c r="G14" s="747">
        <v>2</v>
      </c>
      <c r="H14" s="745">
        <f t="shared" si="3"/>
        <v>7</v>
      </c>
      <c r="I14" s="747">
        <v>5</v>
      </c>
      <c r="J14" s="747">
        <v>2</v>
      </c>
    </row>
    <row r="15" spans="1:10" s="129" customFormat="1" ht="11.25">
      <c r="A15" s="2688" t="s">
        <v>15</v>
      </c>
      <c r="B15" s="1673">
        <f t="shared" si="1"/>
        <v>0</v>
      </c>
      <c r="C15" s="1670">
        <v>0</v>
      </c>
      <c r="D15" s="1670">
        <v>0</v>
      </c>
      <c r="E15" s="745">
        <f t="shared" si="2"/>
        <v>0</v>
      </c>
      <c r="F15" s="747">
        <v>0</v>
      </c>
      <c r="G15" s="747">
        <v>0</v>
      </c>
      <c r="H15" s="745">
        <f t="shared" si="3"/>
        <v>11</v>
      </c>
      <c r="I15" s="747">
        <v>0</v>
      </c>
      <c r="J15" s="747">
        <v>11</v>
      </c>
    </row>
    <row r="16" spans="1:10" s="129" customFormat="1" ht="11.25">
      <c r="A16" s="2688" t="s">
        <v>16</v>
      </c>
      <c r="B16" s="1673">
        <f t="shared" si="1"/>
        <v>0</v>
      </c>
      <c r="C16" s="1670">
        <v>0</v>
      </c>
      <c r="D16" s="1670">
        <v>0</v>
      </c>
      <c r="E16" s="745">
        <f t="shared" si="2"/>
        <v>0</v>
      </c>
      <c r="F16" s="747">
        <v>0</v>
      </c>
      <c r="G16" s="747">
        <v>0</v>
      </c>
      <c r="H16" s="745">
        <f t="shared" si="3"/>
        <v>18</v>
      </c>
      <c r="I16" s="747">
        <v>7</v>
      </c>
      <c r="J16" s="747">
        <v>11</v>
      </c>
    </row>
    <row r="17" spans="1:16" s="129" customFormat="1" ht="11.25">
      <c r="A17" s="2688" t="s">
        <v>17</v>
      </c>
      <c r="B17" s="1673">
        <f t="shared" si="1"/>
        <v>0</v>
      </c>
      <c r="C17" s="1670">
        <v>0</v>
      </c>
      <c r="D17" s="1670">
        <v>0</v>
      </c>
      <c r="E17" s="745">
        <f t="shared" si="2"/>
        <v>0</v>
      </c>
      <c r="F17" s="747">
        <v>0</v>
      </c>
      <c r="G17" s="747">
        <v>0</v>
      </c>
      <c r="H17" s="745">
        <f t="shared" si="3"/>
        <v>10</v>
      </c>
      <c r="I17" s="747">
        <v>9</v>
      </c>
      <c r="J17" s="747">
        <v>1</v>
      </c>
    </row>
    <row r="18" spans="1:16" s="129" customFormat="1" ht="11.25">
      <c r="A18" s="2688" t="s">
        <v>18</v>
      </c>
      <c r="B18" s="1673">
        <f t="shared" si="1"/>
        <v>0</v>
      </c>
      <c r="C18" s="1670">
        <v>0</v>
      </c>
      <c r="D18" s="1670">
        <v>0</v>
      </c>
      <c r="E18" s="745">
        <f t="shared" si="2"/>
        <v>0</v>
      </c>
      <c r="F18" s="747">
        <v>0</v>
      </c>
      <c r="G18" s="747">
        <v>0</v>
      </c>
      <c r="H18" s="745">
        <f t="shared" si="3"/>
        <v>0</v>
      </c>
      <c r="I18" s="747"/>
      <c r="J18" s="747"/>
    </row>
    <row r="19" spans="1:16" s="129" customFormat="1" ht="11.25">
      <c r="A19" s="2688" t="s">
        <v>19</v>
      </c>
      <c r="B19" s="1673">
        <f t="shared" si="1"/>
        <v>1</v>
      </c>
      <c r="C19" s="1670">
        <v>0</v>
      </c>
      <c r="D19" s="1670">
        <v>1</v>
      </c>
      <c r="E19" s="745">
        <f t="shared" si="2"/>
        <v>1</v>
      </c>
      <c r="F19" s="747">
        <v>0</v>
      </c>
      <c r="G19" s="747">
        <v>1</v>
      </c>
      <c r="H19" s="745">
        <f t="shared" si="3"/>
        <v>6</v>
      </c>
      <c r="I19" s="747">
        <v>1</v>
      </c>
      <c r="J19" s="747">
        <v>5</v>
      </c>
    </row>
    <row r="20" spans="1:16" s="129" customFormat="1" ht="11.25">
      <c r="A20" s="2688" t="s">
        <v>20</v>
      </c>
      <c r="B20" s="1673">
        <f t="shared" si="1"/>
        <v>0</v>
      </c>
      <c r="C20" s="1670">
        <v>0</v>
      </c>
      <c r="D20" s="1670">
        <v>0</v>
      </c>
      <c r="E20" s="745">
        <f t="shared" si="2"/>
        <v>0</v>
      </c>
      <c r="F20" s="747">
        <v>0</v>
      </c>
      <c r="G20" s="747">
        <v>0</v>
      </c>
      <c r="H20" s="745">
        <f t="shared" si="3"/>
        <v>0</v>
      </c>
      <c r="I20" s="747">
        <v>0</v>
      </c>
      <c r="J20" s="747">
        <v>0</v>
      </c>
    </row>
    <row r="21" spans="1:16" s="129" customFormat="1" ht="11.25">
      <c r="A21" s="2688" t="s">
        <v>21</v>
      </c>
      <c r="B21" s="1673">
        <f t="shared" si="1"/>
        <v>0</v>
      </c>
      <c r="C21" s="1670">
        <v>0</v>
      </c>
      <c r="D21" s="1670">
        <v>0</v>
      </c>
      <c r="E21" s="745">
        <f t="shared" si="2"/>
        <v>0</v>
      </c>
      <c r="F21" s="747">
        <v>0</v>
      </c>
      <c r="G21" s="747">
        <v>0</v>
      </c>
      <c r="H21" s="745">
        <f t="shared" si="3"/>
        <v>0</v>
      </c>
      <c r="I21" s="747">
        <v>0</v>
      </c>
      <c r="J21" s="747">
        <v>0</v>
      </c>
    </row>
    <row r="22" spans="1:16" s="129" customFormat="1" ht="12.75">
      <c r="A22" s="104" t="s">
        <v>3770</v>
      </c>
      <c r="B22" s="1673">
        <f t="shared" si="1"/>
        <v>440</v>
      </c>
      <c r="C22" s="1670">
        <v>225</v>
      </c>
      <c r="D22" s="1670">
        <v>215</v>
      </c>
      <c r="E22" s="745">
        <f t="shared" si="2"/>
        <v>440</v>
      </c>
      <c r="F22" s="747">
        <v>225</v>
      </c>
      <c r="G22" s="747">
        <v>215</v>
      </c>
      <c r="H22" s="745">
        <f t="shared" si="3"/>
        <v>0</v>
      </c>
      <c r="I22" s="747">
        <v>0</v>
      </c>
      <c r="J22" s="747">
        <v>0</v>
      </c>
    </row>
    <row r="23" spans="1:16" s="129" customFormat="1" ht="6.75" customHeight="1">
      <c r="A23" s="104"/>
      <c r="B23" s="104"/>
      <c r="C23" s="104"/>
      <c r="D23" s="104"/>
      <c r="E23" s="777"/>
    </row>
    <row r="24" spans="1:16" s="129" customFormat="1" ht="11.25">
      <c r="A24" s="2179" t="s">
        <v>3771</v>
      </c>
      <c r="B24" s="2179"/>
      <c r="C24" s="2179"/>
      <c r="D24" s="2179"/>
      <c r="E24" s="2179"/>
      <c r="F24" s="2179"/>
      <c r="G24" s="2179"/>
      <c r="H24" s="2179"/>
      <c r="I24" s="2179"/>
      <c r="J24" s="2179"/>
      <c r="K24" s="2179"/>
      <c r="L24" s="2179"/>
      <c r="M24" s="2179"/>
      <c r="N24" s="2179"/>
      <c r="O24" s="2179"/>
      <c r="P24" s="2179"/>
    </row>
    <row r="25" spans="1:16" s="129" customFormat="1" ht="11.25">
      <c r="A25" s="1061" t="s">
        <v>734</v>
      </c>
      <c r="B25" s="1675"/>
      <c r="C25" s="1675"/>
      <c r="D25" s="1675"/>
    </row>
    <row r="26" spans="1:16" s="129" customFormat="1" ht="11.25">
      <c r="A26" s="104" t="s">
        <v>1088</v>
      </c>
      <c r="B26" s="104"/>
      <c r="C26" s="104"/>
      <c r="D26" s="104"/>
      <c r="E26" s="777"/>
    </row>
    <row r="27" spans="1:16" s="130" customFormat="1" ht="11.25">
      <c r="B27" s="759"/>
      <c r="C27" s="759"/>
      <c r="D27" s="759"/>
      <c r="E27" s="759"/>
    </row>
  </sheetData>
  <mergeCells count="6">
    <mergeCell ref="A24:P24"/>
    <mergeCell ref="A2:J2"/>
    <mergeCell ref="A4:A5"/>
    <mergeCell ref="B4:D4"/>
    <mergeCell ref="E4:G4"/>
    <mergeCell ref="H4:J4"/>
  </mergeCells>
  <pageMargins left="0.7" right="0.7" top="0.75" bottom="0.75" header="0.3" footer="0.3"/>
  <pageSetup paperSize="14" scale="96" orientation="portrait" r:id="rId1"/>
</worksheet>
</file>

<file path=xl/worksheets/sheet84.xml><?xml version="1.0" encoding="utf-8"?>
<worksheet xmlns="http://schemas.openxmlformats.org/spreadsheetml/2006/main" xmlns:r="http://schemas.openxmlformats.org/officeDocument/2006/relationships">
  <dimension ref="A1:P29"/>
  <sheetViews>
    <sheetView zoomScaleNormal="100" workbookViewId="0">
      <selection activeCell="B37" sqref="B37"/>
    </sheetView>
  </sheetViews>
  <sheetFormatPr baseColWidth="10" defaultRowHeight="12"/>
  <cols>
    <col min="1" max="1" width="24.85546875" style="141" customWidth="1"/>
    <col min="2" max="16384" width="11.42578125" style="141"/>
  </cols>
  <sheetData>
    <row r="1" spans="1:16">
      <c r="A1" s="1676"/>
    </row>
    <row r="2" spans="1:16" s="130" customFormat="1" ht="25.5" customHeight="1">
      <c r="A2" s="2180" t="s">
        <v>1089</v>
      </c>
      <c r="B2" s="2180"/>
      <c r="C2" s="2180"/>
      <c r="D2" s="2180"/>
      <c r="E2" s="2180"/>
      <c r="F2" s="2180"/>
      <c r="G2" s="2180"/>
      <c r="H2" s="2180"/>
      <c r="I2" s="2180"/>
      <c r="J2" s="2180"/>
    </row>
    <row r="3" spans="1:16" s="130" customFormat="1" ht="11.25">
      <c r="A3" s="104"/>
      <c r="B3" s="104"/>
      <c r="C3" s="104"/>
      <c r="D3" s="104"/>
      <c r="E3" s="759"/>
    </row>
    <row r="4" spans="1:16" s="129" customFormat="1" ht="15" customHeight="1">
      <c r="A4" s="2177" t="s">
        <v>0</v>
      </c>
      <c r="B4" s="2183">
        <v>2012</v>
      </c>
      <c r="C4" s="2183"/>
      <c r="D4" s="2183"/>
      <c r="E4" s="2184" t="s">
        <v>3564</v>
      </c>
      <c r="F4" s="2184"/>
      <c r="G4" s="2184"/>
      <c r="H4" s="2184" t="s">
        <v>3752</v>
      </c>
      <c r="I4" s="2184"/>
      <c r="J4" s="2184"/>
      <c r="K4" s="1677"/>
      <c r="L4" s="1677"/>
      <c r="M4" s="1677"/>
      <c r="N4" s="1677"/>
      <c r="O4" s="1677"/>
      <c r="P4" s="1677"/>
    </row>
    <row r="5" spans="1:16" s="129" customFormat="1" ht="16.5" customHeight="1">
      <c r="A5" s="2182"/>
      <c r="B5" s="1668" t="s">
        <v>26</v>
      </c>
      <c r="C5" s="1668" t="s">
        <v>163</v>
      </c>
      <c r="D5" s="1668" t="s">
        <v>164</v>
      </c>
      <c r="E5" s="1668" t="s">
        <v>26</v>
      </c>
      <c r="F5" s="1668" t="s">
        <v>163</v>
      </c>
      <c r="G5" s="1668" t="s">
        <v>164</v>
      </c>
      <c r="H5" s="1668" t="s">
        <v>26</v>
      </c>
      <c r="I5" s="1668" t="s">
        <v>163</v>
      </c>
      <c r="J5" s="1668" t="s">
        <v>164</v>
      </c>
      <c r="K5" s="1703"/>
      <c r="L5" s="1703"/>
      <c r="M5" s="1703"/>
      <c r="N5" s="1703"/>
      <c r="O5" s="1703"/>
      <c r="P5" s="1703"/>
    </row>
    <row r="6" spans="1:16" s="130" customFormat="1" ht="11.25">
      <c r="A6" s="276" t="s">
        <v>6</v>
      </c>
      <c r="B6" s="1673">
        <f>SUM(B7:B22)</f>
        <v>887</v>
      </c>
      <c r="C6" s="1673">
        <f>SUM(C7:C22)</f>
        <v>404</v>
      </c>
      <c r="D6" s="1673">
        <f>SUM(D7:D22)</f>
        <v>483</v>
      </c>
      <c r="E6" s="766" t="s">
        <v>55</v>
      </c>
      <c r="F6" s="766" t="s">
        <v>55</v>
      </c>
      <c r="G6" s="766" t="s">
        <v>55</v>
      </c>
      <c r="H6" s="1673">
        <f>SUM(H7:H22)</f>
        <v>0</v>
      </c>
      <c r="I6" s="1673">
        <f>SUM(I7:I22)</f>
        <v>0</v>
      </c>
      <c r="J6" s="1673">
        <f>SUM(J7:J22)</f>
        <v>0</v>
      </c>
      <c r="K6" s="1673"/>
      <c r="L6" s="1673"/>
      <c r="M6" s="1673"/>
    </row>
    <row r="7" spans="1:16" s="130" customFormat="1" ht="11.25">
      <c r="A7" s="2689" t="s">
        <v>7</v>
      </c>
      <c r="B7" s="1673">
        <f>SUM(C7:D7)</f>
        <v>0</v>
      </c>
      <c r="C7" s="1670">
        <v>0</v>
      </c>
      <c r="D7" s="1670">
        <v>0</v>
      </c>
      <c r="E7" s="775" t="s">
        <v>55</v>
      </c>
      <c r="F7" s="775" t="s">
        <v>55</v>
      </c>
      <c r="G7" s="775" t="s">
        <v>55</v>
      </c>
      <c r="H7" s="1673">
        <f t="shared" ref="H7:H13" si="0">SUM(I7:J7)</f>
        <v>0</v>
      </c>
      <c r="I7" s="775" t="s">
        <v>55</v>
      </c>
      <c r="J7" s="775" t="s">
        <v>55</v>
      </c>
      <c r="K7" s="1673"/>
      <c r="L7" s="1670"/>
      <c r="M7" s="1670"/>
    </row>
    <row r="8" spans="1:16" s="130" customFormat="1" ht="11.25">
      <c r="A8" s="2689" t="s">
        <v>8</v>
      </c>
      <c r="B8" s="1673">
        <f t="shared" ref="B8:B22" si="1">SUM(C8:D8)</f>
        <v>0</v>
      </c>
      <c r="C8" s="1670">
        <v>0</v>
      </c>
      <c r="D8" s="1670">
        <v>0</v>
      </c>
      <c r="E8" s="775" t="s">
        <v>55</v>
      </c>
      <c r="F8" s="775" t="s">
        <v>55</v>
      </c>
      <c r="G8" s="775" t="s">
        <v>55</v>
      </c>
      <c r="H8" s="1673">
        <f t="shared" si="0"/>
        <v>0</v>
      </c>
      <c r="I8" s="775" t="s">
        <v>55</v>
      </c>
      <c r="J8" s="775" t="s">
        <v>55</v>
      </c>
      <c r="K8" s="1673"/>
      <c r="L8" s="1670"/>
      <c r="M8" s="1670"/>
    </row>
    <row r="9" spans="1:16" s="130" customFormat="1" ht="11.25">
      <c r="A9" s="2689" t="s">
        <v>9</v>
      </c>
      <c r="B9" s="1673">
        <f t="shared" si="1"/>
        <v>0</v>
      </c>
      <c r="C9" s="1670">
        <v>0</v>
      </c>
      <c r="D9" s="1670">
        <v>0</v>
      </c>
      <c r="E9" s="775" t="s">
        <v>55</v>
      </c>
      <c r="F9" s="775" t="s">
        <v>55</v>
      </c>
      <c r="G9" s="775" t="s">
        <v>55</v>
      </c>
      <c r="H9" s="1673">
        <f t="shared" si="0"/>
        <v>0</v>
      </c>
      <c r="I9" s="775" t="s">
        <v>55</v>
      </c>
      <c r="J9" s="775" t="s">
        <v>55</v>
      </c>
      <c r="K9" s="1673"/>
      <c r="L9" s="1670"/>
      <c r="M9" s="1670"/>
    </row>
    <row r="10" spans="1:16" s="130" customFormat="1" ht="11.25">
      <c r="A10" s="2689" t="s">
        <v>10</v>
      </c>
      <c r="B10" s="1673">
        <f t="shared" si="1"/>
        <v>0</v>
      </c>
      <c r="C10" s="1670">
        <v>0</v>
      </c>
      <c r="D10" s="1670">
        <v>0</v>
      </c>
      <c r="E10" s="775" t="s">
        <v>55</v>
      </c>
      <c r="F10" s="775" t="s">
        <v>55</v>
      </c>
      <c r="G10" s="775" t="s">
        <v>55</v>
      </c>
      <c r="H10" s="1673">
        <f t="shared" si="0"/>
        <v>0</v>
      </c>
      <c r="I10" s="775" t="s">
        <v>55</v>
      </c>
      <c r="J10" s="775" t="s">
        <v>55</v>
      </c>
      <c r="K10" s="1673"/>
      <c r="L10" s="1670"/>
      <c r="M10" s="1670"/>
    </row>
    <row r="11" spans="1:16" s="130" customFormat="1" ht="11.25">
      <c r="A11" s="2689" t="s">
        <v>11</v>
      </c>
      <c r="B11" s="1673">
        <f t="shared" si="1"/>
        <v>0</v>
      </c>
      <c r="C11" s="1670">
        <v>0</v>
      </c>
      <c r="D11" s="1670">
        <v>0</v>
      </c>
      <c r="E11" s="775" t="s">
        <v>55</v>
      </c>
      <c r="F11" s="775" t="s">
        <v>55</v>
      </c>
      <c r="G11" s="775" t="s">
        <v>55</v>
      </c>
      <c r="H11" s="1673">
        <f t="shared" si="0"/>
        <v>0</v>
      </c>
      <c r="I11" s="775" t="s">
        <v>55</v>
      </c>
      <c r="J11" s="775" t="s">
        <v>55</v>
      </c>
      <c r="K11" s="1673"/>
      <c r="L11" s="1670"/>
      <c r="M11" s="1670"/>
    </row>
    <row r="12" spans="1:16" s="130" customFormat="1" ht="11.25">
      <c r="A12" s="2689" t="s">
        <v>12</v>
      </c>
      <c r="B12" s="1673">
        <f t="shared" si="1"/>
        <v>8</v>
      </c>
      <c r="C12" s="1670">
        <v>5</v>
      </c>
      <c r="D12" s="1670">
        <v>3</v>
      </c>
      <c r="E12" s="775" t="s">
        <v>55</v>
      </c>
      <c r="F12" s="775" t="s">
        <v>55</v>
      </c>
      <c r="G12" s="775" t="s">
        <v>55</v>
      </c>
      <c r="H12" s="1673">
        <f t="shared" si="0"/>
        <v>0</v>
      </c>
      <c r="I12" s="775" t="s">
        <v>55</v>
      </c>
      <c r="J12" s="775" t="s">
        <v>55</v>
      </c>
      <c r="K12" s="1673"/>
      <c r="L12" s="1670"/>
      <c r="M12" s="1670"/>
    </row>
    <row r="13" spans="1:16" s="130" customFormat="1" ht="11.25">
      <c r="A13" s="2689" t="s">
        <v>13</v>
      </c>
      <c r="B13" s="1673">
        <f>SUM(C13:D13)</f>
        <v>434</v>
      </c>
      <c r="C13" s="1670">
        <v>171</v>
      </c>
      <c r="D13" s="1670">
        <v>263</v>
      </c>
      <c r="E13" s="775" t="s">
        <v>55</v>
      </c>
      <c r="F13" s="775" t="s">
        <v>55</v>
      </c>
      <c r="G13" s="775" t="s">
        <v>55</v>
      </c>
      <c r="H13" s="1673">
        <f t="shared" si="0"/>
        <v>0</v>
      </c>
      <c r="I13" s="775" t="s">
        <v>55</v>
      </c>
      <c r="J13" s="775" t="s">
        <v>55</v>
      </c>
      <c r="K13" s="1673"/>
      <c r="L13" s="1670"/>
      <c r="M13" s="1670"/>
    </row>
    <row r="14" spans="1:16" s="130" customFormat="1" ht="11.25">
      <c r="A14" s="2689" t="s">
        <v>14</v>
      </c>
      <c r="B14" s="1673">
        <f t="shared" si="1"/>
        <v>4</v>
      </c>
      <c r="C14" s="1670">
        <v>3</v>
      </c>
      <c r="D14" s="1670">
        <v>1</v>
      </c>
      <c r="E14" s="775" t="s">
        <v>55</v>
      </c>
      <c r="F14" s="775" t="s">
        <v>55</v>
      </c>
      <c r="G14" s="775" t="s">
        <v>55</v>
      </c>
      <c r="H14" s="1673">
        <f t="shared" ref="H14:H22" si="2">SUM(I14:J14)</f>
        <v>0</v>
      </c>
      <c r="I14" s="775" t="s">
        <v>55</v>
      </c>
      <c r="J14" s="775" t="s">
        <v>55</v>
      </c>
      <c r="K14" s="1673"/>
      <c r="L14" s="1670"/>
      <c r="M14" s="1670"/>
    </row>
    <row r="15" spans="1:16" s="130" customFormat="1" ht="11.25">
      <c r="A15" s="2689" t="s">
        <v>15</v>
      </c>
      <c r="B15" s="1673">
        <f t="shared" si="1"/>
        <v>0</v>
      </c>
      <c r="C15" s="1670">
        <v>0</v>
      </c>
      <c r="D15" s="1670">
        <v>0</v>
      </c>
      <c r="E15" s="775" t="s">
        <v>55</v>
      </c>
      <c r="F15" s="775" t="s">
        <v>55</v>
      </c>
      <c r="G15" s="775" t="s">
        <v>55</v>
      </c>
      <c r="H15" s="1673">
        <f t="shared" si="2"/>
        <v>0</v>
      </c>
      <c r="I15" s="775" t="s">
        <v>55</v>
      </c>
      <c r="J15" s="775" t="s">
        <v>55</v>
      </c>
      <c r="K15" s="1673"/>
      <c r="L15" s="1670"/>
      <c r="M15" s="1670"/>
    </row>
    <row r="16" spans="1:16" s="130" customFormat="1" ht="11.25">
      <c r="A16" s="2689" t="s">
        <v>16</v>
      </c>
      <c r="B16" s="1673">
        <f t="shared" si="1"/>
        <v>0</v>
      </c>
      <c r="C16" s="1670">
        <v>0</v>
      </c>
      <c r="D16" s="1670">
        <v>0</v>
      </c>
      <c r="E16" s="775" t="s">
        <v>55</v>
      </c>
      <c r="F16" s="775" t="s">
        <v>55</v>
      </c>
      <c r="G16" s="775" t="s">
        <v>55</v>
      </c>
      <c r="H16" s="1673">
        <f t="shared" si="2"/>
        <v>0</v>
      </c>
      <c r="I16" s="775" t="s">
        <v>55</v>
      </c>
      <c r="J16" s="775" t="s">
        <v>55</v>
      </c>
      <c r="K16" s="1673"/>
      <c r="L16" s="1670"/>
      <c r="M16" s="1670"/>
    </row>
    <row r="17" spans="1:16" s="130" customFormat="1" ht="11.25">
      <c r="A17" s="2689" t="s">
        <v>17</v>
      </c>
      <c r="B17" s="1673">
        <f t="shared" si="1"/>
        <v>0</v>
      </c>
      <c r="C17" s="1670">
        <v>0</v>
      </c>
      <c r="D17" s="1670">
        <v>0</v>
      </c>
      <c r="E17" s="775" t="s">
        <v>55</v>
      </c>
      <c r="F17" s="775" t="s">
        <v>55</v>
      </c>
      <c r="G17" s="775" t="s">
        <v>55</v>
      </c>
      <c r="H17" s="1673">
        <f t="shared" si="2"/>
        <v>0</v>
      </c>
      <c r="I17" s="775" t="s">
        <v>55</v>
      </c>
      <c r="J17" s="775" t="s">
        <v>55</v>
      </c>
      <c r="K17" s="1673"/>
      <c r="L17" s="1670"/>
      <c r="M17" s="1670"/>
    </row>
    <row r="18" spans="1:16" s="130" customFormat="1" ht="11.25">
      <c r="A18" s="2689" t="s">
        <v>18</v>
      </c>
      <c r="B18" s="1673">
        <f t="shared" si="1"/>
        <v>0</v>
      </c>
      <c r="C18" s="1670">
        <v>0</v>
      </c>
      <c r="D18" s="1670">
        <v>0</v>
      </c>
      <c r="E18" s="775" t="s">
        <v>55</v>
      </c>
      <c r="F18" s="775" t="s">
        <v>55</v>
      </c>
      <c r="G18" s="775" t="s">
        <v>55</v>
      </c>
      <c r="H18" s="1673">
        <f t="shared" si="2"/>
        <v>0</v>
      </c>
      <c r="I18" s="775" t="s">
        <v>55</v>
      </c>
      <c r="J18" s="775" t="s">
        <v>55</v>
      </c>
      <c r="K18" s="1673"/>
      <c r="L18" s="1670"/>
      <c r="M18" s="1670"/>
    </row>
    <row r="19" spans="1:16" s="130" customFormat="1" ht="11.25">
      <c r="A19" s="2689" t="s">
        <v>19</v>
      </c>
      <c r="B19" s="1673">
        <f t="shared" si="1"/>
        <v>1</v>
      </c>
      <c r="C19" s="1670">
        <v>0</v>
      </c>
      <c r="D19" s="1670">
        <v>1</v>
      </c>
      <c r="E19" s="775" t="s">
        <v>55</v>
      </c>
      <c r="F19" s="775" t="s">
        <v>55</v>
      </c>
      <c r="G19" s="775" t="s">
        <v>55</v>
      </c>
      <c r="H19" s="1673">
        <f t="shared" si="2"/>
        <v>0</v>
      </c>
      <c r="I19" s="775" t="s">
        <v>55</v>
      </c>
      <c r="J19" s="775" t="s">
        <v>55</v>
      </c>
      <c r="K19" s="1673"/>
      <c r="L19" s="1670"/>
      <c r="M19" s="1670"/>
    </row>
    <row r="20" spans="1:16" s="130" customFormat="1" ht="11.25">
      <c r="A20" s="2689" t="s">
        <v>20</v>
      </c>
      <c r="B20" s="1673">
        <f t="shared" si="1"/>
        <v>0</v>
      </c>
      <c r="C20" s="1670">
        <v>0</v>
      </c>
      <c r="D20" s="1670">
        <v>0</v>
      </c>
      <c r="E20" s="775" t="s">
        <v>55</v>
      </c>
      <c r="F20" s="775" t="s">
        <v>55</v>
      </c>
      <c r="G20" s="775" t="s">
        <v>55</v>
      </c>
      <c r="H20" s="1673">
        <f t="shared" si="2"/>
        <v>0</v>
      </c>
      <c r="I20" s="775" t="s">
        <v>55</v>
      </c>
      <c r="J20" s="775" t="s">
        <v>55</v>
      </c>
      <c r="K20" s="1673"/>
      <c r="L20" s="1670"/>
      <c r="M20" s="1670"/>
    </row>
    <row r="21" spans="1:16" s="130" customFormat="1" ht="11.25">
      <c r="A21" s="2689" t="s">
        <v>21</v>
      </c>
      <c r="B21" s="1673">
        <f t="shared" si="1"/>
        <v>0</v>
      </c>
      <c r="C21" s="1670">
        <v>0</v>
      </c>
      <c r="D21" s="1670">
        <v>0</v>
      </c>
      <c r="E21" s="775" t="s">
        <v>55</v>
      </c>
      <c r="F21" s="775" t="s">
        <v>55</v>
      </c>
      <c r="G21" s="775" t="s">
        <v>55</v>
      </c>
      <c r="H21" s="1673">
        <f t="shared" si="2"/>
        <v>0</v>
      </c>
      <c r="I21" s="775" t="s">
        <v>55</v>
      </c>
      <c r="J21" s="775" t="s">
        <v>55</v>
      </c>
      <c r="K21" s="1673"/>
      <c r="L21" s="1670"/>
      <c r="M21" s="1670"/>
    </row>
    <row r="22" spans="1:16" s="130" customFormat="1" ht="12.75">
      <c r="A22" s="104" t="s">
        <v>3772</v>
      </c>
      <c r="B22" s="1673">
        <f t="shared" si="1"/>
        <v>440</v>
      </c>
      <c r="C22" s="1670">
        <v>225</v>
      </c>
      <c r="D22" s="1670">
        <v>215</v>
      </c>
      <c r="E22" s="775" t="s">
        <v>55</v>
      </c>
      <c r="F22" s="775" t="s">
        <v>55</v>
      </c>
      <c r="G22" s="775" t="s">
        <v>55</v>
      </c>
      <c r="H22" s="1673">
        <f t="shared" si="2"/>
        <v>0</v>
      </c>
      <c r="I22" s="775" t="s">
        <v>55</v>
      </c>
      <c r="J22" s="775" t="s">
        <v>55</v>
      </c>
      <c r="K22" s="1673"/>
      <c r="L22" s="1670"/>
      <c r="M22" s="1670"/>
    </row>
    <row r="23" spans="1:16" s="130" customFormat="1" ht="6" customHeight="1">
      <c r="A23" s="104"/>
      <c r="B23" s="1671"/>
      <c r="C23" s="1672"/>
      <c r="D23" s="1672"/>
      <c r="E23" s="759"/>
      <c r="K23" s="1673"/>
      <c r="L23" s="1670"/>
      <c r="M23" s="1670"/>
    </row>
    <row r="24" spans="1:16" s="130" customFormat="1">
      <c r="A24" s="2181" t="s">
        <v>3773</v>
      </c>
      <c r="B24" s="2181"/>
      <c r="C24" s="2181"/>
      <c r="D24" s="2181"/>
      <c r="E24" s="2181"/>
      <c r="F24" s="2181"/>
      <c r="G24" s="2181"/>
      <c r="H24" s="2181"/>
      <c r="I24" s="2181"/>
      <c r="J24" s="2181"/>
      <c r="K24" s="1704"/>
      <c r="L24" s="1704"/>
      <c r="M24" s="1704"/>
      <c r="N24" s="1704"/>
      <c r="O24" s="1704"/>
      <c r="P24" s="1704"/>
    </row>
    <row r="25" spans="1:16" s="130" customFormat="1">
      <c r="A25" s="2181" t="s">
        <v>3774</v>
      </c>
      <c r="B25" s="2181"/>
      <c r="C25" s="2181"/>
      <c r="D25" s="2181"/>
      <c r="E25" s="2181"/>
      <c r="F25" s="2181"/>
      <c r="G25" s="2181"/>
      <c r="H25" s="2181"/>
      <c r="I25" s="2181"/>
      <c r="J25" s="2181"/>
      <c r="K25" s="1704"/>
      <c r="L25" s="1704"/>
      <c r="M25" s="1704"/>
      <c r="N25" s="1704"/>
      <c r="O25" s="1704"/>
      <c r="P25" s="1704"/>
    </row>
    <row r="26" spans="1:16" s="130" customFormat="1">
      <c r="A26" s="2181" t="s">
        <v>3775</v>
      </c>
      <c r="B26" s="2181"/>
      <c r="C26" s="2181"/>
      <c r="D26" s="2181"/>
      <c r="E26" s="2181"/>
      <c r="F26" s="2181"/>
      <c r="G26" s="2181"/>
      <c r="H26" s="2181"/>
      <c r="I26" s="2181"/>
      <c r="J26" s="2181"/>
      <c r="K26" s="1705"/>
      <c r="L26" s="1705"/>
      <c r="M26" s="1705"/>
      <c r="N26" s="1705"/>
      <c r="O26" s="1705"/>
      <c r="P26" s="1705"/>
    </row>
    <row r="27" spans="1:16" s="130" customFormat="1" ht="11.25">
      <c r="A27" s="1061" t="s">
        <v>734</v>
      </c>
      <c r="B27" s="759"/>
      <c r="C27" s="759"/>
      <c r="D27" s="759"/>
      <c r="E27" s="759"/>
    </row>
    <row r="28" spans="1:16" s="130" customFormat="1" ht="10.5" customHeight="1">
      <c r="A28" s="1706" t="s">
        <v>1090</v>
      </c>
      <c r="B28" s="1706"/>
      <c r="C28" s="1706"/>
      <c r="D28" s="1706"/>
      <c r="E28" s="1706"/>
      <c r="F28" s="1706"/>
      <c r="G28" s="1706"/>
    </row>
    <row r="29" spans="1:16" s="130" customFormat="1" ht="11.25">
      <c r="A29" s="606" t="s">
        <v>1088</v>
      </c>
      <c r="B29" s="104"/>
      <c r="C29" s="104"/>
      <c r="D29" s="104"/>
      <c r="E29" s="759"/>
    </row>
  </sheetData>
  <mergeCells count="8">
    <mergeCell ref="A25:J25"/>
    <mergeCell ref="A26:J26"/>
    <mergeCell ref="A2:J2"/>
    <mergeCell ref="A4:A5"/>
    <mergeCell ref="B4:D4"/>
    <mergeCell ref="E4:G4"/>
    <mergeCell ref="H4:J4"/>
    <mergeCell ref="A24:J24"/>
  </mergeCells>
  <pageMargins left="0.7" right="0.7" top="0.75" bottom="0.75" header="0.3" footer="0.3"/>
  <pageSetup paperSize="14" orientation="portrait" r:id="rId1"/>
</worksheet>
</file>

<file path=xl/worksheets/sheet85.xml><?xml version="1.0" encoding="utf-8"?>
<worksheet xmlns="http://schemas.openxmlformats.org/spreadsheetml/2006/main" xmlns:r="http://schemas.openxmlformats.org/officeDocument/2006/relationships">
  <dimension ref="A1:E24"/>
  <sheetViews>
    <sheetView zoomScaleNormal="100" workbookViewId="0">
      <selection activeCell="B27" sqref="B27"/>
    </sheetView>
  </sheetViews>
  <sheetFormatPr baseColWidth="10" defaultRowHeight="12"/>
  <cols>
    <col min="1" max="1" width="16.28515625" style="141" customWidth="1"/>
    <col min="2" max="2" width="17.28515625" style="141" customWidth="1"/>
    <col min="3" max="3" width="19" style="141" customWidth="1"/>
    <col min="4" max="4" width="21.85546875" style="141" customWidth="1"/>
    <col min="5" max="16384" width="11.42578125" style="141"/>
  </cols>
  <sheetData>
    <row r="1" spans="1:5" s="1656" customFormat="1" ht="11.25"/>
    <row r="2" spans="1:5" ht="47.25" customHeight="1">
      <c r="A2" s="2186" t="s">
        <v>1091</v>
      </c>
      <c r="B2" s="2186"/>
      <c r="C2" s="2186"/>
      <c r="D2" s="2186"/>
    </row>
    <row r="3" spans="1:5">
      <c r="A3" s="1327"/>
      <c r="B3" s="135"/>
      <c r="C3" s="987"/>
      <c r="D3" s="987"/>
    </row>
    <row r="4" spans="1:5">
      <c r="A4" s="2187" t="s">
        <v>1092</v>
      </c>
      <c r="B4" s="2188" t="s">
        <v>26</v>
      </c>
      <c r="C4" s="2189" t="s">
        <v>1062</v>
      </c>
      <c r="D4" s="2189"/>
    </row>
    <row r="5" spans="1:5">
      <c r="A5" s="2187"/>
      <c r="B5" s="2188"/>
      <c r="C5" s="2006" t="s">
        <v>163</v>
      </c>
      <c r="D5" s="2006" t="s">
        <v>164</v>
      </c>
    </row>
    <row r="6" spans="1:5">
      <c r="A6" s="1554">
        <v>2009</v>
      </c>
      <c r="B6" s="1702">
        <f t="shared" ref="B6:B11" si="0">SUM(C6:D6)</f>
        <v>1113</v>
      </c>
      <c r="C6" s="1554">
        <v>566</v>
      </c>
      <c r="D6" s="1554">
        <v>547</v>
      </c>
    </row>
    <row r="7" spans="1:5">
      <c r="A7" s="1554">
        <v>2010</v>
      </c>
      <c r="B7" s="1702">
        <f t="shared" si="0"/>
        <v>1152</v>
      </c>
      <c r="C7" s="2690">
        <v>593</v>
      </c>
      <c r="D7" s="777">
        <v>559</v>
      </c>
    </row>
    <row r="8" spans="1:5">
      <c r="A8" s="1554">
        <v>2011</v>
      </c>
      <c r="B8" s="1702">
        <f t="shared" si="0"/>
        <v>1313</v>
      </c>
      <c r="C8" s="2690">
        <v>613</v>
      </c>
      <c r="D8" s="777">
        <v>700</v>
      </c>
    </row>
    <row r="9" spans="1:5">
      <c r="A9" s="1554">
        <v>2012</v>
      </c>
      <c r="B9" s="1702">
        <f t="shared" si="0"/>
        <v>1379</v>
      </c>
      <c r="C9" s="2690">
        <v>648</v>
      </c>
      <c r="D9" s="2690">
        <v>731</v>
      </c>
    </row>
    <row r="10" spans="1:5">
      <c r="A10" s="1554">
        <v>2013</v>
      </c>
      <c r="B10" s="1702">
        <f t="shared" si="0"/>
        <v>1463</v>
      </c>
      <c r="C10" s="2690">
        <v>692</v>
      </c>
      <c r="D10" s="2690">
        <v>771</v>
      </c>
    </row>
    <row r="11" spans="1:5">
      <c r="A11" s="1554">
        <v>2014</v>
      </c>
      <c r="B11" s="1702">
        <f t="shared" si="0"/>
        <v>1583</v>
      </c>
      <c r="C11" s="2690">
        <v>803</v>
      </c>
      <c r="D11" s="2690">
        <v>780</v>
      </c>
    </row>
    <row r="12" spans="1:5">
      <c r="A12" s="1327"/>
      <c r="B12" s="1697"/>
      <c r="C12" s="129"/>
      <c r="D12" s="129"/>
    </row>
    <row r="13" spans="1:5">
      <c r="A13" s="2152"/>
      <c r="B13" s="2152"/>
      <c r="C13" s="2152"/>
      <c r="D13" s="2152"/>
    </row>
    <row r="14" spans="1:5">
      <c r="A14" s="2185" t="s">
        <v>1093</v>
      </c>
      <c r="B14" s="2185"/>
      <c r="C14" s="2185"/>
      <c r="D14" s="2185"/>
    </row>
    <row r="15" spans="1:5" s="1373" customFormat="1" ht="11.25">
      <c r="A15" s="763"/>
    </row>
    <row r="16" spans="1:5">
      <c r="A16" s="1698"/>
      <c r="B16" s="1699"/>
      <c r="C16" s="1655"/>
      <c r="D16" s="1655"/>
      <c r="E16" s="1655"/>
    </row>
    <row r="17" spans="1:5">
      <c r="A17" s="1700"/>
      <c r="B17" s="1701"/>
      <c r="C17" s="1655"/>
      <c r="D17" s="1655"/>
      <c r="E17" s="1655"/>
    </row>
    <row r="18" spans="1:5">
      <c r="A18" s="1700"/>
      <c r="B18" s="1701"/>
      <c r="C18" s="1655"/>
      <c r="D18" s="1655"/>
      <c r="E18" s="1655"/>
    </row>
    <row r="19" spans="1:5">
      <c r="A19" s="1554"/>
      <c r="B19" s="1702"/>
      <c r="C19" s="1655"/>
      <c r="D19" s="1655"/>
      <c r="E19" s="1655"/>
    </row>
    <row r="20" spans="1:5">
      <c r="A20" s="1554"/>
      <c r="B20" s="1702"/>
      <c r="C20" s="1655"/>
      <c r="D20" s="1655"/>
      <c r="E20" s="1655"/>
    </row>
    <row r="21" spans="1:5">
      <c r="A21" s="1554"/>
      <c r="B21" s="1702"/>
      <c r="C21" s="1655"/>
      <c r="D21" s="1655"/>
      <c r="E21" s="1655"/>
    </row>
    <row r="22" spans="1:5">
      <c r="A22" s="1554"/>
      <c r="B22" s="1702"/>
      <c r="C22" s="1655"/>
      <c r="D22" s="1655"/>
      <c r="E22" s="1655"/>
    </row>
    <row r="23" spans="1:5">
      <c r="A23" s="1554"/>
      <c r="B23" s="1702"/>
      <c r="C23" s="1655"/>
      <c r="D23" s="1655"/>
      <c r="E23" s="1655"/>
    </row>
    <row r="24" spans="1:5">
      <c r="A24" s="1554"/>
      <c r="B24" s="1702"/>
      <c r="C24" s="1655"/>
      <c r="D24" s="1655"/>
      <c r="E24" s="1655"/>
    </row>
  </sheetData>
  <mergeCells count="6">
    <mergeCell ref="A14:D14"/>
    <mergeCell ref="A2:D2"/>
    <mergeCell ref="A4:A5"/>
    <mergeCell ref="B4:B5"/>
    <mergeCell ref="C4:D4"/>
    <mergeCell ref="A13:D13"/>
  </mergeCells>
  <pageMargins left="0.7" right="0.7" top="0.75" bottom="0.75" header="0.3" footer="0.3"/>
  <pageSetup paperSize="14" orientation="portrait" r:id="rId1"/>
</worksheet>
</file>

<file path=xl/worksheets/sheet86.xml><?xml version="1.0" encoding="utf-8"?>
<worksheet xmlns="http://schemas.openxmlformats.org/spreadsheetml/2006/main" xmlns:r="http://schemas.openxmlformats.org/officeDocument/2006/relationships">
  <dimension ref="A2:K15"/>
  <sheetViews>
    <sheetView zoomScaleNormal="100" workbookViewId="0">
      <selection activeCell="C25" sqref="C25"/>
    </sheetView>
  </sheetViews>
  <sheetFormatPr baseColWidth="10" defaultRowHeight="12"/>
  <cols>
    <col min="1" max="1" width="21.7109375" style="141" customWidth="1"/>
    <col min="2" max="2" width="16.28515625" style="141" customWidth="1"/>
    <col min="3" max="3" width="18.140625" style="141" customWidth="1"/>
    <col min="4" max="4" width="16.28515625" style="141" customWidth="1"/>
    <col min="5" max="16384" width="11.42578125" style="141"/>
  </cols>
  <sheetData>
    <row r="2" spans="1:11" s="140" customFormat="1" ht="44.25" customHeight="1">
      <c r="A2" s="2166" t="s">
        <v>3164</v>
      </c>
      <c r="B2" s="2166"/>
      <c r="C2" s="2166"/>
      <c r="D2" s="2166"/>
      <c r="H2" s="1645"/>
      <c r="I2" s="1645"/>
      <c r="J2" s="1645"/>
      <c r="K2" s="1645"/>
    </row>
    <row r="3" spans="1:11" s="1373" customFormat="1">
      <c r="A3" s="763"/>
      <c r="B3" s="1678"/>
      <c r="C3" s="1679"/>
      <c r="D3" s="1680"/>
      <c r="H3" s="1648"/>
      <c r="I3" s="1641"/>
      <c r="J3" s="1641"/>
      <c r="K3" s="1641"/>
    </row>
    <row r="4" spans="1:11" s="1373" customFormat="1" ht="12.75" customHeight="1">
      <c r="A4" s="2177" t="s">
        <v>1092</v>
      </c>
      <c r="B4" s="2191" t="s">
        <v>1094</v>
      </c>
      <c r="C4" s="2191"/>
      <c r="D4" s="2191"/>
      <c r="H4" s="1648"/>
      <c r="I4" s="1641"/>
      <c r="J4" s="1641"/>
      <c r="K4" s="1641"/>
    </row>
    <row r="5" spans="1:11" s="1373" customFormat="1" ht="12.75" customHeight="1">
      <c r="A5" s="2177"/>
      <c r="B5" s="2177" t="s">
        <v>26</v>
      </c>
      <c r="C5" s="2154" t="s">
        <v>1062</v>
      </c>
      <c r="D5" s="2154"/>
      <c r="F5" s="1681"/>
      <c r="G5" s="1681"/>
      <c r="H5" s="1682"/>
      <c r="I5" s="1682"/>
      <c r="J5" s="1641"/>
      <c r="K5" s="1641"/>
    </row>
    <row r="6" spans="1:11" s="1373" customFormat="1" ht="11.25" customHeight="1">
      <c r="A6" s="2177"/>
      <c r="B6" s="2177"/>
      <c r="C6" s="2005" t="s">
        <v>163</v>
      </c>
      <c r="D6" s="2005" t="s">
        <v>164</v>
      </c>
      <c r="F6" s="1681"/>
      <c r="G6" s="1681"/>
      <c r="H6" s="1683"/>
      <c r="I6" s="1683"/>
      <c r="J6" s="1684"/>
      <c r="K6" s="1684"/>
    </row>
    <row r="7" spans="1:11" s="1373" customFormat="1" ht="11.25" customHeight="1">
      <c r="A7" s="1688">
        <v>2009</v>
      </c>
      <c r="B7" s="2691">
        <f t="shared" ref="B7:B12" si="0">SUM(C7:D7)</f>
        <v>525</v>
      </c>
      <c r="C7" s="2692">
        <v>365</v>
      </c>
      <c r="D7" s="2692">
        <v>160</v>
      </c>
      <c r="F7" s="1685"/>
      <c r="G7" s="1686"/>
      <c r="H7" s="1686"/>
      <c r="I7" s="1686"/>
      <c r="J7" s="1687"/>
      <c r="K7" s="1687"/>
    </row>
    <row r="8" spans="1:11" s="1373" customFormat="1" ht="11.25" customHeight="1">
      <c r="A8" s="1688">
        <v>2010</v>
      </c>
      <c r="B8" s="2691">
        <f t="shared" si="0"/>
        <v>574</v>
      </c>
      <c r="C8" s="1688">
        <v>398</v>
      </c>
      <c r="D8" s="1688">
        <v>176</v>
      </c>
      <c r="F8" s="1688"/>
      <c r="G8" s="1689"/>
      <c r="H8" s="1690"/>
      <c r="I8" s="1690"/>
      <c r="J8" s="1687"/>
      <c r="K8" s="1687"/>
    </row>
    <row r="9" spans="1:11" s="1373" customFormat="1" ht="11.25" customHeight="1">
      <c r="A9" s="1688">
        <v>2011</v>
      </c>
      <c r="B9" s="2691">
        <f t="shared" si="0"/>
        <v>605</v>
      </c>
      <c r="C9" s="1688">
        <v>416</v>
      </c>
      <c r="D9" s="1688">
        <v>189</v>
      </c>
      <c r="F9" s="1688"/>
      <c r="G9" s="1689"/>
      <c r="H9" s="1691"/>
      <c r="I9" s="1691"/>
      <c r="J9" s="1687"/>
      <c r="K9" s="1687"/>
    </row>
    <row r="10" spans="1:11" s="1373" customFormat="1" ht="11.25" customHeight="1">
      <c r="A10" s="1688">
        <v>2012</v>
      </c>
      <c r="B10" s="2691">
        <f t="shared" si="0"/>
        <v>656</v>
      </c>
      <c r="C10" s="2693">
        <v>446</v>
      </c>
      <c r="D10" s="2693">
        <v>210</v>
      </c>
      <c r="F10" s="1688"/>
      <c r="G10" s="1689"/>
      <c r="H10" s="1691"/>
      <c r="I10" s="1691"/>
      <c r="J10" s="1687"/>
      <c r="K10" s="1687"/>
    </row>
    <row r="11" spans="1:11" s="1373" customFormat="1" ht="11.25" customHeight="1">
      <c r="A11" s="1688">
        <v>2013</v>
      </c>
      <c r="B11" s="2691">
        <f t="shared" si="0"/>
        <v>713</v>
      </c>
      <c r="C11" s="2694">
        <v>486</v>
      </c>
      <c r="D11" s="2694">
        <v>227</v>
      </c>
      <c r="F11" s="1688"/>
      <c r="G11" s="1689"/>
      <c r="H11" s="1692"/>
      <c r="I11" s="1692"/>
      <c r="J11" s="1648"/>
      <c r="K11" s="1648"/>
    </row>
    <row r="12" spans="1:11" s="1373" customFormat="1" ht="11.25" customHeight="1">
      <c r="A12" s="1688">
        <v>2014</v>
      </c>
      <c r="B12" s="2691">
        <f t="shared" si="0"/>
        <v>748</v>
      </c>
      <c r="C12" s="2695">
        <v>508</v>
      </c>
      <c r="D12" s="2695">
        <v>240</v>
      </c>
      <c r="F12" s="1688"/>
      <c r="G12" s="1689"/>
      <c r="H12" s="1692"/>
      <c r="I12" s="1692"/>
      <c r="J12" s="1648"/>
      <c r="K12" s="1648"/>
    </row>
    <row r="13" spans="1:11" s="1373" customFormat="1" ht="11.25" customHeight="1">
      <c r="B13" s="1394"/>
      <c r="C13" s="1693"/>
      <c r="D13" s="1693"/>
      <c r="F13" s="1688"/>
      <c r="G13" s="1689"/>
      <c r="H13" s="1694"/>
      <c r="I13" s="1694"/>
      <c r="J13" s="1648"/>
      <c r="K13" s="1648"/>
    </row>
    <row r="14" spans="1:11" s="1373" customFormat="1" ht="24" customHeight="1">
      <c r="A14" s="2190" t="s">
        <v>1095</v>
      </c>
      <c r="B14" s="2190"/>
      <c r="C14" s="2190"/>
      <c r="D14" s="2190"/>
      <c r="H14" s="1695"/>
      <c r="I14" s="1696"/>
      <c r="J14" s="1696"/>
      <c r="K14" s="1696"/>
    </row>
    <row r="15" spans="1:11" s="1373" customFormat="1" ht="11.25" customHeight="1">
      <c r="A15" s="1526"/>
      <c r="B15" s="1526"/>
      <c r="C15" s="1526"/>
      <c r="D15" s="1526"/>
      <c r="H15" s="1695"/>
      <c r="I15" s="1696"/>
      <c r="J15" s="1696"/>
      <c r="K15" s="1696"/>
    </row>
  </sheetData>
  <mergeCells count="6">
    <mergeCell ref="A14:D14"/>
    <mergeCell ref="A2:D2"/>
    <mergeCell ref="A4:A6"/>
    <mergeCell ref="B4:D4"/>
    <mergeCell ref="B5:B6"/>
    <mergeCell ref="C5:D5"/>
  </mergeCells>
  <pageMargins left="0.7" right="0.7" top="0.75" bottom="0.75" header="0.3" footer="0.3"/>
  <pageSetup paperSize="14" orientation="portrait" r:id="rId1"/>
</worksheet>
</file>

<file path=xl/worksheets/sheet87.xml><?xml version="1.0" encoding="utf-8"?>
<worksheet xmlns="http://schemas.openxmlformats.org/spreadsheetml/2006/main" xmlns:r="http://schemas.openxmlformats.org/officeDocument/2006/relationships">
  <dimension ref="A1:P26"/>
  <sheetViews>
    <sheetView zoomScaleNormal="100" workbookViewId="0">
      <selection activeCell="B30" sqref="B30"/>
    </sheetView>
  </sheetViews>
  <sheetFormatPr baseColWidth="10" defaultRowHeight="12"/>
  <cols>
    <col min="1" max="1" width="26.140625" style="141" customWidth="1"/>
    <col min="2" max="16384" width="11.42578125" style="141"/>
  </cols>
  <sheetData>
    <row r="1" spans="1:16">
      <c r="A1" s="1676"/>
    </row>
    <row r="2" spans="1:16" s="129" customFormat="1" ht="33.75" customHeight="1">
      <c r="A2" s="2180" t="s">
        <v>1096</v>
      </c>
      <c r="B2" s="2180"/>
      <c r="C2" s="2180"/>
      <c r="D2" s="2180"/>
      <c r="E2" s="2180"/>
      <c r="F2" s="2180"/>
      <c r="G2" s="2180"/>
      <c r="H2" s="2180"/>
      <c r="I2" s="2180"/>
      <c r="J2" s="2180"/>
    </row>
    <row r="3" spans="1:16" s="129" customFormat="1" ht="11.25">
      <c r="A3" s="104"/>
      <c r="B3" s="104"/>
      <c r="C3" s="104"/>
      <c r="D3" s="104"/>
    </row>
    <row r="4" spans="1:16" s="129" customFormat="1" ht="16.5" customHeight="1">
      <c r="A4" s="2177" t="s">
        <v>0</v>
      </c>
      <c r="B4" s="2183">
        <v>2012</v>
      </c>
      <c r="C4" s="2183"/>
      <c r="D4" s="2183"/>
      <c r="E4" s="2183">
        <v>2013</v>
      </c>
      <c r="F4" s="2183"/>
      <c r="G4" s="2183"/>
      <c r="H4" s="2183">
        <v>2014</v>
      </c>
      <c r="I4" s="2183"/>
      <c r="J4" s="2183"/>
      <c r="K4" s="1677"/>
      <c r="L4" s="1677"/>
      <c r="M4" s="1677"/>
      <c r="N4" s="1677"/>
      <c r="O4" s="1677"/>
      <c r="P4" s="1677"/>
    </row>
    <row r="5" spans="1:16" s="129" customFormat="1" ht="11.25">
      <c r="A5" s="2177"/>
      <c r="B5" s="1668" t="s">
        <v>26</v>
      </c>
      <c r="C5" s="1668" t="s">
        <v>163</v>
      </c>
      <c r="D5" s="1668" t="s">
        <v>164</v>
      </c>
      <c r="E5" s="1668" t="s">
        <v>26</v>
      </c>
      <c r="F5" s="1668" t="s">
        <v>163</v>
      </c>
      <c r="G5" s="1668" t="s">
        <v>164</v>
      </c>
      <c r="H5" s="1668" t="s">
        <v>26</v>
      </c>
      <c r="I5" s="1668" t="s">
        <v>163</v>
      </c>
      <c r="J5" s="1668" t="s">
        <v>164</v>
      </c>
      <c r="K5" s="1669"/>
      <c r="L5" s="1669"/>
      <c r="M5" s="1669"/>
      <c r="N5" s="1669"/>
      <c r="O5" s="1669"/>
      <c r="P5" s="1669"/>
    </row>
    <row r="6" spans="1:16" s="129" customFormat="1" ht="11.25">
      <c r="A6" s="276" t="s">
        <v>6</v>
      </c>
      <c r="B6" s="1673">
        <f t="shared" ref="B6:J6" si="0">SUM(B7:B22)</f>
        <v>885</v>
      </c>
      <c r="C6" s="1673">
        <f t="shared" si="0"/>
        <v>395</v>
      </c>
      <c r="D6" s="1673">
        <f t="shared" si="0"/>
        <v>490</v>
      </c>
      <c r="E6" s="1673">
        <f t="shared" si="0"/>
        <v>910</v>
      </c>
      <c r="F6" s="1673">
        <f t="shared" si="0"/>
        <v>404</v>
      </c>
      <c r="G6" s="1673">
        <f t="shared" si="0"/>
        <v>506</v>
      </c>
      <c r="H6" s="1673">
        <f t="shared" si="0"/>
        <v>1051</v>
      </c>
      <c r="I6" s="1673">
        <f t="shared" si="0"/>
        <v>475</v>
      </c>
      <c r="J6" s="1673">
        <f t="shared" si="0"/>
        <v>576</v>
      </c>
      <c r="K6" s="1673"/>
      <c r="L6" s="1673"/>
      <c r="M6" s="1673"/>
      <c r="N6" s="745"/>
      <c r="O6" s="745"/>
      <c r="P6" s="745"/>
    </row>
    <row r="7" spans="1:16" s="129" customFormat="1" ht="11.25">
      <c r="A7" s="2696" t="s">
        <v>7</v>
      </c>
      <c r="B7" s="1673">
        <f>SUM(C7:D7)</f>
        <v>0</v>
      </c>
      <c r="C7" s="1670">
        <v>0</v>
      </c>
      <c r="D7" s="1670">
        <v>0</v>
      </c>
      <c r="E7" s="745">
        <f>SUM(F7:G7)</f>
        <v>0</v>
      </c>
      <c r="F7" s="747">
        <v>0</v>
      </c>
      <c r="G7" s="747">
        <v>0</v>
      </c>
      <c r="H7" s="745">
        <f>SUM(I7:J7)</f>
        <v>1</v>
      </c>
      <c r="I7" s="747">
        <v>0</v>
      </c>
      <c r="J7" s="747">
        <v>1</v>
      </c>
      <c r="K7" s="1673"/>
      <c r="L7" s="1670"/>
      <c r="M7" s="1670"/>
      <c r="N7" s="747"/>
      <c r="O7" s="747"/>
      <c r="P7" s="747"/>
    </row>
    <row r="8" spans="1:16" s="129" customFormat="1" ht="11.25">
      <c r="A8" s="2696" t="s">
        <v>8</v>
      </c>
      <c r="B8" s="1673">
        <f t="shared" ref="B8:B22" si="1">SUM(C8:D8)</f>
        <v>0</v>
      </c>
      <c r="C8" s="1670">
        <v>0</v>
      </c>
      <c r="D8" s="1670">
        <v>0</v>
      </c>
      <c r="E8" s="745">
        <f t="shared" ref="E8:E22" si="2">SUM(F8:G8)</f>
        <v>0</v>
      </c>
      <c r="F8" s="747">
        <v>0</v>
      </c>
      <c r="G8" s="747">
        <v>0</v>
      </c>
      <c r="H8" s="745">
        <f t="shared" ref="H8:H22" si="3">SUM(I8:J8)</f>
        <v>9</v>
      </c>
      <c r="I8" s="747">
        <v>8</v>
      </c>
      <c r="J8" s="747">
        <v>1</v>
      </c>
      <c r="K8" s="1673"/>
      <c r="L8" s="1670"/>
      <c r="M8" s="1670"/>
      <c r="N8" s="747"/>
      <c r="O8" s="747"/>
      <c r="P8" s="747"/>
    </row>
    <row r="9" spans="1:16" s="129" customFormat="1" ht="11.25">
      <c r="A9" s="2696" t="s">
        <v>9</v>
      </c>
      <c r="B9" s="1673">
        <f t="shared" si="1"/>
        <v>0</v>
      </c>
      <c r="C9" s="1670">
        <v>0</v>
      </c>
      <c r="D9" s="1670">
        <v>0</v>
      </c>
      <c r="E9" s="745">
        <f t="shared" si="2"/>
        <v>0</v>
      </c>
      <c r="F9" s="747">
        <v>0</v>
      </c>
      <c r="G9" s="747">
        <v>0</v>
      </c>
      <c r="H9" s="745">
        <f t="shared" si="3"/>
        <v>8</v>
      </c>
      <c r="I9" s="747">
        <v>3</v>
      </c>
      <c r="J9" s="747">
        <v>5</v>
      </c>
      <c r="K9" s="1673"/>
      <c r="L9" s="1670"/>
      <c r="M9" s="1670"/>
      <c r="N9" s="747"/>
      <c r="O9" s="747"/>
      <c r="P9" s="747"/>
    </row>
    <row r="10" spans="1:16" s="129" customFormat="1" ht="11.25">
      <c r="A10" s="2696" t="s">
        <v>10</v>
      </c>
      <c r="B10" s="1673">
        <f t="shared" si="1"/>
        <v>0</v>
      </c>
      <c r="C10" s="1670">
        <v>0</v>
      </c>
      <c r="D10" s="1670">
        <v>0</v>
      </c>
      <c r="E10" s="745">
        <f t="shared" si="2"/>
        <v>0</v>
      </c>
      <c r="F10" s="747">
        <v>0</v>
      </c>
      <c r="G10" s="747">
        <v>0</v>
      </c>
      <c r="H10" s="745">
        <f t="shared" si="3"/>
        <v>0</v>
      </c>
      <c r="I10" s="747">
        <v>0</v>
      </c>
      <c r="J10" s="747">
        <v>0</v>
      </c>
      <c r="K10" s="1673"/>
      <c r="L10" s="1670"/>
      <c r="M10" s="1670"/>
      <c r="N10" s="747"/>
      <c r="O10" s="747"/>
      <c r="P10" s="747"/>
    </row>
    <row r="11" spans="1:16" s="129" customFormat="1" ht="11.25">
      <c r="A11" s="2696" t="s">
        <v>11</v>
      </c>
      <c r="B11" s="1673">
        <f t="shared" si="1"/>
        <v>0</v>
      </c>
      <c r="C11" s="1670">
        <v>0</v>
      </c>
      <c r="D11" s="1670">
        <v>0</v>
      </c>
      <c r="E11" s="745">
        <f t="shared" si="2"/>
        <v>0</v>
      </c>
      <c r="F11" s="747">
        <v>0</v>
      </c>
      <c r="G11" s="747">
        <v>0</v>
      </c>
      <c r="H11" s="745">
        <f t="shared" si="3"/>
        <v>1</v>
      </c>
      <c r="I11" s="747">
        <v>0</v>
      </c>
      <c r="J11" s="747">
        <v>1</v>
      </c>
      <c r="K11" s="1673"/>
      <c r="L11" s="1670"/>
      <c r="M11" s="1670"/>
      <c r="N11" s="747"/>
      <c r="O11" s="747"/>
      <c r="P11" s="747"/>
    </row>
    <row r="12" spans="1:16" s="129" customFormat="1" ht="11.25">
      <c r="A12" s="2696" t="s">
        <v>12</v>
      </c>
      <c r="B12" s="1673">
        <f t="shared" si="1"/>
        <v>8</v>
      </c>
      <c r="C12" s="1670">
        <v>5</v>
      </c>
      <c r="D12" s="1670">
        <v>3</v>
      </c>
      <c r="E12" s="745">
        <f t="shared" si="2"/>
        <v>8</v>
      </c>
      <c r="F12" s="747">
        <v>5</v>
      </c>
      <c r="G12" s="747">
        <v>3</v>
      </c>
      <c r="H12" s="745">
        <f t="shared" si="3"/>
        <v>10</v>
      </c>
      <c r="I12" s="747">
        <v>6</v>
      </c>
      <c r="J12" s="747">
        <v>4</v>
      </c>
      <c r="K12" s="1673"/>
      <c r="L12" s="1670"/>
      <c r="M12" s="1670"/>
      <c r="N12" s="747"/>
      <c r="O12" s="747"/>
      <c r="P12" s="747"/>
    </row>
    <row r="13" spans="1:16" s="129" customFormat="1" ht="11.25">
      <c r="A13" s="2696" t="s">
        <v>13</v>
      </c>
      <c r="B13" s="1673">
        <f t="shared" si="1"/>
        <v>431</v>
      </c>
      <c r="C13" s="1670">
        <v>161</v>
      </c>
      <c r="D13" s="1670">
        <v>270</v>
      </c>
      <c r="E13" s="745">
        <f t="shared" si="2"/>
        <v>455</v>
      </c>
      <c r="F13" s="747">
        <v>170</v>
      </c>
      <c r="G13" s="747">
        <v>285</v>
      </c>
      <c r="H13" s="745">
        <f t="shared" si="3"/>
        <v>541</v>
      </c>
      <c r="I13" s="747">
        <v>213</v>
      </c>
      <c r="J13" s="747">
        <v>328</v>
      </c>
      <c r="K13" s="1673"/>
      <c r="L13" s="1670"/>
      <c r="M13" s="1670"/>
      <c r="N13" s="747"/>
      <c r="O13" s="747"/>
      <c r="P13" s="747"/>
    </row>
    <row r="14" spans="1:16" s="129" customFormat="1" ht="11.25">
      <c r="A14" s="2696" t="s">
        <v>14</v>
      </c>
      <c r="B14" s="1673">
        <f t="shared" si="1"/>
        <v>4</v>
      </c>
      <c r="C14" s="1670">
        <v>3</v>
      </c>
      <c r="D14" s="1670">
        <v>1</v>
      </c>
      <c r="E14" s="745">
        <f t="shared" si="2"/>
        <v>5</v>
      </c>
      <c r="F14" s="747">
        <v>3</v>
      </c>
      <c r="G14" s="747">
        <v>2</v>
      </c>
      <c r="H14" s="745">
        <f t="shared" si="3"/>
        <v>3</v>
      </c>
      <c r="I14" s="747">
        <v>2</v>
      </c>
      <c r="J14" s="747">
        <v>1</v>
      </c>
      <c r="K14" s="1673"/>
      <c r="L14" s="1670"/>
      <c r="M14" s="1670"/>
      <c r="N14" s="747"/>
      <c r="O14" s="747"/>
      <c r="P14" s="747"/>
    </row>
    <row r="15" spans="1:16" s="129" customFormat="1" ht="11.25">
      <c r="A15" s="2696" t="s">
        <v>15</v>
      </c>
      <c r="B15" s="1673">
        <f t="shared" si="1"/>
        <v>2</v>
      </c>
      <c r="C15" s="1670">
        <v>1</v>
      </c>
      <c r="D15" s="1670">
        <v>1</v>
      </c>
      <c r="E15" s="745">
        <f t="shared" si="2"/>
        <v>2</v>
      </c>
      <c r="F15" s="747">
        <v>1</v>
      </c>
      <c r="G15" s="747">
        <v>1</v>
      </c>
      <c r="H15" s="745">
        <f t="shared" si="3"/>
        <v>8</v>
      </c>
      <c r="I15" s="747">
        <v>1</v>
      </c>
      <c r="J15" s="747">
        <v>7</v>
      </c>
      <c r="K15" s="1673"/>
      <c r="L15" s="1670"/>
      <c r="M15" s="1670"/>
      <c r="N15" s="747"/>
      <c r="O15" s="747"/>
      <c r="P15" s="747"/>
    </row>
    <row r="16" spans="1:16" s="129" customFormat="1" ht="11.25">
      <c r="A16" s="2696" t="s">
        <v>16</v>
      </c>
      <c r="B16" s="1673">
        <f t="shared" si="1"/>
        <v>0</v>
      </c>
      <c r="C16" s="1670">
        <v>0</v>
      </c>
      <c r="D16" s="1670">
        <v>0</v>
      </c>
      <c r="E16" s="745">
        <f t="shared" si="2"/>
        <v>0</v>
      </c>
      <c r="F16" s="747">
        <v>0</v>
      </c>
      <c r="G16" s="747">
        <v>0</v>
      </c>
      <c r="H16" s="745">
        <f t="shared" si="3"/>
        <v>13</v>
      </c>
      <c r="I16" s="747">
        <v>5</v>
      </c>
      <c r="J16" s="747">
        <v>8</v>
      </c>
      <c r="K16" s="1673"/>
      <c r="L16" s="1670"/>
      <c r="M16" s="1670"/>
      <c r="N16" s="747"/>
      <c r="O16" s="747"/>
      <c r="P16" s="747"/>
    </row>
    <row r="17" spans="1:16" s="129" customFormat="1" ht="11.25">
      <c r="A17" s="2696" t="s">
        <v>17</v>
      </c>
      <c r="B17" s="1673">
        <f t="shared" si="1"/>
        <v>0</v>
      </c>
      <c r="C17" s="1670">
        <v>0</v>
      </c>
      <c r="D17" s="1670">
        <v>0</v>
      </c>
      <c r="E17" s="745">
        <f t="shared" si="2"/>
        <v>0</v>
      </c>
      <c r="F17" s="747">
        <v>0</v>
      </c>
      <c r="G17" s="747">
        <v>0</v>
      </c>
      <c r="H17" s="745">
        <f t="shared" si="3"/>
        <v>16</v>
      </c>
      <c r="I17" s="747">
        <v>11</v>
      </c>
      <c r="J17" s="747">
        <v>5</v>
      </c>
      <c r="K17" s="1673"/>
      <c r="L17" s="1670"/>
      <c r="M17" s="1670"/>
      <c r="N17" s="747"/>
      <c r="O17" s="747"/>
      <c r="P17" s="747"/>
    </row>
    <row r="18" spans="1:16" s="129" customFormat="1" ht="11.25">
      <c r="A18" s="2696" t="s">
        <v>18</v>
      </c>
      <c r="B18" s="1673">
        <f t="shared" si="1"/>
        <v>0</v>
      </c>
      <c r="C18" s="1670">
        <v>0</v>
      </c>
      <c r="D18" s="1670">
        <v>0</v>
      </c>
      <c r="E18" s="745">
        <f t="shared" si="2"/>
        <v>0</v>
      </c>
      <c r="F18" s="747">
        <v>0</v>
      </c>
      <c r="G18" s="747">
        <v>0</v>
      </c>
      <c r="H18" s="745">
        <f t="shared" si="3"/>
        <v>0</v>
      </c>
      <c r="I18" s="747">
        <v>0</v>
      </c>
      <c r="J18" s="747">
        <v>0</v>
      </c>
      <c r="K18" s="1673"/>
      <c r="L18" s="1670"/>
      <c r="M18" s="1670"/>
      <c r="N18" s="747"/>
      <c r="O18" s="747"/>
      <c r="P18" s="747"/>
    </row>
    <row r="19" spans="1:16" s="129" customFormat="1" ht="11.25">
      <c r="A19" s="2696" t="s">
        <v>19</v>
      </c>
      <c r="B19" s="1673">
        <f t="shared" si="1"/>
        <v>0</v>
      </c>
      <c r="C19" s="1670">
        <v>0</v>
      </c>
      <c r="D19" s="1670">
        <v>0</v>
      </c>
      <c r="E19" s="745">
        <f t="shared" si="2"/>
        <v>0</v>
      </c>
      <c r="F19" s="747">
        <v>0</v>
      </c>
      <c r="G19" s="747">
        <v>0</v>
      </c>
      <c r="H19" s="745">
        <f t="shared" si="3"/>
        <v>1</v>
      </c>
      <c r="I19" s="747">
        <v>1</v>
      </c>
      <c r="J19" s="747">
        <v>0</v>
      </c>
      <c r="K19" s="1673"/>
      <c r="L19" s="1670"/>
      <c r="M19" s="1670"/>
      <c r="N19" s="747"/>
      <c r="O19" s="747"/>
      <c r="P19" s="747"/>
    </row>
    <row r="20" spans="1:16" s="129" customFormat="1" ht="11.25">
      <c r="A20" s="2696" t="s">
        <v>20</v>
      </c>
      <c r="B20" s="1673">
        <f t="shared" si="1"/>
        <v>0</v>
      </c>
      <c r="C20" s="1670">
        <v>0</v>
      </c>
      <c r="D20" s="1670">
        <v>0</v>
      </c>
      <c r="E20" s="745">
        <f t="shared" si="2"/>
        <v>0</v>
      </c>
      <c r="F20" s="747">
        <v>0</v>
      </c>
      <c r="G20" s="747">
        <v>0</v>
      </c>
      <c r="H20" s="745">
        <f t="shared" si="3"/>
        <v>0</v>
      </c>
      <c r="I20" s="747">
        <v>0</v>
      </c>
      <c r="J20" s="747">
        <v>0</v>
      </c>
      <c r="K20" s="1673"/>
      <c r="L20" s="1670"/>
      <c r="M20" s="1670"/>
      <c r="N20" s="747"/>
      <c r="O20" s="747"/>
      <c r="P20" s="747"/>
    </row>
    <row r="21" spans="1:16" s="129" customFormat="1" ht="11.25">
      <c r="A21" s="2696" t="s">
        <v>21</v>
      </c>
      <c r="B21" s="1673">
        <f t="shared" si="1"/>
        <v>0</v>
      </c>
      <c r="C21" s="1670">
        <v>0</v>
      </c>
      <c r="D21" s="1670">
        <v>0</v>
      </c>
      <c r="E21" s="745">
        <f t="shared" si="2"/>
        <v>0</v>
      </c>
      <c r="F21" s="747">
        <v>0</v>
      </c>
      <c r="G21" s="747">
        <v>0</v>
      </c>
      <c r="H21" s="745">
        <f t="shared" si="3"/>
        <v>0</v>
      </c>
      <c r="I21" s="747">
        <v>0</v>
      </c>
      <c r="J21" s="747">
        <v>0</v>
      </c>
      <c r="K21" s="1673"/>
      <c r="L21" s="1670"/>
      <c r="M21" s="1670"/>
      <c r="N21" s="747"/>
      <c r="O21" s="747"/>
      <c r="P21" s="747"/>
    </row>
    <row r="22" spans="1:16" s="129" customFormat="1" ht="12.75">
      <c r="A22" s="104" t="s">
        <v>3770</v>
      </c>
      <c r="B22" s="1673">
        <f t="shared" si="1"/>
        <v>440</v>
      </c>
      <c r="C22" s="1670">
        <v>225</v>
      </c>
      <c r="D22" s="1670">
        <v>215</v>
      </c>
      <c r="E22" s="745">
        <f t="shared" si="2"/>
        <v>440</v>
      </c>
      <c r="F22" s="747">
        <v>225</v>
      </c>
      <c r="G22" s="747">
        <v>215</v>
      </c>
      <c r="H22" s="745">
        <f t="shared" si="3"/>
        <v>440</v>
      </c>
      <c r="I22" s="747">
        <v>225</v>
      </c>
      <c r="J22" s="747">
        <v>215</v>
      </c>
      <c r="K22" s="1673"/>
      <c r="L22" s="1670"/>
      <c r="M22" s="1670"/>
      <c r="N22" s="747"/>
      <c r="O22" s="747"/>
      <c r="P22" s="747"/>
    </row>
    <row r="23" spans="1:16" s="129" customFormat="1" ht="5.25" customHeight="1"/>
    <row r="24" spans="1:16" s="129" customFormat="1" ht="18" customHeight="1">
      <c r="A24" s="272" t="s">
        <v>3771</v>
      </c>
      <c r="B24" s="272"/>
      <c r="C24" s="272"/>
      <c r="D24" s="272"/>
      <c r="E24" s="272"/>
      <c r="F24" s="272"/>
      <c r="G24" s="272"/>
      <c r="H24" s="1674"/>
      <c r="I24" s="1674"/>
      <c r="J24" s="1674"/>
      <c r="K24" s="1674"/>
      <c r="L24" s="1674"/>
      <c r="M24" s="1674"/>
      <c r="N24" s="1674"/>
      <c r="O24" s="1674"/>
      <c r="P24" s="1674"/>
    </row>
    <row r="25" spans="1:16" s="129" customFormat="1" ht="11.25">
      <c r="A25" s="1061" t="s">
        <v>734</v>
      </c>
      <c r="B25" s="1675"/>
      <c r="C25" s="1675"/>
      <c r="D25" s="1675"/>
    </row>
    <row r="26" spans="1:16" s="129" customFormat="1" ht="11.25">
      <c r="A26" s="104" t="s">
        <v>1088</v>
      </c>
      <c r="B26" s="104"/>
      <c r="C26" s="104"/>
      <c r="D26" s="104"/>
    </row>
  </sheetData>
  <mergeCells count="5">
    <mergeCell ref="A2:J2"/>
    <mergeCell ref="A4:A5"/>
    <mergeCell ref="B4:D4"/>
    <mergeCell ref="E4:G4"/>
    <mergeCell ref="H4:J4"/>
  </mergeCells>
  <pageMargins left="0.7" right="0.7" top="0.75" bottom="0.75" header="0.3" footer="0.3"/>
  <pageSetup paperSize="14" orientation="portrait" r:id="rId1"/>
</worksheet>
</file>

<file path=xl/worksheets/sheet88.xml><?xml version="1.0" encoding="utf-8"?>
<worksheet xmlns="http://schemas.openxmlformats.org/spreadsheetml/2006/main" xmlns:r="http://schemas.openxmlformats.org/officeDocument/2006/relationships">
  <dimension ref="A2:P27"/>
  <sheetViews>
    <sheetView zoomScaleNormal="100" workbookViewId="0">
      <selection activeCell="C35" sqref="C35"/>
    </sheetView>
  </sheetViews>
  <sheetFormatPr baseColWidth="10" defaultRowHeight="12"/>
  <cols>
    <col min="1" max="1" width="23.28515625" style="141" customWidth="1"/>
    <col min="2" max="16384" width="11.42578125" style="141"/>
  </cols>
  <sheetData>
    <row r="2" spans="1:16" s="129" customFormat="1" ht="27" customHeight="1">
      <c r="A2" s="2192" t="s">
        <v>1097</v>
      </c>
      <c r="B2" s="2192"/>
      <c r="C2" s="2192"/>
      <c r="D2" s="2192"/>
      <c r="E2" s="2192"/>
      <c r="F2" s="2192"/>
      <c r="G2" s="2192"/>
      <c r="H2" s="2192"/>
      <c r="I2" s="2192"/>
      <c r="J2" s="2192"/>
    </row>
    <row r="3" spans="1:16" s="129" customFormat="1" ht="11.25">
      <c r="A3" s="104"/>
      <c r="B3" s="104"/>
      <c r="C3" s="104"/>
      <c r="D3" s="104"/>
    </row>
    <row r="4" spans="1:16" s="129" customFormat="1" ht="15.75" customHeight="1">
      <c r="A4" s="2177" t="s">
        <v>0</v>
      </c>
      <c r="B4" s="2183">
        <v>2012</v>
      </c>
      <c r="C4" s="2183"/>
      <c r="D4" s="2183"/>
      <c r="E4" s="2183">
        <v>2013</v>
      </c>
      <c r="F4" s="2183"/>
      <c r="G4" s="2183"/>
      <c r="H4" s="2183">
        <v>2014</v>
      </c>
      <c r="I4" s="2183"/>
      <c r="J4" s="2183"/>
      <c r="K4" s="1667"/>
      <c r="L4" s="1667"/>
      <c r="M4" s="1667"/>
      <c r="N4" s="1667"/>
      <c r="O4" s="1667"/>
      <c r="P4" s="1667"/>
    </row>
    <row r="5" spans="1:16" s="129" customFormat="1" ht="15.75" customHeight="1">
      <c r="A5" s="2177"/>
      <c r="B5" s="1668" t="s">
        <v>26</v>
      </c>
      <c r="C5" s="1668" t="s">
        <v>163</v>
      </c>
      <c r="D5" s="1668" t="s">
        <v>164</v>
      </c>
      <c r="E5" s="1668" t="s">
        <v>26</v>
      </c>
      <c r="F5" s="1668" t="s">
        <v>163</v>
      </c>
      <c r="G5" s="1668" t="s">
        <v>164</v>
      </c>
      <c r="H5" s="1668" t="s">
        <v>26</v>
      </c>
      <c r="I5" s="1668" t="s">
        <v>163</v>
      </c>
      <c r="J5" s="1668" t="s">
        <v>164</v>
      </c>
      <c r="K5" s="1669"/>
      <c r="L5" s="1669"/>
      <c r="M5" s="1669"/>
      <c r="N5" s="1669"/>
      <c r="O5" s="1669"/>
      <c r="P5" s="1669"/>
    </row>
    <row r="6" spans="1:16" s="129" customFormat="1" ht="11.25">
      <c r="A6" s="276" t="s">
        <v>6</v>
      </c>
      <c r="B6" s="1673">
        <f t="shared" ref="B6:J6" si="0">SUM(B7:B22)</f>
        <v>480</v>
      </c>
      <c r="C6" s="1673">
        <f t="shared" si="0"/>
        <v>244</v>
      </c>
      <c r="D6" s="1673">
        <f t="shared" si="0"/>
        <v>236</v>
      </c>
      <c r="E6" s="1673">
        <f t="shared" si="0"/>
        <v>493</v>
      </c>
      <c r="F6" s="1673">
        <f t="shared" si="0"/>
        <v>249</v>
      </c>
      <c r="G6" s="1673">
        <f t="shared" si="0"/>
        <v>244</v>
      </c>
      <c r="H6" s="1673">
        <f t="shared" si="0"/>
        <v>565</v>
      </c>
      <c r="I6" s="1673">
        <f t="shared" si="0"/>
        <v>285</v>
      </c>
      <c r="J6" s="1673">
        <f t="shared" si="0"/>
        <v>280</v>
      </c>
      <c r="K6" s="1670"/>
      <c r="L6" s="1670"/>
      <c r="M6" s="1670"/>
    </row>
    <row r="7" spans="1:16" s="129" customFormat="1" ht="11.25">
      <c r="A7" s="2697" t="s">
        <v>7</v>
      </c>
      <c r="B7" s="1673">
        <f>SUM(C7:D7)</f>
        <v>0</v>
      </c>
      <c r="C7" s="1670">
        <v>0</v>
      </c>
      <c r="D7" s="1670">
        <v>0</v>
      </c>
      <c r="E7" s="745">
        <f>SUM(F7:G7)</f>
        <v>0</v>
      </c>
      <c r="F7" s="747">
        <v>0</v>
      </c>
      <c r="G7" s="747">
        <v>0</v>
      </c>
      <c r="H7" s="745">
        <f t="shared" ref="H7:H13" si="1">SUM(I7:J7)</f>
        <v>1</v>
      </c>
      <c r="I7" s="747">
        <v>0</v>
      </c>
      <c r="J7" s="747">
        <v>1</v>
      </c>
      <c r="K7" s="1670"/>
      <c r="L7" s="1670"/>
      <c r="M7" s="1670"/>
      <c r="N7" s="747"/>
      <c r="O7" s="747"/>
      <c r="P7" s="747"/>
    </row>
    <row r="8" spans="1:16" s="129" customFormat="1" ht="11.25">
      <c r="A8" s="2697" t="s">
        <v>8</v>
      </c>
      <c r="B8" s="1673">
        <f t="shared" ref="B8:B22" si="2">SUM(C8:D8)</f>
        <v>0</v>
      </c>
      <c r="C8" s="1670">
        <v>0</v>
      </c>
      <c r="D8" s="1670">
        <v>0</v>
      </c>
      <c r="E8" s="745">
        <f t="shared" ref="E8:E22" si="3">SUM(F8:G8)</f>
        <v>0</v>
      </c>
      <c r="F8" s="747">
        <v>0</v>
      </c>
      <c r="G8" s="747">
        <v>0</v>
      </c>
      <c r="H8" s="745">
        <f t="shared" si="1"/>
        <v>5</v>
      </c>
      <c r="I8" s="747">
        <v>4</v>
      </c>
      <c r="J8" s="747">
        <v>1</v>
      </c>
      <c r="K8" s="1670"/>
      <c r="L8" s="1670"/>
      <c r="M8" s="1670"/>
      <c r="N8" s="747"/>
      <c r="O8" s="747"/>
      <c r="P8" s="747"/>
    </row>
    <row r="9" spans="1:16" s="129" customFormat="1" ht="11.25">
      <c r="A9" s="2697" t="s">
        <v>9</v>
      </c>
      <c r="B9" s="1673">
        <f t="shared" si="2"/>
        <v>0</v>
      </c>
      <c r="C9" s="1670">
        <v>0</v>
      </c>
      <c r="D9" s="1670">
        <v>0</v>
      </c>
      <c r="E9" s="745">
        <f t="shared" si="3"/>
        <v>0</v>
      </c>
      <c r="F9" s="747">
        <v>0</v>
      </c>
      <c r="G9" s="747">
        <v>0</v>
      </c>
      <c r="H9" s="745">
        <f t="shared" si="1"/>
        <v>3</v>
      </c>
      <c r="I9" s="747">
        <v>2</v>
      </c>
      <c r="J9" s="747">
        <v>1</v>
      </c>
      <c r="K9" s="1670"/>
      <c r="L9" s="1670"/>
      <c r="M9" s="1670"/>
      <c r="N9" s="747"/>
      <c r="O9" s="747"/>
      <c r="P9" s="747"/>
    </row>
    <row r="10" spans="1:16" s="129" customFormat="1" ht="11.25">
      <c r="A10" s="2697" t="s">
        <v>10</v>
      </c>
      <c r="B10" s="1673">
        <f t="shared" si="2"/>
        <v>0</v>
      </c>
      <c r="C10" s="1670">
        <v>0</v>
      </c>
      <c r="D10" s="1670">
        <v>0</v>
      </c>
      <c r="E10" s="745">
        <f t="shared" si="3"/>
        <v>0</v>
      </c>
      <c r="F10" s="747">
        <v>0</v>
      </c>
      <c r="G10" s="747">
        <v>0</v>
      </c>
      <c r="H10" s="745">
        <f t="shared" si="1"/>
        <v>0</v>
      </c>
      <c r="I10" s="747">
        <v>0</v>
      </c>
      <c r="J10" s="747">
        <v>0</v>
      </c>
      <c r="K10" s="1670"/>
      <c r="L10" s="1670"/>
      <c r="M10" s="1670"/>
      <c r="N10" s="747"/>
      <c r="O10" s="747"/>
      <c r="P10" s="747"/>
    </row>
    <row r="11" spans="1:16" s="129" customFormat="1" ht="11.25">
      <c r="A11" s="2697" t="s">
        <v>11</v>
      </c>
      <c r="B11" s="1673">
        <f t="shared" si="2"/>
        <v>0</v>
      </c>
      <c r="C11" s="1670">
        <v>0</v>
      </c>
      <c r="D11" s="1670">
        <v>0</v>
      </c>
      <c r="E11" s="745">
        <f t="shared" si="3"/>
        <v>0</v>
      </c>
      <c r="F11" s="747">
        <v>0</v>
      </c>
      <c r="G11" s="747">
        <v>0</v>
      </c>
      <c r="H11" s="745">
        <f t="shared" si="1"/>
        <v>0</v>
      </c>
      <c r="I11" s="747">
        <v>0</v>
      </c>
      <c r="J11" s="747">
        <v>0</v>
      </c>
      <c r="K11" s="1670"/>
      <c r="L11" s="1670"/>
      <c r="M11" s="1670"/>
      <c r="N11" s="747"/>
      <c r="O11" s="747"/>
      <c r="P11" s="747"/>
    </row>
    <row r="12" spans="1:16" s="129" customFormat="1" ht="11.25">
      <c r="A12" s="2697" t="s">
        <v>12</v>
      </c>
      <c r="B12" s="1673">
        <f t="shared" si="2"/>
        <v>1</v>
      </c>
      <c r="C12" s="1670">
        <v>1</v>
      </c>
      <c r="D12" s="1670">
        <v>0</v>
      </c>
      <c r="E12" s="745">
        <f t="shared" si="3"/>
        <v>1</v>
      </c>
      <c r="F12" s="747">
        <v>1</v>
      </c>
      <c r="G12" s="747"/>
      <c r="H12" s="745">
        <f t="shared" si="1"/>
        <v>3</v>
      </c>
      <c r="I12" s="747">
        <v>2</v>
      </c>
      <c r="J12" s="747">
        <v>1</v>
      </c>
      <c r="K12" s="1670"/>
      <c r="L12" s="1670"/>
      <c r="M12" s="1670"/>
      <c r="N12" s="747"/>
      <c r="O12" s="747"/>
      <c r="P12" s="747"/>
    </row>
    <row r="13" spans="1:16" s="129" customFormat="1" ht="11.25">
      <c r="A13" s="2697" t="s">
        <v>13</v>
      </c>
      <c r="B13" s="1673">
        <f t="shared" si="2"/>
        <v>39</v>
      </c>
      <c r="C13" s="1670">
        <v>18</v>
      </c>
      <c r="D13" s="1670">
        <v>21</v>
      </c>
      <c r="E13" s="745">
        <f>SUM(F13:G13)</f>
        <v>52</v>
      </c>
      <c r="F13" s="747">
        <v>23</v>
      </c>
      <c r="G13" s="747">
        <v>29</v>
      </c>
      <c r="H13" s="745">
        <f t="shared" si="1"/>
        <v>107</v>
      </c>
      <c r="I13" s="747">
        <v>49</v>
      </c>
      <c r="J13" s="747">
        <v>58</v>
      </c>
      <c r="K13" s="1670"/>
      <c r="L13" s="1670"/>
      <c r="M13" s="1670"/>
      <c r="N13" s="747"/>
      <c r="O13" s="747"/>
      <c r="P13" s="747"/>
    </row>
    <row r="14" spans="1:16" s="129" customFormat="1" ht="11.25">
      <c r="A14" s="2697" t="s">
        <v>14</v>
      </c>
      <c r="B14" s="1673">
        <f t="shared" si="2"/>
        <v>0</v>
      </c>
      <c r="C14" s="1670">
        <v>0</v>
      </c>
      <c r="D14" s="1670">
        <v>0</v>
      </c>
      <c r="E14" s="745">
        <f t="shared" si="3"/>
        <v>0</v>
      </c>
      <c r="F14" s="747">
        <v>0</v>
      </c>
      <c r="G14" s="747">
        <v>0</v>
      </c>
      <c r="H14" s="745">
        <f t="shared" ref="H14:H22" si="4">SUM(I14:J14)</f>
        <v>0</v>
      </c>
      <c r="I14" s="747">
        <v>0</v>
      </c>
      <c r="J14" s="747">
        <v>0</v>
      </c>
      <c r="K14" s="1670"/>
      <c r="L14" s="1670"/>
      <c r="M14" s="1670"/>
      <c r="N14" s="747"/>
      <c r="O14" s="747"/>
      <c r="P14" s="747"/>
    </row>
    <row r="15" spans="1:16" s="129" customFormat="1" ht="11.25">
      <c r="A15" s="2697" t="s">
        <v>15</v>
      </c>
      <c r="B15" s="1673">
        <f t="shared" si="2"/>
        <v>0</v>
      </c>
      <c r="C15" s="1670">
        <v>0</v>
      </c>
      <c r="D15" s="1670">
        <v>0</v>
      </c>
      <c r="E15" s="745">
        <f t="shared" si="3"/>
        <v>0</v>
      </c>
      <c r="F15" s="747">
        <v>0</v>
      </c>
      <c r="G15" s="747">
        <v>0</v>
      </c>
      <c r="H15" s="745">
        <f t="shared" si="4"/>
        <v>0</v>
      </c>
      <c r="I15" s="747">
        <v>0</v>
      </c>
      <c r="J15" s="747">
        <v>0</v>
      </c>
      <c r="K15" s="1670"/>
      <c r="L15" s="1670"/>
      <c r="M15" s="1670"/>
      <c r="N15" s="747"/>
      <c r="O15" s="747"/>
      <c r="P15" s="747"/>
    </row>
    <row r="16" spans="1:16" s="129" customFormat="1" ht="11.25">
      <c r="A16" s="2697" t="s">
        <v>16</v>
      </c>
      <c r="B16" s="1673">
        <f t="shared" si="2"/>
        <v>0</v>
      </c>
      <c r="C16" s="1670">
        <v>0</v>
      </c>
      <c r="D16" s="1670">
        <v>0</v>
      </c>
      <c r="E16" s="745">
        <f t="shared" si="3"/>
        <v>0</v>
      </c>
      <c r="F16" s="747">
        <v>0</v>
      </c>
      <c r="G16" s="747">
        <v>0</v>
      </c>
      <c r="H16" s="745">
        <f t="shared" si="4"/>
        <v>1</v>
      </c>
      <c r="I16" s="747">
        <v>1</v>
      </c>
      <c r="J16" s="747">
        <v>0</v>
      </c>
      <c r="K16" s="1670"/>
      <c r="L16" s="1670"/>
      <c r="M16" s="1670"/>
      <c r="N16" s="747"/>
      <c r="O16" s="747"/>
      <c r="P16" s="747"/>
    </row>
    <row r="17" spans="1:16" s="129" customFormat="1" ht="11.25">
      <c r="A17" s="2697" t="s">
        <v>17</v>
      </c>
      <c r="B17" s="1673">
        <f t="shared" si="2"/>
        <v>0</v>
      </c>
      <c r="C17" s="1670">
        <v>0</v>
      </c>
      <c r="D17" s="1670">
        <v>0</v>
      </c>
      <c r="E17" s="745">
        <f t="shared" si="3"/>
        <v>0</v>
      </c>
      <c r="F17" s="747">
        <v>0</v>
      </c>
      <c r="G17" s="747">
        <v>0</v>
      </c>
      <c r="H17" s="745">
        <f t="shared" si="4"/>
        <v>3</v>
      </c>
      <c r="I17" s="747">
        <v>2</v>
      </c>
      <c r="J17" s="747">
        <v>1</v>
      </c>
      <c r="K17" s="1670"/>
      <c r="L17" s="1670"/>
      <c r="M17" s="1670"/>
      <c r="N17" s="747"/>
      <c r="O17" s="747"/>
      <c r="P17" s="747"/>
    </row>
    <row r="18" spans="1:16" s="129" customFormat="1" ht="11.25">
      <c r="A18" s="2697" t="s">
        <v>18</v>
      </c>
      <c r="B18" s="1673">
        <f t="shared" si="2"/>
        <v>0</v>
      </c>
      <c r="C18" s="1670">
        <v>0</v>
      </c>
      <c r="D18" s="1670">
        <v>0</v>
      </c>
      <c r="E18" s="745">
        <f t="shared" si="3"/>
        <v>0</v>
      </c>
      <c r="F18" s="747">
        <v>0</v>
      </c>
      <c r="G18" s="747">
        <v>0</v>
      </c>
      <c r="H18" s="745">
        <f t="shared" si="4"/>
        <v>0</v>
      </c>
      <c r="I18" s="747">
        <v>0</v>
      </c>
      <c r="J18" s="747">
        <v>0</v>
      </c>
      <c r="K18" s="1670"/>
      <c r="L18" s="1670"/>
      <c r="M18" s="1670"/>
      <c r="N18" s="747"/>
      <c r="O18" s="747"/>
      <c r="P18" s="747"/>
    </row>
    <row r="19" spans="1:16" s="129" customFormat="1" ht="11.25">
      <c r="A19" s="2697" t="s">
        <v>19</v>
      </c>
      <c r="B19" s="1673">
        <f t="shared" si="2"/>
        <v>0</v>
      </c>
      <c r="C19" s="1670">
        <v>0</v>
      </c>
      <c r="D19" s="1670">
        <v>0</v>
      </c>
      <c r="E19" s="745">
        <f t="shared" si="3"/>
        <v>0</v>
      </c>
      <c r="F19" s="747">
        <v>0</v>
      </c>
      <c r="G19" s="747">
        <v>0</v>
      </c>
      <c r="H19" s="745">
        <f t="shared" si="4"/>
        <v>2</v>
      </c>
      <c r="I19" s="747">
        <v>0</v>
      </c>
      <c r="J19" s="747">
        <v>2</v>
      </c>
      <c r="K19" s="1670"/>
      <c r="L19" s="1670"/>
      <c r="M19" s="1670"/>
      <c r="N19" s="747"/>
      <c r="O19" s="747"/>
      <c r="P19" s="747"/>
    </row>
    <row r="20" spans="1:16" s="129" customFormat="1" ht="11.25">
      <c r="A20" s="2697" t="s">
        <v>20</v>
      </c>
      <c r="B20" s="1673">
        <f t="shared" si="2"/>
        <v>0</v>
      </c>
      <c r="C20" s="1670">
        <v>0</v>
      </c>
      <c r="D20" s="1670">
        <v>0</v>
      </c>
      <c r="E20" s="745">
        <f t="shared" si="3"/>
        <v>0</v>
      </c>
      <c r="F20" s="747">
        <v>0</v>
      </c>
      <c r="G20" s="747">
        <v>0</v>
      </c>
      <c r="H20" s="745">
        <f t="shared" si="4"/>
        <v>0</v>
      </c>
      <c r="I20" s="747">
        <v>0</v>
      </c>
      <c r="J20" s="747">
        <v>0</v>
      </c>
      <c r="K20" s="1670"/>
      <c r="L20" s="1670"/>
      <c r="M20" s="1670"/>
      <c r="N20" s="747"/>
      <c r="O20" s="747"/>
      <c r="P20" s="747"/>
    </row>
    <row r="21" spans="1:16" s="129" customFormat="1" ht="11.25">
      <c r="A21" s="2697" t="s">
        <v>21</v>
      </c>
      <c r="B21" s="1673">
        <f t="shared" si="2"/>
        <v>0</v>
      </c>
      <c r="C21" s="1670">
        <v>0</v>
      </c>
      <c r="D21" s="1670">
        <v>0</v>
      </c>
      <c r="E21" s="745">
        <f t="shared" si="3"/>
        <v>0</v>
      </c>
      <c r="F21" s="747">
        <v>0</v>
      </c>
      <c r="G21" s="747">
        <v>0</v>
      </c>
      <c r="H21" s="745">
        <f t="shared" si="4"/>
        <v>0</v>
      </c>
      <c r="I21" s="747">
        <v>0</v>
      </c>
      <c r="J21" s="747">
        <v>0</v>
      </c>
      <c r="K21" s="1670"/>
      <c r="L21" s="1670"/>
      <c r="M21" s="1670"/>
      <c r="N21" s="747"/>
      <c r="O21" s="747"/>
      <c r="P21" s="747"/>
    </row>
    <row r="22" spans="1:16" s="129" customFormat="1" ht="12.75">
      <c r="A22" s="104" t="s">
        <v>3770</v>
      </c>
      <c r="B22" s="1673">
        <f t="shared" si="2"/>
        <v>440</v>
      </c>
      <c r="C22" s="1670">
        <v>225</v>
      </c>
      <c r="D22" s="1670">
        <v>215</v>
      </c>
      <c r="E22" s="745">
        <f t="shared" si="3"/>
        <v>440</v>
      </c>
      <c r="F22" s="747">
        <v>225</v>
      </c>
      <c r="G22" s="747">
        <v>215</v>
      </c>
      <c r="H22" s="745">
        <f t="shared" si="4"/>
        <v>440</v>
      </c>
      <c r="I22" s="747">
        <v>225</v>
      </c>
      <c r="J22" s="747">
        <v>215</v>
      </c>
      <c r="K22" s="1670"/>
      <c r="L22" s="1670"/>
      <c r="M22" s="1670"/>
      <c r="N22" s="747"/>
      <c r="O22" s="747"/>
      <c r="P22" s="747"/>
    </row>
    <row r="23" spans="1:16" s="129" customFormat="1" ht="6" customHeight="1">
      <c r="B23" s="1673"/>
    </row>
    <row r="24" spans="1:16" s="129" customFormat="1" ht="12.75" customHeight="1">
      <c r="A24" s="270" t="s">
        <v>3771</v>
      </c>
      <c r="B24" s="270"/>
      <c r="C24" s="270"/>
      <c r="D24" s="270"/>
      <c r="E24" s="270"/>
      <c r="F24" s="270"/>
      <c r="G24" s="270"/>
      <c r="H24" s="1674"/>
      <c r="I24" s="1674"/>
      <c r="J24" s="1674"/>
      <c r="K24" s="1674"/>
      <c r="L24" s="1674"/>
      <c r="M24" s="1674"/>
      <c r="N24" s="1674"/>
      <c r="O24" s="1674"/>
      <c r="P24" s="1674"/>
    </row>
    <row r="25" spans="1:16" s="129" customFormat="1" ht="11.25">
      <c r="A25" s="1061" t="s">
        <v>734</v>
      </c>
      <c r="B25" s="1675"/>
      <c r="C25" s="1675"/>
      <c r="D25" s="1675"/>
    </row>
    <row r="26" spans="1:16" s="129" customFormat="1" ht="11.25">
      <c r="A26" s="104" t="s">
        <v>1088</v>
      </c>
      <c r="B26" s="104"/>
      <c r="C26" s="104"/>
      <c r="D26" s="104"/>
    </row>
    <row r="27" spans="1:16" s="129" customFormat="1" ht="11.25"/>
  </sheetData>
  <mergeCells count="5">
    <mergeCell ref="A2:J2"/>
    <mergeCell ref="A4:A5"/>
    <mergeCell ref="B4:D4"/>
    <mergeCell ref="E4:G4"/>
    <mergeCell ref="H4:J4"/>
  </mergeCells>
  <pageMargins left="0.7" right="0.7" top="0.75" bottom="0.75" header="0.3" footer="0.3"/>
  <pageSetup paperSize="14" orientation="portrait" r:id="rId1"/>
</worksheet>
</file>

<file path=xl/worksheets/sheet89.xml><?xml version="1.0" encoding="utf-8"?>
<worksheet xmlns="http://schemas.openxmlformats.org/spreadsheetml/2006/main" xmlns:r="http://schemas.openxmlformats.org/officeDocument/2006/relationships">
  <dimension ref="A1:P26"/>
  <sheetViews>
    <sheetView zoomScaleNormal="100" workbookViewId="0">
      <selection activeCell="F28" sqref="F28"/>
    </sheetView>
  </sheetViews>
  <sheetFormatPr baseColWidth="10" defaultRowHeight="11.25"/>
  <cols>
    <col min="1" max="1" width="40.7109375" style="129" customWidth="1"/>
    <col min="2" max="2" width="7.85546875" style="129" bestFit="1" customWidth="1"/>
    <col min="3" max="3" width="9.85546875" style="129" bestFit="1" customWidth="1"/>
    <col min="4" max="4" width="9" style="129" bestFit="1" customWidth="1"/>
    <col min="5" max="5" width="8.85546875" style="129" customWidth="1"/>
    <col min="6" max="6" width="10" style="129" customWidth="1"/>
    <col min="7" max="8" width="8.5703125" style="129" customWidth="1"/>
    <col min="9" max="9" width="10.42578125" style="129" customWidth="1"/>
    <col min="10" max="10" width="9.7109375" style="129" customWidth="1"/>
    <col min="11" max="11" width="8.140625" style="129" bestFit="1" customWidth="1"/>
    <col min="12" max="12" width="9.140625" style="129" customWidth="1"/>
    <col min="13" max="13" width="8.5703125" style="129" customWidth="1"/>
    <col min="14" max="14" width="7.85546875" style="129" bestFit="1" customWidth="1"/>
    <col min="15" max="15" width="9.140625" style="129" customWidth="1"/>
    <col min="16" max="16" width="8.28515625" style="129" customWidth="1"/>
    <col min="17" max="16384" width="11.42578125" style="129"/>
  </cols>
  <sheetData>
    <row r="1" spans="1:16">
      <c r="A1" s="1665"/>
      <c r="B1" s="1666"/>
      <c r="C1" s="1170"/>
      <c r="D1" s="1170"/>
    </row>
    <row r="2" spans="1:16" ht="26.25" customHeight="1">
      <c r="A2" s="2180" t="s">
        <v>1098</v>
      </c>
      <c r="B2" s="2180"/>
      <c r="C2" s="2180"/>
      <c r="D2" s="2180"/>
      <c r="E2" s="2180"/>
      <c r="F2" s="2180"/>
      <c r="G2" s="2180"/>
      <c r="H2" s="2180"/>
      <c r="I2" s="2180"/>
      <c r="J2" s="2180"/>
    </row>
    <row r="3" spans="1:16">
      <c r="A3" s="104"/>
      <c r="B3" s="104"/>
      <c r="C3" s="104"/>
      <c r="D3" s="104"/>
    </row>
    <row r="4" spans="1:16">
      <c r="A4" s="2177" t="s">
        <v>0</v>
      </c>
      <c r="B4" s="2183">
        <v>2012</v>
      </c>
      <c r="C4" s="2183"/>
      <c r="D4" s="2183"/>
      <c r="E4" s="2183">
        <v>2013</v>
      </c>
      <c r="F4" s="2183"/>
      <c r="G4" s="2183"/>
      <c r="H4" s="2183">
        <v>2014</v>
      </c>
      <c r="I4" s="2183"/>
      <c r="J4" s="2183"/>
      <c r="K4" s="1667"/>
      <c r="L4" s="1667"/>
      <c r="M4" s="1667"/>
      <c r="N4" s="1667"/>
      <c r="O4" s="1667"/>
      <c r="P4" s="1667"/>
    </row>
    <row r="5" spans="1:16" ht="22.5">
      <c r="A5" s="2177"/>
      <c r="B5" s="1668" t="s">
        <v>26</v>
      </c>
      <c r="C5" s="1668" t="s">
        <v>163</v>
      </c>
      <c r="D5" s="1668" t="s">
        <v>164</v>
      </c>
      <c r="E5" s="1668" t="s">
        <v>26</v>
      </c>
      <c r="F5" s="1668" t="s">
        <v>163</v>
      </c>
      <c r="G5" s="1668" t="s">
        <v>164</v>
      </c>
      <c r="H5" s="1668" t="s">
        <v>26</v>
      </c>
      <c r="I5" s="1668" t="s">
        <v>163</v>
      </c>
      <c r="J5" s="1668" t="s">
        <v>164</v>
      </c>
      <c r="K5" s="1669"/>
      <c r="L5" s="1669"/>
      <c r="M5" s="1669"/>
      <c r="N5" s="1669"/>
      <c r="O5" s="1669"/>
      <c r="P5" s="1669"/>
    </row>
    <row r="6" spans="1:16">
      <c r="A6" s="276" t="s">
        <v>6</v>
      </c>
      <c r="B6" s="1673">
        <f t="shared" ref="B6:J6" si="0">SUM(B7:B22)</f>
        <v>474</v>
      </c>
      <c r="C6" s="1673">
        <f t="shared" si="0"/>
        <v>239</v>
      </c>
      <c r="D6" s="1673">
        <f t="shared" si="0"/>
        <v>235</v>
      </c>
      <c r="E6" s="745">
        <f t="shared" si="0"/>
        <v>482</v>
      </c>
      <c r="F6" s="745">
        <f t="shared" si="0"/>
        <v>242</v>
      </c>
      <c r="G6" s="745">
        <f t="shared" si="0"/>
        <v>240</v>
      </c>
      <c r="H6" s="745">
        <f t="shared" si="0"/>
        <v>528</v>
      </c>
      <c r="I6" s="745">
        <f t="shared" si="0"/>
        <v>254</v>
      </c>
      <c r="J6" s="745">
        <f t="shared" si="0"/>
        <v>274</v>
      </c>
      <c r="K6" s="1670"/>
      <c r="L6" s="1670"/>
      <c r="M6" s="1670"/>
    </row>
    <row r="7" spans="1:16">
      <c r="A7" s="2698" t="s">
        <v>7</v>
      </c>
      <c r="B7" s="1673">
        <f>SUM(C7:D7)</f>
        <v>0</v>
      </c>
      <c r="C7" s="1670">
        <v>0</v>
      </c>
      <c r="D7" s="1670">
        <v>0</v>
      </c>
      <c r="E7" s="745">
        <f>SUM(F7:G7)</f>
        <v>0</v>
      </c>
      <c r="F7" s="747">
        <v>0</v>
      </c>
      <c r="G7" s="747">
        <v>0</v>
      </c>
      <c r="H7" s="745">
        <f t="shared" ref="H7:H12" si="1">SUM(I7:J7)</f>
        <v>1</v>
      </c>
      <c r="I7" s="747">
        <v>0</v>
      </c>
      <c r="J7" s="747">
        <v>1</v>
      </c>
      <c r="K7" s="1670"/>
      <c r="L7" s="1670"/>
      <c r="M7" s="1670"/>
      <c r="N7" s="747"/>
      <c r="O7" s="747"/>
      <c r="P7" s="747"/>
    </row>
    <row r="8" spans="1:16">
      <c r="A8" s="2698" t="s">
        <v>8</v>
      </c>
      <c r="B8" s="1673">
        <f t="shared" ref="B8:B22" si="2">SUM(C8:D8)</f>
        <v>0</v>
      </c>
      <c r="C8" s="1670">
        <v>0</v>
      </c>
      <c r="D8" s="1670">
        <v>0</v>
      </c>
      <c r="E8" s="745">
        <f t="shared" ref="E8:E22" si="3">SUM(F8:G8)</f>
        <v>0</v>
      </c>
      <c r="F8" s="747">
        <v>0</v>
      </c>
      <c r="G8" s="747">
        <v>0</v>
      </c>
      <c r="H8" s="745">
        <f t="shared" si="1"/>
        <v>5</v>
      </c>
      <c r="I8" s="747">
        <v>4</v>
      </c>
      <c r="J8" s="747">
        <v>1</v>
      </c>
      <c r="K8" s="1670"/>
      <c r="L8" s="1670"/>
      <c r="M8" s="1670"/>
      <c r="N8" s="747"/>
      <c r="O8" s="747"/>
      <c r="P8" s="747"/>
    </row>
    <row r="9" spans="1:16">
      <c r="A9" s="2698" t="s">
        <v>9</v>
      </c>
      <c r="B9" s="1673">
        <f t="shared" si="2"/>
        <v>0</v>
      </c>
      <c r="C9" s="1670">
        <v>0</v>
      </c>
      <c r="D9" s="1670">
        <v>0</v>
      </c>
      <c r="E9" s="745">
        <f t="shared" si="3"/>
        <v>0</v>
      </c>
      <c r="F9" s="747">
        <v>0</v>
      </c>
      <c r="G9" s="747">
        <v>0</v>
      </c>
      <c r="H9" s="745">
        <f t="shared" si="1"/>
        <v>3</v>
      </c>
      <c r="I9" s="747">
        <v>2</v>
      </c>
      <c r="J9" s="747">
        <v>1</v>
      </c>
      <c r="K9" s="1670"/>
      <c r="L9" s="1670"/>
      <c r="M9" s="1670"/>
      <c r="N9" s="747"/>
      <c r="O9" s="747"/>
      <c r="P9" s="747"/>
    </row>
    <row r="10" spans="1:16">
      <c r="A10" s="2698" t="s">
        <v>10</v>
      </c>
      <c r="B10" s="1673">
        <f t="shared" si="2"/>
        <v>0</v>
      </c>
      <c r="C10" s="1670">
        <v>0</v>
      </c>
      <c r="D10" s="1670">
        <v>0</v>
      </c>
      <c r="E10" s="745">
        <f t="shared" si="3"/>
        <v>0</v>
      </c>
      <c r="F10" s="747">
        <v>0</v>
      </c>
      <c r="G10" s="747">
        <v>0</v>
      </c>
      <c r="H10" s="745">
        <f t="shared" si="1"/>
        <v>0</v>
      </c>
      <c r="I10" s="747">
        <v>0</v>
      </c>
      <c r="J10" s="747">
        <v>0</v>
      </c>
      <c r="K10" s="1670"/>
      <c r="L10" s="1670"/>
      <c r="M10" s="1670"/>
      <c r="N10" s="747"/>
      <c r="O10" s="747"/>
      <c r="P10" s="747"/>
    </row>
    <row r="11" spans="1:16">
      <c r="A11" s="2698" t="s">
        <v>11</v>
      </c>
      <c r="B11" s="1673">
        <f t="shared" si="2"/>
        <v>0</v>
      </c>
      <c r="C11" s="1670">
        <v>0</v>
      </c>
      <c r="D11" s="1670">
        <v>0</v>
      </c>
      <c r="E11" s="745">
        <f t="shared" si="3"/>
        <v>0</v>
      </c>
      <c r="F11" s="747">
        <v>0</v>
      </c>
      <c r="G11" s="747">
        <v>0</v>
      </c>
      <c r="H11" s="745">
        <f t="shared" si="1"/>
        <v>0</v>
      </c>
      <c r="I11" s="747">
        <v>0</v>
      </c>
      <c r="J11" s="747">
        <v>0</v>
      </c>
      <c r="K11" s="1670"/>
      <c r="L11" s="1670"/>
      <c r="M11" s="1670"/>
      <c r="N11" s="747"/>
      <c r="O11" s="747"/>
      <c r="P11" s="747"/>
    </row>
    <row r="12" spans="1:16">
      <c r="A12" s="2698" t="s">
        <v>12</v>
      </c>
      <c r="B12" s="1673">
        <f t="shared" si="2"/>
        <v>0</v>
      </c>
      <c r="C12" s="1670">
        <v>0</v>
      </c>
      <c r="D12" s="1670">
        <v>0</v>
      </c>
      <c r="E12" s="745">
        <f>SUM(F12:G12)</f>
        <v>0</v>
      </c>
      <c r="F12" s="747">
        <v>0</v>
      </c>
      <c r="G12" s="747">
        <v>0</v>
      </c>
      <c r="H12" s="745">
        <f t="shared" si="1"/>
        <v>2</v>
      </c>
      <c r="I12" s="747">
        <v>1</v>
      </c>
      <c r="J12" s="747">
        <v>1</v>
      </c>
      <c r="K12" s="1670"/>
      <c r="L12" s="1670"/>
      <c r="M12" s="1670"/>
      <c r="N12" s="747"/>
      <c r="O12" s="747"/>
      <c r="P12" s="747"/>
    </row>
    <row r="13" spans="1:16">
      <c r="A13" s="2698" t="s">
        <v>13</v>
      </c>
      <c r="B13" s="1673">
        <f>SUM(C13:D13)</f>
        <v>34</v>
      </c>
      <c r="C13" s="1670">
        <v>14</v>
      </c>
      <c r="D13" s="1670">
        <v>20</v>
      </c>
      <c r="E13" s="745">
        <f t="shared" si="3"/>
        <v>42</v>
      </c>
      <c r="F13" s="747">
        <v>17</v>
      </c>
      <c r="G13" s="747">
        <v>25</v>
      </c>
      <c r="H13" s="745">
        <f t="shared" ref="H13:H22" si="4">SUM(I13:J13)</f>
        <v>69</v>
      </c>
      <c r="I13" s="747">
        <v>19</v>
      </c>
      <c r="J13" s="747">
        <v>50</v>
      </c>
      <c r="K13" s="1670"/>
      <c r="L13" s="1670"/>
      <c r="M13" s="1670"/>
      <c r="N13" s="747"/>
      <c r="O13" s="747"/>
      <c r="P13" s="747"/>
    </row>
    <row r="14" spans="1:16">
      <c r="A14" s="2698" t="s">
        <v>14</v>
      </c>
      <c r="B14" s="1673">
        <f t="shared" si="2"/>
        <v>0</v>
      </c>
      <c r="C14" s="1670">
        <v>0</v>
      </c>
      <c r="D14" s="1670">
        <v>0</v>
      </c>
      <c r="E14" s="745">
        <f t="shared" si="3"/>
        <v>0</v>
      </c>
      <c r="F14" s="747">
        <v>0</v>
      </c>
      <c r="G14" s="747">
        <v>0</v>
      </c>
      <c r="H14" s="745">
        <f t="shared" si="4"/>
        <v>0</v>
      </c>
      <c r="I14" s="747">
        <v>0</v>
      </c>
      <c r="J14" s="747">
        <v>0</v>
      </c>
      <c r="K14" s="1670"/>
      <c r="L14" s="1670"/>
      <c r="M14" s="1670"/>
      <c r="N14" s="747"/>
      <c r="O14" s="747"/>
      <c r="P14" s="747"/>
    </row>
    <row r="15" spans="1:16">
      <c r="A15" s="2698" t="s">
        <v>15</v>
      </c>
      <c r="B15" s="1673">
        <f t="shared" si="2"/>
        <v>0</v>
      </c>
      <c r="C15" s="1670">
        <v>0</v>
      </c>
      <c r="D15" s="1670">
        <v>0</v>
      </c>
      <c r="E15" s="745">
        <f t="shared" si="3"/>
        <v>0</v>
      </c>
      <c r="F15" s="747">
        <v>0</v>
      </c>
      <c r="G15" s="747">
        <v>0</v>
      </c>
      <c r="H15" s="745">
        <f t="shared" si="4"/>
        <v>1</v>
      </c>
      <c r="I15" s="747">
        <v>0</v>
      </c>
      <c r="J15" s="747">
        <v>1</v>
      </c>
      <c r="K15" s="1670"/>
      <c r="L15" s="1670"/>
      <c r="M15" s="1670"/>
      <c r="N15" s="747"/>
      <c r="O15" s="747"/>
      <c r="P15" s="747"/>
    </row>
    <row r="16" spans="1:16">
      <c r="A16" s="2698" t="s">
        <v>16</v>
      </c>
      <c r="B16" s="1673">
        <f t="shared" si="2"/>
        <v>0</v>
      </c>
      <c r="C16" s="1670">
        <v>0</v>
      </c>
      <c r="D16" s="1670">
        <v>0</v>
      </c>
      <c r="E16" s="745">
        <f t="shared" si="3"/>
        <v>0</v>
      </c>
      <c r="F16" s="747">
        <v>0</v>
      </c>
      <c r="G16" s="747">
        <v>0</v>
      </c>
      <c r="H16" s="745">
        <f t="shared" si="4"/>
        <v>2</v>
      </c>
      <c r="I16" s="747">
        <v>1</v>
      </c>
      <c r="J16" s="747">
        <v>1</v>
      </c>
      <c r="K16" s="1670"/>
      <c r="L16" s="1670"/>
      <c r="M16" s="1670"/>
      <c r="N16" s="747"/>
      <c r="O16" s="747"/>
      <c r="P16" s="747"/>
    </row>
    <row r="17" spans="1:16">
      <c r="A17" s="2698" t="s">
        <v>17</v>
      </c>
      <c r="B17" s="1673">
        <f t="shared" si="2"/>
        <v>0</v>
      </c>
      <c r="C17" s="1670">
        <v>0</v>
      </c>
      <c r="D17" s="1670">
        <v>0</v>
      </c>
      <c r="E17" s="745">
        <f t="shared" si="3"/>
        <v>0</v>
      </c>
      <c r="F17" s="747">
        <v>0</v>
      </c>
      <c r="G17" s="747">
        <v>0</v>
      </c>
      <c r="H17" s="745">
        <f t="shared" si="4"/>
        <v>3</v>
      </c>
      <c r="I17" s="747">
        <v>2</v>
      </c>
      <c r="J17" s="747">
        <v>1</v>
      </c>
      <c r="K17" s="1670"/>
      <c r="L17" s="1670"/>
      <c r="M17" s="1670"/>
      <c r="N17" s="747"/>
      <c r="O17" s="747"/>
      <c r="P17" s="747"/>
    </row>
    <row r="18" spans="1:16">
      <c r="A18" s="2698" t="s">
        <v>18</v>
      </c>
      <c r="B18" s="1673">
        <f t="shared" si="2"/>
        <v>0</v>
      </c>
      <c r="C18" s="1670">
        <v>0</v>
      </c>
      <c r="D18" s="1670">
        <v>0</v>
      </c>
      <c r="E18" s="745">
        <f t="shared" si="3"/>
        <v>0</v>
      </c>
      <c r="F18" s="747">
        <v>0</v>
      </c>
      <c r="G18" s="747">
        <v>0</v>
      </c>
      <c r="H18" s="745">
        <f t="shared" si="4"/>
        <v>0</v>
      </c>
      <c r="I18" s="747">
        <v>0</v>
      </c>
      <c r="J18" s="747">
        <v>0</v>
      </c>
      <c r="K18" s="1670"/>
      <c r="L18" s="1670"/>
      <c r="M18" s="1670"/>
      <c r="N18" s="747"/>
      <c r="O18" s="747"/>
      <c r="P18" s="747"/>
    </row>
    <row r="19" spans="1:16">
      <c r="A19" s="2698" t="s">
        <v>19</v>
      </c>
      <c r="B19" s="1673">
        <f t="shared" si="2"/>
        <v>0</v>
      </c>
      <c r="C19" s="1670">
        <v>0</v>
      </c>
      <c r="D19" s="1670">
        <v>0</v>
      </c>
      <c r="E19" s="745">
        <f t="shared" si="3"/>
        <v>0</v>
      </c>
      <c r="F19" s="747">
        <v>0</v>
      </c>
      <c r="G19" s="747">
        <v>0</v>
      </c>
      <c r="H19" s="745">
        <f t="shared" si="4"/>
        <v>2</v>
      </c>
      <c r="I19" s="747">
        <v>0</v>
      </c>
      <c r="J19" s="747">
        <v>2</v>
      </c>
      <c r="K19" s="1670"/>
      <c r="L19" s="1670"/>
      <c r="M19" s="1670"/>
      <c r="N19" s="747"/>
      <c r="O19" s="747"/>
      <c r="P19" s="747"/>
    </row>
    <row r="20" spans="1:16">
      <c r="A20" s="2698" t="s">
        <v>20</v>
      </c>
      <c r="B20" s="1673">
        <f t="shared" si="2"/>
        <v>0</v>
      </c>
      <c r="C20" s="1670">
        <v>0</v>
      </c>
      <c r="D20" s="1670">
        <v>0</v>
      </c>
      <c r="E20" s="745">
        <f t="shared" si="3"/>
        <v>0</v>
      </c>
      <c r="F20" s="747">
        <v>0</v>
      </c>
      <c r="G20" s="747">
        <v>0</v>
      </c>
      <c r="H20" s="745">
        <f t="shared" si="4"/>
        <v>0</v>
      </c>
      <c r="I20" s="747">
        <v>0</v>
      </c>
      <c r="J20" s="747">
        <v>0</v>
      </c>
      <c r="K20" s="1670"/>
      <c r="L20" s="1670"/>
      <c r="M20" s="1670"/>
      <c r="N20" s="747"/>
      <c r="O20" s="747"/>
      <c r="P20" s="747"/>
    </row>
    <row r="21" spans="1:16">
      <c r="A21" s="2698" t="s">
        <v>21</v>
      </c>
      <c r="B21" s="1673">
        <f t="shared" si="2"/>
        <v>0</v>
      </c>
      <c r="C21" s="1670">
        <v>0</v>
      </c>
      <c r="D21" s="1670">
        <v>0</v>
      </c>
      <c r="E21" s="745">
        <f t="shared" si="3"/>
        <v>0</v>
      </c>
      <c r="F21" s="747">
        <v>0</v>
      </c>
      <c r="G21" s="747">
        <v>0</v>
      </c>
      <c r="H21" s="745">
        <f t="shared" si="4"/>
        <v>0</v>
      </c>
      <c r="I21" s="747">
        <v>0</v>
      </c>
      <c r="J21" s="747">
        <v>0</v>
      </c>
      <c r="K21" s="1670"/>
      <c r="L21" s="1670"/>
      <c r="M21" s="1670"/>
      <c r="N21" s="747"/>
      <c r="O21" s="747"/>
      <c r="P21" s="747"/>
    </row>
    <row r="22" spans="1:16" ht="12.75">
      <c r="A22" s="104" t="s">
        <v>3770</v>
      </c>
      <c r="B22" s="1673">
        <f t="shared" si="2"/>
        <v>440</v>
      </c>
      <c r="C22" s="1670">
        <v>225</v>
      </c>
      <c r="D22" s="1670">
        <v>215</v>
      </c>
      <c r="E22" s="745">
        <f t="shared" si="3"/>
        <v>440</v>
      </c>
      <c r="F22" s="747">
        <v>225</v>
      </c>
      <c r="G22" s="747">
        <v>215</v>
      </c>
      <c r="H22" s="745">
        <f t="shared" si="4"/>
        <v>440</v>
      </c>
      <c r="I22" s="747">
        <v>225</v>
      </c>
      <c r="J22" s="747">
        <v>215</v>
      </c>
      <c r="K22" s="1670"/>
      <c r="L22" s="1670"/>
      <c r="M22" s="1670"/>
      <c r="N22" s="747"/>
      <c r="O22" s="747"/>
      <c r="P22" s="747"/>
    </row>
    <row r="23" spans="1:16" ht="6.75" customHeight="1">
      <c r="A23" s="104"/>
      <c r="B23" s="1671"/>
      <c r="C23" s="1672"/>
      <c r="D23" s="1672"/>
      <c r="K23" s="1673"/>
      <c r="L23" s="1670"/>
      <c r="M23" s="1670"/>
      <c r="N23" s="747"/>
      <c r="O23" s="747"/>
      <c r="P23" s="747"/>
    </row>
    <row r="24" spans="1:16" ht="10.5" customHeight="1">
      <c r="A24" s="270" t="s">
        <v>3771</v>
      </c>
      <c r="B24" s="270"/>
      <c r="C24" s="270"/>
      <c r="D24" s="270"/>
      <c r="E24" s="270"/>
      <c r="F24" s="270"/>
      <c r="G24" s="270"/>
      <c r="H24" s="270"/>
      <c r="I24" s="270"/>
      <c r="J24" s="270"/>
      <c r="K24" s="270"/>
      <c r="L24" s="270"/>
      <c r="M24" s="270"/>
      <c r="N24" s="270"/>
      <c r="O24" s="270"/>
      <c r="P24" s="270"/>
    </row>
    <row r="25" spans="1:16">
      <c r="A25" s="1061" t="s">
        <v>734</v>
      </c>
    </row>
    <row r="26" spans="1:16">
      <c r="A26" s="104" t="s">
        <v>1088</v>
      </c>
      <c r="B26" s="104"/>
      <c r="C26" s="104"/>
      <c r="D26" s="104"/>
    </row>
  </sheetData>
  <mergeCells count="5">
    <mergeCell ref="A2:J2"/>
    <mergeCell ref="A4:A5"/>
    <mergeCell ref="B4:D4"/>
    <mergeCell ref="E4:G4"/>
    <mergeCell ref="H4:J4"/>
  </mergeCells>
  <pageMargins left="0.7" right="0.7" top="0.75" bottom="0.75" header="0.3" footer="0.3"/>
  <pageSetup paperSize="14" scale="97" orientation="portrait" r:id="rId1"/>
</worksheet>
</file>

<file path=xl/worksheets/sheet9.xml><?xml version="1.0" encoding="utf-8"?>
<worksheet xmlns="http://schemas.openxmlformats.org/spreadsheetml/2006/main" xmlns:r="http://schemas.openxmlformats.org/officeDocument/2006/relationships">
  <dimension ref="A1:F19"/>
  <sheetViews>
    <sheetView zoomScaleNormal="100" workbookViewId="0">
      <selection activeCell="A16" sqref="A16:F16"/>
    </sheetView>
  </sheetViews>
  <sheetFormatPr baseColWidth="10" defaultRowHeight="12"/>
  <cols>
    <col min="1" max="1" width="45.7109375" style="50" customWidth="1"/>
    <col min="2" max="16384" width="11.42578125" style="50"/>
  </cols>
  <sheetData>
    <row r="1" spans="1:6" ht="6.75" customHeight="1"/>
    <row r="2" spans="1:6" ht="34.5" customHeight="1">
      <c r="A2" s="2033" t="s">
        <v>938</v>
      </c>
      <c r="B2" s="2033"/>
      <c r="C2" s="2033"/>
      <c r="D2" s="2033"/>
      <c r="E2" s="2033"/>
      <c r="F2" s="2033"/>
    </row>
    <row r="3" spans="1:6" ht="8.25" customHeight="1">
      <c r="A3" s="117"/>
      <c r="B3" s="117"/>
      <c r="C3" s="117"/>
      <c r="D3" s="117"/>
      <c r="E3" s="117"/>
      <c r="F3" s="117"/>
    </row>
    <row r="4" spans="1:6">
      <c r="A4" s="2041" t="s">
        <v>787</v>
      </c>
      <c r="B4" s="2041" t="s">
        <v>26</v>
      </c>
      <c r="C4" s="2041" t="s">
        <v>788</v>
      </c>
      <c r="D4" s="2041"/>
      <c r="E4" s="2041"/>
      <c r="F4" s="2041"/>
    </row>
    <row r="5" spans="1:6" ht="69">
      <c r="A5" s="2041"/>
      <c r="B5" s="2041"/>
      <c r="C5" s="1806" t="s">
        <v>789</v>
      </c>
      <c r="D5" s="1806" t="s">
        <v>3934</v>
      </c>
      <c r="E5" s="1806" t="s">
        <v>761</v>
      </c>
      <c r="F5" s="1906" t="s">
        <v>3935</v>
      </c>
    </row>
    <row r="6" spans="1:6" ht="19.5" customHeight="1">
      <c r="A6" s="1298" t="s">
        <v>790</v>
      </c>
      <c r="B6" s="1921">
        <f>SUM(C6:F6)</f>
        <v>360982</v>
      </c>
      <c r="C6" s="1250">
        <v>15706</v>
      </c>
      <c r="D6" s="1250">
        <v>217698</v>
      </c>
      <c r="E6" s="1250">
        <v>23156</v>
      </c>
      <c r="F6" s="1250">
        <v>104422</v>
      </c>
    </row>
    <row r="7" spans="1:6" ht="22.5" customHeight="1">
      <c r="A7" s="1298" t="s">
        <v>791</v>
      </c>
      <c r="B7" s="1921">
        <f t="shared" ref="B7:B13" si="0">SUM(C7:F7)</f>
        <v>14388</v>
      </c>
      <c r="C7" s="1250">
        <v>697</v>
      </c>
      <c r="D7" s="1250">
        <v>861</v>
      </c>
      <c r="E7" s="1250">
        <v>1548</v>
      </c>
      <c r="F7" s="1250">
        <v>11282</v>
      </c>
    </row>
    <row r="8" spans="1:6" ht="22.5" customHeight="1">
      <c r="A8" s="1298"/>
      <c r="B8" s="1921"/>
      <c r="C8" s="1922">
        <f>C7/$B$7</f>
        <v>4.8443147067000279E-2</v>
      </c>
      <c r="D8" s="1922">
        <f>D7/$B$7</f>
        <v>5.9841534612176811E-2</v>
      </c>
      <c r="E8" s="1922">
        <f>E7/$B$7</f>
        <v>0.10758965804837364</v>
      </c>
      <c r="F8" s="1922">
        <f>F7/$B$7</f>
        <v>0.78412566027244923</v>
      </c>
    </row>
    <row r="9" spans="1:6" ht="26.25" customHeight="1">
      <c r="A9" s="1298" t="s">
        <v>792</v>
      </c>
      <c r="B9" s="1921">
        <f t="shared" si="0"/>
        <v>210288</v>
      </c>
      <c r="C9" s="1250">
        <v>31102</v>
      </c>
      <c r="D9" s="1250">
        <v>92497</v>
      </c>
      <c r="E9" s="1250">
        <v>19817</v>
      </c>
      <c r="F9" s="1250">
        <v>66872</v>
      </c>
    </row>
    <row r="10" spans="1:6" ht="34.5">
      <c r="A10" s="1298" t="s">
        <v>793</v>
      </c>
      <c r="B10" s="1921">
        <f t="shared" si="0"/>
        <v>1018</v>
      </c>
      <c r="C10" s="1250" t="s">
        <v>155</v>
      </c>
      <c r="D10" s="1250">
        <v>8</v>
      </c>
      <c r="E10" s="1250" t="s">
        <v>155</v>
      </c>
      <c r="F10" s="1250">
        <v>1010</v>
      </c>
    </row>
    <row r="11" spans="1:6" ht="38.25" customHeight="1">
      <c r="A11" s="1298" t="s">
        <v>794</v>
      </c>
      <c r="B11" s="1921">
        <f t="shared" si="0"/>
        <v>1689</v>
      </c>
      <c r="C11" s="1250" t="s">
        <v>155</v>
      </c>
      <c r="D11" s="1250" t="s">
        <v>155</v>
      </c>
      <c r="E11" s="1250" t="s">
        <v>155</v>
      </c>
      <c r="F11" s="1250">
        <v>1689</v>
      </c>
    </row>
    <row r="12" spans="1:6" ht="42" customHeight="1">
      <c r="A12" s="181" t="s">
        <v>3936</v>
      </c>
      <c r="B12" s="1921">
        <f t="shared" si="0"/>
        <v>19</v>
      </c>
      <c r="C12" s="1250" t="s">
        <v>155</v>
      </c>
      <c r="D12" s="1250" t="s">
        <v>155</v>
      </c>
      <c r="E12" s="1250" t="s">
        <v>155</v>
      </c>
      <c r="F12" s="1250">
        <v>19</v>
      </c>
    </row>
    <row r="13" spans="1:6" ht="59.25" customHeight="1">
      <c r="A13" s="181" t="s">
        <v>795</v>
      </c>
      <c r="B13" s="1921">
        <f t="shared" si="0"/>
        <v>10</v>
      </c>
      <c r="C13" s="1250" t="s">
        <v>155</v>
      </c>
      <c r="D13" s="1250" t="s">
        <v>155</v>
      </c>
      <c r="E13" s="1250">
        <v>10</v>
      </c>
      <c r="F13" s="1250" t="s">
        <v>155</v>
      </c>
    </row>
    <row r="15" spans="1:6" ht="33.75" customHeight="1">
      <c r="A15" s="2042" t="s">
        <v>3937</v>
      </c>
      <c r="B15" s="2042"/>
      <c r="C15" s="2042"/>
      <c r="D15" s="2042"/>
      <c r="E15" s="2042"/>
      <c r="F15" s="2042"/>
    </row>
    <row r="16" spans="1:6" ht="48" customHeight="1">
      <c r="A16" s="2040" t="s">
        <v>3938</v>
      </c>
      <c r="B16" s="2040"/>
      <c r="C16" s="2040"/>
      <c r="D16" s="2040"/>
      <c r="E16" s="2040"/>
      <c r="F16" s="2040"/>
    </row>
    <row r="17" spans="1:6" ht="31.5" customHeight="1">
      <c r="A17" s="2043" t="s">
        <v>3939</v>
      </c>
      <c r="B17" s="2043"/>
      <c r="C17" s="2043"/>
      <c r="D17" s="2043"/>
      <c r="E17" s="2043"/>
      <c r="F17" s="2043"/>
    </row>
    <row r="18" spans="1:6">
      <c r="A18" s="2027" t="s">
        <v>22</v>
      </c>
      <c r="B18" s="2027"/>
      <c r="C18" s="2027"/>
      <c r="D18" s="2027"/>
      <c r="E18" s="2027"/>
      <c r="F18" s="2027"/>
    </row>
    <row r="19" spans="1:6">
      <c r="A19" s="2027" t="s">
        <v>680</v>
      </c>
      <c r="B19" s="2027"/>
      <c r="C19" s="2027"/>
      <c r="D19" s="2027"/>
      <c r="E19" s="2027"/>
      <c r="F19" s="2027"/>
    </row>
  </sheetData>
  <mergeCells count="9">
    <mergeCell ref="A16:F16"/>
    <mergeCell ref="A18:F18"/>
    <mergeCell ref="A19:F19"/>
    <mergeCell ref="A2:F2"/>
    <mergeCell ref="A4:A5"/>
    <mergeCell ref="B4:B5"/>
    <mergeCell ref="C4:F4"/>
    <mergeCell ref="A15:F15"/>
    <mergeCell ref="A17:F17"/>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dimension ref="A1:K12"/>
  <sheetViews>
    <sheetView zoomScaleNormal="100" workbookViewId="0">
      <selection activeCell="E28" sqref="E28"/>
    </sheetView>
  </sheetViews>
  <sheetFormatPr baseColWidth="10" defaultRowHeight="12"/>
  <cols>
    <col min="1" max="1" width="25.85546875" style="141" customWidth="1"/>
    <col min="2" max="16384" width="11.42578125" style="141"/>
  </cols>
  <sheetData>
    <row r="1" spans="1:11" s="1656" customFormat="1" ht="11.25"/>
    <row r="2" spans="1:11" s="140" customFormat="1" ht="35.25" customHeight="1">
      <c r="A2" s="2194" t="s">
        <v>3165</v>
      </c>
      <c r="B2" s="2194"/>
      <c r="C2" s="2194"/>
      <c r="D2" s="2194"/>
      <c r="E2" s="2194"/>
      <c r="F2" s="2194"/>
      <c r="G2" s="2194"/>
      <c r="H2" s="1645"/>
      <c r="I2" s="1645"/>
      <c r="J2" s="1645"/>
      <c r="K2" s="1645"/>
    </row>
    <row r="3" spans="1:11" s="1373" customFormat="1" ht="11.25">
      <c r="A3" s="763"/>
      <c r="H3" s="1648"/>
      <c r="I3" s="1648"/>
      <c r="J3" s="1648"/>
      <c r="K3" s="1648"/>
    </row>
    <row r="4" spans="1:11" s="1373" customFormat="1" ht="18" customHeight="1">
      <c r="A4" s="2155" t="s">
        <v>1099</v>
      </c>
      <c r="B4" s="2155" t="s">
        <v>671</v>
      </c>
      <c r="C4" s="2155"/>
      <c r="D4" s="2155"/>
      <c r="E4" s="2155"/>
      <c r="F4" s="2155"/>
      <c r="G4" s="2155"/>
      <c r="H4" s="1657"/>
      <c r="I4" s="1657"/>
      <c r="J4" s="1657"/>
      <c r="K4" s="1657"/>
    </row>
    <row r="5" spans="1:11" s="1373" customFormat="1" ht="18" customHeight="1">
      <c r="A5" s="2155"/>
      <c r="B5" s="2002">
        <v>2009</v>
      </c>
      <c r="C5" s="2002">
        <v>2010</v>
      </c>
      <c r="D5" s="2002">
        <v>2011</v>
      </c>
      <c r="E5" s="2002">
        <v>2012</v>
      </c>
      <c r="F5" s="2002">
        <v>2013</v>
      </c>
      <c r="G5" s="2002">
        <v>2014</v>
      </c>
      <c r="H5" s="1658"/>
      <c r="I5" s="1659"/>
      <c r="J5" s="1659"/>
      <c r="K5" s="1659"/>
    </row>
    <row r="6" spans="1:11" s="763" customFormat="1" ht="11.25">
      <c r="A6" s="763" t="s">
        <v>6</v>
      </c>
      <c r="B6" s="763">
        <f t="shared" ref="B6:G6" si="0">SUM(B7:B8)</f>
        <v>178</v>
      </c>
      <c r="C6" s="763">
        <f t="shared" si="0"/>
        <v>174</v>
      </c>
      <c r="D6" s="763">
        <f t="shared" si="0"/>
        <v>207</v>
      </c>
      <c r="E6" s="763">
        <f t="shared" si="0"/>
        <v>252</v>
      </c>
      <c r="F6" s="763">
        <f t="shared" si="0"/>
        <v>276</v>
      </c>
      <c r="G6" s="763">
        <f t="shared" si="0"/>
        <v>286</v>
      </c>
      <c r="H6" s="1660"/>
      <c r="I6" s="1658"/>
      <c r="J6" s="1658"/>
      <c r="K6" s="1658"/>
    </row>
    <row r="7" spans="1:11" s="1373" customFormat="1" ht="11.25">
      <c r="A7" s="1373" t="s">
        <v>1100</v>
      </c>
      <c r="B7" s="1373">
        <v>88</v>
      </c>
      <c r="C7" s="1373">
        <v>114</v>
      </c>
      <c r="D7" s="1373">
        <v>122</v>
      </c>
      <c r="E7" s="1662">
        <v>160</v>
      </c>
      <c r="F7" s="1663">
        <v>154</v>
      </c>
      <c r="G7" s="1373">
        <v>191</v>
      </c>
      <c r="H7" s="1660"/>
      <c r="I7" s="1658"/>
      <c r="J7" s="1658"/>
      <c r="K7" s="1658"/>
    </row>
    <row r="8" spans="1:11" s="1373" customFormat="1" ht="11.25">
      <c r="A8" s="1373" t="s">
        <v>1101</v>
      </c>
      <c r="B8" s="1373">
        <v>90</v>
      </c>
      <c r="C8" s="1373">
        <v>60</v>
      </c>
      <c r="D8" s="1373">
        <v>85</v>
      </c>
      <c r="E8" s="1662">
        <v>92</v>
      </c>
      <c r="F8" s="1663">
        <v>122</v>
      </c>
      <c r="G8" s="1373">
        <v>95</v>
      </c>
      <c r="H8" s="1648"/>
      <c r="I8" s="1661"/>
      <c r="J8" s="1661"/>
      <c r="K8" s="1661"/>
    </row>
    <row r="9" spans="1:11" s="1373" customFormat="1" ht="6" customHeight="1">
      <c r="E9" s="1662"/>
      <c r="F9" s="1663"/>
      <c r="H9" s="1648"/>
      <c r="I9" s="1661"/>
      <c r="J9" s="1661"/>
      <c r="K9" s="1661"/>
    </row>
    <row r="10" spans="1:11" s="1373" customFormat="1" ht="11.25">
      <c r="A10" s="2161" t="s">
        <v>1095</v>
      </c>
      <c r="B10" s="2161"/>
      <c r="C10" s="2161"/>
      <c r="D10" s="2161"/>
      <c r="E10" s="2161"/>
      <c r="F10" s="2161"/>
    </row>
    <row r="11" spans="1:11" s="1373" customFormat="1" ht="11.25">
      <c r="B11" s="763"/>
      <c r="C11" s="763"/>
      <c r="D11" s="763"/>
      <c r="E11" s="763"/>
    </row>
    <row r="12" spans="1:11">
      <c r="G12" s="1664"/>
    </row>
  </sheetData>
  <mergeCells count="4">
    <mergeCell ref="A4:A5"/>
    <mergeCell ref="B4:G4"/>
    <mergeCell ref="A10:F10"/>
    <mergeCell ref="A2:G2"/>
  </mergeCells>
  <pageMargins left="0.7" right="0.7" top="0.75" bottom="0.75" header="0.3" footer="0.3"/>
  <pageSetup paperSize="14" orientation="portrait" r:id="rId1"/>
</worksheet>
</file>

<file path=xl/worksheets/sheet91.xml><?xml version="1.0" encoding="utf-8"?>
<worksheet xmlns="http://schemas.openxmlformats.org/spreadsheetml/2006/main" xmlns:r="http://schemas.openxmlformats.org/officeDocument/2006/relationships">
  <dimension ref="A1:N20"/>
  <sheetViews>
    <sheetView zoomScaleNormal="100" workbookViewId="0">
      <selection activeCell="B20" sqref="B20"/>
    </sheetView>
  </sheetViews>
  <sheetFormatPr baseColWidth="10" defaultRowHeight="12"/>
  <cols>
    <col min="1" max="1" width="31.85546875" style="141" customWidth="1"/>
    <col min="2" max="16384" width="11.42578125" style="141"/>
  </cols>
  <sheetData>
    <row r="1" spans="1:14" s="1373" customFormat="1" ht="11.25">
      <c r="A1" s="2193"/>
      <c r="B1" s="2193"/>
      <c r="C1" s="2193"/>
      <c r="D1" s="2193"/>
      <c r="E1" s="2193"/>
      <c r="F1" s="2193"/>
      <c r="G1" s="2193"/>
    </row>
    <row r="2" spans="1:14" s="140" customFormat="1" ht="33" customHeight="1">
      <c r="A2" s="2194" t="s">
        <v>3166</v>
      </c>
      <c r="B2" s="2194"/>
      <c r="C2" s="2194"/>
      <c r="D2" s="2194"/>
      <c r="E2" s="2194"/>
      <c r="F2" s="2194"/>
      <c r="G2" s="2194"/>
      <c r="J2" s="1645"/>
      <c r="K2" s="1645"/>
      <c r="L2" s="1645"/>
      <c r="M2" s="1645"/>
      <c r="N2" s="1645"/>
    </row>
    <row r="3" spans="1:14" s="1373" customFormat="1" ht="13.5" customHeight="1">
      <c r="A3" s="1646"/>
      <c r="B3" s="1646"/>
      <c r="C3" s="1646"/>
      <c r="D3" s="1646"/>
      <c r="E3" s="1646"/>
      <c r="F3" s="1646"/>
      <c r="G3" s="1646"/>
      <c r="J3" s="1641"/>
      <c r="K3" s="1641"/>
      <c r="L3" s="1641"/>
      <c r="M3" s="1641"/>
      <c r="N3" s="1641"/>
    </row>
    <row r="4" spans="1:14" s="1373" customFormat="1" ht="18" customHeight="1">
      <c r="A4" s="2155" t="s">
        <v>1102</v>
      </c>
      <c r="B4" s="2154" t="s">
        <v>671</v>
      </c>
      <c r="C4" s="2154"/>
      <c r="D4" s="2154"/>
      <c r="E4" s="2154"/>
      <c r="F4" s="2154"/>
      <c r="G4" s="2154"/>
      <c r="J4" s="1642"/>
      <c r="K4" s="1642"/>
      <c r="L4" s="1642"/>
      <c r="M4" s="1642"/>
      <c r="N4" s="1641"/>
    </row>
    <row r="5" spans="1:14" s="1373" customFormat="1" ht="18" customHeight="1">
      <c r="A5" s="2155"/>
      <c r="B5" s="2002">
        <v>2009</v>
      </c>
      <c r="C5" s="2002">
        <v>2010</v>
      </c>
      <c r="D5" s="2002">
        <v>2011</v>
      </c>
      <c r="E5" s="2002">
        <v>2012</v>
      </c>
      <c r="F5" s="2002">
        <v>2013</v>
      </c>
      <c r="G5" s="2002">
        <v>2014</v>
      </c>
      <c r="J5" s="1642"/>
      <c r="K5" s="1647"/>
      <c r="L5" s="1647"/>
      <c r="M5" s="1647"/>
      <c r="N5" s="1641"/>
    </row>
    <row r="6" spans="1:14" s="763" customFormat="1" ht="11.25">
      <c r="A6" s="763" t="s">
        <v>6</v>
      </c>
      <c r="B6" s="763">
        <f t="shared" ref="B6:G6" si="0">+B7+B10</f>
        <v>214</v>
      </c>
      <c r="C6" s="763">
        <f t="shared" si="0"/>
        <v>240</v>
      </c>
      <c r="D6" s="763">
        <f t="shared" si="0"/>
        <v>264</v>
      </c>
      <c r="E6" s="763">
        <f t="shared" si="0"/>
        <v>308</v>
      </c>
      <c r="F6" s="763">
        <f t="shared" si="0"/>
        <v>327</v>
      </c>
      <c r="G6" s="763">
        <f t="shared" si="0"/>
        <v>356</v>
      </c>
      <c r="J6" s="1643"/>
      <c r="K6" s="1644"/>
      <c r="L6" s="1644"/>
      <c r="M6" s="1647"/>
      <c r="N6" s="1641"/>
    </row>
    <row r="7" spans="1:14" s="763" customFormat="1" ht="11.25">
      <c r="A7" s="763" t="s">
        <v>1103</v>
      </c>
      <c r="B7" s="763">
        <f t="shared" ref="B7:G7" si="1">SUM(B8:B9)</f>
        <v>182</v>
      </c>
      <c r="C7" s="763">
        <f t="shared" si="1"/>
        <v>206</v>
      </c>
      <c r="D7" s="763">
        <f t="shared" si="1"/>
        <v>243</v>
      </c>
      <c r="E7" s="763">
        <f t="shared" si="1"/>
        <v>280</v>
      </c>
      <c r="F7" s="763">
        <f t="shared" si="1"/>
        <v>292</v>
      </c>
      <c r="G7" s="763">
        <f t="shared" si="1"/>
        <v>311</v>
      </c>
      <c r="J7" s="1640"/>
      <c r="K7" s="1643"/>
      <c r="L7" s="1643"/>
      <c r="M7" s="1643"/>
      <c r="N7" s="1641"/>
    </row>
    <row r="8" spans="1:14" s="1373" customFormat="1" ht="11.25">
      <c r="A8" s="1373" t="s">
        <v>1104</v>
      </c>
      <c r="B8" s="1373">
        <v>110</v>
      </c>
      <c r="C8" s="1373">
        <v>147</v>
      </c>
      <c r="D8" s="1373">
        <v>159</v>
      </c>
      <c r="E8" s="1662">
        <v>190</v>
      </c>
      <c r="F8" s="1373">
        <v>186</v>
      </c>
      <c r="G8" s="1373">
        <v>215</v>
      </c>
      <c r="J8" s="1640"/>
      <c r="K8" s="1643"/>
      <c r="L8" s="1643"/>
      <c r="M8" s="1643"/>
      <c r="N8" s="1641"/>
    </row>
    <row r="9" spans="1:14" s="1373" customFormat="1" ht="11.25">
      <c r="A9" s="1373" t="s">
        <v>1105</v>
      </c>
      <c r="B9" s="1373">
        <v>72</v>
      </c>
      <c r="C9" s="1373">
        <v>59</v>
      </c>
      <c r="D9" s="1373">
        <v>84</v>
      </c>
      <c r="E9" s="1662">
        <v>90</v>
      </c>
      <c r="F9" s="1373">
        <v>106</v>
      </c>
      <c r="G9" s="1373">
        <v>96</v>
      </c>
      <c r="J9" s="1640"/>
      <c r="K9" s="1643"/>
      <c r="L9" s="1643"/>
      <c r="M9" s="1643"/>
      <c r="N9" s="1641"/>
    </row>
    <row r="10" spans="1:14" s="763" customFormat="1" ht="11.25">
      <c r="A10" s="763" t="s">
        <v>1106</v>
      </c>
      <c r="B10" s="763">
        <v>32</v>
      </c>
      <c r="C10" s="763">
        <v>34</v>
      </c>
      <c r="D10" s="763">
        <v>21</v>
      </c>
      <c r="E10" s="1649">
        <v>28</v>
      </c>
      <c r="F10" s="763">
        <v>35</v>
      </c>
      <c r="G10" s="763">
        <v>45</v>
      </c>
      <c r="J10" s="1648"/>
      <c r="K10" s="1648"/>
      <c r="L10" s="1648"/>
      <c r="M10" s="1648"/>
      <c r="N10" s="1648"/>
    </row>
    <row r="11" spans="1:14" s="763" customFormat="1" ht="7.5" customHeight="1">
      <c r="E11" s="1649"/>
      <c r="F11" s="1649"/>
      <c r="J11" s="1648"/>
      <c r="K11" s="1648"/>
      <c r="L11" s="1648"/>
      <c r="M11" s="1648"/>
      <c r="N11" s="1648"/>
    </row>
    <row r="12" spans="1:14" s="1373" customFormat="1" ht="11.25">
      <c r="A12" s="2161" t="s">
        <v>1095</v>
      </c>
      <c r="B12" s="2161"/>
      <c r="C12" s="2161"/>
      <c r="D12" s="2161"/>
      <c r="E12" s="2161"/>
      <c r="F12" s="2161"/>
      <c r="G12" s="2161"/>
    </row>
    <row r="15" spans="1:14">
      <c r="A15" s="1650"/>
      <c r="B15" s="1651"/>
      <c r="C15" s="1651"/>
      <c r="D15" s="1651"/>
      <c r="E15" s="1651"/>
      <c r="F15" s="1651"/>
      <c r="G15" s="1652"/>
    </row>
    <row r="16" spans="1:14">
      <c r="A16" s="1650"/>
      <c r="B16" s="1650"/>
      <c r="C16" s="1650"/>
      <c r="D16" s="1650"/>
      <c r="E16" s="1650"/>
      <c r="F16" s="1650"/>
      <c r="G16" s="1653"/>
    </row>
    <row r="17" spans="1:7">
      <c r="A17" s="1651"/>
      <c r="B17" s="1651"/>
      <c r="C17" s="1651"/>
      <c r="D17" s="1651"/>
      <c r="E17" s="1651"/>
      <c r="F17" s="1651"/>
      <c r="G17" s="1654"/>
    </row>
    <row r="18" spans="1:7">
      <c r="A18" s="1655"/>
      <c r="B18" s="1655"/>
      <c r="C18" s="1655"/>
      <c r="D18" s="1655"/>
      <c r="E18" s="1655"/>
      <c r="F18" s="1655"/>
      <c r="G18" s="1655"/>
    </row>
    <row r="19" spans="1:7">
      <c r="A19" s="1655"/>
      <c r="B19" s="1655"/>
      <c r="C19" s="1655"/>
      <c r="D19" s="1655"/>
      <c r="E19" s="1655"/>
      <c r="F19" s="1655"/>
      <c r="G19" s="1655"/>
    </row>
    <row r="20" spans="1:7">
      <c r="A20" s="1655"/>
      <c r="B20" s="1655"/>
      <c r="C20" s="1655"/>
      <c r="D20" s="1655"/>
      <c r="E20" s="1655"/>
      <c r="F20" s="1655"/>
      <c r="G20" s="1655"/>
    </row>
  </sheetData>
  <mergeCells count="5">
    <mergeCell ref="A1:G1"/>
    <mergeCell ref="A2:G2"/>
    <mergeCell ref="A4:A5"/>
    <mergeCell ref="B4:G4"/>
    <mergeCell ref="A12:G12"/>
  </mergeCells>
  <pageMargins left="0.7" right="0.7" top="0.75" bottom="0.75" header="0.3" footer="0.3"/>
  <pageSetup paperSize="14" orientation="portrait" r:id="rId1"/>
</worksheet>
</file>

<file path=xl/worksheets/sheet92.xml><?xml version="1.0" encoding="utf-8"?>
<worksheet xmlns="http://schemas.openxmlformats.org/spreadsheetml/2006/main" xmlns:r="http://schemas.openxmlformats.org/officeDocument/2006/relationships">
  <dimension ref="A1:M12"/>
  <sheetViews>
    <sheetView zoomScaleNormal="100" workbookViewId="0">
      <selection activeCell="B23" sqref="B23"/>
    </sheetView>
  </sheetViews>
  <sheetFormatPr baseColWidth="10" defaultRowHeight="12"/>
  <cols>
    <col min="1" max="1" width="31.42578125" style="141" customWidth="1"/>
    <col min="2" max="7" width="15.85546875" style="141" bestFit="1" customWidth="1"/>
    <col min="8" max="16384" width="11.42578125" style="141"/>
  </cols>
  <sheetData>
    <row r="1" spans="1:13">
      <c r="A1" s="1637"/>
    </row>
    <row r="2" spans="1:13" s="1638" customFormat="1" ht="27" customHeight="1">
      <c r="A2" s="2166" t="s">
        <v>1107</v>
      </c>
      <c r="B2" s="2166"/>
      <c r="C2" s="2166"/>
      <c r="D2" s="2166"/>
      <c r="E2" s="2166"/>
      <c r="F2" s="2166"/>
      <c r="G2" s="2166"/>
      <c r="I2" s="1639"/>
      <c r="J2" s="1639"/>
      <c r="K2" s="1639"/>
      <c r="L2" s="1639"/>
      <c r="M2" s="1639"/>
    </row>
    <row r="3" spans="1:13" s="1373" customFormat="1" ht="11.25">
      <c r="A3" s="763"/>
      <c r="I3" s="1640"/>
      <c r="J3" s="1636"/>
      <c r="K3" s="1636"/>
      <c r="L3" s="1636"/>
      <c r="M3" s="1636"/>
    </row>
    <row r="4" spans="1:13" s="1373" customFormat="1" ht="14.25" customHeight="1">
      <c r="A4" s="2155" t="s">
        <v>1108</v>
      </c>
      <c r="B4" s="2154" t="s">
        <v>671</v>
      </c>
      <c r="C4" s="2154"/>
      <c r="D4" s="2154"/>
      <c r="E4" s="2154"/>
      <c r="F4" s="2154"/>
      <c r="G4" s="2154"/>
      <c r="I4" s="1641"/>
      <c r="J4" s="1641"/>
      <c r="K4" s="1641"/>
      <c r="L4" s="1641"/>
      <c r="M4" s="1641"/>
    </row>
    <row r="5" spans="1:13" s="1373" customFormat="1" ht="14.25" customHeight="1">
      <c r="A5" s="2155"/>
      <c r="B5" s="2002">
        <v>2009</v>
      </c>
      <c r="C5" s="2002">
        <v>2010</v>
      </c>
      <c r="D5" s="2002">
        <v>2011</v>
      </c>
      <c r="E5" s="2002">
        <v>2012</v>
      </c>
      <c r="F5" s="2002">
        <v>2013</v>
      </c>
      <c r="G5" s="2002">
        <v>2014</v>
      </c>
      <c r="I5" s="1641"/>
      <c r="J5" s="1641"/>
      <c r="K5" s="1641"/>
      <c r="L5" s="1641"/>
      <c r="M5" s="1641"/>
    </row>
    <row r="6" spans="1:13" s="1373" customFormat="1" ht="11.25">
      <c r="A6" s="763" t="s">
        <v>6</v>
      </c>
      <c r="B6" s="2699">
        <f t="shared" ref="B6:G6" si="0">SUM(B7:B9)</f>
        <v>135348756</v>
      </c>
      <c r="C6" s="2699">
        <f t="shared" si="0"/>
        <v>156718737</v>
      </c>
      <c r="D6" s="2699">
        <f t="shared" si="0"/>
        <v>188902696</v>
      </c>
      <c r="E6" s="2699">
        <f t="shared" si="0"/>
        <v>224948420</v>
      </c>
      <c r="F6" s="2699">
        <f t="shared" si="0"/>
        <v>242861493</v>
      </c>
      <c r="G6" s="2699">
        <f t="shared" si="0"/>
        <v>262767724</v>
      </c>
      <c r="I6" s="1642"/>
      <c r="J6" s="1642"/>
      <c r="K6" s="1642"/>
      <c r="L6" s="1642"/>
      <c r="M6" s="1641"/>
    </row>
    <row r="7" spans="1:13" s="1373" customFormat="1" ht="11.25">
      <c r="A7" s="1373" t="s">
        <v>1104</v>
      </c>
      <c r="B7" s="2700">
        <v>69419409</v>
      </c>
      <c r="C7" s="2700">
        <v>108713674</v>
      </c>
      <c r="D7" s="2700">
        <v>100481949</v>
      </c>
      <c r="E7" s="2701">
        <v>110489548</v>
      </c>
      <c r="F7" s="2702">
        <v>136368938</v>
      </c>
      <c r="G7" s="2703">
        <v>139549680</v>
      </c>
      <c r="I7" s="1643"/>
      <c r="J7" s="1644"/>
      <c r="K7" s="1644"/>
      <c r="L7" s="1644"/>
      <c r="M7" s="1641"/>
    </row>
    <row r="8" spans="1:13" s="1373" customFormat="1" ht="11.25">
      <c r="A8" s="1373" t="s">
        <v>1105</v>
      </c>
      <c r="B8" s="2700">
        <v>52078011</v>
      </c>
      <c r="C8" s="2700">
        <v>38439954</v>
      </c>
      <c r="D8" s="2700">
        <v>75043336</v>
      </c>
      <c r="E8" s="2701">
        <v>99866998</v>
      </c>
      <c r="F8" s="2702">
        <v>90912625</v>
      </c>
      <c r="G8" s="2703">
        <v>89572461</v>
      </c>
      <c r="I8" s="1640"/>
      <c r="J8" s="1640"/>
      <c r="K8" s="1640"/>
      <c r="L8" s="1640"/>
      <c r="M8" s="1641"/>
    </row>
    <row r="9" spans="1:13" s="1373" customFormat="1" ht="11.25">
      <c r="A9" s="1373" t="s">
        <v>1109</v>
      </c>
      <c r="B9" s="2700">
        <v>13851336</v>
      </c>
      <c r="C9" s="2700">
        <v>9565109</v>
      </c>
      <c r="D9" s="2700">
        <v>13377411</v>
      </c>
      <c r="E9" s="2701">
        <v>14591874</v>
      </c>
      <c r="F9" s="2702">
        <v>15579930</v>
      </c>
      <c r="G9" s="2703">
        <v>33645583</v>
      </c>
      <c r="I9" s="1640"/>
      <c r="J9" s="1636"/>
      <c r="K9" s="1640"/>
      <c r="L9" s="1640"/>
      <c r="M9" s="1641"/>
    </row>
    <row r="10" spans="1:13" s="1373" customFormat="1" ht="7.5" customHeight="1">
      <c r="B10" s="1627"/>
      <c r="C10" s="1627"/>
      <c r="D10" s="1627"/>
      <c r="E10" s="1628"/>
      <c r="F10" s="1628"/>
      <c r="G10" s="1629"/>
      <c r="I10" s="1640"/>
      <c r="J10" s="1636"/>
      <c r="K10" s="1640"/>
      <c r="L10" s="1640"/>
      <c r="M10" s="1641"/>
    </row>
    <row r="11" spans="1:13" s="1373" customFormat="1" ht="11.25">
      <c r="A11" s="1526" t="s">
        <v>1095</v>
      </c>
      <c r="B11" s="1526"/>
      <c r="C11" s="1526"/>
      <c r="D11" s="1526"/>
      <c r="E11" s="1526"/>
      <c r="F11" s="1526"/>
      <c r="G11" s="1526"/>
      <c r="I11" s="1640"/>
      <c r="J11" s="1640"/>
      <c r="K11" s="1640"/>
      <c r="L11" s="1640"/>
      <c r="M11" s="1641"/>
    </row>
    <row r="12" spans="1:13" s="1373" customFormat="1" ht="11.25"/>
  </sheetData>
  <mergeCells count="3">
    <mergeCell ref="A2:G2"/>
    <mergeCell ref="A4:A5"/>
    <mergeCell ref="B4:G4"/>
  </mergeCells>
  <pageMargins left="0.7" right="0.7" top="0.75" bottom="0.75" header="0.3" footer="0.3"/>
  <pageSetup paperSize="14" scale="91" orientation="portrait" r:id="rId1"/>
</worksheet>
</file>

<file path=xl/worksheets/sheet93.xml><?xml version="1.0" encoding="utf-8"?>
<worksheet xmlns="http://schemas.openxmlformats.org/spreadsheetml/2006/main" xmlns:r="http://schemas.openxmlformats.org/officeDocument/2006/relationships">
  <dimension ref="A2:H22"/>
  <sheetViews>
    <sheetView zoomScaleNormal="100" workbookViewId="0">
      <selection activeCell="A18" sqref="A18"/>
    </sheetView>
  </sheetViews>
  <sheetFormatPr baseColWidth="10" defaultRowHeight="11.25"/>
  <cols>
    <col min="1" max="1" width="33.5703125" style="1373" customWidth="1"/>
    <col min="2" max="7" width="15.85546875" style="1373" bestFit="1" customWidth="1"/>
    <col min="8" max="10" width="12.42578125" style="1373" bestFit="1" customWidth="1"/>
    <col min="11" max="16384" width="11.42578125" style="1373"/>
  </cols>
  <sheetData>
    <row r="2" spans="1:8" s="1626" customFormat="1" ht="24.75" customHeight="1">
      <c r="A2" s="2195" t="s">
        <v>3180</v>
      </c>
      <c r="B2" s="2195"/>
      <c r="C2" s="2195"/>
      <c r="D2" s="2195"/>
      <c r="E2" s="2195"/>
      <c r="F2" s="2195"/>
      <c r="G2" s="2195"/>
    </row>
    <row r="3" spans="1:8" ht="10.5" customHeight="1">
      <c r="A3" s="763"/>
      <c r="B3" s="763"/>
      <c r="C3" s="763"/>
      <c r="D3" s="763"/>
      <c r="E3" s="763"/>
      <c r="F3" s="763"/>
      <c r="G3" s="763"/>
    </row>
    <row r="4" spans="1:8">
      <c r="A4" s="2154" t="s">
        <v>1110</v>
      </c>
      <c r="B4" s="2154" t="s">
        <v>1111</v>
      </c>
      <c r="C4" s="2154"/>
      <c r="D4" s="2154"/>
      <c r="E4" s="2154"/>
      <c r="F4" s="2154"/>
      <c r="G4" s="2154"/>
    </row>
    <row r="5" spans="1:8" ht="12.75">
      <c r="A5" s="2154"/>
      <c r="B5" s="2002">
        <v>2009</v>
      </c>
      <c r="C5" s="2002">
        <v>2010</v>
      </c>
      <c r="D5" s="2002">
        <v>2011</v>
      </c>
      <c r="E5" s="2002" t="s">
        <v>3744</v>
      </c>
      <c r="F5" s="2002">
        <v>2013</v>
      </c>
      <c r="G5" s="2002">
        <v>2014</v>
      </c>
    </row>
    <row r="6" spans="1:8" s="763" customFormat="1">
      <c r="A6" s="763" t="s">
        <v>6</v>
      </c>
      <c r="B6" s="2704">
        <f t="shared" ref="B6:G6" si="0">SUM(B7:B8)</f>
        <v>111209916</v>
      </c>
      <c r="C6" s="2704">
        <f t="shared" si="0"/>
        <v>134737218</v>
      </c>
      <c r="D6" s="2704">
        <f t="shared" si="0"/>
        <v>138867789</v>
      </c>
      <c r="E6" s="2704">
        <f t="shared" si="0"/>
        <v>194578031</v>
      </c>
      <c r="F6" s="2704">
        <f t="shared" si="0"/>
        <v>170299927</v>
      </c>
      <c r="G6" s="2704">
        <f t="shared" si="0"/>
        <v>233443445</v>
      </c>
    </row>
    <row r="7" spans="1:8">
      <c r="A7" s="1373" t="s">
        <v>1100</v>
      </c>
      <c r="B7" s="2679">
        <v>66943607</v>
      </c>
      <c r="C7" s="2679">
        <v>102063257</v>
      </c>
      <c r="D7" s="2679">
        <v>98760765</v>
      </c>
      <c r="E7" s="2705">
        <v>98166671</v>
      </c>
      <c r="F7" s="2705">
        <v>98543471</v>
      </c>
      <c r="G7" s="2678">
        <v>162053887</v>
      </c>
    </row>
    <row r="8" spans="1:8">
      <c r="A8" s="1373" t="s">
        <v>1101</v>
      </c>
      <c r="B8" s="2679">
        <v>44266309</v>
      </c>
      <c r="C8" s="2679">
        <v>32673961</v>
      </c>
      <c r="D8" s="2679">
        <v>40107024</v>
      </c>
      <c r="E8" s="2705">
        <v>96411360</v>
      </c>
      <c r="F8" s="2705">
        <v>71756456</v>
      </c>
      <c r="G8" s="2678">
        <v>71389558</v>
      </c>
    </row>
    <row r="9" spans="1:8" ht="7.5" customHeight="1">
      <c r="B9" s="1627"/>
      <c r="C9" s="1627"/>
      <c r="D9" s="1627"/>
      <c r="E9" s="1628"/>
      <c r="F9" s="1628"/>
      <c r="G9" s="1629"/>
    </row>
    <row r="10" spans="1:8" ht="12.75" customHeight="1">
      <c r="A10" s="2196" t="s">
        <v>3769</v>
      </c>
      <c r="B10" s="2196"/>
      <c r="C10" s="2196"/>
      <c r="D10" s="2196"/>
      <c r="E10" s="2196"/>
      <c r="F10" s="2196"/>
      <c r="G10" s="2196"/>
    </row>
    <row r="11" spans="1:8" ht="10.5" customHeight="1">
      <c r="A11" s="2161" t="s">
        <v>1095</v>
      </c>
      <c r="B11" s="2161"/>
      <c r="C11" s="2161"/>
      <c r="D11" s="2161"/>
      <c r="E11" s="2161"/>
      <c r="F11" s="2161"/>
      <c r="G11" s="2161"/>
    </row>
    <row r="12" spans="1:8" ht="10.5" customHeight="1"/>
    <row r="13" spans="1:8" ht="10.5" customHeight="1">
      <c r="G13" s="1627"/>
      <c r="H13" s="1627"/>
    </row>
    <row r="14" spans="1:8" ht="10.5" customHeight="1">
      <c r="A14" s="763"/>
    </row>
    <row r="15" spans="1:8" ht="10.5" customHeight="1">
      <c r="A15" s="1630"/>
      <c r="B15" s="1631"/>
      <c r="C15" s="1631"/>
      <c r="D15" s="1631"/>
      <c r="E15" s="1631"/>
      <c r="F15" s="1631"/>
      <c r="G15" s="1632"/>
    </row>
    <row r="16" spans="1:8" ht="10.5" customHeight="1">
      <c r="A16" s="1633"/>
      <c r="B16" s="1634"/>
      <c r="C16" s="1634"/>
      <c r="D16" s="1634"/>
      <c r="E16" s="1634"/>
      <c r="F16" s="1634"/>
      <c r="G16" s="1634"/>
    </row>
    <row r="17" spans="1:7" ht="10.5" customHeight="1">
      <c r="A17" s="1633"/>
      <c r="B17" s="1634"/>
      <c r="C17" s="1634"/>
      <c r="D17" s="1634"/>
      <c r="E17" s="1634"/>
      <c r="F17" s="1634"/>
      <c r="G17" s="1634"/>
    </row>
    <row r="18" spans="1:7" ht="10.5" customHeight="1">
      <c r="A18" s="1526"/>
      <c r="G18" s="1635"/>
    </row>
    <row r="19" spans="1:7" ht="10.5" customHeight="1">
      <c r="A19" s="1630"/>
      <c r="G19" s="1635"/>
    </row>
    <row r="20" spans="1:7" ht="10.5" customHeight="1">
      <c r="A20" s="1630"/>
      <c r="B20" s="1631"/>
      <c r="C20" s="1631"/>
      <c r="D20" s="1631"/>
      <c r="E20" s="1631"/>
      <c r="F20" s="1631"/>
      <c r="G20" s="1632"/>
    </row>
    <row r="21" spans="1:7">
      <c r="A21" s="1633"/>
      <c r="B21" s="1627"/>
      <c r="C21" s="1627"/>
      <c r="D21" s="1627"/>
      <c r="E21" s="1628"/>
      <c r="F21" s="1629"/>
      <c r="G21" s="1636"/>
    </row>
    <row r="22" spans="1:7">
      <c r="A22" s="1633"/>
      <c r="B22" s="1627"/>
      <c r="C22" s="1627"/>
      <c r="D22" s="1627"/>
      <c r="E22" s="1628"/>
      <c r="F22" s="1629"/>
      <c r="G22" s="1636"/>
    </row>
  </sheetData>
  <mergeCells count="5">
    <mergeCell ref="A2:G2"/>
    <mergeCell ref="A4:A5"/>
    <mergeCell ref="B4:G4"/>
    <mergeCell ref="A10:G10"/>
    <mergeCell ref="A11:G11"/>
  </mergeCells>
  <pageMargins left="0.7" right="0.7" top="0.75" bottom="0.75" header="0.3" footer="0.3"/>
  <pageSetup paperSize="14" scale="72" orientation="portrait" r:id="rId1"/>
</worksheet>
</file>

<file path=xl/worksheets/sheet94.xml><?xml version="1.0" encoding="utf-8"?>
<worksheet xmlns="http://schemas.openxmlformats.org/spreadsheetml/2006/main" xmlns:r="http://schemas.openxmlformats.org/officeDocument/2006/relationships">
  <dimension ref="A2:J133"/>
  <sheetViews>
    <sheetView zoomScaleNormal="100" workbookViewId="0">
      <selection activeCell="F22" sqref="F22"/>
    </sheetView>
  </sheetViews>
  <sheetFormatPr baseColWidth="10" defaultRowHeight="12"/>
  <cols>
    <col min="1" max="5" width="11.42578125" style="107"/>
    <col min="6" max="6" width="16.7109375" style="107" customWidth="1"/>
    <col min="7" max="7" width="14.140625" style="107" customWidth="1"/>
    <col min="8" max="16384" width="11.42578125" style="107"/>
  </cols>
  <sheetData>
    <row r="2" spans="1:10" ht="29.25" customHeight="1">
      <c r="A2" s="2199" t="s">
        <v>1112</v>
      </c>
      <c r="B2" s="2199"/>
      <c r="C2" s="2199"/>
      <c r="D2" s="2199"/>
      <c r="E2" s="2199"/>
      <c r="F2" s="2199"/>
      <c r="G2" s="2199"/>
      <c r="H2" s="2199"/>
      <c r="I2" s="2199"/>
    </row>
    <row r="3" spans="1:10">
      <c r="A3" s="192"/>
      <c r="B3" s="192"/>
      <c r="C3" s="192"/>
      <c r="D3" s="192"/>
      <c r="E3" s="192"/>
      <c r="F3" s="192"/>
      <c r="G3" s="192"/>
      <c r="H3" s="192"/>
      <c r="I3" s="177"/>
    </row>
    <row r="4" spans="1:10" ht="12.75">
      <c r="A4" s="2200" t="s">
        <v>671</v>
      </c>
      <c r="B4" s="2174" t="s">
        <v>3474</v>
      </c>
      <c r="C4" s="2174"/>
      <c r="D4" s="2174"/>
      <c r="E4" s="2174"/>
      <c r="F4" s="2174"/>
      <c r="G4" s="2174"/>
      <c r="H4" s="2174"/>
      <c r="I4" s="2174"/>
    </row>
    <row r="5" spans="1:10">
      <c r="A5" s="2200"/>
      <c r="B5" s="2200" t="s">
        <v>6</v>
      </c>
      <c r="C5" s="2174" t="s">
        <v>1113</v>
      </c>
      <c r="D5" s="2174"/>
      <c r="E5" s="2174"/>
      <c r="F5" s="2174"/>
      <c r="G5" s="2174"/>
      <c r="H5" s="2174"/>
      <c r="I5" s="2174"/>
    </row>
    <row r="6" spans="1:10" ht="45">
      <c r="A6" s="2200"/>
      <c r="B6" s="2200"/>
      <c r="C6" s="2007" t="s">
        <v>1114</v>
      </c>
      <c r="D6" s="2007" t="s">
        <v>1115</v>
      </c>
      <c r="E6" s="2007" t="s">
        <v>1116</v>
      </c>
      <c r="F6" s="2007" t="s">
        <v>1117</v>
      </c>
      <c r="G6" s="2007" t="s">
        <v>1118</v>
      </c>
      <c r="H6" s="2007" t="s">
        <v>1119</v>
      </c>
      <c r="I6" s="2007" t="s">
        <v>1120</v>
      </c>
    </row>
    <row r="7" spans="1:10">
      <c r="A7" s="1470" t="s">
        <v>1121</v>
      </c>
      <c r="B7" s="186">
        <f t="shared" ref="B7:B12" si="0">SUM(C7:I7)</f>
        <v>12112</v>
      </c>
      <c r="C7" s="179">
        <v>2575</v>
      </c>
      <c r="D7" s="179">
        <v>5896</v>
      </c>
      <c r="E7" s="179">
        <v>598</v>
      </c>
      <c r="F7" s="179">
        <v>878</v>
      </c>
      <c r="G7" s="179">
        <v>1589</v>
      </c>
      <c r="H7" s="179">
        <v>191</v>
      </c>
      <c r="I7" s="179">
        <v>385</v>
      </c>
    </row>
    <row r="8" spans="1:10">
      <c r="A8" s="1470">
        <v>2010</v>
      </c>
      <c r="B8" s="186">
        <f t="shared" si="0"/>
        <v>12978</v>
      </c>
      <c r="C8" s="179">
        <v>2581</v>
      </c>
      <c r="D8" s="179">
        <v>7009</v>
      </c>
      <c r="E8" s="179">
        <v>497</v>
      </c>
      <c r="F8" s="179">
        <v>896</v>
      </c>
      <c r="G8" s="179">
        <v>1469</v>
      </c>
      <c r="H8" s="179">
        <v>144</v>
      </c>
      <c r="I8" s="179">
        <v>382</v>
      </c>
    </row>
    <row r="9" spans="1:10">
      <c r="A9" s="1470" t="s">
        <v>801</v>
      </c>
      <c r="B9" s="186">
        <f t="shared" si="0"/>
        <v>12511</v>
      </c>
      <c r="C9" s="179">
        <v>2778</v>
      </c>
      <c r="D9" s="179">
        <v>6204</v>
      </c>
      <c r="E9" s="179">
        <v>567</v>
      </c>
      <c r="F9" s="179">
        <v>883</v>
      </c>
      <c r="G9" s="179">
        <v>1430</v>
      </c>
      <c r="H9" s="179">
        <v>152</v>
      </c>
      <c r="I9" s="179">
        <v>497</v>
      </c>
    </row>
    <row r="10" spans="1:10">
      <c r="A10" s="1470" t="s">
        <v>802</v>
      </c>
      <c r="B10" s="186">
        <f t="shared" si="0"/>
        <v>13950</v>
      </c>
      <c r="C10" s="179">
        <v>2690</v>
      </c>
      <c r="D10" s="179">
        <v>7215</v>
      </c>
      <c r="E10" s="179">
        <v>704</v>
      </c>
      <c r="F10" s="179">
        <v>1426</v>
      </c>
      <c r="G10" s="179">
        <v>1360</v>
      </c>
      <c r="H10" s="179">
        <v>153</v>
      </c>
      <c r="I10" s="179">
        <v>402</v>
      </c>
    </row>
    <row r="11" spans="1:10">
      <c r="A11" s="1470" t="s">
        <v>803</v>
      </c>
      <c r="B11" s="186">
        <f t="shared" si="0"/>
        <v>14214</v>
      </c>
      <c r="C11" s="179">
        <v>3082</v>
      </c>
      <c r="D11" s="179">
        <v>6415</v>
      </c>
      <c r="E11" s="179">
        <v>695</v>
      </c>
      <c r="F11" s="179">
        <v>1569</v>
      </c>
      <c r="G11" s="179">
        <v>1702</v>
      </c>
      <c r="H11" s="179">
        <v>153</v>
      </c>
      <c r="I11" s="179">
        <v>598</v>
      </c>
    </row>
    <row r="12" spans="1:10">
      <c r="A12" s="1470" t="s">
        <v>804</v>
      </c>
      <c r="B12" s="186">
        <f t="shared" si="0"/>
        <v>15045</v>
      </c>
      <c r="C12" s="179">
        <v>2879</v>
      </c>
      <c r="D12" s="179">
        <v>7337</v>
      </c>
      <c r="E12" s="179">
        <v>575</v>
      </c>
      <c r="F12" s="179">
        <v>1851</v>
      </c>
      <c r="G12" s="179">
        <v>1680</v>
      </c>
      <c r="H12" s="179">
        <v>135</v>
      </c>
      <c r="I12" s="179">
        <v>588</v>
      </c>
      <c r="J12" s="1623"/>
    </row>
    <row r="13" spans="1:10" s="48" customFormat="1">
      <c r="A13" s="1470"/>
      <c r="B13" s="186"/>
      <c r="C13" s="1624"/>
      <c r="D13" s="1624"/>
      <c r="E13" s="1624"/>
      <c r="F13" s="1624"/>
      <c r="G13" s="1624"/>
      <c r="H13" s="1624"/>
      <c r="I13" s="1624"/>
    </row>
    <row r="14" spans="1:10" s="48" customFormat="1">
      <c r="A14" s="1470"/>
      <c r="B14" s="186"/>
      <c r="C14" s="179"/>
      <c r="D14" s="1625"/>
      <c r="E14" s="179"/>
      <c r="F14" s="179"/>
      <c r="G14" s="1625"/>
      <c r="H14" s="179"/>
      <c r="I14" s="1624"/>
    </row>
    <row r="15" spans="1:10" ht="36.75" customHeight="1">
      <c r="A15" s="2197" t="s">
        <v>3647</v>
      </c>
      <c r="B15" s="2197"/>
      <c r="C15" s="2197"/>
      <c r="D15" s="2197"/>
      <c r="E15" s="2197"/>
      <c r="F15" s="2197"/>
      <c r="G15" s="2197"/>
      <c r="H15" s="2197"/>
      <c r="I15" s="2198"/>
    </row>
    <row r="16" spans="1:10">
      <c r="A16" s="245" t="s">
        <v>1122</v>
      </c>
      <c r="B16" s="177"/>
      <c r="C16" s="177"/>
      <c r="D16" s="177"/>
      <c r="E16" s="177"/>
      <c r="F16" s="177"/>
      <c r="G16" s="177"/>
      <c r="H16" s="177"/>
      <c r="I16" s="177"/>
    </row>
    <row r="18" s="1474" customFormat="1"/>
    <row r="19" s="1474" customFormat="1"/>
    <row r="20" s="1474" customFormat="1"/>
    <row r="21" s="1474" customFormat="1"/>
    <row r="22" s="1474" customFormat="1"/>
    <row r="23" s="1474" customFormat="1"/>
    <row r="24" s="1474" customFormat="1"/>
    <row r="25" s="1474" customFormat="1"/>
    <row r="26" s="1474" customFormat="1"/>
    <row r="27" s="1474" customFormat="1"/>
    <row r="28" s="1474" customFormat="1"/>
    <row r="29" s="1474" customFormat="1"/>
    <row r="30" s="1474" customFormat="1"/>
    <row r="31" s="1474" customFormat="1"/>
    <row r="32" s="1474" customFormat="1"/>
    <row r="33" s="1474" customFormat="1"/>
    <row r="34" s="1474" customFormat="1"/>
    <row r="35" s="1474" customFormat="1"/>
    <row r="36" s="1474" customFormat="1"/>
    <row r="37" s="1474" customFormat="1"/>
    <row r="38" s="1474" customFormat="1"/>
    <row r="39" s="1474" customFormat="1"/>
    <row r="40" s="1474" customFormat="1"/>
    <row r="41" s="1474" customFormat="1"/>
    <row r="42" s="1474" customFormat="1"/>
    <row r="43" s="1474" customFormat="1"/>
    <row r="44" s="1474" customFormat="1"/>
    <row r="45" s="1474" customFormat="1"/>
    <row r="46" s="1474" customFormat="1"/>
    <row r="47" s="1474" customFormat="1"/>
    <row r="48" s="1474" customFormat="1"/>
    <row r="49" s="1474" customFormat="1"/>
    <row r="50" s="1474" customFormat="1"/>
    <row r="51" s="1474" customFormat="1"/>
    <row r="52" s="1474" customFormat="1"/>
    <row r="53" s="1474" customFormat="1"/>
    <row r="54" s="1474" customFormat="1"/>
    <row r="55" s="1474" customFormat="1"/>
    <row r="56" s="1474" customFormat="1"/>
    <row r="57" s="1474" customFormat="1"/>
    <row r="58" s="1474" customFormat="1"/>
    <row r="59" s="1474" customFormat="1"/>
    <row r="60" s="1474" customFormat="1"/>
    <row r="61" s="1474" customFormat="1"/>
    <row r="62" s="1474" customFormat="1"/>
    <row r="63" s="1474" customFormat="1"/>
    <row r="64" s="1474" customFormat="1"/>
    <row r="65" s="1474" customFormat="1"/>
    <row r="66" s="1474" customFormat="1"/>
    <row r="67" s="1474" customFormat="1"/>
    <row r="68" s="1474" customFormat="1"/>
    <row r="69" s="1474" customFormat="1"/>
    <row r="70" s="1474" customFormat="1"/>
    <row r="71" s="1474" customFormat="1"/>
    <row r="72" s="1474" customFormat="1"/>
    <row r="73" s="1474" customFormat="1"/>
    <row r="74" s="1474" customFormat="1"/>
    <row r="75" s="1474" customFormat="1"/>
    <row r="76" s="1474" customFormat="1"/>
    <row r="77" s="1474" customFormat="1"/>
    <row r="78" s="1474" customFormat="1"/>
    <row r="79" s="1474" customFormat="1"/>
    <row r="80" s="1474" customFormat="1"/>
    <row r="81" s="1474" customFormat="1"/>
    <row r="82" s="1474" customFormat="1"/>
    <row r="83" s="1474" customFormat="1"/>
    <row r="84" s="1474" customFormat="1"/>
    <row r="85" s="1474" customFormat="1"/>
    <row r="86" s="1474" customFormat="1"/>
    <row r="87" s="1474" customFormat="1"/>
    <row r="88" s="1474" customFormat="1"/>
    <row r="89" s="1474" customFormat="1"/>
    <row r="90" s="1474" customFormat="1"/>
    <row r="91" s="1474" customFormat="1"/>
    <row r="92" s="1474" customFormat="1"/>
    <row r="93" s="1474" customFormat="1"/>
    <row r="94" s="1474" customFormat="1"/>
    <row r="95" s="1474" customFormat="1"/>
    <row r="96" s="1474" customFormat="1"/>
    <row r="97" s="1474" customFormat="1"/>
    <row r="98" s="1474" customFormat="1"/>
    <row r="99" s="1474" customFormat="1"/>
    <row r="100" s="1474" customFormat="1"/>
    <row r="101" s="1474" customFormat="1"/>
    <row r="102" s="1474" customFormat="1"/>
    <row r="103" s="1474" customFormat="1"/>
    <row r="104" s="1474" customFormat="1"/>
    <row r="105" s="1474" customFormat="1"/>
    <row r="106" s="1474" customFormat="1"/>
    <row r="107" s="1474" customFormat="1"/>
    <row r="108" s="1474" customFormat="1"/>
    <row r="109" s="1474" customFormat="1"/>
    <row r="110" s="1474" customFormat="1"/>
    <row r="111" s="1474" customFormat="1"/>
    <row r="112" s="1474" customFormat="1"/>
    <row r="113" s="1474" customFormat="1"/>
    <row r="114" s="1474" customFormat="1"/>
    <row r="115" s="1474" customFormat="1"/>
    <row r="116" s="1474" customFormat="1"/>
    <row r="117" s="1474" customFormat="1"/>
    <row r="118" s="1474" customFormat="1"/>
    <row r="119" s="1474" customFormat="1"/>
    <row r="120" s="1474" customFormat="1"/>
    <row r="121" s="1474" customFormat="1"/>
    <row r="122" s="1474" customFormat="1"/>
    <row r="123" s="1474" customFormat="1"/>
    <row r="124" s="1474" customFormat="1"/>
    <row r="125" s="1474" customFormat="1"/>
    <row r="126" s="1474" customFormat="1"/>
    <row r="127" s="1474" customFormat="1"/>
    <row r="128" s="1474" customFormat="1"/>
    <row r="129" s="1474" customFormat="1"/>
    <row r="130" s="1474" customFormat="1"/>
    <row r="131" s="1474" customFormat="1"/>
    <row r="132" s="1474" customFormat="1"/>
    <row r="133" s="1474" customFormat="1"/>
  </sheetData>
  <mergeCells count="6">
    <mergeCell ref="A15:I15"/>
    <mergeCell ref="A2:I2"/>
    <mergeCell ref="A4:A6"/>
    <mergeCell ref="B4:I4"/>
    <mergeCell ref="B5:B6"/>
    <mergeCell ref="C5:I5"/>
  </mergeCells>
  <pageMargins left="0.70866141732283472" right="0.70866141732283472" top="0.74803149606299213" bottom="0.74803149606299213" header="0.31496062992125984" footer="0.31496062992125984"/>
  <pageSetup paperSize="14" scale="120" orientation="landscape" r:id="rId1"/>
</worksheet>
</file>

<file path=xl/worksheets/sheet95.xml><?xml version="1.0" encoding="utf-8"?>
<worksheet xmlns="http://schemas.openxmlformats.org/spreadsheetml/2006/main" xmlns:r="http://schemas.openxmlformats.org/officeDocument/2006/relationships">
  <dimension ref="A2:I26"/>
  <sheetViews>
    <sheetView zoomScaleNormal="100" workbookViewId="0">
      <selection activeCell="B40" sqref="B40"/>
    </sheetView>
  </sheetViews>
  <sheetFormatPr baseColWidth="10" defaultRowHeight="11.25"/>
  <cols>
    <col min="1" max="1" width="23.7109375" style="108" customWidth="1"/>
    <col min="2" max="5" width="11.42578125" style="108"/>
    <col min="6" max="6" width="19.5703125" style="108" customWidth="1"/>
    <col min="7" max="16384" width="11.42578125" style="108"/>
  </cols>
  <sheetData>
    <row r="2" spans="1:9" ht="22.5" customHeight="1">
      <c r="A2" s="2199" t="s">
        <v>1123</v>
      </c>
      <c r="B2" s="2199"/>
      <c r="C2" s="2199"/>
      <c r="D2" s="2199"/>
      <c r="E2" s="2199"/>
      <c r="F2" s="2199"/>
      <c r="G2" s="2199"/>
      <c r="H2" s="2199"/>
      <c r="I2" s="2199"/>
    </row>
    <row r="3" spans="1:9">
      <c r="A3" s="192"/>
      <c r="B3" s="192"/>
      <c r="C3" s="1622"/>
      <c r="D3" s="1622"/>
      <c r="E3" s="1622"/>
      <c r="F3" s="1622"/>
      <c r="G3" s="1622"/>
      <c r="H3" s="1622"/>
      <c r="I3" s="1622"/>
    </row>
    <row r="4" spans="1:9" s="96" customFormat="1" ht="12.75">
      <c r="A4" s="2202" t="s">
        <v>0</v>
      </c>
      <c r="B4" s="2203" t="s">
        <v>3474</v>
      </c>
      <c r="C4" s="2203"/>
      <c r="D4" s="2203"/>
      <c r="E4" s="2203"/>
      <c r="F4" s="2203"/>
      <c r="G4" s="2203"/>
      <c r="H4" s="2203"/>
      <c r="I4" s="2203"/>
    </row>
    <row r="5" spans="1:9" s="1479" customFormat="1">
      <c r="A5" s="2202"/>
      <c r="B5" s="2202" t="s">
        <v>26</v>
      </c>
      <c r="C5" s="2203" t="s">
        <v>1113</v>
      </c>
      <c r="D5" s="2203"/>
      <c r="E5" s="2203"/>
      <c r="F5" s="2203"/>
      <c r="G5" s="2203"/>
      <c r="H5" s="2203"/>
      <c r="I5" s="2203"/>
    </row>
    <row r="6" spans="1:9" ht="33.75">
      <c r="A6" s="2202"/>
      <c r="B6" s="2202"/>
      <c r="C6" s="2013" t="s">
        <v>1124</v>
      </c>
      <c r="D6" s="2013" t="s">
        <v>1115</v>
      </c>
      <c r="E6" s="2013" t="s">
        <v>1116</v>
      </c>
      <c r="F6" s="2013" t="s">
        <v>1125</v>
      </c>
      <c r="G6" s="2013" t="s">
        <v>1126</v>
      </c>
      <c r="H6" s="2013" t="s">
        <v>1119</v>
      </c>
      <c r="I6" s="2013" t="s">
        <v>1120</v>
      </c>
    </row>
    <row r="7" spans="1:9">
      <c r="A7" s="2706" t="s">
        <v>6</v>
      </c>
      <c r="B7" s="2707">
        <f>SUM(B8:B22)</f>
        <v>15045</v>
      </c>
      <c r="C7" s="2708">
        <f>SUM(C8:C22)</f>
        <v>2879</v>
      </c>
      <c r="D7" s="2708">
        <f t="shared" ref="D7:I7" si="0">SUM(D8:D22)</f>
        <v>7337</v>
      </c>
      <c r="E7" s="2708">
        <f t="shared" si="0"/>
        <v>575</v>
      </c>
      <c r="F7" s="2708">
        <f t="shared" si="0"/>
        <v>1851</v>
      </c>
      <c r="G7" s="2708">
        <f t="shared" si="0"/>
        <v>1680</v>
      </c>
      <c r="H7" s="2708">
        <f t="shared" si="0"/>
        <v>135</v>
      </c>
      <c r="I7" s="2708">
        <f t="shared" si="0"/>
        <v>588</v>
      </c>
    </row>
    <row r="8" spans="1:9">
      <c r="A8" s="2709" t="s">
        <v>7</v>
      </c>
      <c r="B8" s="2710">
        <f>SUM(C8:I8)</f>
        <v>174</v>
      </c>
      <c r="C8" s="2711">
        <v>12</v>
      </c>
      <c r="D8" s="2711">
        <v>76</v>
      </c>
      <c r="E8" s="2711">
        <v>16</v>
      </c>
      <c r="F8" s="2711">
        <v>47</v>
      </c>
      <c r="G8" s="2711">
        <v>22</v>
      </c>
      <c r="H8" s="2711">
        <v>1</v>
      </c>
      <c r="I8" s="2711">
        <v>0</v>
      </c>
    </row>
    <row r="9" spans="1:9">
      <c r="A9" s="2709" t="s">
        <v>8</v>
      </c>
      <c r="B9" s="2710">
        <f t="shared" ref="B9:B22" si="1">SUM(C9:I9)</f>
        <v>136</v>
      </c>
      <c r="C9" s="2711">
        <v>25</v>
      </c>
      <c r="D9" s="2711">
        <v>85</v>
      </c>
      <c r="E9" s="2711">
        <v>5</v>
      </c>
      <c r="F9" s="2711">
        <v>1</v>
      </c>
      <c r="G9" s="2711">
        <v>10</v>
      </c>
      <c r="H9" s="2711">
        <v>0</v>
      </c>
      <c r="I9" s="2711">
        <v>10</v>
      </c>
    </row>
    <row r="10" spans="1:9">
      <c r="A10" s="2709" t="s">
        <v>9</v>
      </c>
      <c r="B10" s="2710">
        <f t="shared" si="1"/>
        <v>209</v>
      </c>
      <c r="C10" s="2711">
        <v>37</v>
      </c>
      <c r="D10" s="2711">
        <v>109</v>
      </c>
      <c r="E10" s="2711">
        <v>16</v>
      </c>
      <c r="F10" s="2711">
        <v>15</v>
      </c>
      <c r="G10" s="2711">
        <v>29</v>
      </c>
      <c r="H10" s="2711">
        <v>0</v>
      </c>
      <c r="I10" s="2711">
        <v>3</v>
      </c>
    </row>
    <row r="11" spans="1:9">
      <c r="A11" s="2709" t="s">
        <v>10</v>
      </c>
      <c r="B11" s="2710">
        <f t="shared" si="1"/>
        <v>438</v>
      </c>
      <c r="C11" s="2711">
        <v>103</v>
      </c>
      <c r="D11" s="2711">
        <v>91</v>
      </c>
      <c r="E11" s="2711">
        <v>23</v>
      </c>
      <c r="F11" s="2711">
        <v>44</v>
      </c>
      <c r="G11" s="2711">
        <v>128</v>
      </c>
      <c r="H11" s="2711">
        <v>3</v>
      </c>
      <c r="I11" s="2711">
        <v>46</v>
      </c>
    </row>
    <row r="12" spans="1:9">
      <c r="A12" s="2709" t="s">
        <v>11</v>
      </c>
      <c r="B12" s="2710">
        <f t="shared" si="1"/>
        <v>252</v>
      </c>
      <c r="C12" s="2711">
        <v>39</v>
      </c>
      <c r="D12" s="2711">
        <v>75</v>
      </c>
      <c r="E12" s="2711">
        <v>22</v>
      </c>
      <c r="F12" s="2711">
        <v>64</v>
      </c>
      <c r="G12" s="2711">
        <v>44</v>
      </c>
      <c r="H12" s="2711">
        <v>5</v>
      </c>
      <c r="I12" s="2711">
        <v>3</v>
      </c>
    </row>
    <row r="13" spans="1:9">
      <c r="A13" s="2709" t="s">
        <v>12</v>
      </c>
      <c r="B13" s="2710">
        <f t="shared" si="1"/>
        <v>822</v>
      </c>
      <c r="C13" s="2711">
        <v>276</v>
      </c>
      <c r="D13" s="2711">
        <v>176</v>
      </c>
      <c r="E13" s="2711">
        <v>33</v>
      </c>
      <c r="F13" s="2711">
        <v>44</v>
      </c>
      <c r="G13" s="2711">
        <v>100</v>
      </c>
      <c r="H13" s="2711">
        <v>5</v>
      </c>
      <c r="I13" s="2711">
        <v>188</v>
      </c>
    </row>
    <row r="14" spans="1:9">
      <c r="A14" s="2709" t="s">
        <v>13</v>
      </c>
      <c r="B14" s="2710">
        <f t="shared" si="1"/>
        <v>8381</v>
      </c>
      <c r="C14" s="2711">
        <v>1525</v>
      </c>
      <c r="D14" s="2711">
        <v>5651</v>
      </c>
      <c r="E14" s="2711">
        <v>81</v>
      </c>
      <c r="F14" s="2711">
        <v>666</v>
      </c>
      <c r="G14" s="2711">
        <v>147</v>
      </c>
      <c r="H14" s="2711">
        <v>72</v>
      </c>
      <c r="I14" s="2711">
        <v>239</v>
      </c>
    </row>
    <row r="15" spans="1:9">
      <c r="A15" s="2709" t="s">
        <v>14</v>
      </c>
      <c r="B15" s="2710">
        <f t="shared" si="1"/>
        <v>992</v>
      </c>
      <c r="C15" s="2711">
        <v>163</v>
      </c>
      <c r="D15" s="2711">
        <v>160</v>
      </c>
      <c r="E15" s="2711">
        <v>132</v>
      </c>
      <c r="F15" s="2711">
        <v>198</v>
      </c>
      <c r="G15" s="2711">
        <v>307</v>
      </c>
      <c r="H15" s="2711">
        <v>13</v>
      </c>
      <c r="I15" s="2711">
        <v>19</v>
      </c>
    </row>
    <row r="16" spans="1:9">
      <c r="A16" s="2709" t="s">
        <v>15</v>
      </c>
      <c r="B16" s="2710">
        <f t="shared" si="1"/>
        <v>829</v>
      </c>
      <c r="C16" s="2711">
        <v>127</v>
      </c>
      <c r="D16" s="2711">
        <v>153</v>
      </c>
      <c r="E16" s="2711">
        <v>10</v>
      </c>
      <c r="F16" s="2711">
        <v>330</v>
      </c>
      <c r="G16" s="2711">
        <v>198</v>
      </c>
      <c r="H16" s="2711">
        <v>9</v>
      </c>
      <c r="I16" s="2711">
        <v>2</v>
      </c>
    </row>
    <row r="17" spans="1:9">
      <c r="A17" s="2709" t="s">
        <v>16</v>
      </c>
      <c r="B17" s="2710">
        <f t="shared" si="1"/>
        <v>940</v>
      </c>
      <c r="C17" s="2711">
        <v>167</v>
      </c>
      <c r="D17" s="2711">
        <v>323</v>
      </c>
      <c r="E17" s="2711">
        <v>66</v>
      </c>
      <c r="F17" s="2711">
        <v>149</v>
      </c>
      <c r="G17" s="2711">
        <v>221</v>
      </c>
      <c r="H17" s="2711">
        <v>14</v>
      </c>
      <c r="I17" s="2711">
        <v>0</v>
      </c>
    </row>
    <row r="18" spans="1:9">
      <c r="A18" s="2709" t="s">
        <v>17</v>
      </c>
      <c r="B18" s="2710">
        <f t="shared" si="1"/>
        <v>929</v>
      </c>
      <c r="C18" s="2711">
        <v>191</v>
      </c>
      <c r="D18" s="2711">
        <v>220</v>
      </c>
      <c r="E18" s="2711">
        <v>135</v>
      </c>
      <c r="F18" s="2711">
        <v>60</v>
      </c>
      <c r="G18" s="2711">
        <v>262</v>
      </c>
      <c r="H18" s="2711">
        <v>8</v>
      </c>
      <c r="I18" s="2711">
        <v>53</v>
      </c>
    </row>
    <row r="19" spans="1:9">
      <c r="A19" s="2709" t="s">
        <v>18</v>
      </c>
      <c r="B19" s="2710">
        <f t="shared" si="1"/>
        <v>225</v>
      </c>
      <c r="C19" s="2711">
        <v>70</v>
      </c>
      <c r="D19" s="2711">
        <v>54</v>
      </c>
      <c r="E19" s="2711">
        <v>9</v>
      </c>
      <c r="F19" s="2711">
        <v>28</v>
      </c>
      <c r="G19" s="2711">
        <v>62</v>
      </c>
      <c r="H19" s="2711">
        <v>1</v>
      </c>
      <c r="I19" s="2711">
        <v>1</v>
      </c>
    </row>
    <row r="20" spans="1:9">
      <c r="A20" s="2709" t="s">
        <v>19</v>
      </c>
      <c r="B20" s="2710">
        <f t="shared" si="1"/>
        <v>498</v>
      </c>
      <c r="C20" s="2711">
        <v>128</v>
      </c>
      <c r="D20" s="2711">
        <v>141</v>
      </c>
      <c r="E20" s="2711">
        <v>12</v>
      </c>
      <c r="F20" s="2711">
        <v>87</v>
      </c>
      <c r="G20" s="2711">
        <v>110</v>
      </c>
      <c r="H20" s="2711">
        <v>4</v>
      </c>
      <c r="I20" s="2711">
        <v>16</v>
      </c>
    </row>
    <row r="21" spans="1:9">
      <c r="A21" s="2709" t="s">
        <v>20</v>
      </c>
      <c r="B21" s="2710">
        <f t="shared" si="1"/>
        <v>128</v>
      </c>
      <c r="C21" s="2711">
        <v>8</v>
      </c>
      <c r="D21" s="2711">
        <v>7</v>
      </c>
      <c r="E21" s="2711">
        <v>0</v>
      </c>
      <c r="F21" s="2711">
        <v>101</v>
      </c>
      <c r="G21" s="2711">
        <v>6</v>
      </c>
      <c r="H21" s="2711">
        <v>0</v>
      </c>
      <c r="I21" s="2711">
        <v>6</v>
      </c>
    </row>
    <row r="22" spans="1:9">
      <c r="A22" s="1712" t="s">
        <v>21</v>
      </c>
      <c r="B22" s="2710">
        <f t="shared" si="1"/>
        <v>92</v>
      </c>
      <c r="C22" s="2711">
        <v>8</v>
      </c>
      <c r="D22" s="2711">
        <v>16</v>
      </c>
      <c r="E22" s="2711">
        <v>15</v>
      </c>
      <c r="F22" s="2711">
        <v>17</v>
      </c>
      <c r="G22" s="2711">
        <v>34</v>
      </c>
      <c r="H22" s="2711">
        <v>0</v>
      </c>
      <c r="I22" s="2711">
        <v>2</v>
      </c>
    </row>
    <row r="24" spans="1:9" s="96" customFormat="1" ht="26.25" customHeight="1">
      <c r="A24" s="2197" t="s">
        <v>3647</v>
      </c>
      <c r="B24" s="2197"/>
      <c r="C24" s="2197"/>
      <c r="D24" s="2197"/>
      <c r="E24" s="2197"/>
      <c r="F24" s="2197"/>
      <c r="G24" s="2197"/>
      <c r="H24" s="2197"/>
      <c r="I24" s="2201"/>
    </row>
    <row r="25" spans="1:9" s="96" customFormat="1" ht="15.75" customHeight="1">
      <c r="A25" s="933" t="s">
        <v>161</v>
      </c>
      <c r="B25" s="934"/>
      <c r="C25" s="934"/>
      <c r="D25" s="934"/>
      <c r="E25" s="934"/>
      <c r="F25" s="934"/>
      <c r="G25" s="934"/>
      <c r="H25" s="934"/>
      <c r="I25" s="170"/>
    </row>
    <row r="26" spans="1:9" s="96" customFormat="1" ht="13.5" customHeight="1">
      <c r="A26" s="245" t="s">
        <v>1122</v>
      </c>
      <c r="B26" s="177"/>
      <c r="C26" s="177"/>
      <c r="D26" s="177"/>
      <c r="E26" s="177"/>
      <c r="F26" s="177"/>
      <c r="G26" s="177"/>
      <c r="H26" s="177"/>
      <c r="I26" s="177"/>
    </row>
  </sheetData>
  <mergeCells count="6">
    <mergeCell ref="A24:I24"/>
    <mergeCell ref="A2:I2"/>
    <mergeCell ref="A4:A6"/>
    <mergeCell ref="B4:I4"/>
    <mergeCell ref="B5:B6"/>
    <mergeCell ref="C5:I5"/>
  </mergeCells>
  <pageMargins left="0.70866141732283472" right="0.70866141732283472" top="0.74803149606299213" bottom="0.74803149606299213" header="0.31496062992125984" footer="0.31496062992125984"/>
  <pageSetup paperSize="14" scale="115" orientation="landscape" r:id="rId1"/>
</worksheet>
</file>

<file path=xl/worksheets/sheet96.xml><?xml version="1.0" encoding="utf-8"?>
<worksheet xmlns="http://schemas.openxmlformats.org/spreadsheetml/2006/main" xmlns:r="http://schemas.openxmlformats.org/officeDocument/2006/relationships">
  <dimension ref="A2:I26"/>
  <sheetViews>
    <sheetView zoomScaleNormal="100" workbookViewId="0">
      <selection activeCell="C31" sqref="C31"/>
    </sheetView>
  </sheetViews>
  <sheetFormatPr baseColWidth="10" defaultRowHeight="11.25"/>
  <cols>
    <col min="1" max="1" width="22.42578125" style="108" customWidth="1"/>
    <col min="2" max="2" width="14.85546875" style="108" customWidth="1"/>
    <col min="3" max="3" width="13.140625" style="108" bestFit="1" customWidth="1"/>
    <col min="4" max="5" width="13" style="108" bestFit="1" customWidth="1"/>
    <col min="6" max="6" width="17.85546875" style="108" customWidth="1"/>
    <col min="7" max="7" width="13" style="108" bestFit="1" customWidth="1"/>
    <col min="8" max="8" width="13.28515625" style="108" bestFit="1" customWidth="1"/>
    <col min="9" max="9" width="12.5703125" style="108" bestFit="1" customWidth="1"/>
    <col min="10" max="10" width="11.5703125" style="108" bestFit="1" customWidth="1"/>
    <col min="11" max="16384" width="11.42578125" style="108"/>
  </cols>
  <sheetData>
    <row r="2" spans="1:9" ht="25.5" customHeight="1">
      <c r="A2" s="2204" t="s">
        <v>1127</v>
      </c>
      <c r="B2" s="2204"/>
      <c r="C2" s="2204"/>
      <c r="D2" s="2204"/>
      <c r="E2" s="2204"/>
      <c r="F2" s="2204"/>
      <c r="G2" s="2204"/>
      <c r="H2" s="2204"/>
      <c r="I2" s="2204"/>
    </row>
    <row r="4" spans="1:9" s="96" customFormat="1" ht="12.75" customHeight="1">
      <c r="A4" s="2205" t="s">
        <v>0</v>
      </c>
      <c r="B4" s="2203" t="s">
        <v>3470</v>
      </c>
      <c r="C4" s="2203"/>
      <c r="D4" s="2203"/>
      <c r="E4" s="2203"/>
      <c r="F4" s="2203"/>
      <c r="G4" s="2203"/>
      <c r="H4" s="2203"/>
      <c r="I4" s="2203"/>
    </row>
    <row r="5" spans="1:9" ht="12.75" customHeight="1">
      <c r="A5" s="2205"/>
      <c r="B5" s="2205" t="s">
        <v>26</v>
      </c>
      <c r="C5" s="2200" t="s">
        <v>1113</v>
      </c>
      <c r="D5" s="2200"/>
      <c r="E5" s="2200"/>
      <c r="F5" s="2200"/>
      <c r="G5" s="2200"/>
      <c r="H5" s="2200"/>
      <c r="I5" s="2200"/>
    </row>
    <row r="6" spans="1:9" ht="56.25">
      <c r="A6" s="2205"/>
      <c r="B6" s="2205"/>
      <c r="C6" s="1621" t="s">
        <v>1124</v>
      </c>
      <c r="D6" s="1621" t="s">
        <v>1115</v>
      </c>
      <c r="E6" s="1621" t="s">
        <v>1116</v>
      </c>
      <c r="F6" s="1621" t="s">
        <v>1125</v>
      </c>
      <c r="G6" s="1621" t="s">
        <v>1126</v>
      </c>
      <c r="H6" s="1621" t="s">
        <v>1119</v>
      </c>
      <c r="I6" s="1621" t="s">
        <v>1120</v>
      </c>
    </row>
    <row r="7" spans="1:9">
      <c r="A7" s="2712" t="s">
        <v>6</v>
      </c>
      <c r="B7" s="2713">
        <f>SUM(B8:B22)</f>
        <v>1255600</v>
      </c>
      <c r="C7" s="2714">
        <f>SUM(C8:C22)</f>
        <v>219416</v>
      </c>
      <c r="D7" s="2714">
        <f t="shared" ref="D7:I7" si="0">SUM(D8:D22)</f>
        <v>468499</v>
      </c>
      <c r="E7" s="2714">
        <f t="shared" si="0"/>
        <v>70737</v>
      </c>
      <c r="F7" s="2714">
        <f t="shared" si="0"/>
        <v>121363</v>
      </c>
      <c r="G7" s="2714">
        <f t="shared" si="0"/>
        <v>61899</v>
      </c>
      <c r="H7" s="2714">
        <f t="shared" si="0"/>
        <v>59078</v>
      </c>
      <c r="I7" s="2714">
        <f t="shared" si="0"/>
        <v>254608</v>
      </c>
    </row>
    <row r="8" spans="1:9">
      <c r="A8" s="2709" t="s">
        <v>7</v>
      </c>
      <c r="B8" s="2715">
        <f>SUM(C8:I8)</f>
        <v>12660</v>
      </c>
      <c r="C8" s="2716">
        <v>1000</v>
      </c>
      <c r="D8" s="2716">
        <v>880</v>
      </c>
      <c r="E8" s="2716">
        <v>3250</v>
      </c>
      <c r="F8" s="2716">
        <v>5830</v>
      </c>
      <c r="G8" s="2716">
        <v>1700</v>
      </c>
      <c r="H8" s="2716">
        <v>0</v>
      </c>
      <c r="I8" s="2716">
        <v>0</v>
      </c>
    </row>
    <row r="9" spans="1:9">
      <c r="A9" s="2709" t="s">
        <v>8</v>
      </c>
      <c r="B9" s="2715">
        <f t="shared" ref="B9:B22" si="1">SUM(C9:I9)</f>
        <v>950</v>
      </c>
      <c r="C9" s="2716">
        <v>190</v>
      </c>
      <c r="D9" s="2716">
        <v>560</v>
      </c>
      <c r="E9" s="2716">
        <v>0</v>
      </c>
      <c r="F9" s="2716">
        <v>0</v>
      </c>
      <c r="G9" s="2716">
        <v>0</v>
      </c>
      <c r="H9" s="2716">
        <v>0</v>
      </c>
      <c r="I9" s="2716">
        <v>200</v>
      </c>
    </row>
    <row r="10" spans="1:9">
      <c r="A10" s="2709" t="s">
        <v>9</v>
      </c>
      <c r="B10" s="2715">
        <f t="shared" si="1"/>
        <v>14761</v>
      </c>
      <c r="C10" s="2716">
        <v>2099</v>
      </c>
      <c r="D10" s="2716">
        <v>2007</v>
      </c>
      <c r="E10" s="2716">
        <v>1392</v>
      </c>
      <c r="F10" s="2716">
        <v>243</v>
      </c>
      <c r="G10" s="2716">
        <v>3520</v>
      </c>
      <c r="H10" s="2716">
        <v>0</v>
      </c>
      <c r="I10" s="2716">
        <v>5500</v>
      </c>
    </row>
    <row r="11" spans="1:9">
      <c r="A11" s="2709" t="s">
        <v>10</v>
      </c>
      <c r="B11" s="2715">
        <f t="shared" si="1"/>
        <v>2230</v>
      </c>
      <c r="C11" s="2716">
        <v>0</v>
      </c>
      <c r="D11" s="2716">
        <v>780</v>
      </c>
      <c r="E11" s="2716">
        <v>0</v>
      </c>
      <c r="F11" s="2716">
        <v>0</v>
      </c>
      <c r="G11" s="2716">
        <v>100</v>
      </c>
      <c r="H11" s="2716">
        <v>0</v>
      </c>
      <c r="I11" s="2716">
        <v>1350</v>
      </c>
    </row>
    <row r="12" spans="1:9">
      <c r="A12" s="2709" t="s">
        <v>11</v>
      </c>
      <c r="B12" s="2715">
        <f t="shared" si="1"/>
        <v>24117</v>
      </c>
      <c r="C12" s="2716">
        <v>3487</v>
      </c>
      <c r="D12" s="2716">
        <v>8250</v>
      </c>
      <c r="E12" s="2716">
        <v>2800</v>
      </c>
      <c r="F12" s="2716">
        <v>6180</v>
      </c>
      <c r="G12" s="2716">
        <v>3200</v>
      </c>
      <c r="H12" s="2716">
        <v>200</v>
      </c>
      <c r="I12" s="2716">
        <v>0</v>
      </c>
    </row>
    <row r="13" spans="1:9">
      <c r="A13" s="2709" t="s">
        <v>12</v>
      </c>
      <c r="B13" s="2715">
        <f t="shared" si="1"/>
        <v>141154</v>
      </c>
      <c r="C13" s="2716">
        <v>6101</v>
      </c>
      <c r="D13" s="2716">
        <v>8879</v>
      </c>
      <c r="E13" s="2716">
        <v>0</v>
      </c>
      <c r="F13" s="2716">
        <v>1627</v>
      </c>
      <c r="G13" s="2716">
        <v>3700</v>
      </c>
      <c r="H13" s="2716">
        <v>0</v>
      </c>
      <c r="I13" s="2716">
        <v>120847</v>
      </c>
    </row>
    <row r="14" spans="1:9">
      <c r="A14" s="2709" t="s">
        <v>13</v>
      </c>
      <c r="B14" s="2715">
        <f t="shared" si="1"/>
        <v>830241</v>
      </c>
      <c r="C14" s="2716">
        <v>177175</v>
      </c>
      <c r="D14" s="2716">
        <v>393197</v>
      </c>
      <c r="E14" s="2716">
        <v>46953</v>
      </c>
      <c r="F14" s="2716">
        <v>54761</v>
      </c>
      <c r="G14" s="2716">
        <v>11158</v>
      </c>
      <c r="H14" s="2716">
        <v>50348</v>
      </c>
      <c r="I14" s="2716">
        <v>96649</v>
      </c>
    </row>
    <row r="15" spans="1:9">
      <c r="A15" s="2709" t="s">
        <v>14</v>
      </c>
      <c r="B15" s="2715">
        <f t="shared" si="1"/>
        <v>42590</v>
      </c>
      <c r="C15" s="2716">
        <v>3175</v>
      </c>
      <c r="D15" s="2716">
        <v>6419</v>
      </c>
      <c r="E15" s="2716">
        <v>5677</v>
      </c>
      <c r="F15" s="2716">
        <v>11587</v>
      </c>
      <c r="G15" s="2716">
        <v>15472</v>
      </c>
      <c r="H15" s="2716">
        <v>0</v>
      </c>
      <c r="I15" s="2716">
        <v>260</v>
      </c>
    </row>
    <row r="16" spans="1:9">
      <c r="A16" s="2709" t="s">
        <v>15</v>
      </c>
      <c r="B16" s="2715">
        <f t="shared" si="1"/>
        <v>11598</v>
      </c>
      <c r="C16" s="2716">
        <v>1500</v>
      </c>
      <c r="D16" s="2716">
        <v>3030</v>
      </c>
      <c r="E16" s="2716">
        <v>15</v>
      </c>
      <c r="F16" s="2716">
        <v>3223</v>
      </c>
      <c r="G16" s="2716">
        <v>2818</v>
      </c>
      <c r="H16" s="2716">
        <v>12</v>
      </c>
      <c r="I16" s="2716">
        <v>1000</v>
      </c>
    </row>
    <row r="17" spans="1:9">
      <c r="A17" s="2709" t="s">
        <v>16</v>
      </c>
      <c r="B17" s="2715">
        <f t="shared" si="1"/>
        <v>60507</v>
      </c>
      <c r="C17" s="2716">
        <v>18013</v>
      </c>
      <c r="D17" s="2716">
        <v>21263</v>
      </c>
      <c r="E17" s="2716">
        <v>2500</v>
      </c>
      <c r="F17" s="2716">
        <v>12689</v>
      </c>
      <c r="G17" s="2716">
        <v>1570</v>
      </c>
      <c r="H17" s="2716">
        <v>4472</v>
      </c>
      <c r="I17" s="2716">
        <v>0</v>
      </c>
    </row>
    <row r="18" spans="1:9">
      <c r="A18" s="2709" t="s">
        <v>17</v>
      </c>
      <c r="B18" s="2715">
        <f t="shared" si="1"/>
        <v>32793</v>
      </c>
      <c r="C18" s="2716">
        <v>4761</v>
      </c>
      <c r="D18" s="2716">
        <v>5981</v>
      </c>
      <c r="E18" s="2716">
        <v>801</v>
      </c>
      <c r="F18" s="2716">
        <v>5650</v>
      </c>
      <c r="G18" s="2716">
        <v>10011</v>
      </c>
      <c r="H18" s="2716">
        <v>2107</v>
      </c>
      <c r="I18" s="2716">
        <v>3482</v>
      </c>
    </row>
    <row r="19" spans="1:9">
      <c r="A19" s="2709" t="s">
        <v>18</v>
      </c>
      <c r="B19" s="2715">
        <f t="shared" si="1"/>
        <v>9040</v>
      </c>
      <c r="C19" s="2716">
        <v>168</v>
      </c>
      <c r="D19" s="2716">
        <v>6096</v>
      </c>
      <c r="E19" s="2716">
        <v>0</v>
      </c>
      <c r="F19" s="2716">
        <v>2156</v>
      </c>
      <c r="G19" s="2716">
        <v>620</v>
      </c>
      <c r="H19" s="2716">
        <v>0</v>
      </c>
      <c r="I19" s="2716">
        <v>0</v>
      </c>
    </row>
    <row r="20" spans="1:9">
      <c r="A20" s="2709" t="s">
        <v>19</v>
      </c>
      <c r="B20" s="2715">
        <f t="shared" si="1"/>
        <v>54566</v>
      </c>
      <c r="C20" s="2716">
        <v>1747</v>
      </c>
      <c r="D20" s="2716">
        <v>8957</v>
      </c>
      <c r="E20" s="2716">
        <v>3029</v>
      </c>
      <c r="F20" s="2716">
        <v>10597</v>
      </c>
      <c r="G20" s="2716">
        <v>5220</v>
      </c>
      <c r="H20" s="2716">
        <v>1939</v>
      </c>
      <c r="I20" s="2716">
        <v>23077</v>
      </c>
    </row>
    <row r="21" spans="1:9">
      <c r="A21" s="2709" t="s">
        <v>20</v>
      </c>
      <c r="B21" s="2715">
        <f t="shared" si="1"/>
        <v>6683</v>
      </c>
      <c r="C21" s="2716">
        <v>0</v>
      </c>
      <c r="D21" s="2716">
        <v>1000</v>
      </c>
      <c r="E21" s="2716">
        <v>0</v>
      </c>
      <c r="F21" s="2716">
        <v>3840</v>
      </c>
      <c r="G21" s="2716">
        <v>0</v>
      </c>
      <c r="H21" s="2716">
        <v>0</v>
      </c>
      <c r="I21" s="2716">
        <v>1843</v>
      </c>
    </row>
    <row r="22" spans="1:9">
      <c r="A22" s="1712" t="s">
        <v>21</v>
      </c>
      <c r="B22" s="2715">
        <f t="shared" si="1"/>
        <v>11710</v>
      </c>
      <c r="C22" s="2716">
        <v>0</v>
      </c>
      <c r="D22" s="2716">
        <v>1200</v>
      </c>
      <c r="E22" s="2716">
        <v>4320</v>
      </c>
      <c r="F22" s="2716">
        <v>2980</v>
      </c>
      <c r="G22" s="2716">
        <v>2810</v>
      </c>
      <c r="H22" s="2716">
        <v>0</v>
      </c>
      <c r="I22" s="2716">
        <v>400</v>
      </c>
    </row>
    <row r="24" spans="1:9" s="96" customFormat="1" ht="25.5" customHeight="1">
      <c r="A24" s="2197" t="s">
        <v>3647</v>
      </c>
      <c r="B24" s="2197"/>
      <c r="C24" s="2197"/>
      <c r="D24" s="2197"/>
      <c r="E24" s="2197"/>
      <c r="F24" s="2197"/>
      <c r="G24" s="2197"/>
      <c r="H24" s="2197"/>
      <c r="I24" s="2201"/>
    </row>
    <row r="25" spans="1:9" s="96" customFormat="1">
      <c r="A25" s="933" t="s">
        <v>161</v>
      </c>
      <c r="B25" s="934"/>
      <c r="C25" s="934"/>
      <c r="D25" s="934"/>
      <c r="E25" s="934"/>
      <c r="F25" s="934"/>
      <c r="G25" s="934"/>
      <c r="H25" s="934"/>
      <c r="I25" s="170"/>
    </row>
    <row r="26" spans="1:9" s="96" customFormat="1">
      <c r="A26" s="245" t="s">
        <v>1122</v>
      </c>
      <c r="B26" s="177"/>
      <c r="C26" s="1475"/>
      <c r="D26" s="1475"/>
      <c r="E26" s="1475"/>
      <c r="F26" s="1475"/>
      <c r="G26" s="1475"/>
      <c r="H26" s="1475"/>
      <c r="I26" s="1475"/>
    </row>
  </sheetData>
  <mergeCells count="6">
    <mergeCell ref="A24:I24"/>
    <mergeCell ref="A2:I2"/>
    <mergeCell ref="A4:A6"/>
    <mergeCell ref="B4:I4"/>
    <mergeCell ref="B5:B6"/>
    <mergeCell ref="C5:I5"/>
  </mergeCells>
  <pageMargins left="0.70866141732283472" right="0.70866141732283472" top="0.74803149606299213" bottom="0.74803149606299213" header="0.31496062992125984" footer="0.31496062992125984"/>
  <pageSetup paperSize="14" scale="110" orientation="landscape" r:id="rId1"/>
</worksheet>
</file>

<file path=xl/worksheets/sheet97.xml><?xml version="1.0" encoding="utf-8"?>
<worksheet xmlns="http://schemas.openxmlformats.org/spreadsheetml/2006/main" xmlns:r="http://schemas.openxmlformats.org/officeDocument/2006/relationships">
  <dimension ref="A2:I26"/>
  <sheetViews>
    <sheetView zoomScaleNormal="100" workbookViewId="0">
      <selection activeCell="D33" sqref="D33"/>
    </sheetView>
  </sheetViews>
  <sheetFormatPr baseColWidth="10" defaultRowHeight="11.25"/>
  <cols>
    <col min="1" max="1" width="29" style="108" customWidth="1"/>
    <col min="2" max="2" width="13.7109375" style="108" customWidth="1"/>
    <col min="3" max="5" width="12.42578125" style="108" bestFit="1" customWidth="1"/>
    <col min="6" max="6" width="18.140625" style="108" customWidth="1"/>
    <col min="7" max="7" width="17.28515625" style="108" customWidth="1"/>
    <col min="8" max="8" width="11.5703125" style="108" bestFit="1" customWidth="1"/>
    <col min="9" max="9" width="12.42578125" style="108" bestFit="1" customWidth="1"/>
    <col min="10" max="16384" width="11.42578125" style="108"/>
  </cols>
  <sheetData>
    <row r="2" spans="1:9" ht="24.75" customHeight="1">
      <c r="A2" s="2199" t="s">
        <v>1128</v>
      </c>
      <c r="B2" s="2199"/>
      <c r="C2" s="2199"/>
      <c r="D2" s="2199"/>
      <c r="E2" s="2199"/>
      <c r="F2" s="2199"/>
      <c r="G2" s="2199"/>
      <c r="H2" s="2199"/>
      <c r="I2" s="2199"/>
    </row>
    <row r="3" spans="1:9">
      <c r="A3" s="1620"/>
      <c r="B3" s="1620"/>
      <c r="C3" s="1620"/>
      <c r="D3" s="1620"/>
      <c r="E3" s="1620"/>
      <c r="F3" s="1620"/>
      <c r="G3" s="1620"/>
      <c r="H3" s="1475"/>
      <c r="I3" s="1475"/>
    </row>
    <row r="4" spans="1:9" s="177" customFormat="1" ht="12.75" customHeight="1">
      <c r="A4" s="2205" t="s">
        <v>0</v>
      </c>
      <c r="B4" s="2203" t="s">
        <v>3468</v>
      </c>
      <c r="C4" s="2203"/>
      <c r="D4" s="2203"/>
      <c r="E4" s="2203"/>
      <c r="F4" s="2203"/>
      <c r="G4" s="2203"/>
      <c r="H4" s="2203"/>
      <c r="I4" s="2203"/>
    </row>
    <row r="5" spans="1:9" s="96" customFormat="1" ht="12.75" customHeight="1">
      <c r="A5" s="2205"/>
      <c r="B5" s="2205" t="s">
        <v>26</v>
      </c>
      <c r="C5" s="2200" t="s">
        <v>1113</v>
      </c>
      <c r="D5" s="2200"/>
      <c r="E5" s="2200"/>
      <c r="F5" s="2200"/>
      <c r="G5" s="2200"/>
      <c r="H5" s="2200"/>
      <c r="I5" s="2200"/>
    </row>
    <row r="6" spans="1:9" s="96" customFormat="1" ht="33.75">
      <c r="A6" s="2205"/>
      <c r="B6" s="2205"/>
      <c r="C6" s="1621" t="s">
        <v>1124</v>
      </c>
      <c r="D6" s="1621" t="s">
        <v>1115</v>
      </c>
      <c r="E6" s="1621" t="s">
        <v>1116</v>
      </c>
      <c r="F6" s="1621" t="s">
        <v>1125</v>
      </c>
      <c r="G6" s="1621" t="s">
        <v>1126</v>
      </c>
      <c r="H6" s="1621" t="s">
        <v>1119</v>
      </c>
      <c r="I6" s="1621" t="s">
        <v>1120</v>
      </c>
    </row>
    <row r="7" spans="1:9">
      <c r="A7" s="2712" t="s">
        <v>6</v>
      </c>
      <c r="B7" s="2713">
        <f>SUM(B8:B22)</f>
        <v>1939803</v>
      </c>
      <c r="C7" s="2714">
        <f>SUM(C8:C22)</f>
        <v>375071</v>
      </c>
      <c r="D7" s="2714">
        <f t="shared" ref="D7:I7" si="0">SUM(D8:D22)</f>
        <v>516469</v>
      </c>
      <c r="E7" s="2714">
        <f t="shared" si="0"/>
        <v>141064</v>
      </c>
      <c r="F7" s="2714">
        <f t="shared" si="0"/>
        <v>219136</v>
      </c>
      <c r="G7" s="2714">
        <f t="shared" si="0"/>
        <v>507400</v>
      </c>
      <c r="H7" s="2714">
        <f t="shared" si="0"/>
        <v>49838</v>
      </c>
      <c r="I7" s="2714">
        <f t="shared" si="0"/>
        <v>130825</v>
      </c>
    </row>
    <row r="8" spans="1:9">
      <c r="A8" s="2709" t="s">
        <v>7</v>
      </c>
      <c r="B8" s="2715">
        <f>SUM(C8:I8)</f>
        <v>44037</v>
      </c>
      <c r="C8" s="2716">
        <v>3640</v>
      </c>
      <c r="D8" s="2716">
        <v>14587</v>
      </c>
      <c r="E8" s="2716">
        <v>4130</v>
      </c>
      <c r="F8" s="2716">
        <v>14800</v>
      </c>
      <c r="G8" s="2716">
        <v>6380</v>
      </c>
      <c r="H8" s="2716">
        <v>500</v>
      </c>
      <c r="I8" s="2716">
        <v>0</v>
      </c>
    </row>
    <row r="9" spans="1:9">
      <c r="A9" s="2709" t="s">
        <v>8</v>
      </c>
      <c r="B9" s="2715">
        <f t="shared" ref="B9:B22" si="1">SUM(C9:I9)</f>
        <v>19436</v>
      </c>
      <c r="C9" s="2716">
        <v>7253</v>
      </c>
      <c r="D9" s="2716">
        <v>5983</v>
      </c>
      <c r="E9" s="2716">
        <v>1060</v>
      </c>
      <c r="F9" s="2716">
        <v>120</v>
      </c>
      <c r="G9" s="2716">
        <v>1520</v>
      </c>
      <c r="H9" s="2716">
        <v>0</v>
      </c>
      <c r="I9" s="2716">
        <v>3500</v>
      </c>
    </row>
    <row r="10" spans="1:9">
      <c r="A10" s="2709" t="s">
        <v>9</v>
      </c>
      <c r="B10" s="2715">
        <f t="shared" si="1"/>
        <v>45619</v>
      </c>
      <c r="C10" s="2716">
        <v>7050</v>
      </c>
      <c r="D10" s="2716">
        <v>17329</v>
      </c>
      <c r="E10" s="2716">
        <v>4819</v>
      </c>
      <c r="F10" s="2716">
        <v>4910</v>
      </c>
      <c r="G10" s="2716">
        <v>11461</v>
      </c>
      <c r="H10" s="2716">
        <v>0</v>
      </c>
      <c r="I10" s="2716">
        <v>50</v>
      </c>
    </row>
    <row r="11" spans="1:9">
      <c r="A11" s="2709" t="s">
        <v>10</v>
      </c>
      <c r="B11" s="2715">
        <f t="shared" si="1"/>
        <v>103650</v>
      </c>
      <c r="C11" s="2716">
        <v>18080</v>
      </c>
      <c r="D11" s="2716">
        <v>16910</v>
      </c>
      <c r="E11" s="2716">
        <v>7020</v>
      </c>
      <c r="F11" s="2716">
        <v>13890</v>
      </c>
      <c r="G11" s="2716">
        <v>29520</v>
      </c>
      <c r="H11" s="2716">
        <v>1030</v>
      </c>
      <c r="I11" s="2716">
        <v>17200</v>
      </c>
    </row>
    <row r="12" spans="1:9">
      <c r="A12" s="2709" t="s">
        <v>11</v>
      </c>
      <c r="B12" s="2715">
        <f t="shared" si="1"/>
        <v>78450</v>
      </c>
      <c r="C12" s="2716">
        <v>7844</v>
      </c>
      <c r="D12" s="2716">
        <v>12536</v>
      </c>
      <c r="E12" s="2716">
        <v>24040</v>
      </c>
      <c r="F12" s="2716">
        <v>9950</v>
      </c>
      <c r="G12" s="2716">
        <v>8080</v>
      </c>
      <c r="H12" s="2716">
        <v>1000</v>
      </c>
      <c r="I12" s="2716">
        <v>15000</v>
      </c>
    </row>
    <row r="13" spans="1:9">
      <c r="A13" s="2709" t="s">
        <v>12</v>
      </c>
      <c r="B13" s="2715">
        <f t="shared" si="1"/>
        <v>170146</v>
      </c>
      <c r="C13" s="2716">
        <v>33934</v>
      </c>
      <c r="D13" s="2716">
        <v>21399</v>
      </c>
      <c r="E13" s="2716">
        <v>13068</v>
      </c>
      <c r="F13" s="2716">
        <v>14948</v>
      </c>
      <c r="G13" s="2716">
        <v>38253</v>
      </c>
      <c r="H13" s="2716">
        <v>2554</v>
      </c>
      <c r="I13" s="2716">
        <v>45990</v>
      </c>
    </row>
    <row r="14" spans="1:9">
      <c r="A14" s="2709" t="s">
        <v>13</v>
      </c>
      <c r="B14" s="2715">
        <f t="shared" si="1"/>
        <v>611759</v>
      </c>
      <c r="C14" s="2716">
        <v>130330</v>
      </c>
      <c r="D14" s="2716">
        <v>250328</v>
      </c>
      <c r="E14" s="2716">
        <v>29452</v>
      </c>
      <c r="F14" s="2716">
        <v>57604</v>
      </c>
      <c r="G14" s="2716">
        <v>77197</v>
      </c>
      <c r="H14" s="2716">
        <v>28986</v>
      </c>
      <c r="I14" s="2716">
        <v>37862</v>
      </c>
    </row>
    <row r="15" spans="1:9">
      <c r="A15" s="2709" t="s">
        <v>14</v>
      </c>
      <c r="B15" s="2715">
        <f t="shared" si="1"/>
        <v>183112</v>
      </c>
      <c r="C15" s="2716">
        <v>35060</v>
      </c>
      <c r="D15" s="2716">
        <v>20356</v>
      </c>
      <c r="E15" s="2716">
        <v>14030</v>
      </c>
      <c r="F15" s="2716">
        <v>24613</v>
      </c>
      <c r="G15" s="2716">
        <v>80477</v>
      </c>
      <c r="H15" s="2716">
        <v>3781</v>
      </c>
      <c r="I15" s="2716">
        <v>4795</v>
      </c>
    </row>
    <row r="16" spans="1:9">
      <c r="A16" s="2709" t="s">
        <v>15</v>
      </c>
      <c r="B16" s="2715">
        <f t="shared" si="1"/>
        <v>146124</v>
      </c>
      <c r="C16" s="2716">
        <v>34457</v>
      </c>
      <c r="D16" s="2716">
        <v>43463</v>
      </c>
      <c r="E16" s="2716">
        <v>3151</v>
      </c>
      <c r="F16" s="2716">
        <v>10646</v>
      </c>
      <c r="G16" s="2716">
        <v>50777</v>
      </c>
      <c r="H16" s="2716">
        <v>3030</v>
      </c>
      <c r="I16" s="2716">
        <v>600</v>
      </c>
    </row>
    <row r="17" spans="1:9">
      <c r="A17" s="2709" t="s">
        <v>16</v>
      </c>
      <c r="B17" s="2715">
        <f t="shared" si="1"/>
        <v>219473</v>
      </c>
      <c r="C17" s="2716">
        <v>36262</v>
      </c>
      <c r="D17" s="2716">
        <v>40538</v>
      </c>
      <c r="E17" s="2716">
        <v>13624</v>
      </c>
      <c r="F17" s="2716">
        <v>36975</v>
      </c>
      <c r="G17" s="2716">
        <v>89458</v>
      </c>
      <c r="H17" s="2716">
        <v>2616</v>
      </c>
      <c r="I17" s="2716">
        <v>0</v>
      </c>
    </row>
    <row r="18" spans="1:9">
      <c r="A18" s="2709" t="s">
        <v>17</v>
      </c>
      <c r="B18" s="2715">
        <f t="shared" si="1"/>
        <v>162756</v>
      </c>
      <c r="C18" s="2716">
        <v>28016</v>
      </c>
      <c r="D18" s="2716">
        <v>35257</v>
      </c>
      <c r="E18" s="2716">
        <v>20485</v>
      </c>
      <c r="F18" s="2716">
        <v>9053</v>
      </c>
      <c r="G18" s="2716">
        <v>60464</v>
      </c>
      <c r="H18" s="2716">
        <v>5623</v>
      </c>
      <c r="I18" s="2716">
        <v>3858</v>
      </c>
    </row>
    <row r="19" spans="1:9">
      <c r="A19" s="2709" t="s">
        <v>18</v>
      </c>
      <c r="B19" s="2715">
        <f t="shared" si="1"/>
        <v>44746</v>
      </c>
      <c r="C19" s="2716">
        <v>8650</v>
      </c>
      <c r="D19" s="2716">
        <v>7940</v>
      </c>
      <c r="E19" s="2716">
        <v>1475</v>
      </c>
      <c r="F19" s="2716">
        <v>8038</v>
      </c>
      <c r="G19" s="2716">
        <v>17965</v>
      </c>
      <c r="H19" s="2716">
        <v>178</v>
      </c>
      <c r="I19" s="2716">
        <v>500</v>
      </c>
    </row>
    <row r="20" spans="1:9">
      <c r="A20" s="2709" t="s">
        <v>19</v>
      </c>
      <c r="B20" s="2715">
        <f t="shared" si="1"/>
        <v>84406</v>
      </c>
      <c r="C20" s="2716">
        <v>20725</v>
      </c>
      <c r="D20" s="2716">
        <v>24623</v>
      </c>
      <c r="E20" s="2716">
        <v>3990</v>
      </c>
      <c r="F20" s="2716">
        <v>9433</v>
      </c>
      <c r="G20" s="2716">
        <v>24025</v>
      </c>
      <c r="H20" s="2716">
        <v>540</v>
      </c>
      <c r="I20" s="2716">
        <v>1070</v>
      </c>
    </row>
    <row r="21" spans="1:9">
      <c r="A21" s="2709" t="s">
        <v>20</v>
      </c>
      <c r="B21" s="2715">
        <f t="shared" si="1"/>
        <v>3389</v>
      </c>
      <c r="C21" s="2716">
        <v>1390</v>
      </c>
      <c r="D21" s="2716">
        <v>100</v>
      </c>
      <c r="E21" s="2716">
        <v>0</v>
      </c>
      <c r="F21" s="2716">
        <v>616</v>
      </c>
      <c r="G21" s="2716">
        <v>1283</v>
      </c>
      <c r="H21" s="2716">
        <v>0</v>
      </c>
      <c r="I21" s="2716">
        <v>0</v>
      </c>
    </row>
    <row r="22" spans="1:9">
      <c r="A22" s="1712" t="s">
        <v>21</v>
      </c>
      <c r="B22" s="2715">
        <f t="shared" si="1"/>
        <v>22700</v>
      </c>
      <c r="C22" s="2716">
        <v>2380</v>
      </c>
      <c r="D22" s="2716">
        <v>5120</v>
      </c>
      <c r="E22" s="2716">
        <v>720</v>
      </c>
      <c r="F22" s="2716">
        <v>3540</v>
      </c>
      <c r="G22" s="2716">
        <v>10540</v>
      </c>
      <c r="H22" s="2716">
        <v>0</v>
      </c>
      <c r="I22" s="2716">
        <v>400</v>
      </c>
    </row>
    <row r="24" spans="1:9" s="96" customFormat="1" ht="26.25" customHeight="1">
      <c r="A24" s="2197" t="s">
        <v>3647</v>
      </c>
      <c r="B24" s="2197"/>
      <c r="C24" s="2197"/>
      <c r="D24" s="2197"/>
      <c r="E24" s="2197"/>
      <c r="F24" s="2197"/>
      <c r="G24" s="2197"/>
      <c r="H24" s="2197"/>
      <c r="I24" s="2201"/>
    </row>
    <row r="25" spans="1:9" s="96" customFormat="1">
      <c r="A25" s="933" t="s">
        <v>161</v>
      </c>
      <c r="B25" s="934"/>
      <c r="C25" s="934"/>
      <c r="D25" s="934"/>
      <c r="E25" s="934"/>
      <c r="F25" s="934"/>
      <c r="G25" s="934"/>
      <c r="H25" s="934"/>
      <c r="I25" s="170"/>
    </row>
    <row r="26" spans="1:9" s="96" customFormat="1">
      <c r="A26" s="245" t="s">
        <v>1122</v>
      </c>
      <c r="B26" s="177"/>
      <c r="C26" s="177"/>
      <c r="D26" s="177"/>
      <c r="E26" s="177"/>
      <c r="F26" s="177"/>
      <c r="G26" s="177"/>
      <c r="H26" s="177"/>
      <c r="I26" s="177"/>
    </row>
  </sheetData>
  <mergeCells count="6">
    <mergeCell ref="A24:I24"/>
    <mergeCell ref="A2:I2"/>
    <mergeCell ref="A4:A6"/>
    <mergeCell ref="B4:I4"/>
    <mergeCell ref="B5:B6"/>
    <mergeCell ref="C5:I5"/>
  </mergeCells>
  <pageMargins left="0.7" right="0.7" top="0.75" bottom="0.75" header="0.3" footer="0.3"/>
  <pageSetup paperSize="14" orientation="landscape" r:id="rId1"/>
</worksheet>
</file>

<file path=xl/worksheets/sheet98.xml><?xml version="1.0" encoding="utf-8"?>
<worksheet xmlns="http://schemas.openxmlformats.org/spreadsheetml/2006/main" xmlns:r="http://schemas.openxmlformats.org/officeDocument/2006/relationships">
  <dimension ref="A2:I196"/>
  <sheetViews>
    <sheetView zoomScaleNormal="100" workbookViewId="0">
      <selection activeCell="D30" sqref="D30"/>
    </sheetView>
  </sheetViews>
  <sheetFormatPr baseColWidth="10" defaultRowHeight="12"/>
  <cols>
    <col min="1" max="5" width="11.42578125" style="107"/>
    <col min="6" max="6" width="18" style="107" customWidth="1"/>
    <col min="7" max="7" width="16.5703125" style="107" customWidth="1"/>
    <col min="8" max="16384" width="11.42578125" style="107"/>
  </cols>
  <sheetData>
    <row r="2" spans="1:9" ht="30.75" customHeight="1">
      <c r="A2" s="2204" t="s">
        <v>1129</v>
      </c>
      <c r="B2" s="2204"/>
      <c r="C2" s="2204"/>
      <c r="D2" s="2204"/>
      <c r="E2" s="2204"/>
      <c r="F2" s="2204"/>
      <c r="G2" s="2204"/>
      <c r="H2" s="2204"/>
      <c r="I2" s="2204"/>
    </row>
    <row r="3" spans="1:9">
      <c r="A3" s="934"/>
      <c r="B3" s="177"/>
      <c r="C3" s="1475"/>
      <c r="D3" s="1475"/>
      <c r="E3" s="1475"/>
      <c r="F3" s="1475"/>
      <c r="G3" s="1475"/>
      <c r="H3" s="1475"/>
      <c r="I3" s="1475"/>
    </row>
    <row r="4" spans="1:9" ht="12.75">
      <c r="A4" s="2200" t="s">
        <v>671</v>
      </c>
      <c r="B4" s="2174" t="s">
        <v>3470</v>
      </c>
      <c r="C4" s="2174"/>
      <c r="D4" s="2174"/>
      <c r="E4" s="2174"/>
      <c r="F4" s="2174"/>
      <c r="G4" s="2174"/>
      <c r="H4" s="2174"/>
      <c r="I4" s="2174"/>
    </row>
    <row r="5" spans="1:9">
      <c r="A5" s="2200"/>
      <c r="B5" s="2200" t="s">
        <v>6</v>
      </c>
      <c r="C5" s="2174" t="s">
        <v>1113</v>
      </c>
      <c r="D5" s="2174"/>
      <c r="E5" s="2174"/>
      <c r="F5" s="2174"/>
      <c r="G5" s="2174"/>
      <c r="H5" s="2174"/>
      <c r="I5" s="2174"/>
    </row>
    <row r="6" spans="1:9" ht="34.5" customHeight="1">
      <c r="A6" s="2200"/>
      <c r="B6" s="2200"/>
      <c r="C6" s="2007" t="s">
        <v>1114</v>
      </c>
      <c r="D6" s="2007" t="s">
        <v>1115</v>
      </c>
      <c r="E6" s="2007" t="s">
        <v>1116</v>
      </c>
      <c r="F6" s="2007" t="s">
        <v>1130</v>
      </c>
      <c r="G6" s="2007" t="s">
        <v>1118</v>
      </c>
      <c r="H6" s="2007" t="s">
        <v>1119</v>
      </c>
      <c r="I6" s="2007" t="s">
        <v>1120</v>
      </c>
    </row>
    <row r="7" spans="1:9">
      <c r="A7" s="1470" t="s">
        <v>1121</v>
      </c>
      <c r="B7" s="186">
        <f t="shared" ref="B7:B12" si="0">SUM(C7:I7)</f>
        <v>1286850</v>
      </c>
      <c r="C7" s="179">
        <v>388844</v>
      </c>
      <c r="D7" s="179">
        <v>430391</v>
      </c>
      <c r="E7" s="179">
        <v>86235</v>
      </c>
      <c r="F7" s="179">
        <v>78282</v>
      </c>
      <c r="G7" s="179">
        <v>205102</v>
      </c>
      <c r="H7" s="179">
        <v>61451</v>
      </c>
      <c r="I7" s="179">
        <v>36545</v>
      </c>
    </row>
    <row r="8" spans="1:9">
      <c r="A8" s="1470" t="s">
        <v>1131</v>
      </c>
      <c r="B8" s="186">
        <f t="shared" si="0"/>
        <v>1165357</v>
      </c>
      <c r="C8" s="179">
        <v>174716</v>
      </c>
      <c r="D8" s="179">
        <v>586900</v>
      </c>
      <c r="E8" s="179">
        <v>52449</v>
      </c>
      <c r="F8" s="179">
        <v>108229</v>
      </c>
      <c r="G8" s="179">
        <v>95805</v>
      </c>
      <c r="H8" s="179">
        <v>32066</v>
      </c>
      <c r="I8" s="179">
        <v>115192</v>
      </c>
    </row>
    <row r="9" spans="1:9">
      <c r="A9" s="1470" t="s">
        <v>801</v>
      </c>
      <c r="B9" s="186">
        <f t="shared" si="0"/>
        <v>1439667</v>
      </c>
      <c r="C9" s="179">
        <v>488463</v>
      </c>
      <c r="D9" s="179">
        <v>504558</v>
      </c>
      <c r="E9" s="179">
        <v>51012</v>
      </c>
      <c r="F9" s="179">
        <v>66494</v>
      </c>
      <c r="G9" s="179">
        <v>81994</v>
      </c>
      <c r="H9" s="179">
        <v>54000</v>
      </c>
      <c r="I9" s="179">
        <v>193146</v>
      </c>
    </row>
    <row r="10" spans="1:9">
      <c r="A10" s="1470" t="s">
        <v>802</v>
      </c>
      <c r="B10" s="186">
        <f t="shared" si="0"/>
        <v>1179363</v>
      </c>
      <c r="C10" s="179">
        <v>242098</v>
      </c>
      <c r="D10" s="179">
        <v>515005</v>
      </c>
      <c r="E10" s="179">
        <v>79622</v>
      </c>
      <c r="F10" s="179">
        <v>87881</v>
      </c>
      <c r="G10" s="179">
        <v>104062</v>
      </c>
      <c r="H10" s="179">
        <v>54846</v>
      </c>
      <c r="I10" s="179">
        <v>95849</v>
      </c>
    </row>
    <row r="11" spans="1:9">
      <c r="A11" s="1470" t="s">
        <v>803</v>
      </c>
      <c r="B11" s="186">
        <f t="shared" si="0"/>
        <v>1157583</v>
      </c>
      <c r="C11" s="179">
        <v>318096</v>
      </c>
      <c r="D11" s="179">
        <v>451978</v>
      </c>
      <c r="E11" s="179">
        <v>76964</v>
      </c>
      <c r="F11" s="179">
        <v>70894</v>
      </c>
      <c r="G11" s="179">
        <v>102719</v>
      </c>
      <c r="H11" s="179">
        <v>53131</v>
      </c>
      <c r="I11" s="179">
        <v>83801</v>
      </c>
    </row>
    <row r="12" spans="1:9">
      <c r="A12" s="1470" t="s">
        <v>804</v>
      </c>
      <c r="B12" s="186">
        <f t="shared" si="0"/>
        <v>1255600</v>
      </c>
      <c r="C12" s="179">
        <v>219416</v>
      </c>
      <c r="D12" s="179">
        <v>468499</v>
      </c>
      <c r="E12" s="179">
        <v>70737</v>
      </c>
      <c r="F12" s="179">
        <v>121363</v>
      </c>
      <c r="G12" s="179">
        <v>61899</v>
      </c>
      <c r="H12" s="179">
        <v>59078</v>
      </c>
      <c r="I12" s="179">
        <v>254608</v>
      </c>
    </row>
    <row r="13" spans="1:9">
      <c r="A13" s="1470"/>
      <c r="B13" s="186"/>
      <c r="C13" s="179"/>
      <c r="D13" s="179"/>
      <c r="E13" s="179"/>
      <c r="F13" s="179"/>
      <c r="G13" s="179"/>
      <c r="H13" s="179"/>
      <c r="I13" s="179"/>
    </row>
    <row r="14" spans="1:9" ht="24.75" customHeight="1">
      <c r="A14" s="2197" t="s">
        <v>3647</v>
      </c>
      <c r="B14" s="2197"/>
      <c r="C14" s="2197"/>
      <c r="D14" s="2197"/>
      <c r="E14" s="2197"/>
      <c r="F14" s="2197"/>
      <c r="G14" s="2197"/>
      <c r="H14" s="2197"/>
      <c r="I14" s="2198"/>
    </row>
    <row r="15" spans="1:9">
      <c r="A15" s="245" t="s">
        <v>1122</v>
      </c>
      <c r="B15" s="177"/>
      <c r="C15" s="1475"/>
      <c r="D15" s="1475"/>
      <c r="E15" s="1475"/>
      <c r="F15" s="1475"/>
      <c r="G15" s="1475"/>
      <c r="H15" s="1475"/>
      <c r="I15" s="1475"/>
    </row>
    <row r="17" spans="1:8" s="1474" customFormat="1">
      <c r="A17" s="1470"/>
      <c r="B17" s="179"/>
      <c r="C17" s="179"/>
      <c r="D17" s="179"/>
      <c r="E17" s="179"/>
      <c r="F17" s="179"/>
      <c r="G17" s="179"/>
      <c r="H17" s="179"/>
    </row>
    <row r="18" spans="1:8" s="1474" customFormat="1">
      <c r="A18" s="1470"/>
      <c r="B18" s="179"/>
      <c r="C18" s="179"/>
      <c r="D18" s="179"/>
      <c r="E18" s="179"/>
      <c r="F18" s="179"/>
      <c r="G18" s="179"/>
      <c r="H18" s="179"/>
    </row>
    <row r="19" spans="1:8" s="1474" customFormat="1"/>
    <row r="20" spans="1:8" s="1474" customFormat="1"/>
    <row r="21" spans="1:8" s="1474" customFormat="1"/>
    <row r="22" spans="1:8" s="1474" customFormat="1"/>
    <row r="23" spans="1:8" s="1474" customFormat="1"/>
    <row r="24" spans="1:8" s="1474" customFormat="1"/>
    <row r="25" spans="1:8" s="1474" customFormat="1"/>
    <row r="26" spans="1:8" s="1474" customFormat="1"/>
    <row r="27" spans="1:8" s="1474" customFormat="1"/>
    <row r="28" spans="1:8" s="1474" customFormat="1"/>
    <row r="29" spans="1:8" s="1474" customFormat="1"/>
    <row r="30" spans="1:8" s="1474" customFormat="1"/>
    <row r="31" spans="1:8" s="1474" customFormat="1"/>
    <row r="32" spans="1:8" s="1474" customFormat="1"/>
    <row r="33" s="1474" customFormat="1"/>
    <row r="34" s="1474" customFormat="1"/>
    <row r="35" s="1474" customFormat="1"/>
    <row r="36" s="1474" customFormat="1"/>
    <row r="37" s="1474" customFormat="1"/>
    <row r="38" s="1474" customFormat="1"/>
    <row r="39" s="1474" customFormat="1"/>
    <row r="40" s="1474" customFormat="1"/>
    <row r="41" s="1474" customFormat="1"/>
    <row r="42" s="1474" customFormat="1"/>
    <row r="43" s="1474" customFormat="1"/>
    <row r="44" s="1474" customFormat="1"/>
    <row r="45" s="1474" customFormat="1"/>
    <row r="46" s="1474" customFormat="1"/>
    <row r="47" s="1474" customFormat="1"/>
    <row r="48" s="1474" customFormat="1"/>
    <row r="49" s="1474" customFormat="1"/>
    <row r="50" s="1474" customFormat="1"/>
    <row r="51" s="1474" customFormat="1"/>
    <row r="52" s="1474" customFormat="1"/>
    <row r="53" s="1474" customFormat="1"/>
    <row r="54" s="1474" customFormat="1"/>
    <row r="55" s="1474" customFormat="1"/>
    <row r="56" s="1474" customFormat="1"/>
    <row r="57" s="1474" customFormat="1"/>
    <row r="58" s="1474" customFormat="1"/>
    <row r="59" s="1474" customFormat="1"/>
    <row r="60" s="1474" customFormat="1"/>
    <row r="61" s="1474" customFormat="1"/>
    <row r="62" s="1474" customFormat="1"/>
    <row r="63" s="1474" customFormat="1"/>
    <row r="64" s="1474" customFormat="1"/>
    <row r="65" s="1474" customFormat="1"/>
    <row r="66" s="1474" customFormat="1"/>
    <row r="67" s="1474" customFormat="1"/>
    <row r="68" s="1474" customFormat="1"/>
    <row r="69" s="1474" customFormat="1"/>
    <row r="70" s="1474" customFormat="1"/>
    <row r="71" s="1474" customFormat="1"/>
    <row r="72" s="1474" customFormat="1"/>
    <row r="73" s="1474" customFormat="1"/>
    <row r="74" s="1474" customFormat="1"/>
    <row r="75" s="1474" customFormat="1"/>
    <row r="76" s="1474" customFormat="1"/>
    <row r="77" s="1474" customFormat="1"/>
    <row r="78" s="1474" customFormat="1"/>
    <row r="79" s="1474" customFormat="1"/>
    <row r="80" s="1474" customFormat="1"/>
    <row r="81" s="1474" customFormat="1"/>
    <row r="82" s="1474" customFormat="1"/>
    <row r="83" s="1474" customFormat="1"/>
    <row r="84" s="1474" customFormat="1"/>
    <row r="85" s="1474" customFormat="1"/>
    <row r="86" s="1474" customFormat="1"/>
    <row r="87" s="1474" customFormat="1"/>
    <row r="88" s="1474" customFormat="1"/>
    <row r="89" s="1474" customFormat="1"/>
    <row r="90" s="1474" customFormat="1"/>
    <row r="91" s="1474" customFormat="1"/>
    <row r="92" s="1474" customFormat="1"/>
    <row r="93" s="1474" customFormat="1"/>
    <row r="94" s="1474" customFormat="1"/>
    <row r="95" s="1474" customFormat="1"/>
    <row r="96" s="1474" customFormat="1"/>
    <row r="97" s="1474" customFormat="1"/>
    <row r="98" s="1474" customFormat="1"/>
    <row r="99" s="1474" customFormat="1"/>
    <row r="100" s="1474" customFormat="1"/>
    <row r="101" s="1474" customFormat="1"/>
    <row r="102" s="1474" customFormat="1"/>
    <row r="103" s="1474" customFormat="1"/>
    <row r="104" s="1474" customFormat="1"/>
    <row r="105" s="1474" customFormat="1"/>
    <row r="106" s="1474" customFormat="1"/>
    <row r="107" s="1474" customFormat="1"/>
    <row r="108" s="1474" customFormat="1"/>
    <row r="109" s="1474" customFormat="1"/>
    <row r="110" s="1474" customFormat="1"/>
    <row r="111" s="1474" customFormat="1"/>
    <row r="112" s="1474" customFormat="1"/>
    <row r="113" s="1474" customFormat="1"/>
    <row r="114" s="1474" customFormat="1"/>
    <row r="115" s="1474" customFormat="1"/>
    <row r="116" s="1474" customFormat="1"/>
    <row r="117" s="1474" customFormat="1"/>
    <row r="118" s="1474" customFormat="1"/>
    <row r="119" s="1474" customFormat="1"/>
    <row r="120" s="1474" customFormat="1"/>
    <row r="121" s="1474" customFormat="1"/>
    <row r="122" s="1474" customFormat="1"/>
    <row r="123" s="1474" customFormat="1"/>
    <row r="124" s="1474" customFormat="1"/>
    <row r="125" s="1474" customFormat="1"/>
    <row r="126" s="1474" customFormat="1"/>
    <row r="127" s="1474" customFormat="1"/>
    <row r="128" s="1474" customFormat="1"/>
    <row r="129" s="1474" customFormat="1"/>
    <row r="130" s="1474" customFormat="1"/>
    <row r="131" s="1474" customFormat="1"/>
    <row r="132" s="1474" customFormat="1"/>
    <row r="133" s="1474" customFormat="1"/>
    <row r="134" s="1474" customFormat="1"/>
    <row r="135" s="1474" customFormat="1"/>
    <row r="136" s="1474" customFormat="1"/>
    <row r="137" s="1474" customFormat="1"/>
    <row r="138" s="1474" customFormat="1"/>
    <row r="139" s="1474" customFormat="1"/>
    <row r="140" s="1474" customFormat="1"/>
    <row r="141" s="1474" customFormat="1"/>
    <row r="142" s="1474" customFormat="1"/>
    <row r="143" s="1474" customFormat="1"/>
    <row r="144" s="1474" customFormat="1"/>
    <row r="145" s="1474" customFormat="1"/>
    <row r="146" s="1474" customFormat="1"/>
    <row r="147" s="1474" customFormat="1"/>
    <row r="148" s="1474" customFormat="1"/>
    <row r="149" s="1474" customFormat="1"/>
    <row r="150" s="1474" customFormat="1"/>
    <row r="151" s="1474" customFormat="1"/>
    <row r="152" s="1474" customFormat="1"/>
    <row r="153" s="1474" customFormat="1"/>
    <row r="154" s="1474" customFormat="1"/>
    <row r="155" s="1474" customFormat="1"/>
    <row r="156" s="1474" customFormat="1"/>
    <row r="157" s="1474" customFormat="1"/>
    <row r="158" s="1474" customFormat="1"/>
    <row r="159" s="1474" customFormat="1"/>
    <row r="160" s="1474" customFormat="1"/>
    <row r="161" s="1474" customFormat="1"/>
    <row r="162" s="1474" customFormat="1"/>
    <row r="163" s="1474" customFormat="1"/>
    <row r="164" s="1474" customFormat="1"/>
    <row r="165" s="1474" customFormat="1"/>
    <row r="166" s="1474" customFormat="1"/>
    <row r="167" s="1474" customFormat="1"/>
    <row r="168" s="1474" customFormat="1"/>
    <row r="169" s="1474" customFormat="1"/>
    <row r="170" s="1474" customFormat="1"/>
    <row r="171" s="1474" customFormat="1"/>
    <row r="172" s="1474" customFormat="1"/>
    <row r="173" s="1474" customFormat="1"/>
    <row r="174" s="1474" customFormat="1"/>
    <row r="175" s="1474" customFormat="1"/>
    <row r="176" s="1474" customFormat="1"/>
    <row r="177" s="1474" customFormat="1"/>
    <row r="178" s="1474" customFormat="1"/>
    <row r="179" s="1474" customFormat="1"/>
    <row r="180" s="1474" customFormat="1"/>
    <row r="181" s="1474" customFormat="1"/>
    <row r="182" s="1474" customFormat="1"/>
    <row r="183" s="1474" customFormat="1"/>
    <row r="184" s="1474" customFormat="1"/>
    <row r="185" s="1474" customFormat="1"/>
    <row r="186" s="1474" customFormat="1"/>
    <row r="187" s="1474" customFormat="1"/>
    <row r="188" s="1474" customFormat="1"/>
    <row r="189" s="1474" customFormat="1"/>
    <row r="190" s="1474" customFormat="1"/>
    <row r="191" s="1474" customFormat="1"/>
    <row r="192" s="1474" customFormat="1"/>
    <row r="193" s="1474" customFormat="1"/>
    <row r="194" s="1474" customFormat="1"/>
    <row r="195" s="1474" customFormat="1"/>
    <row r="196" s="1474" customFormat="1"/>
  </sheetData>
  <mergeCells count="6">
    <mergeCell ref="A14:I14"/>
    <mergeCell ref="A2:I2"/>
    <mergeCell ref="A4:A6"/>
    <mergeCell ref="B4:I4"/>
    <mergeCell ref="B5:B6"/>
    <mergeCell ref="C5:I5"/>
  </mergeCells>
  <pageMargins left="0.70866141732283472" right="0.70866141732283472" top="0.74803149606299213" bottom="0.74803149606299213" header="0.31496062992125984" footer="0.31496062992125984"/>
  <pageSetup paperSize="14" scale="115" orientation="landscape" r:id="rId1"/>
</worksheet>
</file>

<file path=xl/worksheets/sheet99.xml><?xml version="1.0" encoding="utf-8"?>
<worksheet xmlns="http://schemas.openxmlformats.org/spreadsheetml/2006/main" xmlns:r="http://schemas.openxmlformats.org/officeDocument/2006/relationships">
  <dimension ref="A2:I16"/>
  <sheetViews>
    <sheetView zoomScaleNormal="100" workbookViewId="0">
      <selection activeCell="F21" sqref="F21"/>
    </sheetView>
  </sheetViews>
  <sheetFormatPr baseColWidth="10" defaultRowHeight="12"/>
  <cols>
    <col min="1" max="1" width="11.42578125" style="107"/>
    <col min="2" max="2" width="13.42578125" style="107" customWidth="1"/>
    <col min="3" max="5" width="11.42578125" style="107"/>
    <col min="6" max="6" width="17" style="107" customWidth="1"/>
    <col min="7" max="10" width="12.85546875" style="107" bestFit="1" customWidth="1"/>
    <col min="11" max="16384" width="11.42578125" style="107"/>
  </cols>
  <sheetData>
    <row r="2" spans="1:9" ht="30" customHeight="1">
      <c r="A2" s="2199" t="s">
        <v>1132</v>
      </c>
      <c r="B2" s="2199"/>
      <c r="C2" s="2199"/>
      <c r="D2" s="2199"/>
      <c r="E2" s="2199"/>
      <c r="F2" s="2199"/>
      <c r="G2" s="2199"/>
      <c r="H2" s="2199"/>
      <c r="I2" s="2199"/>
    </row>
    <row r="4" spans="1:9" ht="13.5">
      <c r="A4" s="2206" t="s">
        <v>671</v>
      </c>
      <c r="B4" s="2207" t="s">
        <v>3468</v>
      </c>
      <c r="C4" s="2207"/>
      <c r="D4" s="2207"/>
      <c r="E4" s="2207"/>
      <c r="F4" s="2207"/>
      <c r="G4" s="2207"/>
      <c r="H4" s="2207"/>
      <c r="I4" s="2207"/>
    </row>
    <row r="5" spans="1:9">
      <c r="A5" s="2206"/>
      <c r="B5" s="2206" t="s">
        <v>26</v>
      </c>
      <c r="C5" s="2207" t="s">
        <v>1113</v>
      </c>
      <c r="D5" s="2207"/>
      <c r="E5" s="2207"/>
      <c r="F5" s="2207"/>
      <c r="G5" s="2207"/>
      <c r="H5" s="2207"/>
      <c r="I5" s="2207"/>
    </row>
    <row r="6" spans="1:9" ht="45">
      <c r="A6" s="2206"/>
      <c r="B6" s="2206"/>
      <c r="C6" s="2008" t="s">
        <v>1114</v>
      </c>
      <c r="D6" s="2008" t="s">
        <v>1133</v>
      </c>
      <c r="E6" s="2008" t="s">
        <v>1116</v>
      </c>
      <c r="F6" s="2008" t="s">
        <v>1117</v>
      </c>
      <c r="G6" s="2008" t="s">
        <v>1118</v>
      </c>
      <c r="H6" s="2008" t="s">
        <v>1119</v>
      </c>
      <c r="I6" s="2008" t="s">
        <v>1120</v>
      </c>
    </row>
    <row r="7" spans="1:9">
      <c r="A7" s="1470" t="s">
        <v>1121</v>
      </c>
      <c r="B7" s="186">
        <f t="shared" ref="B7:B12" si="0">SUM(C7:I7)</f>
        <v>1723476</v>
      </c>
      <c r="C7" s="179">
        <v>292468</v>
      </c>
      <c r="D7" s="179">
        <v>519495</v>
      </c>
      <c r="E7" s="179">
        <v>148858</v>
      </c>
      <c r="F7" s="179">
        <v>169549</v>
      </c>
      <c r="G7" s="179">
        <v>494322</v>
      </c>
      <c r="H7" s="179">
        <v>47024</v>
      </c>
      <c r="I7" s="179">
        <v>51760</v>
      </c>
    </row>
    <row r="8" spans="1:9">
      <c r="A8" s="1470">
        <v>2010</v>
      </c>
      <c r="B8" s="186">
        <f t="shared" si="0"/>
        <v>1686518</v>
      </c>
      <c r="C8" s="179">
        <v>217627</v>
      </c>
      <c r="D8" s="179">
        <v>606949</v>
      </c>
      <c r="E8" s="179">
        <v>130498</v>
      </c>
      <c r="F8" s="179">
        <v>161426</v>
      </c>
      <c r="G8" s="179">
        <v>472298</v>
      </c>
      <c r="H8" s="179">
        <v>45962</v>
      </c>
      <c r="I8" s="179">
        <v>51758</v>
      </c>
    </row>
    <row r="9" spans="1:9">
      <c r="A9" s="1470" t="s">
        <v>801</v>
      </c>
      <c r="B9" s="186">
        <f t="shared" si="0"/>
        <v>1623296</v>
      </c>
      <c r="C9" s="179">
        <v>308307</v>
      </c>
      <c r="D9" s="179">
        <v>483651</v>
      </c>
      <c r="E9" s="179">
        <v>113838</v>
      </c>
      <c r="F9" s="179">
        <v>141478</v>
      </c>
      <c r="G9" s="179">
        <v>461006</v>
      </c>
      <c r="H9" s="179">
        <v>53083</v>
      </c>
      <c r="I9" s="179">
        <v>61933</v>
      </c>
    </row>
    <row r="10" spans="1:9">
      <c r="A10" s="1470" t="s">
        <v>802</v>
      </c>
      <c r="B10" s="186">
        <f t="shared" si="0"/>
        <v>1901665</v>
      </c>
      <c r="C10" s="179">
        <v>356858</v>
      </c>
      <c r="D10" s="179">
        <v>601120</v>
      </c>
      <c r="E10" s="179">
        <v>136408</v>
      </c>
      <c r="F10" s="179">
        <v>184640</v>
      </c>
      <c r="G10" s="179">
        <v>413580</v>
      </c>
      <c r="H10" s="179">
        <v>58621</v>
      </c>
      <c r="I10" s="179">
        <v>150438</v>
      </c>
    </row>
    <row r="11" spans="1:9">
      <c r="A11" s="1470" t="s">
        <v>803</v>
      </c>
      <c r="B11" s="186">
        <f t="shared" si="0"/>
        <v>1953444</v>
      </c>
      <c r="C11" s="179">
        <v>370143</v>
      </c>
      <c r="D11" s="179">
        <v>490686</v>
      </c>
      <c r="E11" s="179">
        <v>131966</v>
      </c>
      <c r="F11" s="179">
        <v>180785</v>
      </c>
      <c r="G11" s="179">
        <v>573165</v>
      </c>
      <c r="H11" s="179">
        <v>28091</v>
      </c>
      <c r="I11" s="179">
        <v>178608</v>
      </c>
    </row>
    <row r="12" spans="1:9">
      <c r="A12" s="1470" t="s">
        <v>804</v>
      </c>
      <c r="B12" s="186">
        <f t="shared" si="0"/>
        <v>1939803</v>
      </c>
      <c r="C12" s="179">
        <v>375071</v>
      </c>
      <c r="D12" s="179">
        <v>516469</v>
      </c>
      <c r="E12" s="179">
        <v>141064</v>
      </c>
      <c r="F12" s="179">
        <v>219136</v>
      </c>
      <c r="G12" s="179">
        <v>507400</v>
      </c>
      <c r="H12" s="179">
        <v>49838</v>
      </c>
      <c r="I12" s="179">
        <v>130825</v>
      </c>
    </row>
    <row r="13" spans="1:9">
      <c r="A13" s="1470"/>
      <c r="B13" s="186"/>
      <c r="C13" s="179"/>
      <c r="D13" s="179"/>
      <c r="E13" s="179"/>
      <c r="F13" s="179"/>
      <c r="G13" s="179"/>
      <c r="H13" s="179"/>
      <c r="I13" s="179"/>
    </row>
    <row r="14" spans="1:9" ht="26.25" customHeight="1">
      <c r="A14" s="2197" t="s">
        <v>3647</v>
      </c>
      <c r="B14" s="2197"/>
      <c r="C14" s="2197"/>
      <c r="D14" s="2197"/>
      <c r="E14" s="2197"/>
      <c r="F14" s="2197"/>
      <c r="G14" s="2197"/>
      <c r="H14" s="2197"/>
      <c r="I14" s="2198"/>
    </row>
    <row r="15" spans="1:9">
      <c r="A15" s="245" t="s">
        <v>1122</v>
      </c>
      <c r="B15" s="177"/>
      <c r="C15" s="177"/>
      <c r="D15" s="177"/>
      <c r="E15" s="177"/>
      <c r="F15" s="177"/>
      <c r="G15" s="177"/>
      <c r="H15" s="177"/>
      <c r="I15" s="177"/>
    </row>
    <row r="16" spans="1:9" s="1474" customFormat="1"/>
  </sheetData>
  <mergeCells count="6">
    <mergeCell ref="A14:I14"/>
    <mergeCell ref="A2:I2"/>
    <mergeCell ref="A4:A6"/>
    <mergeCell ref="B4:I4"/>
    <mergeCell ref="B5:B6"/>
    <mergeCell ref="C5:I5"/>
  </mergeCells>
  <pageMargins left="0.70866141732283472" right="0.70866141732283472" top="0.74803149606299213" bottom="0.74803149606299213" header="0.31496062992125984" footer="0.31496062992125984"/>
  <pageSetup paperSize="14" scale="11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331</vt:i4>
      </vt:variant>
      <vt:variant>
        <vt:lpstr>Rangos con nombre</vt:lpstr>
      </vt:variant>
      <vt:variant>
        <vt:i4>41</vt:i4>
      </vt:variant>
    </vt:vector>
  </HeadingPairs>
  <TitlesOfParts>
    <vt:vector size="372" baseType="lpstr">
      <vt:lpstr>ÍNDICE</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10.27</vt:lpstr>
      <vt:lpstr>10.28</vt:lpstr>
      <vt:lpstr>10.29</vt:lpstr>
      <vt:lpstr>10.30</vt:lpstr>
      <vt:lpstr>10.31</vt:lpstr>
      <vt:lpstr>10.32</vt:lpstr>
      <vt:lpstr>10.33</vt:lpstr>
      <vt:lpstr>10.34</vt:lpstr>
      <vt:lpstr>10.35</vt:lpstr>
      <vt:lpstr>10.36</vt:lpstr>
      <vt:lpstr>10.37</vt:lpstr>
      <vt:lpstr>10.38</vt:lpstr>
      <vt:lpstr>10.39</vt:lpstr>
      <vt:lpstr>10.40</vt:lpstr>
      <vt:lpstr>10.41</vt:lpstr>
      <vt:lpstr>10.42</vt:lpstr>
      <vt:lpstr>10.43</vt:lpstr>
      <vt:lpstr>10.44</vt:lpstr>
      <vt:lpstr>10.45</vt:lpstr>
      <vt:lpstr>10.46</vt:lpstr>
      <vt:lpstr>10.47</vt:lpstr>
      <vt:lpstr>10.48</vt:lpstr>
      <vt:lpstr>10.49</vt:lpstr>
      <vt:lpstr>10.50</vt:lpstr>
      <vt:lpstr>10.51</vt:lpstr>
      <vt:lpstr>10.52</vt:lpstr>
      <vt:lpstr>10.53</vt:lpstr>
      <vt:lpstr>10.54</vt:lpstr>
      <vt:lpstr>10.55</vt:lpstr>
      <vt:lpstr>10.56</vt:lpstr>
      <vt:lpstr>10.57</vt:lpstr>
      <vt:lpstr>10.58</vt:lpstr>
      <vt:lpstr>10.59</vt:lpstr>
      <vt:lpstr>10.60</vt:lpstr>
      <vt:lpstr>10.61</vt:lpstr>
      <vt:lpstr>10.62</vt:lpstr>
      <vt:lpstr>10.63</vt:lpstr>
      <vt:lpstr>10.64</vt:lpstr>
      <vt:lpstr>10.65</vt:lpstr>
      <vt:lpstr>10.66</vt:lpstr>
      <vt:lpstr>10.67</vt:lpstr>
      <vt:lpstr>11.1</vt:lpstr>
      <vt:lpstr>11.2</vt:lpstr>
      <vt:lpstr>11.3</vt:lpstr>
      <vt:lpstr>11.4</vt:lpstr>
      <vt:lpstr>11.5</vt:lpstr>
      <vt:lpstr>12.1</vt:lpstr>
      <vt:lpstr>12.2</vt:lpstr>
      <vt:lpstr>12.3</vt:lpstr>
      <vt:lpstr>12.4</vt:lpstr>
      <vt:lpstr>12.5</vt:lpstr>
      <vt:lpstr>12.6</vt:lpstr>
      <vt:lpstr>12.7</vt:lpstr>
      <vt:lpstr>12.8</vt:lpstr>
      <vt:lpstr>13.1</vt:lpstr>
      <vt:lpstr>13.2</vt:lpstr>
      <vt:lpstr>13.3</vt:lpstr>
      <vt:lpstr>13.4</vt:lpstr>
      <vt:lpstr>13.5</vt:lpstr>
      <vt:lpstr>13.6</vt:lpstr>
      <vt:lpstr>13.7</vt:lpstr>
      <vt:lpstr>13.8</vt:lpstr>
      <vt:lpstr>13.9</vt:lpstr>
      <vt:lpstr>13.10</vt:lpstr>
      <vt:lpstr>13.11</vt:lpstr>
      <vt:lpstr>13.12</vt:lpstr>
      <vt:lpstr>13.13</vt:lpstr>
      <vt:lpstr>13.14</vt:lpstr>
      <vt:lpstr>13.15</vt:lpstr>
      <vt:lpstr>13.16</vt:lpstr>
      <vt:lpstr>13.17</vt:lpstr>
      <vt:lpstr>13.18</vt:lpstr>
      <vt:lpstr>13.19</vt:lpstr>
      <vt:lpstr>14.1</vt:lpstr>
      <vt:lpstr>14.2</vt:lpstr>
      <vt:lpstr>14.3</vt:lpstr>
      <vt:lpstr>14.4</vt:lpstr>
      <vt:lpstr>14.5</vt:lpstr>
      <vt:lpstr>14.6</vt:lpstr>
      <vt:lpstr>14.7</vt:lpstr>
      <vt:lpstr>14.8</vt:lpstr>
      <vt:lpstr>14.9</vt:lpstr>
      <vt:lpstr>14.10</vt:lpstr>
      <vt:lpstr>14.11</vt:lpstr>
      <vt:lpstr>14.12</vt:lpstr>
      <vt:lpstr>14.13</vt:lpstr>
      <vt:lpstr>14.14</vt:lpstr>
      <vt:lpstr>14.15</vt:lpstr>
      <vt:lpstr>14.16</vt:lpstr>
      <vt:lpstr>14.17</vt:lpstr>
      <vt:lpstr>14.18</vt:lpstr>
      <vt:lpstr>14.19</vt:lpstr>
      <vt:lpstr>14.20</vt:lpstr>
      <vt:lpstr>14.21</vt:lpstr>
      <vt:lpstr>14.22</vt:lpstr>
      <vt:lpstr>14.23</vt:lpstr>
      <vt:lpstr>14.24</vt:lpstr>
      <vt:lpstr>14.25</vt:lpstr>
      <vt:lpstr>14.26</vt:lpstr>
      <vt:lpstr>14.27</vt:lpstr>
      <vt:lpstr>14.28</vt:lpstr>
      <vt:lpstr>14.29</vt:lpstr>
      <vt:lpstr>14.30</vt:lpstr>
      <vt:lpstr>14.31</vt:lpstr>
      <vt:lpstr>14.32</vt:lpstr>
      <vt:lpstr>14.33</vt:lpstr>
      <vt:lpstr>14.34</vt:lpstr>
      <vt:lpstr>14.35</vt:lpstr>
      <vt:lpstr>15.1</vt:lpstr>
      <vt:lpstr>15.2</vt:lpstr>
      <vt:lpstr>15.3</vt:lpstr>
      <vt:lpstr>15.4</vt:lpstr>
      <vt:lpstr>15.5</vt:lpstr>
      <vt:lpstr>15.6</vt:lpstr>
      <vt:lpstr>15.7</vt:lpstr>
      <vt:lpstr>15.8</vt:lpstr>
      <vt:lpstr>15.9</vt:lpstr>
      <vt:lpstr>15.10</vt:lpstr>
      <vt:lpstr>15.11</vt:lpstr>
      <vt:lpstr>15.12</vt:lpstr>
      <vt:lpstr>15.13</vt:lpstr>
      <vt:lpstr>15.14</vt:lpstr>
      <vt:lpstr>15.15</vt:lpstr>
      <vt:lpstr>15.16</vt:lpstr>
      <vt:lpstr>15.17</vt:lpstr>
      <vt:lpstr>15.18</vt:lpstr>
      <vt:lpstr>15.19</vt:lpstr>
      <vt:lpstr>15.20</vt:lpstr>
      <vt:lpstr>15-21</vt:lpstr>
      <vt:lpstr>15-22</vt:lpstr>
      <vt:lpstr>15-23</vt:lpstr>
      <vt:lpstr>15-24</vt:lpstr>
      <vt:lpstr>15-25</vt:lpstr>
      <vt:lpstr>15-26</vt:lpstr>
      <vt:lpstr>15-27</vt:lpstr>
      <vt:lpstr>15-28</vt:lpstr>
      <vt:lpstr>15-29</vt:lpstr>
      <vt:lpstr>15-30</vt:lpstr>
      <vt:lpstr>15.31</vt:lpstr>
      <vt:lpstr>15.32</vt:lpstr>
      <vt:lpstr>15.33</vt:lpstr>
      <vt:lpstr>15.34</vt:lpstr>
      <vt:lpstr>15.35</vt:lpstr>
      <vt:lpstr>15.36</vt:lpstr>
      <vt:lpstr>15.37</vt:lpstr>
      <vt:lpstr>15.38</vt:lpstr>
      <vt:lpstr>15.39</vt:lpstr>
      <vt:lpstr>15.40</vt:lpstr>
      <vt:lpstr>15.41</vt:lpstr>
      <vt:lpstr>15.42</vt:lpstr>
      <vt:lpstr>15.43</vt:lpstr>
      <vt:lpstr>15.44</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16.21</vt:lpstr>
      <vt:lpstr>16.22</vt:lpstr>
      <vt:lpstr>16.23</vt:lpstr>
      <vt:lpstr>16.24</vt:lpstr>
      <vt:lpstr>16.25</vt:lpstr>
      <vt:lpstr>16.26</vt:lpstr>
      <vt:lpstr>16.27</vt:lpstr>
      <vt:lpstr>16.28</vt:lpstr>
      <vt:lpstr>16.29</vt:lpstr>
      <vt:lpstr>16.30</vt:lpstr>
      <vt:lpstr>16.31</vt:lpstr>
      <vt:lpstr>16.32</vt:lpstr>
      <vt:lpstr>16.33</vt:lpstr>
      <vt:lpstr>16.34</vt:lpstr>
      <vt:lpstr>16.35</vt:lpstr>
      <vt:lpstr>16.36</vt:lpstr>
      <vt:lpstr>16.37</vt:lpstr>
      <vt:lpstr>16.38</vt:lpstr>
      <vt:lpstr>16.39</vt:lpstr>
      <vt:lpstr>16.40</vt:lpstr>
      <vt:lpstr>16.41</vt:lpstr>
      <vt:lpstr>16.42</vt:lpstr>
      <vt:lpstr>16.43</vt:lpstr>
      <vt:lpstr>16.44</vt:lpstr>
      <vt:lpstr>16.45</vt:lpstr>
      <vt:lpstr>16.46</vt:lpstr>
      <vt:lpstr>16.47</vt:lpstr>
      <vt:lpstr>16.48</vt:lpstr>
      <vt:lpstr>17.1</vt:lpstr>
      <vt:lpstr>17.2</vt:lpstr>
      <vt:lpstr>17.3</vt:lpstr>
      <vt:lpstr>17.4</vt:lpstr>
      <vt:lpstr>17.5</vt:lpstr>
      <vt:lpstr>17.6</vt:lpstr>
      <vt:lpstr>17.7</vt:lpstr>
      <vt:lpstr>17.8</vt:lpstr>
      <vt:lpstr>17.9</vt:lpstr>
      <vt:lpstr>18.1</vt:lpstr>
      <vt:lpstr>18.2</vt:lpstr>
      <vt:lpstr>18.3</vt:lpstr>
      <vt:lpstr>18.4</vt:lpstr>
      <vt:lpstr>18.5</vt:lpstr>
      <vt:lpstr>18.6</vt:lpstr>
      <vt:lpstr>18.7</vt:lpstr>
      <vt:lpstr>19.1</vt:lpstr>
      <vt:lpstr>19.2</vt:lpstr>
      <vt:lpstr>19.3</vt:lpstr>
      <vt:lpstr>19.4</vt:lpstr>
      <vt:lpstr>19.5</vt:lpstr>
      <vt:lpstr>19.6</vt:lpstr>
      <vt:lpstr>19.7</vt:lpstr>
      <vt:lpstr>19.8</vt:lpstr>
      <vt:lpstr>19.9</vt:lpstr>
      <vt:lpstr>19.10</vt:lpstr>
      <vt:lpstr>19.11</vt:lpstr>
      <vt:lpstr>20.1</vt:lpstr>
      <vt:lpstr>20.2</vt:lpstr>
      <vt:lpstr>20.3</vt:lpstr>
      <vt:lpstr>20.4</vt:lpstr>
      <vt:lpstr>20.5</vt:lpstr>
      <vt:lpstr>20.6</vt:lpstr>
      <vt:lpstr>20.7</vt:lpstr>
      <vt:lpstr>20.8</vt:lpstr>
      <vt:lpstr>20.9</vt:lpstr>
      <vt:lpstr>20.10</vt:lpstr>
      <vt:lpstr>20.11</vt:lpstr>
      <vt:lpstr>20.12</vt:lpstr>
      <vt:lpstr>20.13</vt:lpstr>
      <vt:lpstr>20.14</vt:lpstr>
      <vt:lpstr>20.15</vt:lpstr>
      <vt:lpstr>20.16</vt:lpstr>
      <vt:lpstr>20.17</vt:lpstr>
      <vt:lpstr>21.1</vt:lpstr>
      <vt:lpstr>21.2</vt:lpstr>
      <vt:lpstr>21.3</vt:lpstr>
      <vt:lpstr>21.4</vt:lpstr>
      <vt:lpstr>22.1</vt:lpstr>
      <vt:lpstr>22.2</vt:lpstr>
      <vt:lpstr>22.3</vt:lpstr>
      <vt:lpstr>22.4</vt:lpstr>
      <vt:lpstr>22.5</vt:lpstr>
      <vt:lpstr>23.1</vt:lpstr>
      <vt:lpstr>23.2</vt:lpstr>
      <vt:lpstr>23.3</vt:lpstr>
      <vt:lpstr>23.4</vt:lpstr>
      <vt:lpstr>23.5</vt:lpstr>
      <vt:lpstr>23.6</vt:lpstr>
      <vt:lpstr>24.1</vt:lpstr>
      <vt:lpstr>24.2</vt:lpstr>
      <vt:lpstr>24.3</vt:lpstr>
      <vt:lpstr>24.4</vt:lpstr>
      <vt:lpstr>24.5</vt:lpstr>
      <vt:lpstr>24.6</vt:lpstr>
      <vt:lpstr>24.7</vt:lpstr>
      <vt:lpstr>24.8</vt:lpstr>
      <vt:lpstr>24.9</vt:lpstr>
      <vt:lpstr>24.10</vt:lpstr>
      <vt:lpstr>24.11</vt:lpstr>
      <vt:lpstr>24.12</vt:lpstr>
      <vt:lpstr>24.13</vt:lpstr>
      <vt:lpstr>24.14</vt:lpstr>
      <vt:lpstr>24.15</vt:lpstr>
      <vt:lpstr>24.16</vt:lpstr>
      <vt:lpstr>24.17</vt:lpstr>
      <vt:lpstr>24.18</vt:lpstr>
      <vt:lpstr>25.1</vt:lpstr>
      <vt:lpstr>25.2</vt:lpstr>
      <vt:lpstr>25.3</vt:lpstr>
      <vt:lpstr>25.4</vt:lpstr>
      <vt:lpstr>25.5</vt:lpstr>
      <vt:lpstr>26.1</vt:lpstr>
      <vt:lpstr>26.2</vt:lpstr>
      <vt:lpstr>26.3</vt:lpstr>
      <vt:lpstr>26.4</vt:lpstr>
      <vt:lpstr>26.5</vt:lpstr>
      <vt:lpstr>26.6</vt:lpstr>
      <vt:lpstr>26.7</vt:lpstr>
      <vt:lpstr>26.8</vt:lpstr>
      <vt:lpstr>26.9</vt:lpstr>
      <vt:lpstr>26.10</vt:lpstr>
      <vt:lpstr>26.11</vt:lpstr>
      <vt:lpstr>26.12</vt:lpstr>
      <vt:lpstr>26.13</vt:lpstr>
      <vt:lpstr>26.14</vt:lpstr>
      <vt:lpstr>26.15</vt:lpstr>
      <vt:lpstr>26.16</vt:lpstr>
      <vt:lpstr>26.17</vt:lpstr>
      <vt:lpstr>26.18</vt:lpstr>
      <vt:lpstr>26.19</vt:lpstr>
      <vt:lpstr>26.20</vt:lpstr>
      <vt:lpstr>26.21</vt:lpstr>
      <vt:lpstr>26.22</vt:lpstr>
      <vt:lpstr>'11.4'!Área_de_impresión</vt:lpstr>
      <vt:lpstr>'11.5'!Área_de_impresión</vt:lpstr>
      <vt:lpstr>'12.2'!Área_de_impresión</vt:lpstr>
      <vt:lpstr>'13.2'!Área_de_impresión</vt:lpstr>
      <vt:lpstr>'13.3'!Área_de_impresión</vt:lpstr>
      <vt:lpstr>'13.8'!Área_de_impresión</vt:lpstr>
      <vt:lpstr>'14.13'!Área_de_impresión</vt:lpstr>
      <vt:lpstr>'14.17'!Área_de_impresión</vt:lpstr>
      <vt:lpstr>'14.7'!Área_de_impresión</vt:lpstr>
      <vt:lpstr>'14.8'!Área_de_impresión</vt:lpstr>
      <vt:lpstr>'16.22'!Área_de_impresión</vt:lpstr>
      <vt:lpstr>'16.23'!Área_de_impresión</vt:lpstr>
      <vt:lpstr>'16.38'!Área_de_impresión</vt:lpstr>
      <vt:lpstr>'16.41'!Área_de_impresión</vt:lpstr>
      <vt:lpstr>'16.44'!Área_de_impresión</vt:lpstr>
      <vt:lpstr>'16.45'!Área_de_impresión</vt:lpstr>
      <vt:lpstr>'16.48'!Área_de_impresión</vt:lpstr>
      <vt:lpstr>'17.4'!Área_de_impresión</vt:lpstr>
      <vt:lpstr>'17.6'!Área_de_impresión</vt:lpstr>
      <vt:lpstr>'19.10'!Área_de_impresión</vt:lpstr>
      <vt:lpstr>'19.11'!Área_de_impresión</vt:lpstr>
      <vt:lpstr>'19.2'!Área_de_impresión</vt:lpstr>
      <vt:lpstr>'19.3'!Área_de_impresión</vt:lpstr>
      <vt:lpstr>'19.4'!Área_de_impresión</vt:lpstr>
      <vt:lpstr>'19.5'!Área_de_impresión</vt:lpstr>
      <vt:lpstr>'19.6'!Área_de_impresión</vt:lpstr>
      <vt:lpstr>'19.7'!Área_de_impresión</vt:lpstr>
      <vt:lpstr>'19.8'!Área_de_impresión</vt:lpstr>
      <vt:lpstr>'19.9'!Área_de_impresión</vt:lpstr>
      <vt:lpstr>'20.10'!Área_de_impresión</vt:lpstr>
      <vt:lpstr>'20.12'!Área_de_impresión</vt:lpstr>
      <vt:lpstr>'22.1'!Área_de_impresión</vt:lpstr>
      <vt:lpstr>'25.1'!Área_de_impresión</vt:lpstr>
      <vt:lpstr>'25.2'!Área_de_impresión</vt:lpstr>
      <vt:lpstr>'25.3'!Área_de_impresión</vt:lpstr>
      <vt:lpstr>'25.4'!Área_de_impresión</vt:lpstr>
      <vt:lpstr>'26.19'!Área_de_impresión</vt:lpstr>
      <vt:lpstr>'16.45'!Títulos_a_imprimir</vt:lpstr>
      <vt:lpstr>'19.3'!Títulos_a_imprimir</vt:lpstr>
      <vt:lpstr>'26.11'!Títulos_a_imprimir</vt:lpstr>
      <vt:lpstr>'26.7'!Títulos_a_imprimir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Andrés Eduardo Keller Riveros</dc:creator>
  <cp:lastModifiedBy>Csarabia</cp:lastModifiedBy>
  <cp:lastPrinted>2015-11-09T13:45:33Z</cp:lastPrinted>
  <dcterms:created xsi:type="dcterms:W3CDTF">2015-08-21T12:58:54Z</dcterms:created>
  <dcterms:modified xsi:type="dcterms:W3CDTF">2015-11-26T20:59:44Z</dcterms:modified>
</cp:coreProperties>
</file>